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ntities" sheetId="1" r:id="rId4"/>
    <sheet state="visible" name="Attributes" sheetId="2" r:id="rId5"/>
    <sheet state="visible" name="Language Items" sheetId="3" r:id="rId6"/>
    <sheet state="visible" name="Age Range Items" sheetId="4" r:id="rId7"/>
    <sheet state="visible" name="Country Items" sheetId="5" r:id="rId8"/>
    <sheet state="visible" name="State Items" sheetId="6" r:id="rId9"/>
    <sheet state="visible" name="HCP Type Items" sheetId="7" r:id="rId10"/>
    <sheet state="visible" name="Specialty Items" sheetId="8" r:id="rId11"/>
    <sheet state="visible" name="Specialty Group Items" sheetId="9" r:id="rId12"/>
    <sheet state="visible" name="Clinical Researcher Items" sheetId="10" r:id="rId13"/>
    <sheet state="visible" name="Medical Degree Items" sheetId="11" r:id="rId14"/>
    <sheet state="visible" name="HCP Status Items" sheetId="12" r:id="rId15"/>
    <sheet state="visible" name="Level Items" sheetId="13" r:id="rId16"/>
    <sheet state="visible" name="Adopter Type Items" sheetId="14" r:id="rId17"/>
    <sheet state="visible" name="Address Status Items" sheetId="15" r:id="rId18"/>
    <sheet state="visible" name="License" sheetId="16" r:id="rId19"/>
  </sheets>
  <definedNames/>
  <calcPr/>
</workbook>
</file>

<file path=xl/sharedStrings.xml><?xml version="1.0" encoding="utf-8"?>
<sst xmlns="http://schemas.openxmlformats.org/spreadsheetml/2006/main" count="264" uniqueCount="70">
  <si>
    <t>CDA.LS.HCP Kernel Translations, Version 24.8, August 30, 2024</t>
  </si>
  <si>
    <t>CDA.LS.HCP Entity Label Translations</t>
  </si>
  <si>
    <t>English Label</t>
  </si>
  <si>
    <t>Name</t>
  </si>
  <si>
    <t>German Label</t>
  </si>
  <si>
    <t>French Label</t>
  </si>
  <si>
    <t>Spanish Label</t>
  </si>
  <si>
    <t>Italian Label</t>
  </si>
  <si>
    <t>Chinese (Simplified) Label</t>
  </si>
  <si>
    <t>Japanese Label</t>
  </si>
  <si>
    <t>Korean Label</t>
  </si>
  <si>
    <t>Portugese (Brazil) Label</t>
  </si>
  <si>
    <t>医疗专业服务人员</t>
  </si>
  <si>
    <t>医療従事者</t>
  </si>
  <si>
    <t>x의료 전문가</t>
  </si>
  <si>
    <t>部分</t>
  </si>
  <si>
    <t>セグメント</t>
  </si>
  <si>
    <t>분절</t>
  </si>
  <si>
    <t>医疗专业服务人员 部分</t>
  </si>
  <si>
    <t>医療従事者 セグメント</t>
  </si>
  <si>
    <t>의료 전문가 부문</t>
  </si>
  <si>
    <t>地址</t>
  </si>
  <si>
    <t>住所</t>
  </si>
  <si>
    <t>주소</t>
  </si>
  <si>
    <t>CDA.LS.HCP Attribute Label Translations</t>
  </si>
  <si>
    <t>Entity</t>
  </si>
  <si>
    <t>Label</t>
  </si>
  <si>
    <t>Picklist Item Translations</t>
  </si>
  <si>
    <t>N/A</t>
  </si>
  <si>
    <t>Veeva ID</t>
  </si>
  <si>
    <t>Language Items</t>
  </si>
  <si>
    <t>Age Range Items</t>
  </si>
  <si>
    <t>Country Items</t>
  </si>
  <si>
    <t>State Items</t>
  </si>
  <si>
    <t>HCP Type Items</t>
  </si>
  <si>
    <t>Specialty Items</t>
  </si>
  <si>
    <t>Specialty Group Items</t>
  </si>
  <si>
    <t>Clinical Researcher Items</t>
  </si>
  <si>
    <t>Medical Degree Items</t>
  </si>
  <si>
    <t>HCP Status Items</t>
  </si>
  <si>
    <t>Level Items</t>
  </si>
  <si>
    <t>Adopter Type Items</t>
  </si>
  <si>
    <t>Address Status Items</t>
  </si>
  <si>
    <t>CDA.LS.HCP Language Items Label Translations</t>
  </si>
  <si>
    <r>
      <rPr/>
      <t xml:space="preserve">Language names follow the </t>
    </r>
    <r>
      <rPr>
        <color rgb="FF1155CC"/>
        <u/>
      </rPr>
      <t>ISO 639 standard</t>
    </r>
    <r>
      <rPr/>
      <t xml:space="preserve"> for language classification. This list is a subset of the ISO 639 language codes based on frequency of usage in HCP data.</t>
    </r>
  </si>
  <si>
    <t>CDA.LS.HCP Age Range Items Label Translations</t>
  </si>
  <si>
    <t>CDA.LS.HCP Country Items Label Translations</t>
  </si>
  <si>
    <r>
      <rPr/>
      <t xml:space="preserve">Based on </t>
    </r>
    <r>
      <rPr>
        <color rgb="FF1155CC"/>
        <u/>
      </rPr>
      <t>ISO 3166-1 standard country codes and names</t>
    </r>
    <r>
      <rPr/>
      <t>.</t>
    </r>
  </si>
  <si>
    <t>CDA.LS.HCP State Items Label Translations</t>
  </si>
  <si>
    <r>
      <rPr/>
      <t xml:space="preserve">Based on </t>
    </r>
    <r>
      <rPr>
        <color rgb="FF1155CC"/>
        <u/>
      </rPr>
      <t>ISO 3166-2</t>
    </r>
    <r>
      <rPr/>
      <t xml:space="preserve"> codes for identifying the principal subdivisions (e.g., provinces or states) of all countries coded in </t>
    </r>
    <r>
      <rPr>
        <color rgb="FF1155CC"/>
        <u/>
      </rPr>
      <t>ISO 3166-1</t>
    </r>
  </si>
  <si>
    <t>CDA.LS.HCP HCP Type Items Label Translations</t>
  </si>
  <si>
    <t>CDA.LS.HCP Specialty Items Label Translations</t>
  </si>
  <si>
    <r>
      <rPr>
        <rFont val="Arial"/>
      </rPr>
      <t xml:space="preserve">Language names follow the </t>
    </r>
    <r>
      <rPr>
        <rFont val="Arial"/>
        <color rgb="FF1155CC"/>
        <u/>
      </rPr>
      <t>ISO 639 standard</t>
    </r>
    <r>
      <rPr>
        <rFont val="Arial"/>
      </rPr>
      <t xml:space="preserve"> for language classification. This list is a subset of the ISO 639 language codes based on frequency of usage in HCP data.</t>
    </r>
  </si>
  <si>
    <t>CDA.LS.HCP Specialty Group Items Label Translations</t>
  </si>
  <si>
    <t>CDA.LS.HCP Clinical Researcher Items Label Translations</t>
  </si>
  <si>
    <t>Yes</t>
  </si>
  <si>
    <t>yes</t>
  </si>
  <si>
    <t>No</t>
  </si>
  <si>
    <t>no</t>
  </si>
  <si>
    <t>CDA.LS.HCP Medical Degree Items Label Translations</t>
  </si>
  <si>
    <t>MD</t>
  </si>
  <si>
    <t>DOktortitel</t>
  </si>
  <si>
    <t>DO</t>
  </si>
  <si>
    <t>CDA.LS.HCP HCP Status Items Label Translations</t>
  </si>
  <si>
    <t>CDA.LS.HCP Level Items Label Translations</t>
  </si>
  <si>
    <t>CDA.LS.HCP Adopter Type Items Label Translations</t>
  </si>
  <si>
    <r>
      <rPr>
        <rFont val="Arial"/>
        <color rgb="FF000000"/>
        <sz val="10.0"/>
      </rPr>
      <t xml:space="preserve">Based on the </t>
    </r>
    <r>
      <rPr>
        <rFont val="Arial"/>
        <color rgb="FF1155CC"/>
        <sz val="10.0"/>
        <u/>
      </rPr>
      <t>Diffusion of Innovations</t>
    </r>
    <r>
      <rPr>
        <rFont val="Arial"/>
        <color rgb="FF000000"/>
        <sz val="10.0"/>
      </rPr>
      <t xml:space="preserve"> theory by Everett Rogers</t>
    </r>
  </si>
  <si>
    <t>CDA.LS.HCP Address Status Items Label Translations</t>
  </si>
  <si>
    <t>Veeva Public CDA License</t>
  </si>
  <si>
    <r>
      <rPr>
        <rFont val="Arial"/>
        <color theme="1"/>
      </rPr>
      <t xml:space="preserve">Veeva provides the common data architecture (“CDA”) and associated documentation at www.veeva.com/cda for no charge.
</t>
    </r>
    <r>
      <rPr>
        <rFont val="Arial"/>
        <b/>
        <color theme="1"/>
      </rPr>
      <t xml:space="preserve">
Right to CDA documentation. </t>
    </r>
    <r>
      <rPr>
        <rFont val="Arial"/>
        <color theme="1"/>
      </rPr>
      <t xml:space="preserve">Veeva grants to you a perpetual right to copy, print, and distribute CDA documentation so long as you retain all copyright notices and include a copy of this Public CDA License Agreement with such documentation. In addition, you may create derivative works of CDA documentation as necessary to implement, or facilitate the implementation, of CDA.
</t>
    </r>
    <r>
      <rPr>
        <rFont val="Arial"/>
        <b/>
        <color theme="1"/>
      </rPr>
      <t xml:space="preserve">Implementing CDA. </t>
    </r>
    <r>
      <rPr>
        <rFont val="Arial"/>
        <color theme="1"/>
      </rPr>
      <t xml:space="preserve">Veeva grants to you a perpetual right and license under its intellectual property rights to implement CDA in your software or database, (“Your Implementation”) provided that you:
• Include the following attribution in Your Implementation in the same manner as you attribute other copyright or trademark notices: “Built using the Common Data Architecture (CDA) by Veeva available at www.veeva.com/cda”. 
• Do not use CDA or associated documentation to create an alternative standard that is intended to compete with or otherwise create confusion with CDA.
• Do not file or participate in any intellectual property lawsuit against another based solely on an implementation of CDA.
• Do not place any new or different limitations or restrictions on use of CDA on downstream users of Your Implementation.
</t>
    </r>
    <r>
      <rPr>
        <rFont val="Arial"/>
        <b/>
        <color theme="1"/>
      </rPr>
      <t xml:space="preserve">Changes to CDA. </t>
    </r>
    <r>
      <rPr>
        <rFont val="Arial"/>
        <color theme="1"/>
      </rPr>
      <t xml:space="preserve">Veeva retains control over the content of CDA and makes it available to the public at no charge. Accordingly, if you suggest any changes or modifications to CDA or its associated documentation, then you agree to waive all rights in such suggestions and agree that Veeva may use or incorporate such suggestions (in whole or in part) into CDA or associated documentation without any
further obligation to you.
</t>
    </r>
    <r>
      <rPr>
        <rFont val="Arial"/>
        <b/>
        <color theme="1"/>
      </rPr>
      <t xml:space="preserve">No other rights. </t>
    </r>
    <r>
      <rPr>
        <rFont val="Arial"/>
        <color theme="1"/>
      </rPr>
      <t xml:space="preserve">No other rights except those expressly stated in this promise shall be deemed granted, waived or received by implication, exhaustion, estoppel, or otherwise.
</t>
    </r>
  </si>
</sst>
</file>

<file path=xl/styles.xml><?xml version="1.0" encoding="utf-8"?>
<styleSheet xmlns="http://schemas.openxmlformats.org/spreadsheetml/2006/main" xmlns:x14ac="http://schemas.microsoft.com/office/spreadsheetml/2009/9/ac" xmlns:mc="http://schemas.openxmlformats.org/markup-compatibility/2006">
  <fonts count="13">
    <font>
      <sz val="10.0"/>
      <color rgb="FF000000"/>
      <name val="Arial"/>
      <scheme val="minor"/>
    </font>
    <font>
      <color rgb="FF666666"/>
      <name val="Arial"/>
      <scheme val="minor"/>
    </font>
    <font>
      <color theme="1"/>
      <name val="Arial"/>
      <scheme val="minor"/>
    </font>
    <font>
      <b/>
      <color theme="1"/>
      <name val="Arial"/>
      <scheme val="minor"/>
    </font>
    <font>
      <b/>
      <sz val="13.0"/>
      <color theme="1"/>
      <name val="Arial"/>
      <scheme val="minor"/>
    </font>
    <font>
      <color rgb="FF000000"/>
      <name val="Arial"/>
    </font>
    <font>
      <u/>
      <color rgb="FF0000FF"/>
    </font>
    <font>
      <color rgb="FF000000"/>
      <name val="Arial"/>
      <scheme val="minor"/>
    </font>
    <font>
      <u/>
      <color rgb="FF0000FF"/>
    </font>
    <font>
      <color theme="1"/>
      <name val="Arial"/>
    </font>
    <font>
      <u/>
      <color rgb="FF0000FF"/>
      <name val="Arial"/>
    </font>
    <font>
      <u/>
      <sz val="10.0"/>
      <color rgb="FF0000FF"/>
      <name val="Arial"/>
    </font>
    <font>
      <sz val="10.0"/>
      <color theme="1"/>
      <name val="Arial"/>
    </font>
  </fonts>
  <fills count="4">
    <fill>
      <patternFill patternType="none"/>
    </fill>
    <fill>
      <patternFill patternType="lightGray"/>
    </fill>
    <fill>
      <patternFill patternType="solid">
        <fgColor rgb="FFFFF2CC"/>
        <bgColor rgb="FFFFF2CC"/>
      </patternFill>
    </fill>
    <fill>
      <patternFill patternType="solid">
        <fgColor rgb="FFFFFFFF"/>
        <bgColor rgb="FFFFFFFF"/>
      </patternFill>
    </fill>
  </fills>
  <borders count="1">
    <border/>
  </borders>
  <cellStyleXfs count="1">
    <xf borderId="0" fillId="0" fontId="0" numFmtId="0" applyAlignment="1" applyFont="1"/>
  </cellStyleXfs>
  <cellXfs count="36">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Alignment="1" applyFont="1">
      <alignment readingOrder="0"/>
    </xf>
    <xf borderId="0" fillId="0" fontId="3" numFmtId="0" xfId="0" applyAlignment="1" applyFont="1">
      <alignment readingOrder="0"/>
    </xf>
    <xf borderId="0" fillId="0" fontId="3" numFmtId="0" xfId="0" applyFont="1"/>
    <xf borderId="0" fillId="0" fontId="4" numFmtId="0" xfId="0" applyAlignment="1" applyFont="1">
      <alignment readingOrder="0"/>
    </xf>
    <xf borderId="0" fillId="2" fontId="3" numFmtId="0" xfId="0" applyAlignment="1" applyFill="1" applyFont="1">
      <alignment readingOrder="0"/>
    </xf>
    <xf borderId="0" fillId="2" fontId="3" numFmtId="0" xfId="0" applyFont="1"/>
    <xf borderId="0" fillId="0" fontId="2" numFmtId="0" xfId="0" applyAlignment="1" applyFont="1">
      <alignment readingOrder="0" vertical="bottom"/>
    </xf>
    <xf borderId="0" fillId="0" fontId="2" numFmtId="0" xfId="0" applyFont="1"/>
    <xf borderId="0" fillId="0" fontId="5" numFmtId="0" xfId="0" applyAlignment="1" applyFont="1">
      <alignment readingOrder="0" shrinkToFit="0" vertical="bottom" wrapText="0"/>
    </xf>
    <xf borderId="0" fillId="0" fontId="3" numFmtId="0" xfId="0" applyAlignment="1" applyFont="1">
      <alignment vertical="bottom"/>
    </xf>
    <xf borderId="0" fillId="0" fontId="1" numFmtId="0" xfId="0" applyFont="1"/>
    <xf borderId="0" fillId="0" fontId="6" numFmtId="0" xfId="0" applyAlignment="1" applyFont="1">
      <alignment readingOrder="0"/>
    </xf>
    <xf borderId="0" fillId="0" fontId="7" numFmtId="0" xfId="0" applyAlignment="1" applyFont="1">
      <alignment readingOrder="0"/>
    </xf>
    <xf borderId="0" fillId="0" fontId="2" numFmtId="0" xfId="0" applyAlignment="1" applyFont="1">
      <alignment readingOrder="0"/>
    </xf>
    <xf borderId="0" fillId="0" fontId="8" numFmtId="0" xfId="0" applyAlignment="1" applyFont="1">
      <alignment readingOrder="0" vertical="bottom"/>
    </xf>
    <xf borderId="0" fillId="0" fontId="2" numFmtId="0" xfId="0" applyAlignment="1" applyFont="1">
      <alignment readingOrder="0" shrinkToFit="0" vertical="bottom" wrapText="1"/>
    </xf>
    <xf borderId="0" fillId="2" fontId="2" numFmtId="0" xfId="0" applyFont="1"/>
    <xf borderId="0" fillId="0" fontId="9" numFmtId="0" xfId="0" applyAlignment="1" applyFont="1">
      <alignment vertical="bottom"/>
    </xf>
    <xf borderId="0" fillId="0" fontId="9" numFmtId="0" xfId="0" applyAlignment="1" applyFont="1">
      <alignment readingOrder="0" vertical="bottom"/>
    </xf>
    <xf borderId="0" fillId="0" fontId="2" numFmtId="49" xfId="0" applyAlignment="1" applyFont="1" applyNumberFormat="1">
      <alignment readingOrder="0" vertical="bottom"/>
    </xf>
    <xf borderId="0" fillId="0" fontId="9" numFmtId="49" xfId="0" applyAlignment="1" applyFont="1" applyNumberFormat="1">
      <alignment vertical="bottom"/>
    </xf>
    <xf borderId="0" fillId="0" fontId="9" numFmtId="49" xfId="0" applyAlignment="1" applyFont="1" applyNumberFormat="1">
      <alignment readingOrder="0" vertical="bottom"/>
    </xf>
    <xf borderId="0" fillId="0" fontId="2" numFmtId="49" xfId="0" applyFont="1" applyNumberFormat="1"/>
    <xf borderId="0" fillId="0" fontId="10" numFmtId="0" xfId="0" applyAlignment="1" applyFont="1">
      <alignment readingOrder="0" shrinkToFit="0" vertical="bottom" wrapText="0"/>
    </xf>
    <xf borderId="0" fillId="0" fontId="9" numFmtId="0" xfId="0" applyAlignment="1" applyFont="1">
      <alignment vertical="bottom"/>
    </xf>
    <xf borderId="0" fillId="2" fontId="9" numFmtId="0" xfId="0" applyAlignment="1" applyFont="1">
      <alignment vertical="bottom"/>
    </xf>
    <xf borderId="0" fillId="0" fontId="9" numFmtId="0" xfId="0" applyAlignment="1" applyFont="1">
      <alignment shrinkToFit="0" vertical="bottom" wrapText="1"/>
    </xf>
    <xf borderId="0" fillId="3" fontId="9" numFmtId="0" xfId="0" applyAlignment="1" applyFill="1" applyFont="1">
      <alignment vertical="bottom"/>
    </xf>
    <xf borderId="0" fillId="0" fontId="11" numFmtId="0" xfId="0" applyAlignment="1" applyFont="1">
      <alignment readingOrder="0"/>
    </xf>
    <xf borderId="0" fillId="0" fontId="12" numFmtId="0" xfId="0" applyAlignment="1" applyFont="1">
      <alignment readingOrder="0"/>
    </xf>
    <xf borderId="0" fillId="0" fontId="12" numFmtId="0" xfId="0" applyFont="1"/>
    <xf borderId="0" fillId="0" fontId="2" numFmtId="0" xfId="0" applyAlignment="1" applyFont="1">
      <alignment horizontal="right" readingOrder="0" vertical="bottom"/>
    </xf>
    <xf borderId="0" fillId="0" fontId="4" numFmtId="0" xfId="0" applyAlignment="1" applyFont="1">
      <alignment readingOrder="0"/>
    </xf>
    <xf borderId="0" fillId="0" fontId="2" numFmtId="0" xfId="0" applyAlignment="1" applyFont="1">
      <alignment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hyperlink" Target="https://en.wikipedia.org/wiki/Diffusion_of_innovations" TargetMode="External"/><Relationship Id="rId2"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en.wikipedia.org/wiki/List_of_ISO_639_language_codes"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en.wikipedia.org/wiki/List_of_ISO_3166_country_codes" TargetMode="External"/><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en.wikipedia.org/wiki/ISO_3166-2" TargetMode="External"/><Relationship Id="rId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s://en.wikipedia.org/wiki/List_of_ISO_639_language_codes" TargetMode="External"/><Relationship Id="rId2"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2.63"/>
    <col customWidth="1" min="2" max="2" width="20.5"/>
    <col customWidth="1" min="3" max="10" width="23.88"/>
  </cols>
  <sheetData>
    <row r="1">
      <c r="A1" s="1" t="s">
        <v>0</v>
      </c>
      <c r="C1" s="2"/>
      <c r="D1" s="2"/>
      <c r="E1" s="3"/>
      <c r="F1" s="3"/>
      <c r="G1" s="4"/>
      <c r="H1" s="4"/>
      <c r="I1" s="4"/>
      <c r="J1" s="4"/>
      <c r="K1" s="4"/>
      <c r="L1" s="4"/>
      <c r="M1" s="4"/>
      <c r="N1" s="4"/>
      <c r="O1" s="4"/>
      <c r="P1" s="4"/>
      <c r="Q1" s="4"/>
      <c r="R1" s="4"/>
      <c r="S1" s="4"/>
      <c r="T1" s="4"/>
      <c r="U1" s="4"/>
      <c r="V1" s="4"/>
      <c r="W1" s="4"/>
      <c r="X1" s="4"/>
    </row>
    <row r="2">
      <c r="A2" s="5" t="s">
        <v>1</v>
      </c>
      <c r="C2" s="2"/>
      <c r="D2" s="2"/>
      <c r="E2" s="3"/>
      <c r="F2" s="3"/>
      <c r="G2" s="4"/>
      <c r="H2" s="4"/>
      <c r="I2" s="4"/>
      <c r="J2" s="4"/>
      <c r="K2" s="4"/>
      <c r="L2" s="4"/>
      <c r="M2" s="4"/>
      <c r="N2" s="4"/>
      <c r="O2" s="4"/>
      <c r="P2" s="4"/>
      <c r="Q2" s="4"/>
      <c r="R2" s="4"/>
      <c r="S2" s="4"/>
      <c r="T2" s="4"/>
      <c r="U2" s="4"/>
      <c r="V2" s="4"/>
      <c r="W2" s="4"/>
      <c r="X2" s="4"/>
    </row>
    <row r="3">
      <c r="A3" s="6" t="s">
        <v>2</v>
      </c>
      <c r="B3" s="6" t="s">
        <v>3</v>
      </c>
      <c r="C3" s="6" t="s">
        <v>4</v>
      </c>
      <c r="D3" s="6" t="s">
        <v>5</v>
      </c>
      <c r="E3" s="6" t="s">
        <v>6</v>
      </c>
      <c r="F3" s="6" t="s">
        <v>7</v>
      </c>
      <c r="G3" s="6" t="s">
        <v>8</v>
      </c>
      <c r="H3" s="6" t="s">
        <v>9</v>
      </c>
      <c r="I3" s="6" t="s">
        <v>10</v>
      </c>
      <c r="J3" s="6" t="s">
        <v>11</v>
      </c>
      <c r="K3" s="7"/>
      <c r="L3" s="7"/>
      <c r="M3" s="7"/>
      <c r="N3" s="7"/>
      <c r="O3" s="7"/>
      <c r="P3" s="7"/>
      <c r="Q3" s="7"/>
      <c r="R3" s="7"/>
      <c r="S3" s="7"/>
      <c r="T3" s="7"/>
      <c r="U3" s="7"/>
      <c r="V3" s="7"/>
      <c r="W3" s="7"/>
      <c r="X3" s="7"/>
    </row>
    <row r="4">
      <c r="A4" s="8" t="str">
        <f>IFERROR(__xludf.DUMMYFUNCTION("IMPORTRANGE(""https://docs.google.com/spreadsheets/d/1ZIx3-wJv76bPGccT5CZZ4g3Sy52i_iEnaWf6C0L_ST0/edit#gid=0"",""Entities!A4:A7"")"),"HCP")</f>
        <v>HCP</v>
      </c>
      <c r="B4" s="8" t="str">
        <f>IFERROR(__xludf.DUMMYFUNCTION("IMPORTRANGE(""https://docs.google.com/spreadsheets/d/1ZIx3-wJv76bPGccT5CZZ4g3Sy52i_iEnaWf6C0L_ST0/edit#gid=0"",""Entities!B4:B7"")"),"hcp")</f>
        <v>hcp</v>
      </c>
      <c r="C4" s="9" t="str">
        <f>IFERROR(__xludf.DUMMYFUNCTION("GOOGLETRANSLATE($A4,""en"",""de"")"),"HCP")</f>
        <v>HCP</v>
      </c>
      <c r="D4" s="9" t="str">
        <f>IFERROR(__xludf.DUMMYFUNCTION("GOOGLETRANSLATE($A4,""en"",""fr"")"),"Professionnel de santé")</f>
        <v>Professionnel de santé</v>
      </c>
      <c r="E4" s="9" t="str">
        <f>IFERROR(__xludf.DUMMYFUNCTION("GOOGLETRANSLATE($A4,""en"",""es"")"),"profesional sanitario")</f>
        <v>profesional sanitario</v>
      </c>
      <c r="F4" s="9" t="str">
        <f>IFERROR(__xludf.DUMMYFUNCTION("GOOGLETRANSLATE($A4,""en"",""it"")"),"Operatore sanitario")</f>
        <v>Operatore sanitario</v>
      </c>
      <c r="G4" s="10" t="s">
        <v>12</v>
      </c>
      <c r="H4" s="10" t="s">
        <v>13</v>
      </c>
      <c r="I4" s="10" t="s">
        <v>14</v>
      </c>
      <c r="J4" s="9" t="str">
        <f>IFERROR(__xludf.DUMMYFUNCTION("GOOGLETRANSLATE($A4,""en"",""pt-BR"")"),"Profissional de saúde")</f>
        <v>Profissional de saúde</v>
      </c>
      <c r="K4" s="11"/>
      <c r="L4" s="11"/>
      <c r="M4" s="11"/>
      <c r="N4" s="11"/>
      <c r="O4" s="11"/>
      <c r="P4" s="11"/>
      <c r="Q4" s="11"/>
      <c r="R4" s="11"/>
      <c r="S4" s="11"/>
      <c r="T4" s="11"/>
      <c r="U4" s="11"/>
      <c r="V4" s="11"/>
      <c r="W4" s="11"/>
      <c r="X4" s="11"/>
    </row>
    <row r="5">
      <c r="A5" s="9" t="str">
        <f>IFERROR(__xludf.DUMMYFUNCTION("""COMPUTED_VALUE"""),"Segment")</f>
        <v>Segment</v>
      </c>
      <c r="B5" s="8" t="str">
        <f>IFERROR(__xludf.DUMMYFUNCTION("""COMPUTED_VALUE"""),"segment")</f>
        <v>segment</v>
      </c>
      <c r="C5" s="9" t="str">
        <f>IFERROR(__xludf.DUMMYFUNCTION("GOOGLETRANSLATE($A5,""en"",""de"")"),"Segment")</f>
        <v>Segment</v>
      </c>
      <c r="D5" s="9" t="str">
        <f>IFERROR(__xludf.DUMMYFUNCTION("GOOGLETRANSLATE($A5,""en"",""fr"")"),"Segment")</f>
        <v>Segment</v>
      </c>
      <c r="E5" s="9" t="str">
        <f>IFERROR(__xludf.DUMMYFUNCTION("GOOGLETRANSLATE($A5,""en"",""es"")"),"Segmento")</f>
        <v>Segmento</v>
      </c>
      <c r="F5" s="9" t="str">
        <f>IFERROR(__xludf.DUMMYFUNCTION("GOOGLETRANSLATE($A5,""en"",""it"")"),"Segmento")</f>
        <v>Segmento</v>
      </c>
      <c r="G5" s="10" t="s">
        <v>15</v>
      </c>
      <c r="H5" s="10" t="s">
        <v>16</v>
      </c>
      <c r="I5" s="10" t="s">
        <v>17</v>
      </c>
      <c r="J5" s="9" t="str">
        <f>IFERROR(__xludf.DUMMYFUNCTION("GOOGLETRANSLATE($A5,""en"",""pt-BR"")"),"Segmento")</f>
        <v>Segmento</v>
      </c>
    </row>
    <row r="6">
      <c r="A6" s="9" t="str">
        <f>IFERROR(__xludf.DUMMYFUNCTION("""COMPUTED_VALUE"""),"HCP Segment")</f>
        <v>HCP Segment</v>
      </c>
      <c r="B6" s="8" t="str">
        <f>IFERROR(__xludf.DUMMYFUNCTION("""COMPUTED_VALUE"""),"hcp_segment")</f>
        <v>hcp_segment</v>
      </c>
      <c r="C6" s="9" t="str">
        <f>IFERROR(__xludf.DUMMYFUNCTION("GOOGLETRANSLATE($A6,""en"",""de"")"),"HCP-Segment")</f>
        <v>HCP-Segment</v>
      </c>
      <c r="D6" s="9" t="str">
        <f>IFERROR(__xludf.DUMMYFUNCTION("GOOGLETRANSLATE($A6,""en"",""fr"")"),"Segment PS")</f>
        <v>Segment PS</v>
      </c>
      <c r="E6" s="9" t="str">
        <f>IFERROR(__xludf.DUMMYFUNCTION("GOOGLETRANSLATE($A6,""en"",""es"")"),"Segmento HCP")</f>
        <v>Segmento HCP</v>
      </c>
      <c r="F6" s="9" t="str">
        <f>IFERROR(__xludf.DUMMYFUNCTION("GOOGLETRANSLATE($A6,""en"",""it"")"),"Segmento HCP")</f>
        <v>Segmento HCP</v>
      </c>
      <c r="G6" s="10" t="s">
        <v>18</v>
      </c>
      <c r="H6" s="10" t="s">
        <v>19</v>
      </c>
      <c r="I6" s="10" t="s">
        <v>20</v>
      </c>
      <c r="J6" s="9" t="str">
        <f>IFERROR(__xludf.DUMMYFUNCTION("GOOGLETRANSLATE($A6,""en"",""pt-BR"")"),"Segmento de profissionais de saúde")</f>
        <v>Segmento de profissionais de saúde</v>
      </c>
    </row>
    <row r="7">
      <c r="A7" s="9" t="str">
        <f>IFERROR(__xludf.DUMMYFUNCTION("""COMPUTED_VALUE"""),"Address")</f>
        <v>Address</v>
      </c>
      <c r="B7" s="9" t="str">
        <f>IFERROR(__xludf.DUMMYFUNCTION("""COMPUTED_VALUE"""),"address")</f>
        <v>address</v>
      </c>
      <c r="C7" s="9" t="str">
        <f>IFERROR(__xludf.DUMMYFUNCTION("GOOGLETRANSLATE($A7,""en"",""de"")"),"Adresse")</f>
        <v>Adresse</v>
      </c>
      <c r="D7" s="9" t="str">
        <f>IFERROR(__xludf.DUMMYFUNCTION("GOOGLETRANSLATE($A7,""en"",""fr"")"),"Adresse")</f>
        <v>Adresse</v>
      </c>
      <c r="E7" s="9" t="str">
        <f>IFERROR(__xludf.DUMMYFUNCTION("GOOGLETRANSLATE($A7,""en"",""es"")"),"DIRECCIÓN")</f>
        <v>DIRECCIÓN</v>
      </c>
      <c r="F7" s="9" t="str">
        <f>IFERROR(__xludf.DUMMYFUNCTION("GOOGLETRANSLATE($A7,""en"",""it"")"),"Indirizzo")</f>
        <v>Indirizzo</v>
      </c>
      <c r="G7" s="10" t="s">
        <v>21</v>
      </c>
      <c r="H7" s="10" t="s">
        <v>22</v>
      </c>
      <c r="I7" s="10" t="s">
        <v>23</v>
      </c>
      <c r="J7" s="9" t="str">
        <f>IFERROR(__xludf.DUMMYFUNCTION("GOOGLETRANSLATE($A7,""en"",""pt-BR"")"),"Endereço")</f>
        <v>Endereço</v>
      </c>
    </row>
  </sheetData>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4.75"/>
    <col customWidth="1" min="2" max="2" width="10.75"/>
    <col customWidth="1" min="3" max="3" width="16.88"/>
    <col customWidth="1" min="4" max="11" width="23.88"/>
  </cols>
  <sheetData>
    <row r="1">
      <c r="A1" s="12" t="str">
        <f>Entities!A1</f>
        <v>CDA.LS.HCP Kernel Translations, Version 24.8, August 30, 2024</v>
      </c>
      <c r="B1" s="3"/>
      <c r="C1" s="3"/>
      <c r="D1" s="2"/>
      <c r="E1" s="2"/>
      <c r="F1" s="3"/>
      <c r="G1" s="3"/>
      <c r="H1" s="4"/>
      <c r="I1" s="4"/>
      <c r="J1" s="4"/>
      <c r="K1" s="4"/>
      <c r="L1" s="4"/>
      <c r="M1" s="4"/>
      <c r="N1" s="4"/>
      <c r="O1" s="4"/>
      <c r="P1" s="4"/>
      <c r="Q1" s="4"/>
      <c r="R1" s="4"/>
      <c r="S1" s="4"/>
      <c r="T1" s="4"/>
      <c r="U1" s="4"/>
      <c r="V1" s="4"/>
      <c r="W1" s="4"/>
      <c r="X1" s="4"/>
      <c r="Y1" s="4"/>
    </row>
    <row r="2">
      <c r="A2" s="5" t="s">
        <v>54</v>
      </c>
      <c r="B2" s="3"/>
      <c r="C2" s="3"/>
      <c r="D2" s="2"/>
      <c r="E2" s="2"/>
      <c r="F2" s="3"/>
      <c r="G2" s="3"/>
      <c r="H2" s="4"/>
      <c r="I2" s="4"/>
      <c r="J2" s="4"/>
      <c r="K2" s="4"/>
      <c r="L2" s="4"/>
      <c r="M2" s="4"/>
      <c r="N2" s="4"/>
      <c r="O2" s="4"/>
      <c r="P2" s="4"/>
      <c r="Q2" s="4"/>
      <c r="R2" s="4"/>
      <c r="S2" s="4"/>
      <c r="T2" s="4"/>
      <c r="U2" s="4"/>
      <c r="V2" s="4"/>
      <c r="W2" s="4"/>
      <c r="X2" s="4"/>
      <c r="Y2" s="4"/>
    </row>
    <row r="3">
      <c r="A3" s="6" t="s">
        <v>26</v>
      </c>
      <c r="B3" s="6" t="s">
        <v>3</v>
      </c>
      <c r="C3" s="6" t="s">
        <v>4</v>
      </c>
      <c r="D3" s="6" t="s">
        <v>5</v>
      </c>
      <c r="E3" s="6" t="s">
        <v>6</v>
      </c>
      <c r="F3" s="6" t="s">
        <v>7</v>
      </c>
      <c r="G3" s="6" t="s">
        <v>8</v>
      </c>
      <c r="H3" s="6" t="s">
        <v>9</v>
      </c>
      <c r="I3" s="6" t="s">
        <v>10</v>
      </c>
      <c r="J3" s="6" t="s">
        <v>11</v>
      </c>
      <c r="K3" s="6"/>
      <c r="L3" s="6"/>
      <c r="M3" s="6"/>
      <c r="N3" s="6"/>
      <c r="O3" s="6"/>
      <c r="P3" s="6"/>
      <c r="Q3" s="6"/>
      <c r="R3" s="6"/>
      <c r="S3" s="6"/>
      <c r="T3" s="6"/>
      <c r="U3" s="6"/>
      <c r="V3" s="6"/>
      <c r="W3" s="6"/>
      <c r="X3" s="18"/>
      <c r="Y3" s="18"/>
      <c r="Z3" s="18"/>
    </row>
    <row r="4">
      <c r="A4" s="8" t="s">
        <v>55</v>
      </c>
      <c r="B4" s="8" t="s">
        <v>56</v>
      </c>
      <c r="C4" s="9" t="str">
        <f>IFERROR(__xludf.DUMMYFUNCTION("GOOGLETRANSLATE($A4,""en"",""de"")"),"Ja")</f>
        <v>Ja</v>
      </c>
      <c r="D4" s="9" t="str">
        <f>IFERROR(__xludf.DUMMYFUNCTION("GOOGLETRANSLATE($A4,""en"",""fr"")"),"Oui")</f>
        <v>Oui</v>
      </c>
      <c r="E4" s="9" t="str">
        <f>IFERROR(__xludf.DUMMYFUNCTION("GOOGLETRANSLATE($A4,""en"",""es"")"),"Sí")</f>
        <v>Sí</v>
      </c>
      <c r="F4" s="9" t="str">
        <f>IFERROR(__xludf.DUMMYFUNCTION("GOOGLETRANSLATE($A4,""en"",""it"")"),"SÌ")</f>
        <v>SÌ</v>
      </c>
      <c r="G4" s="9" t="str">
        <f>IFERROR(__xludf.DUMMYFUNCTION("GOOGLETRANSLATE($A4,""en"",""zh-cn"")"),"是的")</f>
        <v>是的</v>
      </c>
      <c r="H4" s="9" t="str">
        <f>IFERROR(__xludf.DUMMYFUNCTION("GOOGLETRANSLATE($A4,""en"",""ja"")"),"はい")</f>
        <v>はい</v>
      </c>
      <c r="I4" s="9" t="str">
        <f>IFERROR(__xludf.DUMMYFUNCTION("GOOGLETRANSLATE($A4,""en"",""ko"")"),"예")</f>
        <v>예</v>
      </c>
      <c r="J4" s="9" t="str">
        <f>IFERROR(__xludf.DUMMYFUNCTION("GOOGLETRANSLATE($A4,""en"",""pt-BR"")"),"Sim")</f>
        <v>Sim</v>
      </c>
    </row>
    <row r="5">
      <c r="A5" s="2" t="s">
        <v>57</v>
      </c>
      <c r="B5" s="2" t="s">
        <v>58</v>
      </c>
      <c r="C5" s="9" t="str">
        <f>IFERROR(__xludf.DUMMYFUNCTION("GOOGLETRANSLATE($A5,""en"",""de"")"),"NEIN")</f>
        <v>NEIN</v>
      </c>
      <c r="D5" s="9" t="str">
        <f>IFERROR(__xludf.DUMMYFUNCTION("GOOGLETRANSLATE($A5,""en"",""fr"")"),"Non")</f>
        <v>Non</v>
      </c>
      <c r="E5" s="9" t="str">
        <f>IFERROR(__xludf.DUMMYFUNCTION("GOOGLETRANSLATE($A5,""en"",""es"")"),"No")</f>
        <v>No</v>
      </c>
      <c r="F5" s="9" t="str">
        <f>IFERROR(__xludf.DUMMYFUNCTION("GOOGLETRANSLATE($A5,""en"",""it"")"),"NO")</f>
        <v>NO</v>
      </c>
      <c r="G5" s="9" t="str">
        <f>IFERROR(__xludf.DUMMYFUNCTION("GOOGLETRANSLATE($A5,""en"",""zh-cn"")"),"不")</f>
        <v>不</v>
      </c>
      <c r="H5" s="9" t="str">
        <f>IFERROR(__xludf.DUMMYFUNCTION("GOOGLETRANSLATE($A5,""en"",""ja"")"),"いいえ")</f>
        <v>いいえ</v>
      </c>
      <c r="I5" s="9" t="str">
        <f>IFERROR(__xludf.DUMMYFUNCTION("GOOGLETRANSLATE($A5,""en"",""ko"")"),"아니요")</f>
        <v>아니요</v>
      </c>
      <c r="J5" s="9" t="str">
        <f>IFERROR(__xludf.DUMMYFUNCTION("GOOGLETRANSLATE($A5,""en"",""pt-BR"")"),"Não")</f>
        <v>Não</v>
      </c>
    </row>
    <row r="7">
      <c r="A7" s="2"/>
      <c r="B7" s="2"/>
      <c r="C7" s="2"/>
    </row>
    <row r="8">
      <c r="A8" s="2"/>
      <c r="B8" s="2"/>
      <c r="C8" s="2"/>
    </row>
    <row r="9">
      <c r="A9" s="2"/>
      <c r="B9" s="2"/>
      <c r="C9" s="2"/>
    </row>
    <row r="10">
      <c r="A10" s="2"/>
      <c r="B10" s="2"/>
      <c r="C10" s="2"/>
    </row>
    <row r="11">
      <c r="A11" s="2"/>
      <c r="B11" s="2"/>
      <c r="C11" s="2"/>
    </row>
    <row r="12">
      <c r="A12" s="2"/>
      <c r="B12" s="2"/>
      <c r="C12" s="2"/>
    </row>
    <row r="13">
      <c r="A13" s="2"/>
      <c r="B13" s="2"/>
      <c r="C13" s="2"/>
    </row>
    <row r="14">
      <c r="A14" s="2"/>
      <c r="B14" s="2"/>
      <c r="C14" s="2"/>
    </row>
    <row r="15">
      <c r="A15" s="2"/>
      <c r="B15" s="2"/>
      <c r="C15" s="2"/>
    </row>
    <row r="16">
      <c r="A16" s="2"/>
      <c r="B16" s="2"/>
      <c r="C16" s="2"/>
    </row>
    <row r="17">
      <c r="A17" s="2"/>
      <c r="B17" s="2"/>
      <c r="C17" s="2"/>
    </row>
    <row r="18">
      <c r="A18" s="2"/>
      <c r="B18" s="2"/>
      <c r="C18" s="2"/>
    </row>
    <row r="19">
      <c r="A19" s="2"/>
      <c r="B19" s="2"/>
      <c r="C19" s="2"/>
    </row>
    <row r="20">
      <c r="A20" s="2"/>
      <c r="B20" s="2"/>
      <c r="C20" s="2"/>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7.5"/>
    <col customWidth="1" min="2" max="2" width="9.88"/>
    <col customWidth="1" min="3" max="3" width="22.13"/>
    <col customWidth="1" min="4" max="11" width="23.88"/>
  </cols>
  <sheetData>
    <row r="1">
      <c r="A1" s="12" t="str">
        <f>Entities!A1</f>
        <v>CDA.LS.HCP Kernel Translations, Version 24.8, August 30, 2024</v>
      </c>
      <c r="B1" s="3"/>
      <c r="C1" s="3"/>
      <c r="D1" s="2"/>
      <c r="E1" s="2"/>
      <c r="F1" s="3"/>
      <c r="G1" s="3"/>
      <c r="H1" s="4"/>
      <c r="I1" s="4"/>
      <c r="J1" s="4"/>
      <c r="K1" s="4"/>
      <c r="L1" s="4"/>
      <c r="M1" s="4"/>
      <c r="N1" s="4"/>
      <c r="O1" s="4"/>
      <c r="P1" s="4"/>
      <c r="Q1" s="4"/>
      <c r="R1" s="4"/>
      <c r="S1" s="4"/>
      <c r="T1" s="4"/>
      <c r="U1" s="4"/>
      <c r="V1" s="4"/>
      <c r="W1" s="4"/>
      <c r="X1" s="4"/>
      <c r="Y1" s="4"/>
    </row>
    <row r="2">
      <c r="A2" s="5" t="s">
        <v>59</v>
      </c>
      <c r="B2" s="3"/>
      <c r="C2" s="3"/>
      <c r="D2" s="2"/>
      <c r="E2" s="2"/>
      <c r="F2" s="3"/>
      <c r="G2" s="3"/>
      <c r="H2" s="4"/>
      <c r="I2" s="4"/>
      <c r="J2" s="4"/>
      <c r="K2" s="4"/>
      <c r="L2" s="4"/>
      <c r="M2" s="4"/>
      <c r="N2" s="4"/>
      <c r="O2" s="4"/>
      <c r="P2" s="4"/>
      <c r="Q2" s="4"/>
      <c r="R2" s="4"/>
      <c r="S2" s="4"/>
      <c r="T2" s="4"/>
      <c r="U2" s="4"/>
      <c r="V2" s="4"/>
      <c r="W2" s="4"/>
      <c r="X2" s="4"/>
      <c r="Y2" s="4"/>
    </row>
    <row r="3">
      <c r="A3" s="6" t="s">
        <v>26</v>
      </c>
      <c r="B3" s="6" t="s">
        <v>3</v>
      </c>
      <c r="C3" s="6" t="s">
        <v>4</v>
      </c>
      <c r="D3" s="6" t="s">
        <v>5</v>
      </c>
      <c r="E3" s="6" t="s">
        <v>6</v>
      </c>
      <c r="F3" s="6" t="s">
        <v>7</v>
      </c>
      <c r="G3" s="6" t="s">
        <v>8</v>
      </c>
      <c r="H3" s="6" t="s">
        <v>9</v>
      </c>
      <c r="I3" s="6" t="s">
        <v>10</v>
      </c>
      <c r="J3" s="6" t="s">
        <v>11</v>
      </c>
      <c r="K3" s="6"/>
      <c r="L3" s="6"/>
      <c r="M3" s="6"/>
      <c r="N3" s="6"/>
      <c r="O3" s="6"/>
      <c r="P3" s="6"/>
      <c r="Q3" s="6"/>
      <c r="R3" s="6"/>
      <c r="S3" s="6"/>
      <c r="T3" s="6"/>
      <c r="U3" s="6"/>
      <c r="V3" s="6"/>
      <c r="W3" s="6"/>
      <c r="X3" s="18"/>
      <c r="Y3" s="18"/>
      <c r="Z3" s="18"/>
    </row>
    <row r="4">
      <c r="A4" s="8" t="str">
        <f>IFERROR(__xludf.DUMMYFUNCTION("IMPORTRANGE(""https://docs.google.com/spreadsheets/d/1ZIx3-wJv76bPGccT5CZZ4g3Sy52i_iEnaWf6C0L_ST0/edit#gid=832844626"",""Medical Degree Items!A4:A"")"),"MD")</f>
        <v>MD</v>
      </c>
      <c r="B4" s="8" t="str">
        <f>IFERROR(__xludf.DUMMYFUNCTION("IMPORTRANGE(""https://docs.google.com/spreadsheets/d/1ZIx3-wJv76bPGccT5CZZ4g3Sy52i_iEnaWf6C0L_ST0/edit#gid=832844626"",""Medical Degree Items!B4:B"")"),"md")</f>
        <v>md</v>
      </c>
      <c r="C4" s="9" t="str">
        <f>$A4</f>
        <v>MD</v>
      </c>
      <c r="D4" s="2" t="s">
        <v>60</v>
      </c>
      <c r="E4" s="2" t="s">
        <v>60</v>
      </c>
      <c r="F4" s="9" t="str">
        <f>IFERROR(__xludf.DUMMYFUNCTION("GOOGLETRANSLATE($A4,""en"",""it"")"),"MD")</f>
        <v>MD</v>
      </c>
      <c r="G4" s="9" t="str">
        <f>IFERROR(__xludf.DUMMYFUNCTION("GOOGLETRANSLATE($A4,""en"",""zh-cn"")"),"医学博士")</f>
        <v>医学博士</v>
      </c>
      <c r="H4" s="9" t="str">
        <f>IFERROR(__xludf.DUMMYFUNCTION("GOOGLETRANSLATE($A4,""en"",""ja"")"),"医学博士")</f>
        <v>医学博士</v>
      </c>
      <c r="I4" s="9" t="str">
        <f>IFERROR(__xludf.DUMMYFUNCTION("GOOGLETRANSLATE($A4,""en"",""ko"")"),"MD")</f>
        <v>MD</v>
      </c>
      <c r="J4" s="9" t="str">
        <f>IFERROR(__xludf.DUMMYFUNCTION("GOOGLETRANSLATE($A4,""en"",""pt-BR"")"),"Médico")</f>
        <v>Médico</v>
      </c>
    </row>
    <row r="5">
      <c r="A5" s="19" t="str">
        <f>IFERROR(__xludf.DUMMYFUNCTION("""COMPUTED_VALUE"""),"DO")</f>
        <v>DO</v>
      </c>
      <c r="B5" s="19" t="str">
        <f>IFERROR(__xludf.DUMMYFUNCTION("""COMPUTED_VALUE"""),"do")</f>
        <v>do</v>
      </c>
      <c r="C5" s="2" t="s">
        <v>61</v>
      </c>
      <c r="D5" s="2" t="s">
        <v>62</v>
      </c>
      <c r="E5" s="2" t="s">
        <v>62</v>
      </c>
      <c r="F5" s="2" t="s">
        <v>62</v>
      </c>
      <c r="G5" s="9" t="str">
        <f>IFERROR(__xludf.DUMMYFUNCTION("GOOGLETRANSLATE($A5,""en"",""zh-cn"")"),"做")</f>
        <v>做</v>
      </c>
      <c r="H5" s="9" t="str">
        <f>IFERROR(__xludf.DUMMYFUNCTION("GOOGLETRANSLATE($A5,""en"",""ja"")"),"する")</f>
        <v>する</v>
      </c>
      <c r="I5" s="9" t="str">
        <f>IFERROR(__xludf.DUMMYFUNCTION("GOOGLETRANSLATE($A5,""en"",""ko"")"),"~하다")</f>
        <v>~하다</v>
      </c>
      <c r="J5" s="2" t="s">
        <v>62</v>
      </c>
    </row>
    <row r="6">
      <c r="A6" s="19" t="str">
        <f>IFERROR(__xludf.DUMMYFUNCTION("""COMPUTED_VALUE"""),"Nurse")</f>
        <v>Nurse</v>
      </c>
      <c r="B6" s="19" t="str">
        <f>IFERROR(__xludf.DUMMYFUNCTION("""COMPUTED_VALUE"""),"nu")</f>
        <v>nu</v>
      </c>
      <c r="C6" s="9" t="str">
        <f>IFERROR(__xludf.DUMMYFUNCTION("GOOGLETRANSLATE($A6,""en"",""de"")"),"Krankenschwester")</f>
        <v>Krankenschwester</v>
      </c>
      <c r="D6" s="9" t="str">
        <f>IFERROR(__xludf.DUMMYFUNCTION("GOOGLETRANSLATE($A6,""en"",""fr"")"),"Infirmière")</f>
        <v>Infirmière</v>
      </c>
      <c r="E6" s="9" t="str">
        <f>IFERROR(__xludf.DUMMYFUNCTION("GOOGLETRANSLATE($A6,""en"",""es"")"),"Enfermero")</f>
        <v>Enfermero</v>
      </c>
      <c r="F6" s="9" t="str">
        <f>IFERROR(__xludf.DUMMYFUNCTION("GOOGLETRANSLATE($A6,""en"",""it"")"),"Infermiera")</f>
        <v>Infermiera</v>
      </c>
      <c r="G6" s="9" t="str">
        <f>IFERROR(__xludf.DUMMYFUNCTION("GOOGLETRANSLATE($A6,""en"",""zh-cn"")"),"护士")</f>
        <v>护士</v>
      </c>
      <c r="H6" s="9" t="str">
        <f>IFERROR(__xludf.DUMMYFUNCTION("GOOGLETRANSLATE($A6,""en"",""ja"")"),"看護師")</f>
        <v>看護師</v>
      </c>
      <c r="I6" s="9" t="str">
        <f>IFERROR(__xludf.DUMMYFUNCTION("GOOGLETRANSLATE($A6,""en"",""ko"")"),"간호사")</f>
        <v>간호사</v>
      </c>
      <c r="J6" s="9" t="str">
        <f>IFERROR(__xludf.DUMMYFUNCTION("GOOGLETRANSLATE($A6,""en"",""pt-BR"")"),"Enfermeira")</f>
        <v>Enfermeira</v>
      </c>
    </row>
    <row r="7">
      <c r="A7" s="19" t="str">
        <f>IFERROR(__xludf.DUMMYFUNCTION("""COMPUTED_VALUE"""),"Advanced Practice Nurse")</f>
        <v>Advanced Practice Nurse</v>
      </c>
      <c r="B7" s="19" t="str">
        <f>IFERROR(__xludf.DUMMYFUNCTION("""COMPUTED_VALUE"""),"nuap")</f>
        <v>nuap</v>
      </c>
      <c r="C7" s="9" t="str">
        <f>IFERROR(__xludf.DUMMYFUNCTION("GOOGLETRANSLATE($A7,""en"",""de"")"),"Fortgeschrittene Praxiskrankenschwester")</f>
        <v>Fortgeschrittene Praxiskrankenschwester</v>
      </c>
      <c r="D7" s="9" t="str">
        <f>IFERROR(__xludf.DUMMYFUNCTION("GOOGLETRANSLATE($A7,""en"",""fr"")"),"Infirmière de pratique avancée")</f>
        <v>Infirmière de pratique avancée</v>
      </c>
      <c r="E7" s="9" t="str">
        <f>IFERROR(__xludf.DUMMYFUNCTION("GOOGLETRANSLATE($A7,""en"",""es"")"),"Enfermera de práctica avanzada")</f>
        <v>Enfermera de práctica avanzada</v>
      </c>
      <c r="F7" s="9" t="str">
        <f>IFERROR(__xludf.DUMMYFUNCTION("GOOGLETRANSLATE($A7,""en"",""it"")"),"Infermiera di pratica avanzata")</f>
        <v>Infermiera di pratica avanzata</v>
      </c>
      <c r="G7" s="9" t="str">
        <f>IFERROR(__xludf.DUMMYFUNCTION("GOOGLETRANSLATE($A7,""en"",""zh-cn"")"),"高级实践护士")</f>
        <v>高级实践护士</v>
      </c>
      <c r="H7" s="9" t="str">
        <f>IFERROR(__xludf.DUMMYFUNCTION("GOOGLETRANSLATE($A7,""en"",""ja"")"),"高度実践看護師")</f>
        <v>高度実践看護師</v>
      </c>
      <c r="I7" s="9" t="str">
        <f>IFERROR(__xludf.DUMMYFUNCTION("GOOGLETRANSLATE($A7,""en"",""ko"")"),"고급 실습 간호사")</f>
        <v>고급 실습 간호사</v>
      </c>
      <c r="J7" s="9" t="str">
        <f>IFERROR(__xludf.DUMMYFUNCTION("GOOGLETRANSLATE($A7,""en"",""pt-BR"")"),"Enfermeira de Prática Avançada")</f>
        <v>Enfermeira de Prática Avançada</v>
      </c>
    </row>
    <row r="8">
      <c r="A8" s="20" t="str">
        <f>IFERROR(__xludf.DUMMYFUNCTION("""COMPUTED_VALUE"""),"Physician Assistant")</f>
        <v>Physician Assistant</v>
      </c>
      <c r="B8" s="19" t="str">
        <f>IFERROR(__xludf.DUMMYFUNCTION("""COMPUTED_VALUE"""),"pa")</f>
        <v>pa</v>
      </c>
      <c r="C8" s="9" t="str">
        <f>IFERROR(__xludf.DUMMYFUNCTION("GOOGLETRANSLATE($A8,""en"",""de"")"),"Arzthelferin")</f>
        <v>Arzthelferin</v>
      </c>
      <c r="D8" s="9" t="str">
        <f>IFERROR(__xludf.DUMMYFUNCTION("GOOGLETRANSLATE($A8,""en"",""fr"")"),"Assistant-médecin")</f>
        <v>Assistant-médecin</v>
      </c>
      <c r="E8" s="9" t="str">
        <f>IFERROR(__xludf.DUMMYFUNCTION("GOOGLETRANSLATE($A8,""en"",""es"")"),"Asistente médico")</f>
        <v>Asistente médico</v>
      </c>
      <c r="F8" s="9" t="str">
        <f>IFERROR(__xludf.DUMMYFUNCTION("GOOGLETRANSLATE($A8,""en"",""it"")"),"Assistente medico")</f>
        <v>Assistente medico</v>
      </c>
      <c r="G8" s="9" t="str">
        <f>IFERROR(__xludf.DUMMYFUNCTION("GOOGLETRANSLATE($A8,""en"",""zh-cn"")"),"医师助理")</f>
        <v>医师助理</v>
      </c>
      <c r="H8" s="9" t="str">
        <f>IFERROR(__xludf.DUMMYFUNCTION("GOOGLETRANSLATE($A8,""en"",""ja"")"),"医師助手")</f>
        <v>医師助手</v>
      </c>
      <c r="I8" s="9" t="str">
        <f>IFERROR(__xludf.DUMMYFUNCTION("GOOGLETRANSLATE($A8,""en"",""ko"")"),"의사 보조")</f>
        <v>의사 보조</v>
      </c>
      <c r="J8" s="9" t="str">
        <f>IFERROR(__xludf.DUMMYFUNCTION("GOOGLETRANSLATE($A8,""en"",""pt-BR"")"),"Médico Assistente")</f>
        <v>Médico Assistente</v>
      </c>
    </row>
    <row r="9">
      <c r="A9" s="19" t="str">
        <f>IFERROR(__xludf.DUMMYFUNCTION("""COMPUTED_VALUE"""),"PharmD")</f>
        <v>PharmD</v>
      </c>
      <c r="B9" s="19" t="str">
        <f>IFERROR(__xludf.DUMMYFUNCTION("""COMPUTED_VALUE"""),"phmd")</f>
        <v>phmd</v>
      </c>
      <c r="C9" s="9" t="str">
        <f>IFERROR(__xludf.DUMMYFUNCTION("GOOGLETRANSLATE($A9,""en"",""de"")"),"PharmD")</f>
        <v>PharmD</v>
      </c>
      <c r="D9" s="9" t="str">
        <f>IFERROR(__xludf.DUMMYFUNCTION("GOOGLETRANSLATE($A9,""en"",""fr"")"),"Docteur en pharmacie")</f>
        <v>Docteur en pharmacie</v>
      </c>
      <c r="E9" s="9" t="str">
        <f>IFERROR(__xludf.DUMMYFUNCTION("GOOGLETRANSLATE($A9,""en"",""es"")"),"Farmacéutica")</f>
        <v>Farmacéutica</v>
      </c>
      <c r="F9" s="9" t="str">
        <f>IFERROR(__xludf.DUMMYFUNCTION("GOOGLETRANSLATE($A9,""en"",""it"")"),"PharmD")</f>
        <v>PharmD</v>
      </c>
      <c r="G9" s="9" t="str">
        <f>IFERROR(__xludf.DUMMYFUNCTION("GOOGLETRANSLATE($A9,""en"",""zh-cn"")"),"药学博士")</f>
        <v>药学博士</v>
      </c>
      <c r="H9" s="9" t="str">
        <f>IFERROR(__xludf.DUMMYFUNCTION("GOOGLETRANSLATE($A9,""en"",""ja"")"),"薬学博士")</f>
        <v>薬学博士</v>
      </c>
      <c r="I9" s="9" t="str">
        <f>IFERROR(__xludf.DUMMYFUNCTION("GOOGLETRANSLATE($A9,""en"",""ko"")"),"PharmD")</f>
        <v>PharmD</v>
      </c>
      <c r="J9" s="9" t="str">
        <f>IFERROR(__xludf.DUMMYFUNCTION("GOOGLETRANSLATE($A9,""en"",""pt-BR"")"),"Farmácia")</f>
        <v>Farmácia</v>
      </c>
    </row>
    <row r="10">
      <c r="A10" s="19" t="str">
        <f>IFERROR(__xludf.DUMMYFUNCTION("""COMPUTED_VALUE"""),"DMD")</f>
        <v>DMD</v>
      </c>
      <c r="B10" s="19" t="str">
        <f>IFERROR(__xludf.DUMMYFUNCTION("""COMPUTED_VALUE"""),"dmd")</f>
        <v>dmd</v>
      </c>
      <c r="C10" s="9" t="str">
        <f>IFERROR(__xludf.DUMMYFUNCTION("GOOGLETRANSLATE($A10,""en"",""de"")"),"DMD")</f>
        <v>DMD</v>
      </c>
      <c r="D10" s="9" t="str">
        <f>IFERROR(__xludf.DUMMYFUNCTION("GOOGLETRANSLATE($A10,""en"",""fr"")"),"DMD")</f>
        <v>DMD</v>
      </c>
      <c r="E10" s="9" t="str">
        <f>IFERROR(__xludf.DUMMYFUNCTION("GOOGLETRANSLATE($A10,""en"",""es"")"),"DMD")</f>
        <v>DMD</v>
      </c>
      <c r="F10" s="9" t="str">
        <f>IFERROR(__xludf.DUMMYFUNCTION("GOOGLETRANSLATE($A10,""en"",""it"")"),"DMD")</f>
        <v>DMD</v>
      </c>
      <c r="G10" s="9" t="str">
        <f>IFERROR(__xludf.DUMMYFUNCTION("GOOGLETRANSLATE($A10,""en"",""zh-cn"")"),"DMD")</f>
        <v>DMD</v>
      </c>
      <c r="H10" s="9" t="str">
        <f>IFERROR(__xludf.DUMMYFUNCTION("GOOGLETRANSLATE($A10,""en"",""ja"")"),"DMD")</f>
        <v>DMD</v>
      </c>
      <c r="I10" s="9" t="str">
        <f>IFERROR(__xludf.DUMMYFUNCTION("GOOGLETRANSLATE($A10,""en"",""ko"")"),"DMD")</f>
        <v>DMD</v>
      </c>
      <c r="J10" s="9" t="str">
        <f>IFERROR(__xludf.DUMMYFUNCTION("GOOGLETRANSLATE($A10,""en"",""pt-BR"")"),"DMD")</f>
        <v>DMD</v>
      </c>
    </row>
    <row r="11">
      <c r="A11" s="19" t="str">
        <f>IFERROR(__xludf.DUMMYFUNCTION("""COMPUTED_VALUE"""),"DVM")</f>
        <v>DVM</v>
      </c>
      <c r="B11" s="19" t="str">
        <f>IFERROR(__xludf.DUMMYFUNCTION("""COMPUTED_VALUE"""),"dvm")</f>
        <v>dvm</v>
      </c>
      <c r="C11" s="9" t="str">
        <f>IFERROR(__xludf.DUMMYFUNCTION("GOOGLETRANSLATE($A11,""en"",""de"")"),"DVM")</f>
        <v>DVM</v>
      </c>
      <c r="D11" s="9" t="str">
        <f>IFERROR(__xludf.DUMMYFUNCTION("GOOGLETRANSLATE($A11,""en"",""fr"")"),"DMV")</f>
        <v>DMV</v>
      </c>
      <c r="E11" s="9" t="str">
        <f>IFERROR(__xludf.DUMMYFUNCTION("GOOGLETRANSLATE($A11,""en"",""es"")"),"DVM")</f>
        <v>DVM</v>
      </c>
      <c r="F11" s="9" t="str">
        <f>IFERROR(__xludf.DUMMYFUNCTION("GOOGLETRANSLATE($A11,""en"",""it"")"),"DVM")</f>
        <v>DVM</v>
      </c>
      <c r="G11" s="9" t="str">
        <f>IFERROR(__xludf.DUMMYFUNCTION("GOOGLETRANSLATE($A11,""en"",""zh-cn"")"),"数字虚拟机")</f>
        <v>数字虚拟机</v>
      </c>
      <c r="H11" s="9" t="str">
        <f>IFERROR(__xludf.DUMMYFUNCTION("GOOGLETRANSLATE($A11,""en"",""ja"")"),"DVM")</f>
        <v>DVM</v>
      </c>
      <c r="I11" s="9" t="str">
        <f>IFERROR(__xludf.DUMMYFUNCTION("GOOGLETRANSLATE($A11,""en"",""ko"")"),"DVM")</f>
        <v>DVM</v>
      </c>
      <c r="J11" s="9" t="str">
        <f>IFERROR(__xludf.DUMMYFUNCTION("GOOGLETRANSLATE($A11,""en"",""pt-BR"")"),"DVM")</f>
        <v>DVM</v>
      </c>
    </row>
    <row r="12">
      <c r="A12" s="19" t="str">
        <f>IFERROR(__xludf.DUMMYFUNCTION("""COMPUTED_VALUE"""),"PhD")</f>
        <v>PhD</v>
      </c>
      <c r="B12" s="19" t="str">
        <f>IFERROR(__xludf.DUMMYFUNCTION("""COMPUTED_VALUE"""),"phd")</f>
        <v>phd</v>
      </c>
      <c r="C12" s="9" t="str">
        <f>IFERROR(__xludf.DUMMYFUNCTION("GOOGLETRANSLATE($A12,""en"",""de"")"),"Doktortitel")</f>
        <v>Doktortitel</v>
      </c>
      <c r="D12" s="9" t="str">
        <f>IFERROR(__xludf.DUMMYFUNCTION("GOOGLETRANSLATE($A12,""en"",""fr"")"),"Doctorat")</f>
        <v>Doctorat</v>
      </c>
      <c r="E12" s="9" t="str">
        <f>IFERROR(__xludf.DUMMYFUNCTION("GOOGLETRANSLATE($A12,""en"",""es"")"),"Doctor en Filosofía")</f>
        <v>Doctor en Filosofía</v>
      </c>
      <c r="F12" s="9" t="str">
        <f>IFERROR(__xludf.DUMMYFUNCTION("GOOGLETRANSLATE($A12,""en"",""it"")"),"Dottorato di ricerca")</f>
        <v>Dottorato di ricerca</v>
      </c>
      <c r="G12" s="9" t="str">
        <f>IFERROR(__xludf.DUMMYFUNCTION("GOOGLETRANSLATE($A12,""en"",""zh-cn"")"),"博士")</f>
        <v>博士</v>
      </c>
      <c r="H12" s="9" t="str">
        <f>IFERROR(__xludf.DUMMYFUNCTION("GOOGLETRANSLATE($A12,""en"",""ja"")"),"博士号")</f>
        <v>博士号</v>
      </c>
      <c r="I12" s="9" t="str">
        <f>IFERROR(__xludf.DUMMYFUNCTION("GOOGLETRANSLATE($A12,""en"",""ko"")"),"박사")</f>
        <v>박사</v>
      </c>
      <c r="J12" s="9" t="str">
        <f>IFERROR(__xludf.DUMMYFUNCTION("GOOGLETRANSLATE($A12,""en"",""pt-BR"")"),"Doutorado")</f>
        <v>Doutorado</v>
      </c>
    </row>
    <row r="13">
      <c r="A13" s="19" t="str">
        <f>IFERROR(__xludf.DUMMYFUNCTION("""COMPUTED_VALUE"""),"Master of Medicine")</f>
        <v>Master of Medicine</v>
      </c>
      <c r="B13" s="19" t="str">
        <f>IFERROR(__xludf.DUMMYFUNCTION("""COMPUTED_VALUE"""),"mscm")</f>
        <v>mscm</v>
      </c>
      <c r="C13" s="9" t="str">
        <f>IFERROR(__xludf.DUMMYFUNCTION("GOOGLETRANSLATE($A13,""en"",""de"")"),"Master der Medizin")</f>
        <v>Master der Medizin</v>
      </c>
      <c r="D13" s="9" t="str">
        <f>IFERROR(__xludf.DUMMYFUNCTION("GOOGLETRANSLATE($A13,""en"",""fr"")"),"Master de médecine")</f>
        <v>Master de médecine</v>
      </c>
      <c r="E13" s="9" t="str">
        <f>IFERROR(__xludf.DUMMYFUNCTION("GOOGLETRANSLATE($A13,""en"",""es"")"),"Maestría en Medicina")</f>
        <v>Maestría en Medicina</v>
      </c>
      <c r="F13" s="9" t="str">
        <f>IFERROR(__xludf.DUMMYFUNCTION("GOOGLETRANSLATE($A13,""en"",""it"")"),"Maestro di Medicina")</f>
        <v>Maestro di Medicina</v>
      </c>
      <c r="G13" s="9" t="str">
        <f>IFERROR(__xludf.DUMMYFUNCTION("GOOGLETRANSLATE($A13,""en"",""zh-cn"")"),"医学硕士")</f>
        <v>医学硕士</v>
      </c>
      <c r="H13" s="9" t="str">
        <f>IFERROR(__xludf.DUMMYFUNCTION("GOOGLETRANSLATE($A13,""en"",""ja"")"),"医学修士")</f>
        <v>医学修士</v>
      </c>
      <c r="I13" s="9" t="str">
        <f>IFERROR(__xludf.DUMMYFUNCTION("GOOGLETRANSLATE($A13,""en"",""ko"")"),"의학석사")</f>
        <v>의학석사</v>
      </c>
      <c r="J13" s="9" t="str">
        <f>IFERROR(__xludf.DUMMYFUNCTION("GOOGLETRANSLATE($A13,""en"",""pt-BR"")"),"Mestre em Medicina")</f>
        <v>Mestre em Medicina</v>
      </c>
    </row>
    <row r="14">
      <c r="A14" s="19" t="str">
        <f>IFERROR(__xludf.DUMMYFUNCTION("""COMPUTED_VALUE"""),"Bachelor of Medicine")</f>
        <v>Bachelor of Medicine</v>
      </c>
      <c r="B14" s="19" t="str">
        <f>IFERROR(__xludf.DUMMYFUNCTION("""COMPUTED_VALUE"""),"bscm")</f>
        <v>bscm</v>
      </c>
      <c r="C14" s="9" t="str">
        <f>IFERROR(__xludf.DUMMYFUNCTION("GOOGLETRANSLATE($A14,""en"",""de"")"),"Bachelor of Medicine")</f>
        <v>Bachelor of Medicine</v>
      </c>
      <c r="D14" s="9" t="str">
        <f>IFERROR(__xludf.DUMMYFUNCTION("GOOGLETRANSLATE($A14,""en"",""fr"")"),"Baccalauréat en médecine")</f>
        <v>Baccalauréat en médecine</v>
      </c>
      <c r="E14" s="9" t="str">
        <f>IFERROR(__xludf.DUMMYFUNCTION("GOOGLETRANSLATE($A14,""en"",""es"")"),"Licenciatura en Medicina")</f>
        <v>Licenciatura en Medicina</v>
      </c>
      <c r="F14" s="9" t="str">
        <f>IFERROR(__xludf.DUMMYFUNCTION("GOOGLETRANSLATE($A14,""en"",""it"")"),"Laurea in Medicina")</f>
        <v>Laurea in Medicina</v>
      </c>
      <c r="G14" s="9" t="str">
        <f>IFERROR(__xludf.DUMMYFUNCTION("GOOGLETRANSLATE($A14,""en"",""zh-cn"")"),"医学学士")</f>
        <v>医学学士</v>
      </c>
      <c r="H14" s="9" t="str">
        <f>IFERROR(__xludf.DUMMYFUNCTION("GOOGLETRANSLATE($A14,""en"",""ja"")"),"医学学士")</f>
        <v>医学学士</v>
      </c>
      <c r="I14" s="9" t="str">
        <f>IFERROR(__xludf.DUMMYFUNCTION("GOOGLETRANSLATE($A14,""en"",""ko"")"),"의학 학사")</f>
        <v>의학 학사</v>
      </c>
      <c r="J14" s="9" t="str">
        <f>IFERROR(__xludf.DUMMYFUNCTION("GOOGLETRANSLATE($A14,""en"",""pt-BR"")"),"Bacharel em Medicina")</f>
        <v>Bacharel em Medicina</v>
      </c>
    </row>
    <row r="15">
      <c r="A15" s="19" t="str">
        <f>IFERROR(__xludf.DUMMYFUNCTION("""COMPUTED_VALUE"""),"Technician")</f>
        <v>Technician</v>
      </c>
      <c r="B15" s="19" t="str">
        <f>IFERROR(__xludf.DUMMYFUNCTION("""COMPUTED_VALUE"""),"th")</f>
        <v>th</v>
      </c>
      <c r="C15" s="9" t="str">
        <f>IFERROR(__xludf.DUMMYFUNCTION("GOOGLETRANSLATE($A15,""en"",""de"")"),"Techniker")</f>
        <v>Techniker</v>
      </c>
      <c r="D15" s="9" t="str">
        <f>IFERROR(__xludf.DUMMYFUNCTION("GOOGLETRANSLATE($A15,""en"",""fr"")"),"Technicien")</f>
        <v>Technicien</v>
      </c>
      <c r="E15" s="9" t="str">
        <f>IFERROR(__xludf.DUMMYFUNCTION("GOOGLETRANSLATE($A15,""en"",""es"")"),"Técnico")</f>
        <v>Técnico</v>
      </c>
      <c r="F15" s="9" t="str">
        <f>IFERROR(__xludf.DUMMYFUNCTION("GOOGLETRANSLATE($A15,""en"",""it"")"),"Tecnico")</f>
        <v>Tecnico</v>
      </c>
      <c r="G15" s="9" t="str">
        <f>IFERROR(__xludf.DUMMYFUNCTION("GOOGLETRANSLATE($A15,""en"",""zh-cn"")"),"技术员")</f>
        <v>技术员</v>
      </c>
      <c r="H15" s="9" t="str">
        <f>IFERROR(__xludf.DUMMYFUNCTION("GOOGLETRANSLATE($A15,""en"",""ja"")"),"技術者")</f>
        <v>技術者</v>
      </c>
      <c r="I15" s="9" t="str">
        <f>IFERROR(__xludf.DUMMYFUNCTION("GOOGLETRANSLATE($A15,""en"",""ko"")"),"기술자")</f>
        <v>기술자</v>
      </c>
      <c r="J15" s="9" t="str">
        <f>IFERROR(__xludf.DUMMYFUNCTION("GOOGLETRANSLATE($A15,""en"",""pt-BR"")"),"Técnico")</f>
        <v>Técnico</v>
      </c>
    </row>
    <row r="16">
      <c r="A16" s="2"/>
      <c r="B16" s="2"/>
      <c r="C16" s="2"/>
    </row>
    <row r="17">
      <c r="A17" s="2"/>
      <c r="B17" s="2"/>
      <c r="C17" s="2"/>
    </row>
    <row r="18">
      <c r="A18" s="2"/>
      <c r="B18" s="2"/>
      <c r="C18" s="2"/>
    </row>
    <row r="19">
      <c r="A19" s="2"/>
      <c r="B19" s="2"/>
      <c r="C19" s="2"/>
    </row>
    <row r="20">
      <c r="A20" s="2"/>
      <c r="B20" s="2"/>
      <c r="C20" s="2"/>
    </row>
    <row r="21">
      <c r="A21" s="2"/>
      <c r="B21" s="2"/>
      <c r="C21" s="2"/>
    </row>
    <row r="22">
      <c r="A22" s="2"/>
      <c r="B22" s="2"/>
      <c r="C22" s="2"/>
    </row>
    <row r="23">
      <c r="A23" s="2"/>
      <c r="B23" s="2"/>
      <c r="C23" s="2"/>
    </row>
    <row r="24">
      <c r="A24" s="2"/>
      <c r="B24" s="2"/>
      <c r="C24" s="2"/>
    </row>
    <row r="25">
      <c r="A25" s="2"/>
      <c r="B25" s="2"/>
      <c r="C25" s="2"/>
    </row>
    <row r="26">
      <c r="A26" s="2"/>
      <c r="B26" s="2"/>
      <c r="C26" s="2"/>
    </row>
    <row r="27">
      <c r="A27" s="2"/>
      <c r="B27" s="2"/>
      <c r="C27" s="2"/>
    </row>
    <row r="28">
      <c r="A28" s="2"/>
      <c r="B28" s="2"/>
      <c r="C28" s="2"/>
    </row>
    <row r="29">
      <c r="A29" s="2"/>
      <c r="B29" s="2"/>
      <c r="C29" s="2"/>
    </row>
    <row r="30">
      <c r="A30" s="2"/>
      <c r="B30" s="2"/>
      <c r="C30" s="2"/>
    </row>
    <row r="31">
      <c r="A31" s="2"/>
      <c r="B31" s="2"/>
      <c r="C31" s="2"/>
    </row>
    <row r="32">
      <c r="A32" s="2"/>
      <c r="B32" s="2"/>
      <c r="C32" s="2"/>
    </row>
    <row r="33">
      <c r="A33" s="2"/>
      <c r="B33" s="2"/>
      <c r="C33" s="2"/>
    </row>
    <row r="34">
      <c r="A34" s="2"/>
      <c r="B34" s="2"/>
      <c r="C34" s="2"/>
    </row>
    <row r="35">
      <c r="A35" s="2"/>
      <c r="B35" s="2"/>
      <c r="C35" s="2"/>
    </row>
    <row r="36">
      <c r="A36" s="2"/>
      <c r="B36" s="2"/>
      <c r="C36" s="2"/>
    </row>
    <row r="37">
      <c r="A37" s="2"/>
      <c r="B37" s="2"/>
      <c r="C37" s="2"/>
    </row>
    <row r="38">
      <c r="A38" s="2"/>
      <c r="B38" s="2"/>
      <c r="C38" s="2"/>
    </row>
    <row r="39">
      <c r="A39" s="2"/>
      <c r="B39" s="2"/>
      <c r="C39" s="2"/>
    </row>
    <row r="40">
      <c r="A40" s="2"/>
      <c r="B40" s="2"/>
      <c r="C40" s="2"/>
    </row>
    <row r="41">
      <c r="A41" s="2"/>
      <c r="B41" s="2"/>
      <c r="C41" s="2"/>
    </row>
    <row r="42">
      <c r="A42" s="2"/>
      <c r="B42" s="2"/>
      <c r="C42" s="2"/>
    </row>
    <row r="43">
      <c r="A43" s="2"/>
      <c r="B43" s="2"/>
      <c r="C43" s="2"/>
    </row>
    <row r="44">
      <c r="A44" s="2"/>
      <c r="B44" s="2"/>
      <c r="C44" s="2"/>
    </row>
    <row r="45">
      <c r="A45" s="2"/>
      <c r="B45" s="2"/>
      <c r="C45" s="2"/>
    </row>
    <row r="46">
      <c r="A46" s="2"/>
      <c r="B46" s="2"/>
      <c r="C46" s="2"/>
    </row>
    <row r="47">
      <c r="A47" s="2"/>
      <c r="B47" s="2"/>
      <c r="C47" s="2"/>
    </row>
    <row r="48">
      <c r="A48" s="2"/>
      <c r="B48" s="2"/>
      <c r="C48" s="2"/>
    </row>
    <row r="49">
      <c r="A49" s="2"/>
      <c r="B49" s="2"/>
      <c r="C49" s="2"/>
    </row>
    <row r="50">
      <c r="A50" s="2"/>
      <c r="B50" s="2"/>
      <c r="C50" s="2"/>
    </row>
    <row r="51">
      <c r="A51" s="2"/>
      <c r="B51" s="2"/>
      <c r="C51" s="2"/>
    </row>
    <row r="52">
      <c r="A52" s="2"/>
      <c r="B52" s="2"/>
      <c r="C52" s="2"/>
    </row>
    <row r="53">
      <c r="A53" s="2"/>
      <c r="B53" s="2"/>
      <c r="C53" s="2"/>
    </row>
    <row r="54">
      <c r="A54" s="2"/>
      <c r="B54" s="2"/>
      <c r="C54" s="2"/>
    </row>
    <row r="55">
      <c r="A55" s="2"/>
      <c r="B55" s="2"/>
      <c r="C55" s="2"/>
    </row>
    <row r="56">
      <c r="A56" s="2"/>
      <c r="B56" s="2"/>
      <c r="C56" s="2"/>
    </row>
    <row r="57">
      <c r="A57" s="2"/>
      <c r="B57" s="2"/>
      <c r="C57" s="2"/>
    </row>
    <row r="58">
      <c r="A58" s="2"/>
      <c r="B58" s="2"/>
      <c r="C58" s="2"/>
    </row>
    <row r="59">
      <c r="A59" s="2"/>
      <c r="B59" s="2"/>
      <c r="C59" s="2"/>
    </row>
    <row r="60">
      <c r="A60" s="2"/>
      <c r="B60" s="2"/>
      <c r="C60" s="2"/>
    </row>
    <row r="61">
      <c r="A61" s="2"/>
      <c r="B61" s="2"/>
      <c r="C61" s="2"/>
    </row>
    <row r="62">
      <c r="A62" s="2"/>
      <c r="B62" s="2"/>
      <c r="C62" s="2"/>
    </row>
    <row r="63">
      <c r="A63" s="2"/>
      <c r="B63" s="2"/>
      <c r="C63" s="2"/>
    </row>
    <row r="64">
      <c r="A64" s="2"/>
      <c r="B64" s="2"/>
      <c r="C64" s="2"/>
    </row>
    <row r="65">
      <c r="A65" s="2"/>
      <c r="B65" s="2"/>
      <c r="C65" s="2"/>
    </row>
    <row r="66">
      <c r="A66" s="9"/>
      <c r="B66" s="9"/>
    </row>
    <row r="67">
      <c r="A67" s="9"/>
      <c r="B67" s="9"/>
    </row>
    <row r="68">
      <c r="A68" s="9"/>
      <c r="B68" s="9"/>
    </row>
    <row r="69">
      <c r="A69" s="9"/>
      <c r="B69" s="9"/>
    </row>
    <row r="70">
      <c r="A70" s="9"/>
      <c r="B70" s="9"/>
    </row>
    <row r="71">
      <c r="A71" s="9"/>
      <c r="B71" s="9"/>
    </row>
    <row r="72">
      <c r="A72" s="9"/>
      <c r="B72" s="9"/>
    </row>
    <row r="73">
      <c r="A73" s="9"/>
      <c r="B73" s="9"/>
    </row>
    <row r="74">
      <c r="A74" s="9"/>
      <c r="B74" s="9"/>
    </row>
    <row r="75">
      <c r="A75" s="9"/>
      <c r="B75" s="9"/>
    </row>
    <row r="76">
      <c r="A76" s="9"/>
      <c r="B76" s="9"/>
    </row>
    <row r="77">
      <c r="A77" s="9"/>
      <c r="B77" s="9"/>
    </row>
    <row r="78">
      <c r="A78" s="9"/>
      <c r="B78" s="9"/>
    </row>
    <row r="79">
      <c r="A79" s="9"/>
      <c r="B79" s="9"/>
    </row>
    <row r="80">
      <c r="A80" s="9"/>
      <c r="B80" s="9"/>
    </row>
    <row r="81">
      <c r="A81" s="9"/>
      <c r="B81" s="9"/>
    </row>
    <row r="82">
      <c r="A82" s="9"/>
      <c r="B82" s="9"/>
    </row>
    <row r="83">
      <c r="A83" s="9"/>
      <c r="B83" s="9"/>
    </row>
    <row r="84">
      <c r="A84" s="9"/>
      <c r="B84" s="9"/>
    </row>
    <row r="85">
      <c r="A85" s="9"/>
      <c r="B85" s="9"/>
    </row>
    <row r="86">
      <c r="A86" s="9"/>
      <c r="B86" s="9"/>
    </row>
    <row r="87">
      <c r="A87" s="9"/>
      <c r="B87" s="9"/>
    </row>
    <row r="88">
      <c r="A88" s="9"/>
      <c r="B88" s="9"/>
    </row>
    <row r="89">
      <c r="A89" s="9"/>
      <c r="B89" s="9"/>
    </row>
    <row r="90">
      <c r="A90" s="9"/>
      <c r="B90" s="9"/>
    </row>
    <row r="91">
      <c r="A91" s="9"/>
      <c r="B91" s="9"/>
    </row>
    <row r="92">
      <c r="A92" s="9"/>
      <c r="B92" s="9"/>
    </row>
    <row r="93">
      <c r="A93" s="9"/>
      <c r="B93" s="9"/>
    </row>
    <row r="94">
      <c r="A94" s="9"/>
      <c r="B94" s="9"/>
    </row>
    <row r="95">
      <c r="A95" s="9"/>
      <c r="B95" s="9"/>
    </row>
    <row r="96">
      <c r="A96" s="9"/>
      <c r="B96" s="9"/>
    </row>
    <row r="97">
      <c r="A97" s="9"/>
      <c r="B97" s="9"/>
    </row>
    <row r="98">
      <c r="A98" s="9"/>
      <c r="B98" s="9"/>
    </row>
    <row r="99">
      <c r="A99" s="9"/>
      <c r="B99" s="9"/>
    </row>
    <row r="100">
      <c r="A100" s="9"/>
      <c r="B100" s="9"/>
    </row>
    <row r="101">
      <c r="A101" s="9"/>
      <c r="B101" s="9"/>
    </row>
    <row r="102">
      <c r="A102" s="9"/>
      <c r="B102" s="9"/>
    </row>
    <row r="103">
      <c r="A103" s="9"/>
      <c r="B103" s="9"/>
    </row>
    <row r="104">
      <c r="A104" s="9"/>
      <c r="B104" s="9"/>
    </row>
    <row r="105">
      <c r="A105" s="9"/>
      <c r="B105" s="9"/>
    </row>
    <row r="106">
      <c r="A106" s="9"/>
      <c r="B106" s="9"/>
    </row>
    <row r="107">
      <c r="A107" s="9"/>
      <c r="B107" s="9"/>
    </row>
    <row r="108">
      <c r="A108" s="9"/>
      <c r="B108" s="9"/>
    </row>
    <row r="109">
      <c r="A109" s="9"/>
      <c r="B109" s="9"/>
    </row>
    <row r="110">
      <c r="A110" s="9"/>
      <c r="B110" s="9"/>
    </row>
    <row r="111">
      <c r="A111" s="9"/>
      <c r="B111" s="9"/>
    </row>
    <row r="112">
      <c r="A112" s="9"/>
      <c r="B112" s="9"/>
    </row>
    <row r="113">
      <c r="A113" s="9"/>
      <c r="B113" s="9"/>
    </row>
    <row r="114">
      <c r="A114" s="9"/>
      <c r="B114" s="9"/>
    </row>
    <row r="115">
      <c r="A115" s="9"/>
      <c r="B115" s="9"/>
    </row>
    <row r="116">
      <c r="A116" s="9"/>
      <c r="B116" s="9"/>
    </row>
    <row r="117">
      <c r="A117" s="9"/>
      <c r="B117" s="9"/>
    </row>
    <row r="118">
      <c r="A118" s="9"/>
      <c r="B118" s="9"/>
    </row>
    <row r="119">
      <c r="A119" s="9"/>
      <c r="B119" s="9"/>
    </row>
    <row r="120">
      <c r="A120" s="9"/>
      <c r="B120" s="9"/>
    </row>
    <row r="121">
      <c r="A121" s="9"/>
      <c r="B121" s="9"/>
    </row>
    <row r="122">
      <c r="A122" s="9"/>
      <c r="B122" s="9"/>
    </row>
    <row r="123">
      <c r="A123" s="9"/>
      <c r="B123" s="9"/>
    </row>
    <row r="124">
      <c r="A124" s="9"/>
      <c r="B124" s="9"/>
    </row>
    <row r="125">
      <c r="A125" s="9"/>
      <c r="B125" s="9"/>
    </row>
    <row r="126">
      <c r="A126" s="9"/>
      <c r="B126" s="9"/>
    </row>
    <row r="127">
      <c r="A127" s="9"/>
      <c r="B127" s="9"/>
    </row>
    <row r="128">
      <c r="A128" s="9"/>
      <c r="B128" s="9"/>
    </row>
    <row r="129">
      <c r="A129" s="9"/>
      <c r="B129" s="9"/>
    </row>
    <row r="130">
      <c r="A130" s="9"/>
      <c r="B130" s="9"/>
    </row>
    <row r="131">
      <c r="A131" s="9"/>
      <c r="B131" s="9"/>
    </row>
    <row r="132">
      <c r="A132" s="9"/>
      <c r="B132" s="9"/>
    </row>
    <row r="133">
      <c r="A133" s="9"/>
      <c r="B133" s="9"/>
    </row>
    <row r="134">
      <c r="A134" s="9"/>
      <c r="B134" s="9"/>
    </row>
    <row r="135">
      <c r="A135" s="9"/>
      <c r="B135" s="9"/>
    </row>
    <row r="136">
      <c r="A136" s="9"/>
      <c r="B136" s="9"/>
    </row>
    <row r="137">
      <c r="A137" s="9"/>
      <c r="B137" s="9"/>
    </row>
    <row r="138">
      <c r="A138" s="9"/>
      <c r="B138" s="9"/>
    </row>
    <row r="139">
      <c r="A139" s="9"/>
      <c r="B139" s="9"/>
    </row>
    <row r="140">
      <c r="A140" s="9"/>
      <c r="B140" s="9"/>
    </row>
    <row r="141">
      <c r="A141" s="9"/>
      <c r="B141" s="9"/>
    </row>
    <row r="142">
      <c r="A142" s="9"/>
      <c r="B142" s="9"/>
    </row>
    <row r="143">
      <c r="A143" s="9"/>
      <c r="B143" s="9"/>
    </row>
    <row r="144">
      <c r="A144" s="9"/>
      <c r="B144" s="9"/>
    </row>
    <row r="145">
      <c r="A145" s="9"/>
      <c r="B145" s="9"/>
    </row>
    <row r="146">
      <c r="A146" s="9"/>
      <c r="B146" s="9"/>
    </row>
    <row r="147">
      <c r="A147" s="9"/>
      <c r="B147" s="9"/>
    </row>
    <row r="148">
      <c r="A148" s="9"/>
      <c r="B148" s="9"/>
    </row>
    <row r="149">
      <c r="A149" s="9"/>
      <c r="B149" s="9"/>
    </row>
    <row r="150">
      <c r="A150" s="9"/>
      <c r="B150" s="9"/>
    </row>
    <row r="151">
      <c r="A151" s="9"/>
      <c r="B151" s="9"/>
    </row>
    <row r="152">
      <c r="A152" s="9"/>
      <c r="B152" s="9"/>
    </row>
    <row r="153">
      <c r="A153" s="9"/>
      <c r="B153" s="9"/>
    </row>
    <row r="154">
      <c r="A154" s="9"/>
      <c r="B154" s="9"/>
    </row>
    <row r="155">
      <c r="A155" s="9"/>
      <c r="B155" s="9"/>
    </row>
    <row r="156">
      <c r="A156" s="9"/>
      <c r="B156" s="9"/>
    </row>
    <row r="157">
      <c r="A157" s="9"/>
      <c r="B157" s="9"/>
    </row>
    <row r="158">
      <c r="A158" s="9"/>
      <c r="B158" s="9"/>
    </row>
    <row r="159">
      <c r="A159" s="9"/>
      <c r="B159" s="9"/>
    </row>
    <row r="160">
      <c r="A160" s="9"/>
      <c r="B160" s="9"/>
    </row>
    <row r="161">
      <c r="A161" s="9"/>
      <c r="B161" s="9"/>
    </row>
    <row r="162">
      <c r="A162" s="9"/>
      <c r="B162" s="9"/>
    </row>
    <row r="163">
      <c r="A163" s="9"/>
      <c r="B163" s="9"/>
    </row>
    <row r="164">
      <c r="A164" s="9"/>
      <c r="B164" s="9"/>
    </row>
    <row r="165">
      <c r="A165" s="9"/>
      <c r="B165" s="9"/>
    </row>
    <row r="166">
      <c r="A166" s="9"/>
      <c r="B166" s="9"/>
    </row>
    <row r="167">
      <c r="A167" s="9"/>
      <c r="B167" s="9"/>
    </row>
    <row r="168">
      <c r="A168" s="9"/>
      <c r="B168" s="9"/>
    </row>
    <row r="169">
      <c r="A169" s="9"/>
      <c r="B169" s="9"/>
    </row>
    <row r="170">
      <c r="A170" s="9"/>
      <c r="B170" s="9"/>
    </row>
    <row r="171">
      <c r="A171" s="9"/>
      <c r="B171" s="9"/>
    </row>
    <row r="172">
      <c r="A172" s="9"/>
      <c r="B172" s="9"/>
    </row>
    <row r="173">
      <c r="A173" s="9"/>
      <c r="B173" s="9"/>
    </row>
    <row r="174">
      <c r="A174" s="9"/>
      <c r="B174" s="9"/>
    </row>
    <row r="175">
      <c r="A175" s="9"/>
      <c r="B175" s="9"/>
    </row>
    <row r="176">
      <c r="A176" s="9"/>
      <c r="B176" s="9"/>
    </row>
    <row r="177">
      <c r="A177" s="9"/>
      <c r="B177" s="9"/>
    </row>
    <row r="178">
      <c r="A178" s="9"/>
      <c r="B178" s="9"/>
    </row>
    <row r="179">
      <c r="A179" s="9"/>
      <c r="B179" s="9"/>
    </row>
    <row r="180">
      <c r="A180" s="9"/>
      <c r="B180" s="9"/>
    </row>
    <row r="181">
      <c r="A181" s="9"/>
      <c r="B181" s="9"/>
    </row>
    <row r="182">
      <c r="A182" s="9"/>
      <c r="B182" s="9"/>
    </row>
    <row r="183">
      <c r="A183" s="9"/>
      <c r="B183" s="9"/>
    </row>
    <row r="184">
      <c r="A184" s="9"/>
      <c r="B184" s="9"/>
    </row>
    <row r="185">
      <c r="A185" s="9"/>
      <c r="B185" s="9"/>
    </row>
    <row r="186">
      <c r="A186" s="9"/>
      <c r="B186" s="9"/>
    </row>
    <row r="187">
      <c r="A187" s="9"/>
      <c r="B187" s="9"/>
    </row>
    <row r="188">
      <c r="A188" s="9"/>
      <c r="B188" s="9"/>
    </row>
    <row r="189">
      <c r="A189" s="9"/>
      <c r="B189" s="9"/>
    </row>
    <row r="190">
      <c r="A190" s="9"/>
      <c r="B190" s="9"/>
    </row>
    <row r="191">
      <c r="A191" s="9"/>
      <c r="B191" s="9"/>
    </row>
    <row r="192">
      <c r="A192" s="9"/>
      <c r="B192" s="9"/>
    </row>
    <row r="193">
      <c r="A193" s="9"/>
      <c r="B193" s="9"/>
    </row>
    <row r="194">
      <c r="A194" s="9"/>
      <c r="B194" s="9"/>
    </row>
    <row r="195">
      <c r="A195" s="9"/>
      <c r="B195" s="9"/>
    </row>
    <row r="196">
      <c r="A196" s="9"/>
      <c r="B196" s="9"/>
    </row>
    <row r="197">
      <c r="A197" s="9"/>
      <c r="B197" s="9"/>
    </row>
    <row r="198">
      <c r="A198" s="9"/>
      <c r="B198" s="9"/>
    </row>
    <row r="199">
      <c r="A199" s="9"/>
      <c r="B199" s="9"/>
    </row>
    <row r="200">
      <c r="A200" s="9"/>
      <c r="B200" s="9"/>
    </row>
    <row r="201">
      <c r="A201" s="9"/>
      <c r="B201" s="9"/>
    </row>
    <row r="202">
      <c r="A202" s="9"/>
      <c r="B202" s="9"/>
    </row>
    <row r="203">
      <c r="A203" s="9"/>
      <c r="B203" s="9"/>
    </row>
    <row r="204">
      <c r="A204" s="9"/>
      <c r="B204" s="9"/>
    </row>
    <row r="205">
      <c r="A205" s="9"/>
      <c r="B205" s="9"/>
    </row>
    <row r="206">
      <c r="A206" s="9"/>
      <c r="B206" s="9"/>
    </row>
    <row r="207">
      <c r="A207" s="9"/>
      <c r="B207" s="9"/>
    </row>
    <row r="208">
      <c r="A208" s="9"/>
      <c r="B208" s="9"/>
    </row>
    <row r="209">
      <c r="A209" s="9"/>
      <c r="B209" s="9"/>
    </row>
    <row r="210">
      <c r="A210" s="9"/>
      <c r="B210" s="9"/>
    </row>
    <row r="211">
      <c r="A211" s="9"/>
      <c r="B211" s="9"/>
    </row>
    <row r="212">
      <c r="A212" s="9"/>
      <c r="B212" s="9"/>
    </row>
    <row r="213">
      <c r="A213" s="9"/>
      <c r="B213" s="9"/>
    </row>
    <row r="214">
      <c r="A214" s="9"/>
      <c r="B214" s="9"/>
    </row>
    <row r="215">
      <c r="A215" s="9"/>
      <c r="B215" s="9"/>
    </row>
    <row r="216">
      <c r="A216" s="9"/>
      <c r="B216" s="9"/>
    </row>
    <row r="217">
      <c r="A217" s="9"/>
      <c r="B217" s="9"/>
    </row>
    <row r="218">
      <c r="A218" s="9"/>
      <c r="B218" s="9"/>
    </row>
    <row r="219">
      <c r="A219" s="9"/>
      <c r="B219" s="9"/>
    </row>
    <row r="220">
      <c r="A220" s="9"/>
      <c r="B220" s="9"/>
    </row>
    <row r="221">
      <c r="A221" s="9"/>
      <c r="B221" s="9"/>
    </row>
    <row r="222">
      <c r="A222" s="9"/>
      <c r="B222" s="9"/>
    </row>
    <row r="223">
      <c r="A223" s="9"/>
      <c r="B223" s="9"/>
    </row>
    <row r="224">
      <c r="A224" s="9"/>
      <c r="B224" s="9"/>
    </row>
    <row r="225">
      <c r="A225" s="9"/>
      <c r="B225" s="9"/>
    </row>
    <row r="226">
      <c r="A226" s="9"/>
      <c r="B226" s="9"/>
    </row>
    <row r="227">
      <c r="A227" s="9"/>
      <c r="B227" s="9"/>
    </row>
    <row r="228">
      <c r="A228" s="9"/>
      <c r="B228" s="9"/>
    </row>
    <row r="229">
      <c r="A229" s="9"/>
      <c r="B229" s="9"/>
    </row>
    <row r="230">
      <c r="A230" s="9"/>
      <c r="B230" s="9"/>
    </row>
    <row r="231">
      <c r="A231" s="9"/>
      <c r="B231" s="9"/>
    </row>
    <row r="232">
      <c r="A232" s="9"/>
      <c r="B232" s="9"/>
    </row>
    <row r="233">
      <c r="A233" s="9"/>
      <c r="B233" s="9"/>
    </row>
    <row r="234">
      <c r="A234" s="9"/>
      <c r="B234" s="9"/>
    </row>
    <row r="235">
      <c r="A235" s="9"/>
      <c r="B235" s="9"/>
    </row>
    <row r="236">
      <c r="A236" s="9"/>
      <c r="B236" s="9"/>
    </row>
    <row r="237">
      <c r="A237" s="9"/>
      <c r="B237" s="9"/>
    </row>
    <row r="238">
      <c r="A238" s="9"/>
      <c r="B238" s="9"/>
    </row>
    <row r="239">
      <c r="A239" s="9"/>
      <c r="B239" s="9"/>
    </row>
    <row r="240">
      <c r="A240" s="9"/>
      <c r="B240" s="9"/>
    </row>
    <row r="241">
      <c r="A241" s="9"/>
      <c r="B241" s="9"/>
    </row>
    <row r="242">
      <c r="A242" s="9"/>
      <c r="B242" s="9"/>
    </row>
    <row r="243">
      <c r="A243" s="9"/>
      <c r="B243" s="9"/>
    </row>
    <row r="244">
      <c r="A244" s="9"/>
      <c r="B244" s="9"/>
    </row>
    <row r="245">
      <c r="A245" s="9"/>
      <c r="B245" s="9"/>
    </row>
    <row r="246">
      <c r="A246" s="9"/>
      <c r="B246" s="9"/>
    </row>
    <row r="247">
      <c r="A247" s="9"/>
      <c r="B247" s="9"/>
    </row>
    <row r="248">
      <c r="A248" s="9"/>
      <c r="B248" s="9"/>
    </row>
    <row r="249">
      <c r="A249" s="9"/>
      <c r="B249" s="9"/>
    </row>
    <row r="250">
      <c r="A250" s="9"/>
      <c r="B250" s="9"/>
    </row>
    <row r="251">
      <c r="A251" s="9"/>
      <c r="B251" s="9"/>
    </row>
    <row r="252">
      <c r="A252" s="9"/>
      <c r="B252" s="9"/>
    </row>
    <row r="253">
      <c r="A253" s="9"/>
      <c r="B253" s="9"/>
    </row>
    <row r="254">
      <c r="A254" s="9"/>
      <c r="B254" s="9"/>
    </row>
    <row r="255">
      <c r="A255" s="9"/>
      <c r="B255" s="9"/>
    </row>
    <row r="256">
      <c r="A256" s="9"/>
      <c r="B256" s="9"/>
    </row>
    <row r="257">
      <c r="A257" s="9"/>
      <c r="B257" s="9"/>
    </row>
    <row r="258">
      <c r="A258" s="9"/>
      <c r="B258" s="9"/>
    </row>
    <row r="259">
      <c r="A259" s="9"/>
      <c r="B259" s="9"/>
    </row>
    <row r="260">
      <c r="A260" s="9"/>
      <c r="B260" s="9"/>
    </row>
    <row r="261">
      <c r="A261" s="9"/>
      <c r="B261" s="9"/>
    </row>
    <row r="262">
      <c r="A262" s="9"/>
      <c r="B262" s="9"/>
    </row>
    <row r="263">
      <c r="A263" s="9"/>
      <c r="B263" s="9"/>
    </row>
    <row r="264">
      <c r="A264" s="9"/>
      <c r="B264" s="9"/>
    </row>
    <row r="265">
      <c r="A265" s="9"/>
      <c r="B265" s="9"/>
    </row>
    <row r="266">
      <c r="A266" s="9"/>
      <c r="B266" s="9"/>
    </row>
    <row r="267">
      <c r="A267" s="9"/>
      <c r="B267" s="9"/>
    </row>
    <row r="268">
      <c r="A268" s="9"/>
      <c r="B268" s="9"/>
    </row>
    <row r="269">
      <c r="A269" s="9"/>
      <c r="B269" s="9"/>
    </row>
    <row r="270">
      <c r="A270" s="9"/>
      <c r="B270" s="9"/>
    </row>
    <row r="271">
      <c r="A271" s="9"/>
      <c r="B271" s="9"/>
    </row>
    <row r="272">
      <c r="A272" s="9"/>
      <c r="B272" s="9"/>
    </row>
    <row r="273">
      <c r="A273" s="9"/>
      <c r="B273" s="9"/>
    </row>
    <row r="274">
      <c r="A274" s="9"/>
      <c r="B274" s="9"/>
    </row>
    <row r="275">
      <c r="A275" s="9"/>
      <c r="B275" s="9"/>
    </row>
    <row r="276">
      <c r="A276" s="9"/>
      <c r="B276" s="9"/>
    </row>
    <row r="277">
      <c r="A277" s="9"/>
      <c r="B277" s="9"/>
    </row>
    <row r="278">
      <c r="A278" s="9"/>
      <c r="B278" s="9"/>
    </row>
    <row r="279">
      <c r="A279" s="9"/>
      <c r="B279" s="9"/>
    </row>
    <row r="280">
      <c r="A280" s="9"/>
      <c r="B280" s="9"/>
    </row>
    <row r="281">
      <c r="A281" s="9"/>
      <c r="B281" s="9"/>
    </row>
    <row r="282">
      <c r="A282" s="9"/>
      <c r="B282" s="9"/>
    </row>
    <row r="283">
      <c r="A283" s="9"/>
      <c r="B283" s="9"/>
    </row>
    <row r="284">
      <c r="A284" s="9"/>
      <c r="B284" s="9"/>
    </row>
    <row r="285">
      <c r="A285" s="9"/>
      <c r="B285" s="9"/>
    </row>
    <row r="286">
      <c r="A286" s="9"/>
      <c r="B286" s="9"/>
    </row>
    <row r="287">
      <c r="A287" s="9"/>
      <c r="B287" s="9"/>
    </row>
    <row r="288">
      <c r="A288" s="9"/>
      <c r="B288" s="9"/>
    </row>
    <row r="289">
      <c r="A289" s="9"/>
      <c r="B289" s="9"/>
    </row>
    <row r="290">
      <c r="A290" s="9"/>
      <c r="B290" s="9"/>
    </row>
    <row r="291">
      <c r="A291" s="9"/>
      <c r="B291" s="9"/>
    </row>
    <row r="292">
      <c r="A292" s="9"/>
      <c r="B292" s="9"/>
    </row>
    <row r="293">
      <c r="A293" s="9"/>
      <c r="B293" s="9"/>
    </row>
    <row r="294">
      <c r="A294" s="9"/>
      <c r="B294" s="9"/>
    </row>
    <row r="295">
      <c r="A295" s="9"/>
      <c r="B295" s="9"/>
    </row>
    <row r="296">
      <c r="A296" s="9"/>
      <c r="B296" s="9"/>
    </row>
    <row r="297">
      <c r="A297" s="9"/>
      <c r="B297" s="9"/>
    </row>
    <row r="298">
      <c r="A298" s="9"/>
      <c r="B298" s="9"/>
    </row>
    <row r="299">
      <c r="A299" s="9"/>
      <c r="B299" s="9"/>
    </row>
    <row r="300">
      <c r="A300" s="9"/>
      <c r="B300" s="9"/>
    </row>
    <row r="301">
      <c r="A301" s="9"/>
      <c r="B301" s="9"/>
    </row>
    <row r="302">
      <c r="A302" s="9"/>
      <c r="B302" s="9"/>
    </row>
    <row r="303">
      <c r="A303" s="9"/>
      <c r="B303" s="9"/>
    </row>
    <row r="304">
      <c r="A304" s="9"/>
      <c r="B304" s="9"/>
    </row>
    <row r="305">
      <c r="A305" s="9"/>
      <c r="B305" s="9"/>
    </row>
    <row r="306">
      <c r="A306" s="9"/>
      <c r="B306" s="9"/>
    </row>
    <row r="307">
      <c r="A307" s="9"/>
      <c r="B307" s="9"/>
    </row>
    <row r="308">
      <c r="A308" s="9"/>
      <c r="B308" s="9"/>
    </row>
    <row r="309">
      <c r="A309" s="9"/>
      <c r="B309" s="9"/>
    </row>
    <row r="310">
      <c r="A310" s="9"/>
      <c r="B310" s="9"/>
    </row>
    <row r="311">
      <c r="A311" s="9"/>
      <c r="B311" s="9"/>
    </row>
    <row r="312">
      <c r="A312" s="9"/>
      <c r="B312" s="9"/>
    </row>
    <row r="313">
      <c r="A313" s="9"/>
      <c r="B313" s="9"/>
    </row>
    <row r="314">
      <c r="A314" s="9"/>
      <c r="B314" s="9"/>
    </row>
    <row r="315">
      <c r="A315" s="9"/>
      <c r="B315" s="9"/>
    </row>
    <row r="316">
      <c r="A316" s="9"/>
      <c r="B316" s="9"/>
    </row>
    <row r="317">
      <c r="A317" s="9"/>
      <c r="B317" s="9"/>
    </row>
    <row r="318">
      <c r="A318" s="9"/>
      <c r="B318" s="9"/>
    </row>
    <row r="319">
      <c r="A319" s="9"/>
      <c r="B319" s="9"/>
    </row>
    <row r="320">
      <c r="A320" s="9"/>
      <c r="B320" s="9"/>
    </row>
    <row r="321">
      <c r="A321" s="9"/>
      <c r="B321" s="9"/>
    </row>
    <row r="322">
      <c r="A322" s="9"/>
      <c r="B322" s="9"/>
    </row>
    <row r="323">
      <c r="A323" s="9"/>
      <c r="B323" s="9"/>
    </row>
    <row r="324">
      <c r="A324" s="9"/>
      <c r="B324" s="9"/>
    </row>
    <row r="325">
      <c r="A325" s="9"/>
      <c r="B325" s="9"/>
    </row>
    <row r="326">
      <c r="A326" s="9"/>
      <c r="B326" s="9"/>
    </row>
    <row r="327">
      <c r="A327" s="9"/>
      <c r="B327" s="9"/>
    </row>
    <row r="328">
      <c r="A328" s="9"/>
      <c r="B328" s="9"/>
    </row>
    <row r="329">
      <c r="A329" s="9"/>
      <c r="B329" s="9"/>
    </row>
    <row r="330">
      <c r="A330" s="9"/>
      <c r="B330" s="9"/>
    </row>
    <row r="331">
      <c r="A331" s="9"/>
      <c r="B331" s="9"/>
    </row>
    <row r="332">
      <c r="A332" s="9"/>
      <c r="B332" s="9"/>
    </row>
    <row r="333">
      <c r="A333" s="9"/>
      <c r="B333" s="9"/>
    </row>
    <row r="334">
      <c r="A334" s="9"/>
      <c r="B334" s="9"/>
    </row>
    <row r="335">
      <c r="A335" s="9"/>
      <c r="B335" s="9"/>
    </row>
    <row r="336">
      <c r="A336" s="9"/>
      <c r="B336" s="9"/>
    </row>
    <row r="337">
      <c r="A337" s="9"/>
      <c r="B337" s="9"/>
    </row>
    <row r="338">
      <c r="A338" s="9"/>
      <c r="B338" s="9"/>
    </row>
    <row r="339">
      <c r="A339" s="9"/>
      <c r="B339" s="9"/>
    </row>
    <row r="340">
      <c r="A340" s="9"/>
      <c r="B340" s="9"/>
    </row>
    <row r="341">
      <c r="A341" s="9"/>
      <c r="B341" s="9"/>
    </row>
    <row r="342">
      <c r="A342" s="9"/>
      <c r="B342" s="9"/>
    </row>
    <row r="343">
      <c r="A343" s="9"/>
      <c r="B343" s="9"/>
    </row>
    <row r="344">
      <c r="A344" s="9"/>
      <c r="B344" s="9"/>
    </row>
    <row r="345">
      <c r="A345" s="9"/>
      <c r="B345" s="9"/>
    </row>
    <row r="346">
      <c r="A346" s="9"/>
      <c r="B346" s="9"/>
    </row>
    <row r="347">
      <c r="A347" s="9"/>
      <c r="B347" s="9"/>
    </row>
    <row r="348">
      <c r="A348" s="9"/>
      <c r="B348" s="9"/>
    </row>
    <row r="349">
      <c r="A349" s="9"/>
      <c r="B349" s="9"/>
    </row>
    <row r="350">
      <c r="A350" s="9"/>
      <c r="B350" s="9"/>
    </row>
    <row r="351">
      <c r="A351" s="9"/>
      <c r="B351" s="9"/>
    </row>
    <row r="352">
      <c r="A352" s="9"/>
      <c r="B352" s="9"/>
    </row>
    <row r="353">
      <c r="A353" s="9"/>
      <c r="B353" s="9"/>
    </row>
    <row r="354">
      <c r="A354" s="9"/>
      <c r="B354" s="9"/>
    </row>
    <row r="355">
      <c r="A355" s="9"/>
      <c r="B355" s="9"/>
    </row>
    <row r="356">
      <c r="A356" s="9"/>
      <c r="B356" s="9"/>
    </row>
    <row r="357">
      <c r="A357" s="9"/>
      <c r="B357" s="9"/>
    </row>
    <row r="358">
      <c r="A358" s="9"/>
      <c r="B358" s="9"/>
    </row>
    <row r="359">
      <c r="A359" s="9"/>
      <c r="B359" s="9"/>
    </row>
    <row r="360">
      <c r="A360" s="9"/>
      <c r="B360" s="9"/>
    </row>
    <row r="361">
      <c r="A361" s="9"/>
      <c r="B361" s="9"/>
    </row>
    <row r="362">
      <c r="A362" s="9"/>
      <c r="B362" s="9"/>
    </row>
    <row r="363">
      <c r="A363" s="9"/>
      <c r="B363" s="9"/>
    </row>
    <row r="364">
      <c r="A364" s="9"/>
      <c r="B364" s="9"/>
    </row>
    <row r="365">
      <c r="A365" s="9"/>
      <c r="B365" s="9"/>
    </row>
    <row r="366">
      <c r="A366" s="9"/>
      <c r="B366" s="9"/>
    </row>
    <row r="367">
      <c r="A367" s="9"/>
      <c r="B367" s="9"/>
    </row>
    <row r="368">
      <c r="A368" s="9"/>
      <c r="B368" s="9"/>
    </row>
    <row r="369">
      <c r="A369" s="9"/>
      <c r="B369" s="9"/>
    </row>
    <row r="370">
      <c r="A370" s="9"/>
      <c r="B370" s="9"/>
    </row>
    <row r="371">
      <c r="A371" s="9"/>
      <c r="B371" s="9"/>
    </row>
    <row r="372">
      <c r="A372" s="9"/>
      <c r="B372" s="9"/>
    </row>
    <row r="373">
      <c r="A373" s="9"/>
      <c r="B373" s="9"/>
    </row>
    <row r="374">
      <c r="A374" s="9"/>
      <c r="B374" s="9"/>
    </row>
    <row r="375">
      <c r="A375" s="9"/>
      <c r="B375" s="9"/>
    </row>
    <row r="376">
      <c r="A376" s="9"/>
      <c r="B376" s="9"/>
    </row>
    <row r="377">
      <c r="A377" s="9"/>
      <c r="B377" s="9"/>
    </row>
    <row r="378">
      <c r="A378" s="9"/>
      <c r="B378" s="9"/>
    </row>
    <row r="379">
      <c r="A379" s="9"/>
      <c r="B379" s="9"/>
    </row>
    <row r="380">
      <c r="A380" s="9"/>
      <c r="B380" s="9"/>
    </row>
    <row r="381">
      <c r="A381" s="9"/>
      <c r="B381" s="9"/>
    </row>
    <row r="382">
      <c r="A382" s="9"/>
      <c r="B382" s="9"/>
    </row>
    <row r="383">
      <c r="A383" s="9"/>
      <c r="B383" s="9"/>
    </row>
    <row r="384">
      <c r="A384" s="9"/>
      <c r="B384" s="9"/>
    </row>
    <row r="385">
      <c r="A385" s="9"/>
      <c r="B385" s="9"/>
    </row>
    <row r="386">
      <c r="A386" s="9"/>
      <c r="B386" s="9"/>
    </row>
    <row r="387">
      <c r="A387" s="9"/>
      <c r="B387" s="9"/>
    </row>
    <row r="388">
      <c r="A388" s="9"/>
      <c r="B388" s="9"/>
    </row>
    <row r="389">
      <c r="A389" s="9"/>
      <c r="B389" s="9"/>
    </row>
    <row r="390">
      <c r="A390" s="9"/>
      <c r="B390" s="9"/>
    </row>
    <row r="391">
      <c r="A391" s="9"/>
      <c r="B391" s="9"/>
    </row>
    <row r="392">
      <c r="A392" s="9"/>
      <c r="B392" s="9"/>
    </row>
    <row r="393">
      <c r="A393" s="9"/>
      <c r="B393" s="9"/>
    </row>
    <row r="394">
      <c r="A394" s="9"/>
      <c r="B394" s="9"/>
    </row>
    <row r="395">
      <c r="A395" s="9"/>
      <c r="B395" s="9"/>
    </row>
    <row r="396">
      <c r="A396" s="9"/>
      <c r="B396" s="9"/>
    </row>
    <row r="397">
      <c r="A397" s="9"/>
      <c r="B397" s="9"/>
    </row>
    <row r="398">
      <c r="A398" s="9"/>
      <c r="B398" s="9"/>
    </row>
    <row r="399">
      <c r="A399" s="9"/>
      <c r="B399" s="9"/>
    </row>
    <row r="400">
      <c r="A400" s="9"/>
      <c r="B400" s="9"/>
    </row>
    <row r="401">
      <c r="A401" s="9"/>
      <c r="B401" s="9"/>
    </row>
    <row r="402">
      <c r="A402" s="9"/>
      <c r="B402" s="9"/>
    </row>
    <row r="403">
      <c r="A403" s="9"/>
      <c r="B403" s="9"/>
    </row>
    <row r="404">
      <c r="A404" s="9"/>
      <c r="B404" s="9"/>
    </row>
    <row r="405">
      <c r="A405" s="9"/>
      <c r="B405" s="9"/>
    </row>
    <row r="406">
      <c r="A406" s="9"/>
      <c r="B406" s="9"/>
    </row>
    <row r="407">
      <c r="A407" s="9"/>
      <c r="B407" s="9"/>
    </row>
    <row r="408">
      <c r="A408" s="9"/>
      <c r="B408" s="9"/>
    </row>
    <row r="409">
      <c r="A409" s="9"/>
      <c r="B409" s="9"/>
    </row>
    <row r="410">
      <c r="A410" s="9"/>
      <c r="B410" s="9"/>
    </row>
    <row r="411">
      <c r="A411" s="9"/>
      <c r="B411" s="9"/>
    </row>
    <row r="412">
      <c r="A412" s="9"/>
      <c r="B412" s="9"/>
    </row>
    <row r="413">
      <c r="A413" s="9"/>
      <c r="B413" s="9"/>
    </row>
    <row r="414">
      <c r="A414" s="9"/>
      <c r="B414" s="9"/>
    </row>
    <row r="415">
      <c r="A415" s="9"/>
      <c r="B415" s="9"/>
    </row>
    <row r="416">
      <c r="A416" s="9"/>
      <c r="B416" s="9"/>
    </row>
    <row r="417">
      <c r="A417" s="9"/>
      <c r="B417" s="9"/>
    </row>
    <row r="418">
      <c r="A418" s="9"/>
      <c r="B418" s="9"/>
    </row>
    <row r="419">
      <c r="A419" s="9"/>
      <c r="B419" s="9"/>
    </row>
    <row r="420">
      <c r="A420" s="9"/>
      <c r="B420" s="9"/>
    </row>
    <row r="421">
      <c r="A421" s="9"/>
      <c r="B421" s="9"/>
    </row>
    <row r="422">
      <c r="A422" s="9"/>
      <c r="B422" s="9"/>
    </row>
    <row r="423">
      <c r="A423" s="9"/>
      <c r="B423" s="9"/>
    </row>
    <row r="424">
      <c r="A424" s="9"/>
      <c r="B424" s="9"/>
    </row>
    <row r="425">
      <c r="A425" s="9"/>
      <c r="B425" s="9"/>
    </row>
    <row r="426">
      <c r="A426" s="9"/>
      <c r="B426" s="9"/>
    </row>
    <row r="427">
      <c r="A427" s="9"/>
      <c r="B427" s="9"/>
    </row>
    <row r="428">
      <c r="A428" s="9"/>
      <c r="B428" s="9"/>
    </row>
    <row r="429">
      <c r="A429" s="9"/>
      <c r="B429" s="9"/>
    </row>
    <row r="430">
      <c r="A430" s="9"/>
      <c r="B430" s="9"/>
    </row>
    <row r="431">
      <c r="A431" s="9"/>
      <c r="B431" s="9"/>
    </row>
    <row r="432">
      <c r="A432" s="9"/>
      <c r="B432" s="9"/>
    </row>
    <row r="433">
      <c r="A433" s="9"/>
      <c r="B433" s="9"/>
    </row>
    <row r="434">
      <c r="A434" s="9"/>
      <c r="B434" s="9"/>
    </row>
    <row r="435">
      <c r="A435" s="9"/>
      <c r="B435" s="9"/>
    </row>
    <row r="436">
      <c r="A436" s="9"/>
      <c r="B436" s="9"/>
    </row>
    <row r="437">
      <c r="A437" s="9"/>
      <c r="B437" s="9"/>
    </row>
    <row r="438">
      <c r="A438" s="9"/>
      <c r="B438" s="9"/>
    </row>
    <row r="439">
      <c r="A439" s="9"/>
      <c r="B439" s="9"/>
    </row>
    <row r="440">
      <c r="A440" s="9"/>
      <c r="B440" s="9"/>
    </row>
    <row r="441">
      <c r="A441" s="9"/>
      <c r="B441" s="9"/>
    </row>
    <row r="442">
      <c r="A442" s="9"/>
      <c r="B442" s="9"/>
    </row>
    <row r="443">
      <c r="A443" s="9"/>
      <c r="B443" s="9"/>
    </row>
    <row r="444">
      <c r="A444" s="9"/>
      <c r="B444" s="9"/>
    </row>
    <row r="445">
      <c r="A445" s="9"/>
      <c r="B445" s="9"/>
    </row>
    <row r="446">
      <c r="A446" s="9"/>
      <c r="B446" s="9"/>
    </row>
    <row r="447">
      <c r="A447" s="9"/>
      <c r="B447" s="9"/>
    </row>
    <row r="448">
      <c r="A448" s="9"/>
      <c r="B448" s="9"/>
    </row>
    <row r="449">
      <c r="A449" s="9"/>
      <c r="B449" s="9"/>
    </row>
    <row r="450">
      <c r="A450" s="9"/>
      <c r="B450" s="9"/>
    </row>
    <row r="451">
      <c r="A451" s="9"/>
      <c r="B451" s="9"/>
    </row>
    <row r="452">
      <c r="A452" s="9"/>
      <c r="B452" s="9"/>
    </row>
    <row r="453">
      <c r="A453" s="9"/>
      <c r="B453" s="9"/>
    </row>
    <row r="454">
      <c r="A454" s="9"/>
      <c r="B454" s="9"/>
    </row>
    <row r="455">
      <c r="A455" s="9"/>
      <c r="B455" s="9"/>
    </row>
    <row r="456">
      <c r="A456" s="9"/>
      <c r="B456" s="9"/>
    </row>
    <row r="457">
      <c r="A457" s="9"/>
      <c r="B457" s="9"/>
    </row>
    <row r="458">
      <c r="A458" s="9"/>
      <c r="B458" s="9"/>
    </row>
    <row r="459">
      <c r="A459" s="9"/>
      <c r="B459" s="9"/>
    </row>
    <row r="460">
      <c r="A460" s="9"/>
      <c r="B460" s="9"/>
    </row>
    <row r="461">
      <c r="A461" s="9"/>
      <c r="B461" s="9"/>
    </row>
    <row r="462">
      <c r="A462" s="9"/>
      <c r="B462" s="9"/>
    </row>
    <row r="463">
      <c r="A463" s="9"/>
      <c r="B463" s="9"/>
    </row>
    <row r="464">
      <c r="A464" s="9"/>
      <c r="B464" s="9"/>
    </row>
    <row r="465">
      <c r="A465" s="9"/>
      <c r="B465" s="9"/>
    </row>
    <row r="466">
      <c r="A466" s="9"/>
      <c r="B466" s="9"/>
    </row>
    <row r="467">
      <c r="A467" s="9"/>
      <c r="B467" s="9"/>
    </row>
    <row r="468">
      <c r="A468" s="9"/>
      <c r="B468" s="9"/>
    </row>
    <row r="469">
      <c r="A469" s="9"/>
      <c r="B469" s="9"/>
    </row>
    <row r="470">
      <c r="A470" s="9"/>
      <c r="B470" s="9"/>
    </row>
    <row r="471">
      <c r="A471" s="9"/>
      <c r="B471" s="9"/>
    </row>
    <row r="472">
      <c r="A472" s="9"/>
      <c r="B472" s="9"/>
    </row>
    <row r="473">
      <c r="A473" s="9"/>
      <c r="B473" s="9"/>
    </row>
    <row r="474">
      <c r="A474" s="9"/>
      <c r="B474" s="9"/>
    </row>
    <row r="475">
      <c r="A475" s="9"/>
      <c r="B475" s="9"/>
    </row>
    <row r="476">
      <c r="A476" s="9"/>
      <c r="B476" s="9"/>
    </row>
    <row r="477">
      <c r="A477" s="9"/>
      <c r="B477" s="9"/>
    </row>
    <row r="478">
      <c r="A478" s="9"/>
      <c r="B478" s="9"/>
    </row>
    <row r="479">
      <c r="A479" s="9"/>
      <c r="B479" s="9"/>
    </row>
    <row r="480">
      <c r="A480" s="9"/>
      <c r="B480" s="9"/>
    </row>
    <row r="481">
      <c r="A481" s="9"/>
      <c r="B481" s="9"/>
    </row>
    <row r="482">
      <c r="A482" s="9"/>
      <c r="B482" s="9"/>
    </row>
    <row r="483">
      <c r="A483" s="9"/>
      <c r="B483" s="9"/>
    </row>
    <row r="484">
      <c r="A484" s="9"/>
      <c r="B484" s="9"/>
    </row>
    <row r="485">
      <c r="A485" s="9"/>
      <c r="B485" s="9"/>
    </row>
    <row r="486">
      <c r="A486" s="9"/>
      <c r="B486" s="9"/>
    </row>
    <row r="487">
      <c r="A487" s="9"/>
      <c r="B487" s="9"/>
    </row>
    <row r="488">
      <c r="A488" s="9"/>
      <c r="B488" s="9"/>
    </row>
    <row r="489">
      <c r="A489" s="9"/>
      <c r="B489" s="9"/>
    </row>
    <row r="490">
      <c r="A490" s="9"/>
      <c r="B490" s="9"/>
    </row>
    <row r="491">
      <c r="A491" s="9"/>
      <c r="B491" s="9"/>
    </row>
    <row r="492">
      <c r="A492" s="9"/>
      <c r="B492" s="9"/>
    </row>
    <row r="493">
      <c r="A493" s="9"/>
      <c r="B493" s="9"/>
    </row>
    <row r="494">
      <c r="A494" s="9"/>
      <c r="B494" s="9"/>
    </row>
    <row r="495">
      <c r="A495" s="9"/>
      <c r="B495" s="9"/>
    </row>
    <row r="496">
      <c r="A496" s="9"/>
      <c r="B496" s="9"/>
    </row>
    <row r="497">
      <c r="A497" s="9"/>
      <c r="B497" s="9"/>
    </row>
    <row r="498">
      <c r="A498" s="9"/>
      <c r="B498" s="9"/>
    </row>
    <row r="499">
      <c r="A499" s="9"/>
      <c r="B499" s="9"/>
    </row>
    <row r="500">
      <c r="A500" s="9"/>
      <c r="B500" s="9"/>
    </row>
    <row r="501">
      <c r="A501" s="9"/>
      <c r="B501" s="9"/>
    </row>
    <row r="502">
      <c r="A502" s="9"/>
      <c r="B502" s="9"/>
    </row>
    <row r="503">
      <c r="A503" s="9"/>
      <c r="B503" s="9"/>
    </row>
    <row r="504">
      <c r="A504" s="9"/>
      <c r="B504" s="9"/>
    </row>
    <row r="505">
      <c r="A505" s="9"/>
      <c r="B505" s="9"/>
    </row>
    <row r="506">
      <c r="A506" s="9"/>
      <c r="B506" s="9"/>
    </row>
    <row r="507">
      <c r="A507" s="9"/>
      <c r="B507" s="9"/>
    </row>
    <row r="508">
      <c r="A508" s="9"/>
      <c r="B508" s="9"/>
    </row>
    <row r="509">
      <c r="A509" s="9"/>
      <c r="B509" s="9"/>
    </row>
    <row r="510">
      <c r="A510" s="9"/>
      <c r="B510" s="9"/>
    </row>
    <row r="511">
      <c r="A511" s="9"/>
      <c r="B511" s="9"/>
    </row>
    <row r="512">
      <c r="A512" s="9"/>
      <c r="B512" s="9"/>
    </row>
    <row r="513">
      <c r="A513" s="9"/>
      <c r="B513" s="9"/>
    </row>
    <row r="514">
      <c r="A514" s="9"/>
      <c r="B514" s="9"/>
    </row>
    <row r="515">
      <c r="A515" s="9"/>
      <c r="B515" s="9"/>
    </row>
    <row r="516">
      <c r="A516" s="9"/>
      <c r="B516" s="9"/>
    </row>
    <row r="517">
      <c r="A517" s="9"/>
      <c r="B517" s="9"/>
    </row>
    <row r="518">
      <c r="A518" s="9"/>
      <c r="B518" s="9"/>
    </row>
    <row r="519">
      <c r="A519" s="9"/>
      <c r="B519" s="9"/>
    </row>
    <row r="520">
      <c r="A520" s="9"/>
      <c r="B520" s="9"/>
    </row>
    <row r="521">
      <c r="A521" s="9"/>
      <c r="B521" s="9"/>
    </row>
    <row r="522">
      <c r="A522" s="9"/>
      <c r="B522" s="9"/>
    </row>
    <row r="523">
      <c r="A523" s="9"/>
      <c r="B523" s="9"/>
    </row>
    <row r="524">
      <c r="A524" s="9"/>
      <c r="B524" s="9"/>
    </row>
    <row r="525">
      <c r="A525" s="9"/>
      <c r="B525" s="9"/>
    </row>
    <row r="526">
      <c r="A526" s="9"/>
      <c r="B526" s="9"/>
    </row>
    <row r="527">
      <c r="A527" s="9"/>
      <c r="B527" s="9"/>
    </row>
    <row r="528">
      <c r="A528" s="9"/>
      <c r="B528" s="9"/>
    </row>
    <row r="529">
      <c r="A529" s="9"/>
      <c r="B529" s="9"/>
    </row>
    <row r="530">
      <c r="A530" s="9"/>
      <c r="B530" s="9"/>
    </row>
    <row r="531">
      <c r="A531" s="9"/>
      <c r="B531" s="9"/>
    </row>
    <row r="532">
      <c r="A532" s="9"/>
      <c r="B532" s="9"/>
    </row>
    <row r="533">
      <c r="A533" s="9"/>
      <c r="B533" s="9"/>
    </row>
    <row r="534">
      <c r="A534" s="9"/>
      <c r="B534" s="9"/>
    </row>
    <row r="535">
      <c r="A535" s="9"/>
      <c r="B535" s="9"/>
    </row>
    <row r="536">
      <c r="A536" s="9"/>
      <c r="B536" s="9"/>
    </row>
    <row r="537">
      <c r="A537" s="9"/>
      <c r="B537" s="9"/>
    </row>
    <row r="538">
      <c r="A538" s="9"/>
      <c r="B538" s="9"/>
    </row>
    <row r="539">
      <c r="A539" s="9"/>
      <c r="B539" s="9"/>
    </row>
    <row r="540">
      <c r="A540" s="9"/>
      <c r="B540" s="9"/>
    </row>
    <row r="541">
      <c r="A541" s="9"/>
      <c r="B541" s="9"/>
    </row>
    <row r="542">
      <c r="A542" s="9"/>
      <c r="B542" s="9"/>
    </row>
    <row r="543">
      <c r="A543" s="9"/>
      <c r="B543" s="9"/>
    </row>
    <row r="544">
      <c r="A544" s="9"/>
      <c r="B544" s="9"/>
    </row>
    <row r="545">
      <c r="A545" s="9"/>
      <c r="B545" s="9"/>
    </row>
    <row r="546">
      <c r="A546" s="9"/>
      <c r="B546" s="9"/>
    </row>
    <row r="547">
      <c r="A547" s="9"/>
      <c r="B547" s="9"/>
    </row>
    <row r="548">
      <c r="A548" s="9"/>
      <c r="B548" s="9"/>
    </row>
    <row r="549">
      <c r="A549" s="9"/>
      <c r="B549" s="9"/>
    </row>
    <row r="550">
      <c r="A550" s="9"/>
      <c r="B550" s="9"/>
    </row>
    <row r="551">
      <c r="A551" s="9"/>
      <c r="B551" s="9"/>
    </row>
    <row r="552">
      <c r="A552" s="9"/>
      <c r="B552" s="9"/>
    </row>
    <row r="553">
      <c r="A553" s="9"/>
      <c r="B553" s="9"/>
    </row>
    <row r="554">
      <c r="A554" s="9"/>
      <c r="B554" s="9"/>
    </row>
    <row r="555">
      <c r="A555" s="9"/>
      <c r="B555" s="9"/>
    </row>
    <row r="556">
      <c r="A556" s="9"/>
      <c r="B556" s="9"/>
    </row>
    <row r="557">
      <c r="A557" s="9"/>
      <c r="B557" s="9"/>
    </row>
    <row r="558">
      <c r="A558" s="9"/>
      <c r="B558" s="9"/>
    </row>
    <row r="559">
      <c r="A559" s="9"/>
      <c r="B559" s="9"/>
    </row>
    <row r="560">
      <c r="A560" s="9"/>
      <c r="B560" s="9"/>
    </row>
    <row r="561">
      <c r="A561" s="9"/>
      <c r="B561" s="9"/>
    </row>
    <row r="562">
      <c r="A562" s="9"/>
      <c r="B562" s="9"/>
    </row>
    <row r="563">
      <c r="A563" s="9"/>
      <c r="B563" s="9"/>
    </row>
    <row r="564">
      <c r="A564" s="9"/>
      <c r="B564" s="9"/>
    </row>
    <row r="565">
      <c r="A565" s="9"/>
      <c r="B565" s="9"/>
    </row>
    <row r="566">
      <c r="A566" s="9"/>
      <c r="B566" s="9"/>
    </row>
    <row r="567">
      <c r="A567" s="9"/>
      <c r="B567" s="9"/>
    </row>
    <row r="568">
      <c r="A568" s="9"/>
      <c r="B568" s="9"/>
    </row>
    <row r="569">
      <c r="A569" s="9"/>
      <c r="B569" s="9"/>
    </row>
    <row r="570">
      <c r="A570" s="9"/>
      <c r="B570" s="9"/>
    </row>
    <row r="571">
      <c r="A571" s="9"/>
      <c r="B571" s="9"/>
    </row>
    <row r="572">
      <c r="A572" s="9"/>
      <c r="B572" s="9"/>
    </row>
    <row r="573">
      <c r="A573" s="9"/>
      <c r="B573" s="9"/>
    </row>
    <row r="574">
      <c r="A574" s="9"/>
      <c r="B574" s="9"/>
    </row>
    <row r="575">
      <c r="A575" s="9"/>
      <c r="B575" s="9"/>
    </row>
    <row r="576">
      <c r="A576" s="9"/>
      <c r="B576" s="9"/>
    </row>
    <row r="577">
      <c r="A577" s="9"/>
      <c r="B577" s="9"/>
    </row>
    <row r="578">
      <c r="A578" s="9"/>
      <c r="B578" s="9"/>
    </row>
    <row r="579">
      <c r="A579" s="9"/>
      <c r="B579" s="9"/>
    </row>
    <row r="580">
      <c r="A580" s="9"/>
      <c r="B580" s="9"/>
    </row>
    <row r="581">
      <c r="A581" s="9"/>
      <c r="B581" s="9"/>
    </row>
    <row r="582">
      <c r="A582" s="9"/>
      <c r="B582" s="9"/>
    </row>
    <row r="583">
      <c r="A583" s="9"/>
      <c r="B583" s="9"/>
    </row>
    <row r="584">
      <c r="A584" s="9"/>
      <c r="B584" s="9"/>
    </row>
    <row r="585">
      <c r="A585" s="9"/>
      <c r="B585" s="9"/>
    </row>
    <row r="586">
      <c r="A586" s="9"/>
      <c r="B586" s="9"/>
    </row>
    <row r="587">
      <c r="A587" s="9"/>
      <c r="B587" s="9"/>
    </row>
    <row r="588">
      <c r="A588" s="9"/>
      <c r="B588" s="9"/>
    </row>
    <row r="589">
      <c r="A589" s="9"/>
      <c r="B589" s="9"/>
    </row>
    <row r="590">
      <c r="A590" s="9"/>
      <c r="B590" s="9"/>
    </row>
    <row r="591">
      <c r="A591" s="9"/>
      <c r="B591" s="9"/>
    </row>
    <row r="592">
      <c r="A592" s="9"/>
      <c r="B592" s="9"/>
    </row>
    <row r="593">
      <c r="A593" s="9"/>
      <c r="B593" s="9"/>
    </row>
    <row r="594">
      <c r="A594" s="9"/>
      <c r="B594" s="9"/>
    </row>
    <row r="595">
      <c r="A595" s="9"/>
      <c r="B595" s="9"/>
    </row>
    <row r="596">
      <c r="A596" s="9"/>
      <c r="B596" s="9"/>
    </row>
    <row r="597">
      <c r="A597" s="9"/>
      <c r="B597" s="9"/>
    </row>
    <row r="598">
      <c r="A598" s="9"/>
      <c r="B598" s="9"/>
    </row>
    <row r="599">
      <c r="A599" s="9"/>
      <c r="B599" s="9"/>
    </row>
    <row r="600">
      <c r="A600" s="9"/>
      <c r="B600" s="9"/>
    </row>
    <row r="601">
      <c r="A601" s="9"/>
      <c r="B601" s="9"/>
    </row>
    <row r="602">
      <c r="A602" s="9"/>
      <c r="B602" s="9"/>
    </row>
    <row r="603">
      <c r="A603" s="9"/>
      <c r="B603" s="9"/>
    </row>
    <row r="604">
      <c r="A604" s="9"/>
      <c r="B604" s="9"/>
    </row>
    <row r="605">
      <c r="A605" s="9"/>
      <c r="B605" s="9"/>
    </row>
    <row r="606">
      <c r="A606" s="9"/>
      <c r="B606" s="9"/>
    </row>
    <row r="607">
      <c r="A607" s="9"/>
      <c r="B607" s="9"/>
    </row>
    <row r="608">
      <c r="A608" s="9"/>
      <c r="B608" s="9"/>
    </row>
    <row r="609">
      <c r="A609" s="9"/>
      <c r="B609" s="9"/>
    </row>
    <row r="610">
      <c r="A610" s="9"/>
      <c r="B610" s="9"/>
    </row>
    <row r="611">
      <c r="A611" s="9"/>
      <c r="B611" s="9"/>
    </row>
    <row r="612">
      <c r="A612" s="9"/>
      <c r="B612" s="9"/>
    </row>
    <row r="613">
      <c r="A613" s="9"/>
      <c r="B613" s="9"/>
    </row>
    <row r="614">
      <c r="A614" s="9"/>
      <c r="B614" s="9"/>
    </row>
    <row r="615">
      <c r="A615" s="9"/>
      <c r="B615" s="9"/>
    </row>
    <row r="616">
      <c r="A616" s="9"/>
      <c r="B616" s="9"/>
    </row>
    <row r="617">
      <c r="A617" s="9"/>
      <c r="B617" s="9"/>
    </row>
    <row r="618">
      <c r="A618" s="9"/>
      <c r="B618" s="9"/>
    </row>
    <row r="619">
      <c r="A619" s="9"/>
      <c r="B619" s="9"/>
    </row>
    <row r="620">
      <c r="A620" s="9"/>
      <c r="B620" s="9"/>
    </row>
    <row r="621">
      <c r="A621" s="9"/>
      <c r="B621" s="9"/>
    </row>
    <row r="622">
      <c r="A622" s="9"/>
      <c r="B622" s="9"/>
    </row>
    <row r="623">
      <c r="A623" s="9"/>
      <c r="B623" s="9"/>
    </row>
    <row r="624">
      <c r="A624" s="9"/>
      <c r="B624" s="9"/>
    </row>
    <row r="625">
      <c r="A625" s="9"/>
      <c r="B625" s="9"/>
    </row>
    <row r="626">
      <c r="A626" s="9"/>
      <c r="B626" s="9"/>
    </row>
    <row r="627">
      <c r="A627" s="9"/>
      <c r="B627" s="9"/>
    </row>
    <row r="628">
      <c r="A628" s="9"/>
      <c r="B628" s="9"/>
    </row>
    <row r="629">
      <c r="A629" s="9"/>
      <c r="B629" s="9"/>
    </row>
    <row r="630">
      <c r="A630" s="9"/>
      <c r="B630" s="9"/>
    </row>
    <row r="631">
      <c r="A631" s="9"/>
      <c r="B631" s="9"/>
    </row>
    <row r="632">
      <c r="A632" s="9"/>
      <c r="B632" s="9"/>
    </row>
    <row r="633">
      <c r="A633" s="9"/>
      <c r="B633" s="9"/>
    </row>
    <row r="634">
      <c r="A634" s="9"/>
      <c r="B634" s="9"/>
    </row>
    <row r="635">
      <c r="A635" s="9"/>
      <c r="B635" s="9"/>
    </row>
    <row r="636">
      <c r="A636" s="9"/>
      <c r="B636" s="9"/>
    </row>
    <row r="637">
      <c r="A637" s="9"/>
      <c r="B637" s="9"/>
    </row>
    <row r="638">
      <c r="A638" s="9"/>
      <c r="B638" s="9"/>
    </row>
    <row r="639">
      <c r="A639" s="9"/>
      <c r="B639" s="9"/>
    </row>
    <row r="640">
      <c r="A640" s="9"/>
      <c r="B640" s="9"/>
    </row>
    <row r="641">
      <c r="A641" s="9"/>
      <c r="B641" s="9"/>
    </row>
    <row r="642">
      <c r="A642" s="9"/>
      <c r="B642" s="9"/>
    </row>
    <row r="643">
      <c r="A643" s="9"/>
      <c r="B643" s="9"/>
    </row>
    <row r="644">
      <c r="A644" s="9"/>
      <c r="B644" s="9"/>
    </row>
    <row r="645">
      <c r="A645" s="9"/>
      <c r="B645" s="9"/>
    </row>
    <row r="646">
      <c r="A646" s="9"/>
      <c r="B646" s="9"/>
    </row>
    <row r="647">
      <c r="A647" s="9"/>
      <c r="B647" s="9"/>
    </row>
    <row r="648">
      <c r="A648" s="9"/>
      <c r="B648" s="9"/>
    </row>
    <row r="649">
      <c r="A649" s="9"/>
      <c r="B649" s="9"/>
    </row>
    <row r="650">
      <c r="A650" s="9"/>
      <c r="B650" s="9"/>
    </row>
    <row r="651">
      <c r="A651" s="9"/>
      <c r="B651" s="9"/>
    </row>
    <row r="652">
      <c r="A652" s="9"/>
      <c r="B652" s="9"/>
    </row>
    <row r="653">
      <c r="A653" s="9"/>
      <c r="B653" s="9"/>
    </row>
    <row r="654">
      <c r="A654" s="9"/>
      <c r="B654" s="9"/>
    </row>
    <row r="655">
      <c r="A655" s="9"/>
      <c r="B655" s="9"/>
    </row>
    <row r="656">
      <c r="A656" s="9"/>
      <c r="B656" s="9"/>
    </row>
    <row r="657">
      <c r="A657" s="9"/>
      <c r="B657" s="9"/>
    </row>
    <row r="658">
      <c r="A658" s="9"/>
      <c r="B658" s="9"/>
    </row>
    <row r="659">
      <c r="A659" s="9"/>
      <c r="B659" s="9"/>
    </row>
    <row r="660">
      <c r="A660" s="9"/>
      <c r="B660" s="9"/>
    </row>
    <row r="661">
      <c r="A661" s="9"/>
      <c r="B661" s="9"/>
    </row>
    <row r="662">
      <c r="A662" s="9"/>
      <c r="B662" s="9"/>
    </row>
    <row r="663">
      <c r="A663" s="9"/>
      <c r="B663" s="9"/>
    </row>
    <row r="664">
      <c r="A664" s="9"/>
      <c r="B664" s="9"/>
    </row>
    <row r="665">
      <c r="A665" s="9"/>
      <c r="B665" s="9"/>
    </row>
    <row r="666">
      <c r="A666" s="9"/>
      <c r="B666" s="9"/>
    </row>
    <row r="667">
      <c r="A667" s="9"/>
      <c r="B667" s="9"/>
    </row>
    <row r="668">
      <c r="A668" s="9"/>
      <c r="B668" s="9"/>
    </row>
    <row r="669">
      <c r="A669" s="9"/>
      <c r="B669" s="9"/>
    </row>
    <row r="670">
      <c r="A670" s="9"/>
      <c r="B670" s="9"/>
    </row>
    <row r="671">
      <c r="A671" s="9"/>
      <c r="B671" s="9"/>
    </row>
    <row r="672">
      <c r="A672" s="9"/>
      <c r="B672" s="9"/>
    </row>
    <row r="673">
      <c r="A673" s="9"/>
      <c r="B673" s="9"/>
    </row>
    <row r="674">
      <c r="A674" s="9"/>
      <c r="B674" s="9"/>
    </row>
    <row r="675">
      <c r="A675" s="9"/>
      <c r="B675" s="9"/>
    </row>
    <row r="676">
      <c r="A676" s="9"/>
      <c r="B676" s="9"/>
    </row>
    <row r="677">
      <c r="A677" s="9"/>
      <c r="B677" s="9"/>
    </row>
    <row r="678">
      <c r="A678" s="9"/>
      <c r="B678" s="9"/>
    </row>
    <row r="679">
      <c r="A679" s="9"/>
      <c r="B679" s="9"/>
    </row>
    <row r="680">
      <c r="A680" s="9"/>
      <c r="B680" s="9"/>
    </row>
    <row r="681">
      <c r="A681" s="9"/>
      <c r="B681" s="9"/>
    </row>
    <row r="682">
      <c r="A682" s="9"/>
      <c r="B682" s="9"/>
    </row>
    <row r="683">
      <c r="A683" s="9"/>
      <c r="B683" s="9"/>
    </row>
    <row r="684">
      <c r="A684" s="9"/>
      <c r="B684" s="9"/>
    </row>
    <row r="685">
      <c r="A685" s="9"/>
      <c r="B685" s="9"/>
    </row>
    <row r="686">
      <c r="A686" s="9"/>
      <c r="B686" s="9"/>
    </row>
    <row r="687">
      <c r="A687" s="9"/>
      <c r="B687" s="9"/>
    </row>
    <row r="688">
      <c r="A688" s="9"/>
      <c r="B688" s="9"/>
    </row>
    <row r="689">
      <c r="A689" s="9"/>
      <c r="B689" s="9"/>
    </row>
    <row r="690">
      <c r="A690" s="9"/>
      <c r="B690" s="9"/>
    </row>
    <row r="691">
      <c r="A691" s="9"/>
      <c r="B691" s="9"/>
    </row>
    <row r="692">
      <c r="A692" s="9"/>
      <c r="B692" s="9"/>
    </row>
    <row r="693">
      <c r="A693" s="9"/>
      <c r="B693" s="9"/>
    </row>
    <row r="694">
      <c r="A694" s="9"/>
      <c r="B694" s="9"/>
    </row>
    <row r="695">
      <c r="A695" s="9"/>
      <c r="B695" s="9"/>
    </row>
    <row r="696">
      <c r="A696" s="9"/>
      <c r="B696" s="9"/>
    </row>
    <row r="697">
      <c r="A697" s="9"/>
      <c r="B697" s="9"/>
    </row>
    <row r="698">
      <c r="A698" s="9"/>
      <c r="B698" s="9"/>
    </row>
    <row r="699">
      <c r="A699" s="9"/>
      <c r="B699" s="9"/>
    </row>
    <row r="700">
      <c r="A700" s="9"/>
      <c r="B700" s="9"/>
    </row>
    <row r="701">
      <c r="A701" s="9"/>
      <c r="B701" s="9"/>
    </row>
    <row r="702">
      <c r="A702" s="9"/>
      <c r="B702" s="9"/>
    </row>
    <row r="703">
      <c r="A703" s="9"/>
      <c r="B703" s="9"/>
    </row>
    <row r="704">
      <c r="A704" s="9"/>
      <c r="B704" s="9"/>
    </row>
    <row r="705">
      <c r="A705" s="9"/>
      <c r="B705" s="9"/>
    </row>
    <row r="706">
      <c r="A706" s="9"/>
      <c r="B706" s="9"/>
    </row>
    <row r="707">
      <c r="A707" s="9"/>
      <c r="B707" s="9"/>
    </row>
    <row r="708">
      <c r="A708" s="9"/>
      <c r="B708" s="9"/>
    </row>
    <row r="709">
      <c r="A709" s="9"/>
      <c r="B709" s="9"/>
    </row>
    <row r="710">
      <c r="A710" s="9"/>
      <c r="B710" s="9"/>
    </row>
    <row r="711">
      <c r="A711" s="9"/>
      <c r="B711" s="9"/>
    </row>
    <row r="712">
      <c r="A712" s="9"/>
      <c r="B712" s="9"/>
    </row>
    <row r="713">
      <c r="A713" s="9"/>
      <c r="B713" s="9"/>
    </row>
    <row r="714">
      <c r="A714" s="9"/>
      <c r="B714" s="9"/>
    </row>
    <row r="715">
      <c r="A715" s="9"/>
      <c r="B715" s="9"/>
    </row>
    <row r="716">
      <c r="A716" s="9"/>
      <c r="B716" s="9"/>
    </row>
    <row r="717">
      <c r="A717" s="9"/>
      <c r="B717" s="9"/>
    </row>
    <row r="718">
      <c r="A718" s="9"/>
      <c r="B718" s="9"/>
    </row>
    <row r="719">
      <c r="A719" s="9"/>
      <c r="B719" s="9"/>
    </row>
    <row r="720">
      <c r="A720" s="9"/>
      <c r="B720" s="9"/>
    </row>
    <row r="721">
      <c r="A721" s="9"/>
      <c r="B721" s="9"/>
    </row>
    <row r="722">
      <c r="A722" s="9"/>
      <c r="B722" s="9"/>
    </row>
    <row r="723">
      <c r="A723" s="9"/>
      <c r="B723" s="9"/>
    </row>
    <row r="724">
      <c r="A724" s="9"/>
      <c r="B724" s="9"/>
    </row>
    <row r="725">
      <c r="A725" s="9"/>
      <c r="B725" s="9"/>
    </row>
    <row r="726">
      <c r="A726" s="9"/>
      <c r="B726" s="9"/>
    </row>
    <row r="727">
      <c r="A727" s="9"/>
      <c r="B727" s="9"/>
    </row>
    <row r="728">
      <c r="A728" s="9"/>
      <c r="B728" s="9"/>
    </row>
    <row r="729">
      <c r="A729" s="9"/>
      <c r="B729" s="9"/>
    </row>
    <row r="730">
      <c r="A730" s="9"/>
      <c r="B730" s="9"/>
    </row>
    <row r="731">
      <c r="A731" s="9"/>
      <c r="B731" s="9"/>
    </row>
    <row r="732">
      <c r="A732" s="9"/>
      <c r="B732" s="9"/>
    </row>
    <row r="733">
      <c r="A733" s="9"/>
      <c r="B733" s="9"/>
    </row>
    <row r="734">
      <c r="A734" s="9"/>
      <c r="B734" s="9"/>
    </row>
    <row r="735">
      <c r="A735" s="9"/>
      <c r="B735" s="9"/>
    </row>
    <row r="736">
      <c r="A736" s="9"/>
      <c r="B736" s="9"/>
    </row>
    <row r="737">
      <c r="A737" s="9"/>
      <c r="B737" s="9"/>
    </row>
    <row r="738">
      <c r="A738" s="9"/>
      <c r="B738" s="9"/>
    </row>
    <row r="739">
      <c r="A739" s="9"/>
      <c r="B739" s="9"/>
    </row>
    <row r="740">
      <c r="A740" s="9"/>
      <c r="B740" s="9"/>
    </row>
    <row r="741">
      <c r="A741" s="9"/>
      <c r="B741" s="9"/>
    </row>
    <row r="742">
      <c r="A742" s="9"/>
      <c r="B742" s="9"/>
    </row>
    <row r="743">
      <c r="A743" s="9"/>
      <c r="B743" s="9"/>
    </row>
    <row r="744">
      <c r="A744" s="9"/>
      <c r="B744" s="9"/>
    </row>
    <row r="745">
      <c r="A745" s="9"/>
      <c r="B745" s="9"/>
    </row>
    <row r="746">
      <c r="A746" s="9"/>
      <c r="B746" s="9"/>
    </row>
    <row r="747">
      <c r="A747" s="9"/>
      <c r="B747" s="9"/>
    </row>
    <row r="748">
      <c r="A748" s="9"/>
      <c r="B748" s="9"/>
    </row>
    <row r="749">
      <c r="A749" s="9"/>
      <c r="B749" s="9"/>
    </row>
    <row r="750">
      <c r="A750" s="9"/>
      <c r="B750" s="9"/>
    </row>
    <row r="751">
      <c r="A751" s="9"/>
      <c r="B751" s="9"/>
    </row>
    <row r="752">
      <c r="A752" s="9"/>
      <c r="B752" s="9"/>
    </row>
    <row r="753">
      <c r="A753" s="9"/>
      <c r="B753" s="9"/>
    </row>
    <row r="754">
      <c r="A754" s="9"/>
      <c r="B754" s="9"/>
    </row>
    <row r="755">
      <c r="A755" s="9"/>
      <c r="B755" s="9"/>
    </row>
    <row r="756">
      <c r="A756" s="9"/>
      <c r="B756" s="9"/>
    </row>
    <row r="757">
      <c r="A757" s="9"/>
      <c r="B757" s="9"/>
    </row>
    <row r="758">
      <c r="A758" s="9"/>
      <c r="B758" s="9"/>
    </row>
    <row r="759">
      <c r="A759" s="9"/>
      <c r="B759" s="9"/>
    </row>
    <row r="760">
      <c r="A760" s="9"/>
      <c r="B760" s="9"/>
    </row>
    <row r="761">
      <c r="A761" s="9"/>
      <c r="B761" s="9"/>
    </row>
    <row r="762">
      <c r="A762" s="9"/>
      <c r="B762" s="9"/>
    </row>
    <row r="763">
      <c r="A763" s="9"/>
      <c r="B763" s="9"/>
    </row>
    <row r="764">
      <c r="A764" s="9"/>
      <c r="B764" s="9"/>
    </row>
    <row r="765">
      <c r="A765" s="9"/>
      <c r="B765" s="9"/>
    </row>
    <row r="766">
      <c r="A766" s="9"/>
      <c r="B766" s="9"/>
    </row>
    <row r="767">
      <c r="A767" s="9"/>
      <c r="B767" s="9"/>
    </row>
    <row r="768">
      <c r="A768" s="9"/>
      <c r="B768" s="9"/>
    </row>
    <row r="769">
      <c r="A769" s="9"/>
      <c r="B769" s="9"/>
    </row>
    <row r="770">
      <c r="A770" s="9"/>
      <c r="B770" s="9"/>
    </row>
    <row r="771">
      <c r="A771" s="9"/>
      <c r="B771" s="9"/>
    </row>
    <row r="772">
      <c r="A772" s="9"/>
      <c r="B772" s="9"/>
    </row>
    <row r="773">
      <c r="A773" s="9"/>
      <c r="B773" s="9"/>
    </row>
    <row r="774">
      <c r="A774" s="9"/>
      <c r="B774" s="9"/>
    </row>
    <row r="775">
      <c r="A775" s="9"/>
      <c r="B775" s="9"/>
    </row>
    <row r="776">
      <c r="A776" s="9"/>
      <c r="B776" s="9"/>
    </row>
    <row r="777">
      <c r="A777" s="9"/>
      <c r="B777" s="9"/>
    </row>
    <row r="778">
      <c r="A778" s="9"/>
      <c r="B778" s="9"/>
    </row>
    <row r="779">
      <c r="A779" s="9"/>
      <c r="B779" s="9"/>
    </row>
    <row r="780">
      <c r="A780" s="9"/>
      <c r="B780" s="9"/>
    </row>
    <row r="781">
      <c r="A781" s="9"/>
      <c r="B781" s="9"/>
    </row>
    <row r="782">
      <c r="A782" s="9"/>
      <c r="B782" s="9"/>
    </row>
    <row r="783">
      <c r="A783" s="9"/>
      <c r="B783" s="9"/>
    </row>
    <row r="784">
      <c r="A784" s="9"/>
      <c r="B784" s="9"/>
    </row>
    <row r="785">
      <c r="A785" s="9"/>
      <c r="B785" s="9"/>
    </row>
    <row r="786">
      <c r="A786" s="9"/>
      <c r="B786" s="9"/>
    </row>
    <row r="787">
      <c r="A787" s="9"/>
      <c r="B787" s="9"/>
    </row>
    <row r="788">
      <c r="A788" s="9"/>
      <c r="B788" s="9"/>
    </row>
    <row r="789">
      <c r="A789" s="9"/>
      <c r="B789" s="9"/>
    </row>
    <row r="790">
      <c r="A790" s="9"/>
      <c r="B790" s="9"/>
    </row>
    <row r="791">
      <c r="A791" s="9"/>
      <c r="B791" s="9"/>
    </row>
    <row r="792">
      <c r="A792" s="9"/>
      <c r="B792" s="9"/>
    </row>
    <row r="793">
      <c r="A793" s="9"/>
      <c r="B793" s="9"/>
    </row>
    <row r="794">
      <c r="A794" s="9"/>
      <c r="B794" s="9"/>
    </row>
    <row r="795">
      <c r="A795" s="9"/>
      <c r="B795" s="9"/>
    </row>
    <row r="796">
      <c r="A796" s="9"/>
      <c r="B796" s="9"/>
    </row>
    <row r="797">
      <c r="A797" s="9"/>
      <c r="B797" s="9"/>
    </row>
    <row r="798">
      <c r="A798" s="9"/>
      <c r="B798" s="9"/>
    </row>
    <row r="799">
      <c r="A799" s="9"/>
      <c r="B799" s="9"/>
    </row>
    <row r="800">
      <c r="A800" s="9"/>
      <c r="B800" s="9"/>
    </row>
    <row r="801">
      <c r="A801" s="9"/>
      <c r="B801" s="9"/>
    </row>
    <row r="802">
      <c r="A802" s="9"/>
      <c r="B802" s="9"/>
    </row>
    <row r="803">
      <c r="A803" s="9"/>
      <c r="B803" s="9"/>
    </row>
    <row r="804">
      <c r="A804" s="9"/>
      <c r="B804" s="9"/>
    </row>
    <row r="805">
      <c r="A805" s="9"/>
      <c r="B805" s="9"/>
    </row>
    <row r="806">
      <c r="A806" s="9"/>
      <c r="B806" s="9"/>
    </row>
    <row r="807">
      <c r="A807" s="9"/>
      <c r="B807" s="9"/>
    </row>
    <row r="808">
      <c r="A808" s="9"/>
      <c r="B808" s="9"/>
    </row>
    <row r="809">
      <c r="A809" s="9"/>
      <c r="B809" s="9"/>
    </row>
    <row r="810">
      <c r="A810" s="9"/>
      <c r="B810" s="9"/>
    </row>
    <row r="811">
      <c r="A811" s="9"/>
      <c r="B811" s="9"/>
    </row>
    <row r="812">
      <c r="A812" s="9"/>
      <c r="B812" s="9"/>
    </row>
    <row r="813">
      <c r="A813" s="9"/>
      <c r="B813" s="9"/>
    </row>
    <row r="814">
      <c r="A814" s="9"/>
      <c r="B814" s="9"/>
    </row>
    <row r="815">
      <c r="A815" s="9"/>
      <c r="B815" s="9"/>
    </row>
    <row r="816">
      <c r="A816" s="9"/>
      <c r="B816" s="9"/>
    </row>
    <row r="817">
      <c r="A817" s="9"/>
      <c r="B817" s="9"/>
    </row>
    <row r="818">
      <c r="A818" s="9"/>
      <c r="B818" s="9"/>
    </row>
    <row r="819">
      <c r="A819" s="9"/>
      <c r="B819" s="9"/>
    </row>
    <row r="820">
      <c r="A820" s="9"/>
      <c r="B820" s="9"/>
    </row>
    <row r="821">
      <c r="A821" s="9"/>
      <c r="B821" s="9"/>
    </row>
    <row r="822">
      <c r="A822" s="9"/>
      <c r="B822" s="9"/>
    </row>
    <row r="823">
      <c r="A823" s="9"/>
      <c r="B823" s="9"/>
    </row>
    <row r="824">
      <c r="A824" s="9"/>
      <c r="B824" s="9"/>
    </row>
    <row r="825">
      <c r="A825" s="9"/>
      <c r="B825" s="9"/>
    </row>
    <row r="826">
      <c r="A826" s="9"/>
      <c r="B826" s="9"/>
    </row>
    <row r="827">
      <c r="A827" s="9"/>
      <c r="B827" s="9"/>
    </row>
    <row r="828">
      <c r="A828" s="9"/>
      <c r="B828" s="9"/>
    </row>
    <row r="829">
      <c r="A829" s="9"/>
      <c r="B829" s="9"/>
    </row>
    <row r="830">
      <c r="A830" s="9"/>
      <c r="B830" s="9"/>
    </row>
    <row r="831">
      <c r="A831" s="9"/>
      <c r="B831" s="9"/>
    </row>
    <row r="832">
      <c r="A832" s="9"/>
      <c r="B832" s="9"/>
    </row>
    <row r="833">
      <c r="A833" s="9"/>
      <c r="B833" s="9"/>
    </row>
    <row r="834">
      <c r="A834" s="9"/>
      <c r="B834" s="9"/>
    </row>
    <row r="835">
      <c r="A835" s="9"/>
      <c r="B835" s="9"/>
    </row>
    <row r="836">
      <c r="A836" s="9"/>
      <c r="B836" s="9"/>
    </row>
    <row r="837">
      <c r="A837" s="9"/>
      <c r="B837" s="9"/>
    </row>
    <row r="838">
      <c r="A838" s="9"/>
      <c r="B838" s="9"/>
    </row>
    <row r="839">
      <c r="A839" s="9"/>
      <c r="B839" s="9"/>
    </row>
    <row r="840">
      <c r="A840" s="9"/>
      <c r="B840" s="9"/>
    </row>
    <row r="841">
      <c r="A841" s="9"/>
      <c r="B841" s="9"/>
    </row>
    <row r="842">
      <c r="A842" s="9"/>
      <c r="B842" s="9"/>
    </row>
    <row r="843">
      <c r="A843" s="9"/>
      <c r="B843" s="9"/>
    </row>
    <row r="844">
      <c r="A844" s="9"/>
      <c r="B844" s="9"/>
    </row>
    <row r="845">
      <c r="A845" s="9"/>
      <c r="B845" s="9"/>
    </row>
    <row r="846">
      <c r="A846" s="9"/>
      <c r="B846" s="9"/>
    </row>
    <row r="847">
      <c r="A847" s="9"/>
      <c r="B847" s="9"/>
    </row>
    <row r="848">
      <c r="A848" s="9"/>
      <c r="B848" s="9"/>
    </row>
    <row r="849">
      <c r="A849" s="9"/>
      <c r="B849" s="9"/>
    </row>
    <row r="850">
      <c r="A850" s="9"/>
      <c r="B850" s="9"/>
    </row>
    <row r="851">
      <c r="A851" s="9"/>
      <c r="B851" s="9"/>
    </row>
    <row r="852">
      <c r="A852" s="9"/>
      <c r="B852" s="9"/>
    </row>
    <row r="853">
      <c r="A853" s="9"/>
      <c r="B853" s="9"/>
    </row>
    <row r="854">
      <c r="A854" s="9"/>
      <c r="B854" s="9"/>
    </row>
    <row r="855">
      <c r="A855" s="9"/>
      <c r="B855" s="9"/>
    </row>
    <row r="856">
      <c r="A856" s="9"/>
      <c r="B856" s="9"/>
    </row>
    <row r="857">
      <c r="A857" s="9"/>
      <c r="B857" s="9"/>
    </row>
    <row r="858">
      <c r="A858" s="9"/>
      <c r="B858" s="9"/>
    </row>
    <row r="859">
      <c r="A859" s="9"/>
      <c r="B859" s="9"/>
    </row>
    <row r="860">
      <c r="A860" s="9"/>
      <c r="B860" s="9"/>
    </row>
    <row r="861">
      <c r="A861" s="9"/>
      <c r="B861" s="9"/>
    </row>
    <row r="862">
      <c r="A862" s="9"/>
      <c r="B862" s="9"/>
    </row>
    <row r="863">
      <c r="A863" s="9"/>
      <c r="B863" s="9"/>
    </row>
    <row r="864">
      <c r="A864" s="9"/>
      <c r="B864" s="9"/>
    </row>
    <row r="865">
      <c r="A865" s="9"/>
      <c r="B865" s="9"/>
    </row>
    <row r="866">
      <c r="A866" s="9"/>
      <c r="B866" s="9"/>
    </row>
    <row r="867">
      <c r="A867" s="9"/>
      <c r="B867" s="9"/>
    </row>
    <row r="868">
      <c r="A868" s="9"/>
      <c r="B868" s="9"/>
    </row>
    <row r="869">
      <c r="A869" s="9"/>
      <c r="B869" s="9"/>
    </row>
    <row r="870">
      <c r="A870" s="9"/>
      <c r="B870" s="9"/>
    </row>
    <row r="871">
      <c r="A871" s="9"/>
      <c r="B871" s="9"/>
    </row>
    <row r="872">
      <c r="A872" s="9"/>
      <c r="B872" s="9"/>
    </row>
    <row r="873">
      <c r="A873" s="9"/>
      <c r="B873" s="9"/>
    </row>
    <row r="874">
      <c r="A874" s="9"/>
      <c r="B874" s="9"/>
    </row>
    <row r="875">
      <c r="A875" s="9"/>
      <c r="B875" s="9"/>
    </row>
    <row r="876">
      <c r="A876" s="9"/>
      <c r="B876" s="9"/>
    </row>
    <row r="877">
      <c r="A877" s="9"/>
      <c r="B877" s="9"/>
    </row>
    <row r="878">
      <c r="A878" s="9"/>
      <c r="B878" s="9"/>
    </row>
    <row r="879">
      <c r="A879" s="9"/>
      <c r="B879" s="9"/>
    </row>
    <row r="880">
      <c r="A880" s="9"/>
      <c r="B880" s="9"/>
    </row>
    <row r="881">
      <c r="A881" s="9"/>
      <c r="B881" s="9"/>
    </row>
    <row r="882">
      <c r="A882" s="9"/>
      <c r="B882" s="9"/>
    </row>
    <row r="883">
      <c r="A883" s="9"/>
      <c r="B883" s="9"/>
    </row>
    <row r="884">
      <c r="A884" s="9"/>
      <c r="B884" s="9"/>
    </row>
    <row r="885">
      <c r="A885" s="9"/>
      <c r="B885" s="9"/>
    </row>
    <row r="886">
      <c r="A886" s="9"/>
      <c r="B886" s="9"/>
    </row>
    <row r="887">
      <c r="A887" s="9"/>
      <c r="B887" s="9"/>
    </row>
    <row r="888">
      <c r="A888" s="9"/>
      <c r="B888" s="9"/>
    </row>
    <row r="889">
      <c r="A889" s="9"/>
      <c r="B889" s="9"/>
    </row>
    <row r="890">
      <c r="A890" s="9"/>
      <c r="B890" s="9"/>
    </row>
    <row r="891">
      <c r="A891" s="9"/>
      <c r="B891" s="9"/>
    </row>
    <row r="892">
      <c r="A892" s="9"/>
      <c r="B892" s="9"/>
    </row>
    <row r="893">
      <c r="A893" s="9"/>
      <c r="B893" s="9"/>
    </row>
    <row r="894">
      <c r="A894" s="9"/>
      <c r="B894" s="9"/>
    </row>
    <row r="895">
      <c r="A895" s="9"/>
      <c r="B895" s="9"/>
    </row>
    <row r="896">
      <c r="A896" s="9"/>
      <c r="B896" s="9"/>
    </row>
    <row r="897">
      <c r="A897" s="9"/>
      <c r="B897" s="9"/>
    </row>
    <row r="898">
      <c r="A898" s="9"/>
      <c r="B898" s="9"/>
    </row>
    <row r="899">
      <c r="A899" s="9"/>
      <c r="B899" s="9"/>
    </row>
    <row r="900">
      <c r="A900" s="9"/>
      <c r="B900" s="9"/>
    </row>
    <row r="901">
      <c r="A901" s="9"/>
      <c r="B901" s="9"/>
    </row>
    <row r="902">
      <c r="A902" s="9"/>
      <c r="B902" s="9"/>
    </row>
    <row r="903">
      <c r="A903" s="9"/>
      <c r="B903" s="9"/>
    </row>
    <row r="904">
      <c r="A904" s="9"/>
      <c r="B904" s="9"/>
    </row>
    <row r="905">
      <c r="A905" s="9"/>
      <c r="B905" s="9"/>
    </row>
    <row r="906">
      <c r="A906" s="9"/>
      <c r="B906" s="9"/>
    </row>
    <row r="907">
      <c r="A907" s="9"/>
      <c r="B907" s="9"/>
    </row>
    <row r="908">
      <c r="A908" s="9"/>
      <c r="B908" s="9"/>
    </row>
    <row r="909">
      <c r="A909" s="9"/>
      <c r="B909" s="9"/>
    </row>
    <row r="910">
      <c r="A910" s="9"/>
      <c r="B910" s="9"/>
    </row>
    <row r="911">
      <c r="A911" s="9"/>
      <c r="B911" s="9"/>
    </row>
    <row r="912">
      <c r="A912" s="9"/>
      <c r="B912" s="9"/>
    </row>
    <row r="913">
      <c r="A913" s="9"/>
      <c r="B913" s="9"/>
    </row>
    <row r="914">
      <c r="A914" s="9"/>
      <c r="B914" s="9"/>
    </row>
    <row r="915">
      <c r="A915" s="9"/>
      <c r="B915" s="9"/>
    </row>
    <row r="916">
      <c r="A916" s="9"/>
      <c r="B916" s="9"/>
    </row>
    <row r="917">
      <c r="A917" s="9"/>
      <c r="B917" s="9"/>
    </row>
    <row r="918">
      <c r="A918" s="9"/>
      <c r="B918" s="9"/>
    </row>
    <row r="919">
      <c r="A919" s="9"/>
      <c r="B919" s="9"/>
    </row>
    <row r="920">
      <c r="A920" s="9"/>
      <c r="B920" s="9"/>
    </row>
    <row r="921">
      <c r="A921" s="9"/>
      <c r="B921" s="9"/>
    </row>
    <row r="922">
      <c r="A922" s="9"/>
      <c r="B922" s="9"/>
    </row>
    <row r="923">
      <c r="A923" s="9"/>
      <c r="B923" s="9"/>
    </row>
    <row r="924">
      <c r="A924" s="9"/>
      <c r="B924" s="9"/>
    </row>
    <row r="925">
      <c r="A925" s="9"/>
      <c r="B925" s="9"/>
    </row>
    <row r="926">
      <c r="A926" s="9"/>
      <c r="B926" s="9"/>
    </row>
    <row r="927">
      <c r="A927" s="9"/>
      <c r="B927" s="9"/>
    </row>
    <row r="928">
      <c r="A928" s="9"/>
      <c r="B928" s="9"/>
    </row>
    <row r="929">
      <c r="A929" s="9"/>
      <c r="B929" s="9"/>
    </row>
    <row r="930">
      <c r="A930" s="9"/>
      <c r="B930" s="9"/>
    </row>
    <row r="931">
      <c r="A931" s="9"/>
      <c r="B931" s="9"/>
    </row>
    <row r="932">
      <c r="A932" s="9"/>
      <c r="B932" s="9"/>
    </row>
    <row r="933">
      <c r="A933" s="9"/>
      <c r="B933" s="9"/>
    </row>
    <row r="934">
      <c r="A934" s="9"/>
      <c r="B934" s="9"/>
    </row>
    <row r="935">
      <c r="A935" s="9"/>
      <c r="B935" s="9"/>
    </row>
    <row r="936">
      <c r="A936" s="9"/>
      <c r="B936" s="9"/>
    </row>
    <row r="937">
      <c r="A937" s="9"/>
      <c r="B937" s="9"/>
    </row>
    <row r="938">
      <c r="A938" s="9"/>
      <c r="B938" s="9"/>
    </row>
    <row r="939">
      <c r="A939" s="9"/>
      <c r="B939" s="9"/>
    </row>
    <row r="940">
      <c r="A940" s="9"/>
      <c r="B940" s="9"/>
    </row>
    <row r="941">
      <c r="A941" s="9"/>
      <c r="B941" s="9"/>
    </row>
    <row r="942">
      <c r="A942" s="9"/>
      <c r="B942" s="9"/>
    </row>
    <row r="943">
      <c r="A943" s="9"/>
      <c r="B943" s="9"/>
    </row>
    <row r="944">
      <c r="A944" s="9"/>
      <c r="B944" s="9"/>
    </row>
    <row r="945">
      <c r="A945" s="9"/>
      <c r="B945" s="9"/>
    </row>
    <row r="946">
      <c r="A946" s="9"/>
      <c r="B946" s="9"/>
    </row>
    <row r="947">
      <c r="A947" s="9"/>
      <c r="B947" s="9"/>
    </row>
    <row r="948">
      <c r="A948" s="9"/>
      <c r="B948" s="9"/>
    </row>
    <row r="949">
      <c r="A949" s="9"/>
      <c r="B949" s="9"/>
    </row>
    <row r="950">
      <c r="A950" s="9"/>
      <c r="B950" s="9"/>
    </row>
    <row r="951">
      <c r="A951" s="9"/>
      <c r="B951" s="9"/>
    </row>
    <row r="952">
      <c r="A952" s="9"/>
      <c r="B952" s="9"/>
    </row>
    <row r="953">
      <c r="A953" s="9"/>
      <c r="B953" s="9"/>
    </row>
    <row r="954">
      <c r="A954" s="9"/>
      <c r="B954" s="9"/>
    </row>
    <row r="955">
      <c r="A955" s="9"/>
      <c r="B955" s="9"/>
    </row>
    <row r="956">
      <c r="A956" s="9"/>
      <c r="B956" s="9"/>
    </row>
    <row r="957">
      <c r="A957" s="9"/>
      <c r="B957" s="9"/>
    </row>
    <row r="958">
      <c r="A958" s="9"/>
      <c r="B958" s="9"/>
    </row>
    <row r="959">
      <c r="A959" s="9"/>
      <c r="B959" s="9"/>
    </row>
    <row r="960">
      <c r="A960" s="9"/>
      <c r="B960" s="9"/>
    </row>
    <row r="961">
      <c r="A961" s="9"/>
      <c r="B961" s="9"/>
    </row>
    <row r="962">
      <c r="A962" s="9"/>
      <c r="B962" s="9"/>
    </row>
    <row r="963">
      <c r="A963" s="9"/>
      <c r="B963" s="9"/>
    </row>
    <row r="964">
      <c r="A964" s="9"/>
      <c r="B964" s="9"/>
    </row>
    <row r="965">
      <c r="A965" s="9"/>
      <c r="B965" s="9"/>
    </row>
    <row r="966">
      <c r="A966" s="9"/>
      <c r="B966" s="9"/>
    </row>
    <row r="967">
      <c r="A967" s="9"/>
      <c r="B967" s="9"/>
    </row>
    <row r="968">
      <c r="A968" s="9"/>
      <c r="B968" s="9"/>
    </row>
    <row r="969">
      <c r="A969" s="9"/>
      <c r="B969" s="9"/>
    </row>
    <row r="970">
      <c r="A970" s="9"/>
      <c r="B970" s="9"/>
    </row>
    <row r="971">
      <c r="A971" s="9"/>
      <c r="B971" s="9"/>
    </row>
    <row r="972">
      <c r="A972" s="9"/>
      <c r="B972" s="9"/>
    </row>
    <row r="973">
      <c r="A973" s="9"/>
      <c r="B973" s="9"/>
    </row>
    <row r="974">
      <c r="A974" s="9"/>
      <c r="B974" s="9"/>
    </row>
    <row r="975">
      <c r="A975" s="9"/>
      <c r="B975" s="9"/>
    </row>
    <row r="976">
      <c r="A976" s="9"/>
      <c r="B976" s="9"/>
    </row>
    <row r="977">
      <c r="A977" s="9"/>
      <c r="B977" s="9"/>
    </row>
    <row r="978">
      <c r="A978" s="9"/>
      <c r="B978" s="9"/>
    </row>
    <row r="979">
      <c r="A979" s="9"/>
      <c r="B979" s="9"/>
    </row>
    <row r="980">
      <c r="A980" s="9"/>
      <c r="B980" s="9"/>
    </row>
    <row r="981">
      <c r="A981" s="9"/>
      <c r="B981" s="9"/>
    </row>
    <row r="982">
      <c r="A982" s="9"/>
      <c r="B982" s="9"/>
    </row>
    <row r="983">
      <c r="A983" s="9"/>
      <c r="B983" s="9"/>
    </row>
    <row r="984">
      <c r="A984" s="9"/>
      <c r="B984" s="9"/>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4.75"/>
    <col customWidth="1" min="2" max="2" width="10.75"/>
    <col customWidth="1" min="3" max="3" width="16.88"/>
    <col customWidth="1" min="4" max="11" width="23.88"/>
  </cols>
  <sheetData>
    <row r="1">
      <c r="A1" s="12" t="str">
        <f>Entities!A1</f>
        <v>CDA.LS.HCP Kernel Translations, Version 24.8, August 30, 2024</v>
      </c>
      <c r="B1" s="3"/>
      <c r="C1" s="3"/>
      <c r="D1" s="2"/>
      <c r="E1" s="2"/>
      <c r="F1" s="3"/>
      <c r="G1" s="3"/>
      <c r="H1" s="4"/>
      <c r="I1" s="4"/>
      <c r="J1" s="4"/>
      <c r="K1" s="4"/>
      <c r="L1" s="4"/>
      <c r="M1" s="4"/>
      <c r="N1" s="4"/>
      <c r="O1" s="4"/>
      <c r="P1" s="4"/>
      <c r="Q1" s="4"/>
      <c r="R1" s="4"/>
      <c r="S1" s="4"/>
      <c r="T1" s="4"/>
      <c r="U1" s="4"/>
      <c r="V1" s="4"/>
      <c r="W1" s="4"/>
      <c r="X1" s="4"/>
      <c r="Y1" s="4"/>
    </row>
    <row r="2">
      <c r="A2" s="5" t="s">
        <v>63</v>
      </c>
      <c r="B2" s="3"/>
      <c r="C2" s="3"/>
      <c r="D2" s="2"/>
      <c r="E2" s="2"/>
      <c r="F2" s="3"/>
      <c r="G2" s="3"/>
      <c r="H2" s="4"/>
      <c r="I2" s="4"/>
      <c r="J2" s="4"/>
      <c r="K2" s="4"/>
      <c r="L2" s="4"/>
      <c r="M2" s="4"/>
      <c r="N2" s="4"/>
      <c r="O2" s="4"/>
      <c r="P2" s="4"/>
      <c r="Q2" s="4"/>
      <c r="R2" s="4"/>
      <c r="S2" s="4"/>
      <c r="T2" s="4"/>
      <c r="U2" s="4"/>
      <c r="V2" s="4"/>
      <c r="W2" s="4"/>
      <c r="X2" s="4"/>
      <c r="Y2" s="4"/>
    </row>
    <row r="3">
      <c r="A3" s="6" t="s">
        <v>26</v>
      </c>
      <c r="B3" s="6" t="s">
        <v>3</v>
      </c>
      <c r="C3" s="6" t="s">
        <v>4</v>
      </c>
      <c r="D3" s="6" t="s">
        <v>5</v>
      </c>
      <c r="E3" s="6" t="s">
        <v>6</v>
      </c>
      <c r="F3" s="6" t="s">
        <v>7</v>
      </c>
      <c r="G3" s="6" t="s">
        <v>8</v>
      </c>
      <c r="H3" s="6" t="s">
        <v>9</v>
      </c>
      <c r="I3" s="6" t="s">
        <v>10</v>
      </c>
      <c r="J3" s="6" t="s">
        <v>11</v>
      </c>
      <c r="K3" s="6"/>
      <c r="L3" s="6"/>
      <c r="M3" s="6"/>
      <c r="N3" s="6"/>
      <c r="O3" s="6"/>
      <c r="P3" s="6"/>
      <c r="Q3" s="6"/>
      <c r="R3" s="6"/>
      <c r="S3" s="6"/>
      <c r="T3" s="6"/>
      <c r="U3" s="6"/>
      <c r="V3" s="6"/>
      <c r="W3" s="6"/>
      <c r="X3" s="18"/>
      <c r="Y3" s="18"/>
      <c r="Z3" s="18"/>
    </row>
    <row r="4">
      <c r="A4" s="8" t="str">
        <f>IFERROR(__xludf.DUMMYFUNCTION("IMPORTRANGE(""https://docs.google.com/spreadsheets/d/1ZIx3-wJv76bPGccT5CZZ4g3Sy52i_iEnaWf6C0L_ST0/edit#gid=832844626"",""HCP Status Items!A4:A"")"),"Active")</f>
        <v>Active</v>
      </c>
      <c r="B4" s="8" t="str">
        <f>IFERROR(__xludf.DUMMYFUNCTION("IMPORTRANGE(""https://docs.google.com/spreadsheets/d/1ZIx3-wJv76bPGccT5CZZ4g3Sy52i_iEnaWf6C0L_ST0/edit#gid=832844626"",""HCP Status Items!B4:B"")"),"act")</f>
        <v>act</v>
      </c>
      <c r="C4" s="9" t="str">
        <f>IFERROR(__xludf.DUMMYFUNCTION("GOOGLETRANSLATE($A4,""en"",""de"")"),"Aktiv")</f>
        <v>Aktiv</v>
      </c>
      <c r="D4" s="9" t="str">
        <f>IFERROR(__xludf.DUMMYFUNCTION("GOOGLETRANSLATE($A4,""en"",""fr"")"),"Actif")</f>
        <v>Actif</v>
      </c>
      <c r="E4" s="9" t="str">
        <f>IFERROR(__xludf.DUMMYFUNCTION("GOOGLETRANSLATE($A4,""en"",""es"")"),"Activo")</f>
        <v>Activo</v>
      </c>
      <c r="F4" s="9" t="str">
        <f>IFERROR(__xludf.DUMMYFUNCTION("GOOGLETRANSLATE($A4,""en"",""it"")"),"Attivo")</f>
        <v>Attivo</v>
      </c>
      <c r="G4" s="9" t="str">
        <f>IFERROR(__xludf.DUMMYFUNCTION("GOOGLETRANSLATE($A4,""en"",""zh-cn"")"),"积极的")</f>
        <v>积极的</v>
      </c>
      <c r="H4" s="9" t="str">
        <f>IFERROR(__xludf.DUMMYFUNCTION("GOOGLETRANSLATE($A4,""en"",""ja"")"),"アクティブ")</f>
        <v>アクティブ</v>
      </c>
      <c r="I4" s="9" t="str">
        <f>IFERROR(__xludf.DUMMYFUNCTION("GOOGLETRANSLATE($A4,""en"",""ko"")"),"활동적인")</f>
        <v>활동적인</v>
      </c>
      <c r="J4" s="9" t="str">
        <f>IFERROR(__xludf.DUMMYFUNCTION("GOOGLETRANSLATE($A4,""en"",""pt-BR"")"),"Ativo")</f>
        <v>Ativo</v>
      </c>
    </row>
    <row r="5">
      <c r="A5" s="9" t="str">
        <f>IFERROR(__xludf.DUMMYFUNCTION("""COMPUTED_VALUE"""),"Inactive")</f>
        <v>Inactive</v>
      </c>
      <c r="B5" s="9" t="str">
        <f>IFERROR(__xludf.DUMMYFUNCTION("""COMPUTED_VALUE"""),"iact")</f>
        <v>iact</v>
      </c>
      <c r="C5" s="9" t="str">
        <f>IFERROR(__xludf.DUMMYFUNCTION("GOOGLETRANSLATE($A5,""en"",""de"")"),"Inaktiv")</f>
        <v>Inaktiv</v>
      </c>
      <c r="D5" s="9" t="str">
        <f>IFERROR(__xludf.DUMMYFUNCTION("GOOGLETRANSLATE($A5,""en"",""fr"")"),"Inactif")</f>
        <v>Inactif</v>
      </c>
      <c r="E5" s="9" t="str">
        <f>IFERROR(__xludf.DUMMYFUNCTION("GOOGLETRANSLATE($A5,""en"",""es"")"),"Inactivo")</f>
        <v>Inactivo</v>
      </c>
      <c r="F5" s="9" t="str">
        <f>IFERROR(__xludf.DUMMYFUNCTION("GOOGLETRANSLATE($A5,""en"",""it"")"),"Inattivo")</f>
        <v>Inattivo</v>
      </c>
      <c r="G5" s="9" t="str">
        <f>IFERROR(__xludf.DUMMYFUNCTION("GOOGLETRANSLATE($A5,""en"",""zh-cn"")"),"不活跃")</f>
        <v>不活跃</v>
      </c>
      <c r="H5" s="9" t="str">
        <f>IFERROR(__xludf.DUMMYFUNCTION("GOOGLETRANSLATE($A5,""en"",""ja"")"),"非アクティブ")</f>
        <v>非アクティブ</v>
      </c>
      <c r="I5" s="9" t="str">
        <f>IFERROR(__xludf.DUMMYFUNCTION("GOOGLETRANSLATE($A5,""en"",""ko"")"),"비활성")</f>
        <v>비활성</v>
      </c>
      <c r="J5" s="9" t="str">
        <f>IFERROR(__xludf.DUMMYFUNCTION("GOOGLETRANSLATE($A5,""en"",""pt-BR"")"),"Inativo")</f>
        <v>Inativo</v>
      </c>
    </row>
    <row r="6">
      <c r="A6" s="9"/>
      <c r="B6" s="9"/>
    </row>
    <row r="7">
      <c r="A7" s="2"/>
      <c r="B7" s="2"/>
      <c r="C7" s="2"/>
    </row>
    <row r="8">
      <c r="A8" s="2"/>
      <c r="B8" s="2"/>
      <c r="C8" s="2"/>
    </row>
    <row r="9">
      <c r="A9" s="2"/>
      <c r="B9" s="2"/>
      <c r="C9" s="2"/>
    </row>
    <row r="10">
      <c r="A10" s="2"/>
      <c r="B10" s="2"/>
      <c r="C10" s="2"/>
    </row>
    <row r="11">
      <c r="A11" s="2"/>
      <c r="B11" s="2"/>
      <c r="C11" s="2"/>
    </row>
    <row r="12">
      <c r="A12" s="2"/>
      <c r="B12" s="2"/>
      <c r="C12" s="2"/>
    </row>
    <row r="13">
      <c r="A13" s="2"/>
      <c r="B13" s="2"/>
      <c r="C13" s="2"/>
    </row>
    <row r="14">
      <c r="A14" s="2"/>
      <c r="B14" s="2"/>
      <c r="C14" s="2"/>
    </row>
    <row r="15">
      <c r="A15" s="2"/>
      <c r="B15" s="2"/>
      <c r="C15" s="2"/>
    </row>
    <row r="16">
      <c r="A16" s="2"/>
      <c r="B16" s="2"/>
      <c r="C16" s="2"/>
    </row>
    <row r="17">
      <c r="A17" s="2"/>
      <c r="B17" s="2"/>
      <c r="C17" s="2"/>
    </row>
    <row r="18">
      <c r="A18" s="2"/>
      <c r="B18" s="2"/>
      <c r="C18" s="2"/>
    </row>
    <row r="19">
      <c r="A19" s="2"/>
      <c r="B19" s="2"/>
      <c r="C19" s="2"/>
    </row>
    <row r="20">
      <c r="A20" s="2"/>
      <c r="B20" s="2"/>
      <c r="C20" s="2"/>
    </row>
    <row r="21">
      <c r="A21" s="9"/>
      <c r="B21" s="9"/>
    </row>
    <row r="22">
      <c r="A22" s="9"/>
      <c r="B22" s="9"/>
    </row>
    <row r="23">
      <c r="A23" s="9"/>
      <c r="B23" s="9"/>
    </row>
    <row r="24">
      <c r="A24" s="9"/>
      <c r="B24" s="9"/>
    </row>
    <row r="25">
      <c r="A25" s="9"/>
      <c r="B25" s="9"/>
    </row>
    <row r="26">
      <c r="A26" s="9"/>
      <c r="B26" s="9"/>
    </row>
    <row r="27">
      <c r="A27" s="9"/>
      <c r="B27" s="9"/>
    </row>
    <row r="28">
      <c r="A28" s="9"/>
      <c r="B28" s="9"/>
    </row>
    <row r="29">
      <c r="A29" s="9"/>
      <c r="B29" s="9"/>
    </row>
    <row r="30">
      <c r="A30" s="9"/>
      <c r="B30" s="9"/>
    </row>
    <row r="31">
      <c r="A31" s="9"/>
      <c r="B31" s="9"/>
    </row>
    <row r="32">
      <c r="A32" s="9"/>
      <c r="B32" s="9"/>
    </row>
    <row r="33">
      <c r="A33" s="9"/>
      <c r="B33" s="9"/>
    </row>
    <row r="34">
      <c r="A34" s="9"/>
      <c r="B34" s="9"/>
    </row>
    <row r="35">
      <c r="A35" s="9"/>
      <c r="B35" s="9"/>
    </row>
    <row r="36">
      <c r="A36" s="9"/>
      <c r="B36" s="9"/>
    </row>
    <row r="37">
      <c r="A37" s="9"/>
      <c r="B37" s="9"/>
    </row>
    <row r="38">
      <c r="A38" s="9"/>
      <c r="B38" s="9"/>
    </row>
    <row r="39">
      <c r="A39" s="9"/>
      <c r="B39" s="9"/>
    </row>
    <row r="40">
      <c r="A40" s="9"/>
      <c r="B40" s="9"/>
    </row>
    <row r="41">
      <c r="A41" s="9"/>
      <c r="B41" s="9"/>
    </row>
    <row r="42">
      <c r="A42" s="9"/>
      <c r="B42" s="9"/>
    </row>
    <row r="43">
      <c r="A43" s="9"/>
      <c r="B43" s="9"/>
    </row>
    <row r="44">
      <c r="A44" s="9"/>
      <c r="B44" s="9"/>
    </row>
    <row r="45">
      <c r="A45" s="9"/>
      <c r="B45" s="9"/>
    </row>
    <row r="46">
      <c r="A46" s="9"/>
      <c r="B46" s="9"/>
    </row>
    <row r="47">
      <c r="A47" s="9"/>
      <c r="B47" s="9"/>
    </row>
    <row r="48">
      <c r="A48" s="9"/>
      <c r="B48" s="9"/>
    </row>
    <row r="49">
      <c r="A49" s="9"/>
      <c r="B49" s="9"/>
    </row>
    <row r="50">
      <c r="A50" s="9"/>
      <c r="B50" s="9"/>
    </row>
    <row r="51">
      <c r="A51" s="9"/>
      <c r="B51" s="9"/>
    </row>
    <row r="52">
      <c r="A52" s="9"/>
      <c r="B52" s="9"/>
    </row>
    <row r="53">
      <c r="A53" s="9"/>
      <c r="B53" s="9"/>
    </row>
    <row r="54">
      <c r="A54" s="9"/>
      <c r="B54" s="9"/>
    </row>
    <row r="55">
      <c r="A55" s="9"/>
      <c r="B55" s="9"/>
    </row>
    <row r="56">
      <c r="A56" s="9"/>
      <c r="B56" s="9"/>
    </row>
    <row r="57">
      <c r="A57" s="9"/>
      <c r="B57" s="9"/>
    </row>
    <row r="58">
      <c r="A58" s="9"/>
      <c r="B58" s="9"/>
    </row>
    <row r="59">
      <c r="A59" s="9"/>
      <c r="B59" s="9"/>
    </row>
    <row r="60">
      <c r="A60" s="9"/>
      <c r="B60" s="9"/>
    </row>
    <row r="61">
      <c r="A61" s="9"/>
      <c r="B61" s="9"/>
    </row>
    <row r="62">
      <c r="A62" s="9"/>
      <c r="B62" s="9"/>
    </row>
    <row r="63">
      <c r="A63" s="9"/>
      <c r="B63" s="9"/>
    </row>
    <row r="64">
      <c r="A64" s="9"/>
      <c r="B64" s="9"/>
    </row>
    <row r="65">
      <c r="A65" s="9"/>
      <c r="B65" s="9"/>
    </row>
    <row r="66">
      <c r="A66" s="9"/>
      <c r="B66" s="9"/>
    </row>
    <row r="67">
      <c r="A67" s="9"/>
      <c r="B67" s="9"/>
    </row>
    <row r="68">
      <c r="A68" s="9"/>
      <c r="B68" s="9"/>
    </row>
    <row r="69">
      <c r="A69" s="9"/>
      <c r="B69" s="9"/>
    </row>
    <row r="70">
      <c r="A70" s="9"/>
      <c r="B70" s="9"/>
    </row>
    <row r="71">
      <c r="A71" s="9"/>
      <c r="B71" s="9"/>
    </row>
    <row r="72">
      <c r="A72" s="9"/>
      <c r="B72" s="9"/>
    </row>
    <row r="73">
      <c r="A73" s="9"/>
      <c r="B73" s="9"/>
    </row>
    <row r="74">
      <c r="A74" s="9"/>
      <c r="B74" s="9"/>
    </row>
    <row r="75">
      <c r="A75" s="9"/>
      <c r="B75" s="9"/>
    </row>
    <row r="76">
      <c r="A76" s="9"/>
      <c r="B76" s="9"/>
    </row>
    <row r="77">
      <c r="A77" s="9"/>
      <c r="B77" s="9"/>
    </row>
    <row r="78">
      <c r="A78" s="9"/>
      <c r="B78" s="9"/>
    </row>
    <row r="79">
      <c r="A79" s="9"/>
      <c r="B79" s="9"/>
    </row>
    <row r="80">
      <c r="A80" s="9"/>
      <c r="B80" s="9"/>
    </row>
    <row r="81">
      <c r="A81" s="9"/>
      <c r="B81" s="9"/>
    </row>
    <row r="82">
      <c r="A82" s="9"/>
      <c r="B82" s="9"/>
    </row>
    <row r="83">
      <c r="A83" s="9"/>
      <c r="B83" s="9"/>
    </row>
    <row r="84">
      <c r="A84" s="9"/>
      <c r="B84" s="9"/>
    </row>
    <row r="85">
      <c r="A85" s="9"/>
      <c r="B85" s="9"/>
    </row>
    <row r="86">
      <c r="A86" s="9"/>
      <c r="B86" s="9"/>
    </row>
    <row r="87">
      <c r="A87" s="9"/>
      <c r="B87" s="9"/>
    </row>
    <row r="88">
      <c r="A88" s="9"/>
      <c r="B88" s="9"/>
    </row>
    <row r="89">
      <c r="A89" s="9"/>
      <c r="B89" s="9"/>
    </row>
    <row r="90">
      <c r="A90" s="9"/>
      <c r="B90" s="9"/>
    </row>
    <row r="91">
      <c r="A91" s="9"/>
      <c r="B91" s="9"/>
    </row>
    <row r="92">
      <c r="A92" s="9"/>
      <c r="B92" s="9"/>
    </row>
    <row r="93">
      <c r="A93" s="9"/>
      <c r="B93" s="9"/>
    </row>
    <row r="94">
      <c r="A94" s="9"/>
      <c r="B94" s="9"/>
    </row>
    <row r="95">
      <c r="A95" s="9"/>
      <c r="B95" s="9"/>
    </row>
    <row r="96">
      <c r="A96" s="9"/>
      <c r="B96" s="9"/>
    </row>
    <row r="97">
      <c r="A97" s="9"/>
      <c r="B97" s="9"/>
    </row>
    <row r="98">
      <c r="A98" s="9"/>
      <c r="B98" s="9"/>
    </row>
    <row r="99">
      <c r="A99" s="9"/>
      <c r="B99" s="9"/>
    </row>
    <row r="100">
      <c r="A100" s="9"/>
      <c r="B100" s="9"/>
    </row>
    <row r="101">
      <c r="A101" s="9"/>
      <c r="B101" s="9"/>
    </row>
    <row r="102">
      <c r="A102" s="9"/>
      <c r="B102" s="9"/>
    </row>
    <row r="103">
      <c r="A103" s="9"/>
      <c r="B103" s="9"/>
    </row>
    <row r="104">
      <c r="A104" s="9"/>
      <c r="B104" s="9"/>
    </row>
    <row r="105">
      <c r="A105" s="9"/>
      <c r="B105" s="9"/>
    </row>
    <row r="106">
      <c r="A106" s="9"/>
      <c r="B106" s="9"/>
    </row>
    <row r="107">
      <c r="A107" s="9"/>
      <c r="B107" s="9"/>
    </row>
    <row r="108">
      <c r="A108" s="9"/>
      <c r="B108" s="9"/>
    </row>
    <row r="109">
      <c r="A109" s="9"/>
      <c r="B109" s="9"/>
    </row>
    <row r="110">
      <c r="A110" s="9"/>
      <c r="B110" s="9"/>
    </row>
    <row r="111">
      <c r="A111" s="9"/>
      <c r="B111" s="9"/>
    </row>
    <row r="112">
      <c r="A112" s="9"/>
      <c r="B112" s="9"/>
    </row>
    <row r="113">
      <c r="A113" s="9"/>
      <c r="B113" s="9"/>
    </row>
    <row r="114">
      <c r="A114" s="9"/>
      <c r="B114" s="9"/>
    </row>
    <row r="115">
      <c r="A115" s="9"/>
      <c r="B115" s="9"/>
    </row>
    <row r="116">
      <c r="A116" s="9"/>
      <c r="B116" s="9"/>
    </row>
    <row r="117">
      <c r="A117" s="9"/>
      <c r="B117" s="9"/>
    </row>
    <row r="118">
      <c r="A118" s="9"/>
      <c r="B118" s="9"/>
    </row>
    <row r="119">
      <c r="A119" s="9"/>
      <c r="B119" s="9"/>
    </row>
    <row r="120">
      <c r="A120" s="9"/>
      <c r="B120" s="9"/>
    </row>
    <row r="121">
      <c r="A121" s="9"/>
      <c r="B121" s="9"/>
    </row>
    <row r="122">
      <c r="A122" s="9"/>
      <c r="B122" s="9"/>
    </row>
    <row r="123">
      <c r="A123" s="9"/>
      <c r="B123" s="9"/>
    </row>
    <row r="124">
      <c r="A124" s="9"/>
      <c r="B124" s="9"/>
    </row>
    <row r="125">
      <c r="A125" s="9"/>
      <c r="B125" s="9"/>
    </row>
    <row r="126">
      <c r="A126" s="9"/>
      <c r="B126" s="9"/>
    </row>
    <row r="127">
      <c r="A127" s="9"/>
      <c r="B127" s="9"/>
    </row>
    <row r="128">
      <c r="A128" s="9"/>
      <c r="B128" s="9"/>
    </row>
    <row r="129">
      <c r="A129" s="9"/>
      <c r="B129" s="9"/>
    </row>
    <row r="130">
      <c r="A130" s="9"/>
      <c r="B130" s="9"/>
    </row>
    <row r="131">
      <c r="A131" s="9"/>
      <c r="B131" s="9"/>
    </row>
    <row r="132">
      <c r="A132" s="9"/>
      <c r="B132" s="9"/>
    </row>
    <row r="133">
      <c r="A133" s="9"/>
      <c r="B133" s="9"/>
    </row>
    <row r="134">
      <c r="A134" s="9"/>
      <c r="B134" s="9"/>
    </row>
    <row r="135">
      <c r="A135" s="9"/>
      <c r="B135" s="9"/>
    </row>
    <row r="136">
      <c r="A136" s="9"/>
      <c r="B136" s="9"/>
    </row>
    <row r="137">
      <c r="A137" s="9"/>
      <c r="B137" s="9"/>
    </row>
    <row r="138">
      <c r="A138" s="9"/>
      <c r="B138" s="9"/>
    </row>
    <row r="139">
      <c r="A139" s="9"/>
      <c r="B139" s="9"/>
    </row>
    <row r="140">
      <c r="A140" s="9"/>
      <c r="B140" s="9"/>
    </row>
    <row r="141">
      <c r="A141" s="9"/>
      <c r="B141" s="9"/>
    </row>
    <row r="142">
      <c r="A142" s="9"/>
      <c r="B142" s="9"/>
    </row>
    <row r="143">
      <c r="A143" s="9"/>
      <c r="B143" s="9"/>
    </row>
    <row r="144">
      <c r="A144" s="9"/>
      <c r="B144" s="9"/>
    </row>
    <row r="145">
      <c r="A145" s="9"/>
      <c r="B145" s="9"/>
    </row>
    <row r="146">
      <c r="A146" s="9"/>
      <c r="B146" s="9"/>
    </row>
    <row r="147">
      <c r="A147" s="9"/>
      <c r="B147" s="9"/>
    </row>
    <row r="148">
      <c r="A148" s="9"/>
      <c r="B148" s="9"/>
    </row>
    <row r="149">
      <c r="A149" s="9"/>
      <c r="B149" s="9"/>
    </row>
    <row r="150">
      <c r="A150" s="9"/>
      <c r="B150" s="9"/>
    </row>
    <row r="151">
      <c r="A151" s="9"/>
      <c r="B151" s="9"/>
    </row>
    <row r="152">
      <c r="A152" s="9"/>
      <c r="B152" s="9"/>
    </row>
    <row r="153">
      <c r="A153" s="9"/>
      <c r="B153" s="9"/>
    </row>
    <row r="154">
      <c r="A154" s="9"/>
      <c r="B154" s="9"/>
    </row>
    <row r="155">
      <c r="A155" s="9"/>
      <c r="B155" s="9"/>
    </row>
    <row r="156">
      <c r="A156" s="9"/>
      <c r="B156" s="9"/>
    </row>
    <row r="157">
      <c r="A157" s="9"/>
      <c r="B157" s="9"/>
    </row>
    <row r="158">
      <c r="A158" s="9"/>
      <c r="B158" s="9"/>
    </row>
    <row r="159">
      <c r="A159" s="9"/>
      <c r="B159" s="9"/>
    </row>
    <row r="160">
      <c r="A160" s="9"/>
      <c r="B160" s="9"/>
    </row>
    <row r="161">
      <c r="A161" s="9"/>
      <c r="B161" s="9"/>
    </row>
    <row r="162">
      <c r="A162" s="9"/>
      <c r="B162" s="9"/>
    </row>
    <row r="163">
      <c r="A163" s="9"/>
      <c r="B163" s="9"/>
    </row>
    <row r="164">
      <c r="A164" s="9"/>
      <c r="B164" s="9"/>
    </row>
    <row r="165">
      <c r="A165" s="9"/>
      <c r="B165" s="9"/>
    </row>
    <row r="166">
      <c r="A166" s="9"/>
      <c r="B166" s="9"/>
    </row>
    <row r="167">
      <c r="A167" s="9"/>
      <c r="B167" s="9"/>
    </row>
    <row r="168">
      <c r="A168" s="9"/>
      <c r="B168" s="9"/>
    </row>
    <row r="169">
      <c r="A169" s="9"/>
      <c r="B169" s="9"/>
    </row>
    <row r="170">
      <c r="A170" s="9"/>
      <c r="B170" s="9"/>
    </row>
    <row r="171">
      <c r="A171" s="9"/>
      <c r="B171" s="9"/>
    </row>
    <row r="172">
      <c r="A172" s="9"/>
      <c r="B172" s="9"/>
    </row>
    <row r="173">
      <c r="A173" s="9"/>
      <c r="B173" s="9"/>
    </row>
    <row r="174">
      <c r="A174" s="9"/>
      <c r="B174" s="9"/>
    </row>
    <row r="175">
      <c r="A175" s="9"/>
      <c r="B175" s="9"/>
    </row>
    <row r="176">
      <c r="A176" s="9"/>
      <c r="B176" s="9"/>
    </row>
    <row r="177">
      <c r="A177" s="9"/>
      <c r="B177" s="9"/>
    </row>
    <row r="178">
      <c r="A178" s="9"/>
      <c r="B178" s="9"/>
    </row>
    <row r="179">
      <c r="A179" s="9"/>
      <c r="B179" s="9"/>
    </row>
    <row r="180">
      <c r="A180" s="9"/>
      <c r="B180" s="9"/>
    </row>
    <row r="181">
      <c r="A181" s="9"/>
      <c r="B181" s="9"/>
    </row>
    <row r="182">
      <c r="A182" s="9"/>
      <c r="B182" s="9"/>
    </row>
    <row r="183">
      <c r="A183" s="9"/>
      <c r="B183" s="9"/>
    </row>
    <row r="184">
      <c r="A184" s="9"/>
      <c r="B184" s="9"/>
    </row>
    <row r="185">
      <c r="A185" s="9"/>
      <c r="B185" s="9"/>
    </row>
    <row r="186">
      <c r="A186" s="9"/>
      <c r="B186" s="9"/>
    </row>
    <row r="187">
      <c r="A187" s="9"/>
      <c r="B187" s="9"/>
    </row>
    <row r="188">
      <c r="A188" s="9"/>
      <c r="B188" s="9"/>
    </row>
    <row r="189">
      <c r="A189" s="9"/>
      <c r="B189" s="9"/>
    </row>
    <row r="190">
      <c r="A190" s="9"/>
      <c r="B190" s="9"/>
    </row>
    <row r="191">
      <c r="A191" s="9"/>
      <c r="B191" s="9"/>
    </row>
    <row r="192">
      <c r="A192" s="9"/>
      <c r="B192" s="9"/>
    </row>
    <row r="193">
      <c r="A193" s="9"/>
      <c r="B193" s="9"/>
    </row>
    <row r="194">
      <c r="A194" s="9"/>
      <c r="B194" s="9"/>
    </row>
    <row r="195">
      <c r="A195" s="9"/>
      <c r="B195" s="9"/>
    </row>
    <row r="196">
      <c r="A196" s="9"/>
      <c r="B196" s="9"/>
    </row>
    <row r="197">
      <c r="A197" s="9"/>
      <c r="B197" s="9"/>
    </row>
    <row r="198">
      <c r="A198" s="9"/>
      <c r="B198" s="9"/>
    </row>
    <row r="199">
      <c r="A199" s="9"/>
      <c r="B199" s="9"/>
    </row>
    <row r="200">
      <c r="A200" s="9"/>
      <c r="B200" s="9"/>
    </row>
    <row r="201">
      <c r="A201" s="9"/>
      <c r="B201" s="9"/>
    </row>
    <row r="202">
      <c r="A202" s="9"/>
      <c r="B202" s="9"/>
    </row>
    <row r="203">
      <c r="A203" s="9"/>
      <c r="B203" s="9"/>
    </row>
    <row r="204">
      <c r="A204" s="9"/>
      <c r="B204" s="9"/>
    </row>
    <row r="205">
      <c r="A205" s="9"/>
      <c r="B205" s="9"/>
    </row>
    <row r="206">
      <c r="A206" s="9"/>
      <c r="B206" s="9"/>
    </row>
    <row r="207">
      <c r="A207" s="9"/>
      <c r="B207" s="9"/>
    </row>
    <row r="208">
      <c r="A208" s="9"/>
      <c r="B208" s="9"/>
    </row>
    <row r="209">
      <c r="A209" s="9"/>
      <c r="B209" s="9"/>
    </row>
    <row r="210">
      <c r="A210" s="9"/>
      <c r="B210" s="9"/>
    </row>
    <row r="211">
      <c r="A211" s="9"/>
      <c r="B211" s="9"/>
    </row>
    <row r="212">
      <c r="A212" s="9"/>
      <c r="B212" s="9"/>
    </row>
    <row r="213">
      <c r="A213" s="9"/>
      <c r="B213" s="9"/>
    </row>
    <row r="214">
      <c r="A214" s="9"/>
      <c r="B214" s="9"/>
    </row>
    <row r="215">
      <c r="A215" s="9"/>
      <c r="B215" s="9"/>
    </row>
    <row r="216">
      <c r="A216" s="9"/>
      <c r="B216" s="9"/>
    </row>
    <row r="217">
      <c r="A217" s="9"/>
      <c r="B217" s="9"/>
    </row>
    <row r="218">
      <c r="A218" s="9"/>
      <c r="B218" s="9"/>
    </row>
    <row r="219">
      <c r="A219" s="9"/>
      <c r="B219" s="9"/>
    </row>
    <row r="220">
      <c r="A220" s="9"/>
      <c r="B220" s="9"/>
    </row>
    <row r="221">
      <c r="A221" s="9"/>
      <c r="B221" s="9"/>
    </row>
    <row r="222">
      <c r="A222" s="9"/>
      <c r="B222" s="9"/>
    </row>
    <row r="223">
      <c r="A223" s="9"/>
      <c r="B223" s="9"/>
    </row>
    <row r="224">
      <c r="A224" s="9"/>
      <c r="B224" s="9"/>
    </row>
    <row r="225">
      <c r="A225" s="9"/>
      <c r="B225" s="9"/>
    </row>
    <row r="226">
      <c r="A226" s="9"/>
      <c r="B226" s="9"/>
    </row>
    <row r="227">
      <c r="A227" s="9"/>
      <c r="B227" s="9"/>
    </row>
    <row r="228">
      <c r="A228" s="9"/>
      <c r="B228" s="9"/>
    </row>
    <row r="229">
      <c r="A229" s="9"/>
      <c r="B229" s="9"/>
    </row>
    <row r="230">
      <c r="A230" s="9"/>
      <c r="B230" s="9"/>
    </row>
    <row r="231">
      <c r="A231" s="9"/>
      <c r="B231" s="9"/>
    </row>
    <row r="232">
      <c r="A232" s="9"/>
      <c r="B232" s="9"/>
    </row>
    <row r="233">
      <c r="A233" s="9"/>
      <c r="B233" s="9"/>
    </row>
    <row r="234">
      <c r="A234" s="9"/>
      <c r="B234" s="9"/>
    </row>
    <row r="235">
      <c r="A235" s="9"/>
      <c r="B235" s="9"/>
    </row>
    <row r="236">
      <c r="A236" s="9"/>
      <c r="B236" s="9"/>
    </row>
    <row r="237">
      <c r="A237" s="9"/>
      <c r="B237" s="9"/>
    </row>
    <row r="238">
      <c r="A238" s="9"/>
      <c r="B238" s="9"/>
    </row>
    <row r="239">
      <c r="A239" s="9"/>
      <c r="B239" s="9"/>
    </row>
    <row r="240">
      <c r="A240" s="9"/>
      <c r="B240" s="9"/>
    </row>
    <row r="241">
      <c r="A241" s="9"/>
      <c r="B241" s="9"/>
    </row>
    <row r="242">
      <c r="A242" s="9"/>
      <c r="B242" s="9"/>
    </row>
    <row r="243">
      <c r="A243" s="9"/>
      <c r="B243" s="9"/>
    </row>
    <row r="244">
      <c r="A244" s="9"/>
      <c r="B244" s="9"/>
    </row>
    <row r="245">
      <c r="A245" s="9"/>
      <c r="B245" s="9"/>
    </row>
    <row r="246">
      <c r="A246" s="9"/>
      <c r="B246" s="9"/>
    </row>
    <row r="247">
      <c r="A247" s="9"/>
      <c r="B247" s="9"/>
    </row>
    <row r="248">
      <c r="A248" s="9"/>
      <c r="B248" s="9"/>
    </row>
    <row r="249">
      <c r="A249" s="9"/>
      <c r="B249" s="9"/>
    </row>
    <row r="250">
      <c r="A250" s="9"/>
      <c r="B250" s="9"/>
    </row>
    <row r="251">
      <c r="A251" s="9"/>
      <c r="B251" s="9"/>
    </row>
    <row r="252">
      <c r="A252" s="9"/>
      <c r="B252" s="9"/>
    </row>
    <row r="253">
      <c r="A253" s="9"/>
      <c r="B253" s="9"/>
    </row>
    <row r="254">
      <c r="A254" s="9"/>
      <c r="B254" s="9"/>
    </row>
    <row r="255">
      <c r="A255" s="9"/>
      <c r="B255" s="9"/>
    </row>
    <row r="256">
      <c r="A256" s="9"/>
      <c r="B256" s="9"/>
    </row>
    <row r="257">
      <c r="A257" s="9"/>
      <c r="B257" s="9"/>
    </row>
    <row r="258">
      <c r="A258" s="9"/>
      <c r="B258" s="9"/>
    </row>
    <row r="259">
      <c r="A259" s="9"/>
      <c r="B259" s="9"/>
    </row>
    <row r="260">
      <c r="A260" s="9"/>
      <c r="B260" s="9"/>
    </row>
    <row r="261">
      <c r="A261" s="9"/>
      <c r="B261" s="9"/>
    </row>
    <row r="262">
      <c r="A262" s="9"/>
      <c r="B262" s="9"/>
    </row>
    <row r="263">
      <c r="A263" s="9"/>
      <c r="B263" s="9"/>
    </row>
    <row r="264">
      <c r="A264" s="9"/>
      <c r="B264" s="9"/>
    </row>
    <row r="265">
      <c r="A265" s="9"/>
      <c r="B265" s="9"/>
    </row>
    <row r="266">
      <c r="A266" s="9"/>
      <c r="B266" s="9"/>
    </row>
    <row r="267">
      <c r="A267" s="9"/>
      <c r="B267" s="9"/>
    </row>
    <row r="268">
      <c r="A268" s="9"/>
      <c r="B268" s="9"/>
    </row>
    <row r="269">
      <c r="A269" s="9"/>
      <c r="B269" s="9"/>
    </row>
    <row r="270">
      <c r="A270" s="9"/>
      <c r="B270" s="9"/>
    </row>
    <row r="271">
      <c r="A271" s="9"/>
      <c r="B271" s="9"/>
    </row>
    <row r="272">
      <c r="A272" s="9"/>
      <c r="B272" s="9"/>
    </row>
    <row r="273">
      <c r="A273" s="9"/>
      <c r="B273" s="9"/>
    </row>
    <row r="274">
      <c r="A274" s="9"/>
      <c r="B274" s="9"/>
    </row>
    <row r="275">
      <c r="A275" s="9"/>
      <c r="B275" s="9"/>
    </row>
    <row r="276">
      <c r="A276" s="9"/>
      <c r="B276" s="9"/>
    </row>
    <row r="277">
      <c r="A277" s="9"/>
      <c r="B277" s="9"/>
    </row>
    <row r="278">
      <c r="A278" s="9"/>
      <c r="B278" s="9"/>
    </row>
    <row r="279">
      <c r="A279" s="9"/>
      <c r="B279" s="9"/>
    </row>
    <row r="280">
      <c r="A280" s="9"/>
      <c r="B280" s="9"/>
    </row>
    <row r="281">
      <c r="A281" s="9"/>
      <c r="B281" s="9"/>
    </row>
    <row r="282">
      <c r="A282" s="9"/>
      <c r="B282" s="9"/>
    </row>
    <row r="283">
      <c r="A283" s="9"/>
      <c r="B283" s="9"/>
    </row>
    <row r="284">
      <c r="A284" s="9"/>
      <c r="B284" s="9"/>
    </row>
    <row r="285">
      <c r="A285" s="9"/>
      <c r="B285" s="9"/>
    </row>
    <row r="286">
      <c r="A286" s="9"/>
      <c r="B286" s="9"/>
    </row>
    <row r="287">
      <c r="A287" s="9"/>
      <c r="B287" s="9"/>
    </row>
    <row r="288">
      <c r="A288" s="9"/>
      <c r="B288" s="9"/>
    </row>
    <row r="289">
      <c r="A289" s="9"/>
      <c r="B289" s="9"/>
    </row>
    <row r="290">
      <c r="A290" s="9"/>
      <c r="B290" s="9"/>
    </row>
    <row r="291">
      <c r="A291" s="9"/>
      <c r="B291" s="9"/>
    </row>
    <row r="292">
      <c r="A292" s="9"/>
      <c r="B292" s="9"/>
    </row>
    <row r="293">
      <c r="A293" s="9"/>
      <c r="B293" s="9"/>
    </row>
    <row r="294">
      <c r="A294" s="9"/>
      <c r="B294" s="9"/>
    </row>
    <row r="295">
      <c r="A295" s="9"/>
      <c r="B295" s="9"/>
    </row>
    <row r="296">
      <c r="A296" s="9"/>
      <c r="B296" s="9"/>
    </row>
    <row r="297">
      <c r="A297" s="9"/>
      <c r="B297" s="9"/>
    </row>
    <row r="298">
      <c r="A298" s="9"/>
      <c r="B298" s="9"/>
    </row>
    <row r="299">
      <c r="A299" s="9"/>
      <c r="B299" s="9"/>
    </row>
    <row r="300">
      <c r="A300" s="9"/>
      <c r="B300" s="9"/>
    </row>
    <row r="301">
      <c r="A301" s="9"/>
      <c r="B301" s="9"/>
    </row>
    <row r="302">
      <c r="A302" s="9"/>
      <c r="B302" s="9"/>
    </row>
    <row r="303">
      <c r="A303" s="9"/>
      <c r="B303" s="9"/>
    </row>
    <row r="304">
      <c r="A304" s="9"/>
      <c r="B304" s="9"/>
    </row>
    <row r="305">
      <c r="A305" s="9"/>
      <c r="B305" s="9"/>
    </row>
    <row r="306">
      <c r="A306" s="9"/>
      <c r="B306" s="9"/>
    </row>
    <row r="307">
      <c r="A307" s="9"/>
      <c r="B307" s="9"/>
    </row>
    <row r="308">
      <c r="A308" s="9"/>
      <c r="B308" s="9"/>
    </row>
    <row r="309">
      <c r="A309" s="9"/>
      <c r="B309" s="9"/>
    </row>
    <row r="310">
      <c r="A310" s="9"/>
      <c r="B310" s="9"/>
    </row>
    <row r="311">
      <c r="A311" s="9"/>
      <c r="B311" s="9"/>
    </row>
    <row r="312">
      <c r="A312" s="9"/>
      <c r="B312" s="9"/>
    </row>
    <row r="313">
      <c r="A313" s="9"/>
      <c r="B313" s="9"/>
    </row>
    <row r="314">
      <c r="A314" s="9"/>
      <c r="B314" s="9"/>
    </row>
    <row r="315">
      <c r="A315" s="9"/>
      <c r="B315" s="9"/>
    </row>
    <row r="316">
      <c r="A316" s="9"/>
      <c r="B316" s="9"/>
    </row>
    <row r="317">
      <c r="A317" s="9"/>
      <c r="B317" s="9"/>
    </row>
    <row r="318">
      <c r="A318" s="9"/>
      <c r="B318" s="9"/>
    </row>
    <row r="319">
      <c r="A319" s="9"/>
      <c r="B319" s="9"/>
    </row>
    <row r="320">
      <c r="A320" s="9"/>
      <c r="B320" s="9"/>
    </row>
    <row r="321">
      <c r="A321" s="9"/>
      <c r="B321" s="9"/>
    </row>
    <row r="322">
      <c r="A322" s="9"/>
      <c r="B322" s="9"/>
    </row>
    <row r="323">
      <c r="A323" s="9"/>
      <c r="B323" s="9"/>
    </row>
    <row r="324">
      <c r="A324" s="9"/>
      <c r="B324" s="9"/>
    </row>
    <row r="325">
      <c r="A325" s="9"/>
      <c r="B325" s="9"/>
    </row>
    <row r="326">
      <c r="A326" s="9"/>
      <c r="B326" s="9"/>
    </row>
    <row r="327">
      <c r="A327" s="9"/>
      <c r="B327" s="9"/>
    </row>
    <row r="328">
      <c r="A328" s="9"/>
      <c r="B328" s="9"/>
    </row>
    <row r="329">
      <c r="A329" s="9"/>
      <c r="B329" s="9"/>
    </row>
    <row r="330">
      <c r="A330" s="9"/>
      <c r="B330" s="9"/>
    </row>
    <row r="331">
      <c r="A331" s="9"/>
      <c r="B331" s="9"/>
    </row>
    <row r="332">
      <c r="A332" s="9"/>
      <c r="B332" s="9"/>
    </row>
    <row r="333">
      <c r="A333" s="9"/>
      <c r="B333" s="9"/>
    </row>
    <row r="334">
      <c r="A334" s="9"/>
      <c r="B334" s="9"/>
    </row>
    <row r="335">
      <c r="A335" s="9"/>
      <c r="B335" s="9"/>
    </row>
    <row r="336">
      <c r="A336" s="9"/>
      <c r="B336" s="9"/>
    </row>
    <row r="337">
      <c r="A337" s="9"/>
      <c r="B337" s="9"/>
    </row>
    <row r="338">
      <c r="A338" s="9"/>
      <c r="B338" s="9"/>
    </row>
    <row r="339">
      <c r="A339" s="9"/>
      <c r="B339" s="9"/>
    </row>
    <row r="340">
      <c r="A340" s="9"/>
      <c r="B340" s="9"/>
    </row>
    <row r="341">
      <c r="A341" s="9"/>
      <c r="B341" s="9"/>
    </row>
    <row r="342">
      <c r="A342" s="9"/>
      <c r="B342" s="9"/>
    </row>
    <row r="343">
      <c r="A343" s="9"/>
      <c r="B343" s="9"/>
    </row>
    <row r="344">
      <c r="A344" s="9"/>
      <c r="B344" s="9"/>
    </row>
    <row r="345">
      <c r="A345" s="9"/>
      <c r="B345" s="9"/>
    </row>
    <row r="346">
      <c r="A346" s="9"/>
      <c r="B346" s="9"/>
    </row>
    <row r="347">
      <c r="A347" s="9"/>
      <c r="B347" s="9"/>
    </row>
    <row r="348">
      <c r="A348" s="9"/>
      <c r="B348" s="9"/>
    </row>
    <row r="349">
      <c r="A349" s="9"/>
      <c r="B349" s="9"/>
    </row>
    <row r="350">
      <c r="A350" s="9"/>
      <c r="B350" s="9"/>
    </row>
    <row r="351">
      <c r="A351" s="9"/>
      <c r="B351" s="9"/>
    </row>
    <row r="352">
      <c r="A352" s="9"/>
      <c r="B352" s="9"/>
    </row>
    <row r="353">
      <c r="A353" s="9"/>
      <c r="B353" s="9"/>
    </row>
    <row r="354">
      <c r="A354" s="9"/>
      <c r="B354" s="9"/>
    </row>
    <row r="355">
      <c r="A355" s="9"/>
      <c r="B355" s="9"/>
    </row>
    <row r="356">
      <c r="A356" s="9"/>
      <c r="B356" s="9"/>
    </row>
    <row r="357">
      <c r="A357" s="9"/>
      <c r="B357" s="9"/>
    </row>
    <row r="358">
      <c r="A358" s="9"/>
      <c r="B358" s="9"/>
    </row>
    <row r="359">
      <c r="A359" s="9"/>
      <c r="B359" s="9"/>
    </row>
    <row r="360">
      <c r="A360" s="9"/>
      <c r="B360" s="9"/>
    </row>
    <row r="361">
      <c r="A361" s="9"/>
      <c r="B361" s="9"/>
    </row>
    <row r="362">
      <c r="A362" s="9"/>
      <c r="B362" s="9"/>
    </row>
    <row r="363">
      <c r="A363" s="9"/>
      <c r="B363" s="9"/>
    </row>
    <row r="364">
      <c r="A364" s="9"/>
      <c r="B364" s="9"/>
    </row>
    <row r="365">
      <c r="A365" s="9"/>
      <c r="B365" s="9"/>
    </row>
    <row r="366">
      <c r="A366" s="9"/>
      <c r="B366" s="9"/>
    </row>
    <row r="367">
      <c r="A367" s="9"/>
      <c r="B367" s="9"/>
    </row>
    <row r="368">
      <c r="A368" s="9"/>
      <c r="B368" s="9"/>
    </row>
    <row r="369">
      <c r="A369" s="9"/>
      <c r="B369" s="9"/>
    </row>
    <row r="370">
      <c r="A370" s="9"/>
      <c r="B370" s="9"/>
    </row>
    <row r="371">
      <c r="A371" s="9"/>
      <c r="B371" s="9"/>
    </row>
    <row r="372">
      <c r="A372" s="9"/>
      <c r="B372" s="9"/>
    </row>
    <row r="373">
      <c r="A373" s="9"/>
      <c r="B373" s="9"/>
    </row>
    <row r="374">
      <c r="A374" s="9"/>
      <c r="B374" s="9"/>
    </row>
    <row r="375">
      <c r="A375" s="9"/>
      <c r="B375" s="9"/>
    </row>
    <row r="376">
      <c r="A376" s="9"/>
      <c r="B376" s="9"/>
    </row>
    <row r="377">
      <c r="A377" s="9"/>
      <c r="B377" s="9"/>
    </row>
    <row r="378">
      <c r="A378" s="9"/>
      <c r="B378" s="9"/>
    </row>
    <row r="379">
      <c r="A379" s="9"/>
      <c r="B379" s="9"/>
    </row>
    <row r="380">
      <c r="A380" s="9"/>
      <c r="B380" s="9"/>
    </row>
    <row r="381">
      <c r="A381" s="9"/>
      <c r="B381" s="9"/>
    </row>
    <row r="382">
      <c r="A382" s="9"/>
      <c r="B382" s="9"/>
    </row>
    <row r="383">
      <c r="A383" s="9"/>
      <c r="B383" s="9"/>
    </row>
    <row r="384">
      <c r="A384" s="9"/>
      <c r="B384" s="9"/>
    </row>
    <row r="385">
      <c r="A385" s="9"/>
      <c r="B385" s="9"/>
    </row>
    <row r="386">
      <c r="A386" s="9"/>
      <c r="B386" s="9"/>
    </row>
    <row r="387">
      <c r="A387" s="9"/>
      <c r="B387" s="9"/>
    </row>
    <row r="388">
      <c r="A388" s="9"/>
      <c r="B388" s="9"/>
    </row>
    <row r="389">
      <c r="A389" s="9"/>
      <c r="B389" s="9"/>
    </row>
    <row r="390">
      <c r="A390" s="9"/>
      <c r="B390" s="9"/>
    </row>
    <row r="391">
      <c r="A391" s="9"/>
      <c r="B391" s="9"/>
    </row>
    <row r="392">
      <c r="A392" s="9"/>
      <c r="B392" s="9"/>
    </row>
    <row r="393">
      <c r="A393" s="9"/>
      <c r="B393" s="9"/>
    </row>
    <row r="394">
      <c r="A394" s="9"/>
      <c r="B394" s="9"/>
    </row>
    <row r="395">
      <c r="A395" s="9"/>
      <c r="B395" s="9"/>
    </row>
    <row r="396">
      <c r="A396" s="9"/>
      <c r="B396" s="9"/>
    </row>
    <row r="397">
      <c r="A397" s="9"/>
      <c r="B397" s="9"/>
    </row>
    <row r="398">
      <c r="A398" s="9"/>
      <c r="B398" s="9"/>
    </row>
    <row r="399">
      <c r="A399" s="9"/>
      <c r="B399" s="9"/>
    </row>
    <row r="400">
      <c r="A400" s="9"/>
      <c r="B400" s="9"/>
    </row>
    <row r="401">
      <c r="A401" s="9"/>
      <c r="B401" s="9"/>
    </row>
    <row r="402">
      <c r="A402" s="9"/>
      <c r="B402" s="9"/>
    </row>
    <row r="403">
      <c r="A403" s="9"/>
      <c r="B403" s="9"/>
    </row>
    <row r="404">
      <c r="A404" s="9"/>
      <c r="B404" s="9"/>
    </row>
    <row r="405">
      <c r="A405" s="9"/>
      <c r="B405" s="9"/>
    </row>
    <row r="406">
      <c r="A406" s="9"/>
      <c r="B406" s="9"/>
    </row>
    <row r="407">
      <c r="A407" s="9"/>
      <c r="B407" s="9"/>
    </row>
    <row r="408">
      <c r="A408" s="9"/>
      <c r="B408" s="9"/>
    </row>
    <row r="409">
      <c r="A409" s="9"/>
      <c r="B409" s="9"/>
    </row>
    <row r="410">
      <c r="A410" s="9"/>
      <c r="B410" s="9"/>
    </row>
    <row r="411">
      <c r="A411" s="9"/>
      <c r="B411" s="9"/>
    </row>
    <row r="412">
      <c r="A412" s="9"/>
      <c r="B412" s="9"/>
    </row>
    <row r="413">
      <c r="A413" s="9"/>
      <c r="B413" s="9"/>
    </row>
    <row r="414">
      <c r="A414" s="9"/>
      <c r="B414" s="9"/>
    </row>
    <row r="415">
      <c r="A415" s="9"/>
      <c r="B415" s="9"/>
    </row>
    <row r="416">
      <c r="A416" s="9"/>
      <c r="B416" s="9"/>
    </row>
    <row r="417">
      <c r="A417" s="9"/>
      <c r="B417" s="9"/>
    </row>
    <row r="418">
      <c r="A418" s="9"/>
      <c r="B418" s="9"/>
    </row>
    <row r="419">
      <c r="A419" s="9"/>
      <c r="B419" s="9"/>
    </row>
    <row r="420">
      <c r="A420" s="9"/>
      <c r="B420" s="9"/>
    </row>
    <row r="421">
      <c r="A421" s="9"/>
      <c r="B421" s="9"/>
    </row>
    <row r="422">
      <c r="A422" s="9"/>
      <c r="B422" s="9"/>
    </row>
    <row r="423">
      <c r="A423" s="9"/>
      <c r="B423" s="9"/>
    </row>
    <row r="424">
      <c r="A424" s="9"/>
      <c r="B424" s="9"/>
    </row>
    <row r="425">
      <c r="A425" s="9"/>
      <c r="B425" s="9"/>
    </row>
    <row r="426">
      <c r="A426" s="9"/>
      <c r="B426" s="9"/>
    </row>
    <row r="427">
      <c r="A427" s="9"/>
      <c r="B427" s="9"/>
    </row>
    <row r="428">
      <c r="A428" s="9"/>
      <c r="B428" s="9"/>
    </row>
    <row r="429">
      <c r="A429" s="9"/>
      <c r="B429" s="9"/>
    </row>
    <row r="430">
      <c r="A430" s="9"/>
      <c r="B430" s="9"/>
    </row>
    <row r="431">
      <c r="A431" s="9"/>
      <c r="B431" s="9"/>
    </row>
    <row r="432">
      <c r="A432" s="9"/>
      <c r="B432" s="9"/>
    </row>
    <row r="433">
      <c r="A433" s="9"/>
      <c r="B433" s="9"/>
    </row>
    <row r="434">
      <c r="A434" s="9"/>
      <c r="B434" s="9"/>
    </row>
    <row r="435">
      <c r="A435" s="9"/>
      <c r="B435" s="9"/>
    </row>
    <row r="436">
      <c r="A436" s="9"/>
      <c r="B436" s="9"/>
    </row>
    <row r="437">
      <c r="A437" s="9"/>
      <c r="B437" s="9"/>
    </row>
    <row r="438">
      <c r="A438" s="9"/>
      <c r="B438" s="9"/>
    </row>
    <row r="439">
      <c r="A439" s="9"/>
      <c r="B439" s="9"/>
    </row>
    <row r="440">
      <c r="A440" s="9"/>
      <c r="B440" s="9"/>
    </row>
    <row r="441">
      <c r="A441" s="9"/>
      <c r="B441" s="9"/>
    </row>
    <row r="442">
      <c r="A442" s="9"/>
      <c r="B442" s="9"/>
    </row>
    <row r="443">
      <c r="A443" s="9"/>
      <c r="B443" s="9"/>
    </row>
    <row r="444">
      <c r="A444" s="9"/>
      <c r="B444" s="9"/>
    </row>
    <row r="445">
      <c r="A445" s="9"/>
      <c r="B445" s="9"/>
    </row>
    <row r="446">
      <c r="A446" s="9"/>
      <c r="B446" s="9"/>
    </row>
    <row r="447">
      <c r="A447" s="9"/>
      <c r="B447" s="9"/>
    </row>
    <row r="448">
      <c r="A448" s="9"/>
      <c r="B448" s="9"/>
    </row>
    <row r="449">
      <c r="A449" s="9"/>
      <c r="B449" s="9"/>
    </row>
    <row r="450">
      <c r="A450" s="9"/>
      <c r="B450" s="9"/>
    </row>
    <row r="451">
      <c r="A451" s="9"/>
      <c r="B451" s="9"/>
    </row>
    <row r="452">
      <c r="A452" s="9"/>
      <c r="B452" s="9"/>
    </row>
    <row r="453">
      <c r="A453" s="9"/>
      <c r="B453" s="9"/>
    </row>
    <row r="454">
      <c r="A454" s="9"/>
      <c r="B454" s="9"/>
    </row>
    <row r="455">
      <c r="A455" s="9"/>
      <c r="B455" s="9"/>
    </row>
    <row r="456">
      <c r="A456" s="9"/>
      <c r="B456" s="9"/>
    </row>
    <row r="457">
      <c r="A457" s="9"/>
      <c r="B457" s="9"/>
    </row>
    <row r="458">
      <c r="A458" s="9"/>
      <c r="B458" s="9"/>
    </row>
    <row r="459">
      <c r="A459" s="9"/>
      <c r="B459" s="9"/>
    </row>
    <row r="460">
      <c r="A460" s="9"/>
      <c r="B460" s="9"/>
    </row>
    <row r="461">
      <c r="A461" s="9"/>
      <c r="B461" s="9"/>
    </row>
    <row r="462">
      <c r="A462" s="9"/>
      <c r="B462" s="9"/>
    </row>
    <row r="463">
      <c r="A463" s="9"/>
      <c r="B463" s="9"/>
    </row>
    <row r="464">
      <c r="A464" s="9"/>
      <c r="B464" s="9"/>
    </row>
    <row r="465">
      <c r="A465" s="9"/>
      <c r="B465" s="9"/>
    </row>
    <row r="466">
      <c r="A466" s="9"/>
      <c r="B466" s="9"/>
    </row>
    <row r="467">
      <c r="A467" s="9"/>
      <c r="B467" s="9"/>
    </row>
    <row r="468">
      <c r="A468" s="9"/>
      <c r="B468" s="9"/>
    </row>
    <row r="469">
      <c r="A469" s="9"/>
      <c r="B469" s="9"/>
    </row>
    <row r="470">
      <c r="A470" s="9"/>
      <c r="B470" s="9"/>
    </row>
    <row r="471">
      <c r="A471" s="9"/>
      <c r="B471" s="9"/>
    </row>
    <row r="472">
      <c r="A472" s="9"/>
      <c r="B472" s="9"/>
    </row>
    <row r="473">
      <c r="A473" s="9"/>
      <c r="B473" s="9"/>
    </row>
    <row r="474">
      <c r="A474" s="9"/>
      <c r="B474" s="9"/>
    </row>
    <row r="475">
      <c r="A475" s="9"/>
      <c r="B475" s="9"/>
    </row>
    <row r="476">
      <c r="A476" s="9"/>
      <c r="B476" s="9"/>
    </row>
    <row r="477">
      <c r="A477" s="9"/>
      <c r="B477" s="9"/>
    </row>
    <row r="478">
      <c r="A478" s="9"/>
      <c r="B478" s="9"/>
    </row>
    <row r="479">
      <c r="A479" s="9"/>
      <c r="B479" s="9"/>
    </row>
    <row r="480">
      <c r="A480" s="9"/>
      <c r="B480" s="9"/>
    </row>
    <row r="481">
      <c r="A481" s="9"/>
      <c r="B481" s="9"/>
    </row>
    <row r="482">
      <c r="A482" s="9"/>
      <c r="B482" s="9"/>
    </row>
    <row r="483">
      <c r="A483" s="9"/>
      <c r="B483" s="9"/>
    </row>
    <row r="484">
      <c r="A484" s="9"/>
      <c r="B484" s="9"/>
    </row>
    <row r="485">
      <c r="A485" s="9"/>
      <c r="B485" s="9"/>
    </row>
    <row r="486">
      <c r="A486" s="9"/>
      <c r="B486" s="9"/>
    </row>
    <row r="487">
      <c r="A487" s="9"/>
      <c r="B487" s="9"/>
    </row>
    <row r="488">
      <c r="A488" s="9"/>
      <c r="B488" s="9"/>
    </row>
    <row r="489">
      <c r="A489" s="9"/>
      <c r="B489" s="9"/>
    </row>
    <row r="490">
      <c r="A490" s="9"/>
      <c r="B490" s="9"/>
    </row>
    <row r="491">
      <c r="A491" s="9"/>
      <c r="B491" s="9"/>
    </row>
    <row r="492">
      <c r="A492" s="9"/>
      <c r="B492" s="9"/>
    </row>
    <row r="493">
      <c r="A493" s="9"/>
      <c r="B493" s="9"/>
    </row>
    <row r="494">
      <c r="A494" s="9"/>
      <c r="B494" s="9"/>
    </row>
    <row r="495">
      <c r="A495" s="9"/>
      <c r="B495" s="9"/>
    </row>
    <row r="496">
      <c r="A496" s="9"/>
      <c r="B496" s="9"/>
    </row>
    <row r="497">
      <c r="A497" s="9"/>
      <c r="B497" s="9"/>
    </row>
    <row r="498">
      <c r="A498" s="9"/>
      <c r="B498" s="9"/>
    </row>
    <row r="499">
      <c r="A499" s="9"/>
      <c r="B499" s="9"/>
    </row>
    <row r="500">
      <c r="A500" s="9"/>
      <c r="B500" s="9"/>
    </row>
    <row r="501">
      <c r="A501" s="9"/>
      <c r="B501" s="9"/>
    </row>
    <row r="502">
      <c r="A502" s="9"/>
      <c r="B502" s="9"/>
    </row>
    <row r="503">
      <c r="A503" s="9"/>
      <c r="B503" s="9"/>
    </row>
    <row r="504">
      <c r="A504" s="9"/>
      <c r="B504" s="9"/>
    </row>
    <row r="505">
      <c r="A505" s="9"/>
      <c r="B505" s="9"/>
    </row>
    <row r="506">
      <c r="A506" s="9"/>
      <c r="B506" s="9"/>
    </row>
    <row r="507">
      <c r="A507" s="9"/>
      <c r="B507" s="9"/>
    </row>
    <row r="508">
      <c r="A508" s="9"/>
      <c r="B508" s="9"/>
    </row>
    <row r="509">
      <c r="A509" s="9"/>
      <c r="B509" s="9"/>
    </row>
    <row r="510">
      <c r="A510" s="9"/>
      <c r="B510" s="9"/>
    </row>
    <row r="511">
      <c r="A511" s="9"/>
      <c r="B511" s="9"/>
    </row>
    <row r="512">
      <c r="A512" s="9"/>
      <c r="B512" s="9"/>
    </row>
    <row r="513">
      <c r="A513" s="9"/>
      <c r="B513" s="9"/>
    </row>
    <row r="514">
      <c r="A514" s="9"/>
      <c r="B514" s="9"/>
    </row>
    <row r="515">
      <c r="A515" s="9"/>
      <c r="B515" s="9"/>
    </row>
    <row r="516">
      <c r="A516" s="9"/>
      <c r="B516" s="9"/>
    </row>
    <row r="517">
      <c r="A517" s="9"/>
      <c r="B517" s="9"/>
    </row>
    <row r="518">
      <c r="A518" s="9"/>
      <c r="B518" s="9"/>
    </row>
    <row r="519">
      <c r="A519" s="9"/>
      <c r="B519" s="9"/>
    </row>
    <row r="520">
      <c r="A520" s="9"/>
      <c r="B520" s="9"/>
    </row>
    <row r="521">
      <c r="A521" s="9"/>
      <c r="B521" s="9"/>
    </row>
    <row r="522">
      <c r="A522" s="9"/>
      <c r="B522" s="9"/>
    </row>
    <row r="523">
      <c r="A523" s="9"/>
      <c r="B523" s="9"/>
    </row>
    <row r="524">
      <c r="A524" s="9"/>
      <c r="B524" s="9"/>
    </row>
    <row r="525">
      <c r="A525" s="9"/>
      <c r="B525" s="9"/>
    </row>
    <row r="526">
      <c r="A526" s="9"/>
      <c r="B526" s="9"/>
    </row>
    <row r="527">
      <c r="A527" s="9"/>
      <c r="B527" s="9"/>
    </row>
    <row r="528">
      <c r="A528" s="9"/>
      <c r="B528" s="9"/>
    </row>
    <row r="529">
      <c r="A529" s="9"/>
      <c r="B529" s="9"/>
    </row>
    <row r="530">
      <c r="A530" s="9"/>
      <c r="B530" s="9"/>
    </row>
    <row r="531">
      <c r="A531" s="9"/>
      <c r="B531" s="9"/>
    </row>
    <row r="532">
      <c r="A532" s="9"/>
      <c r="B532" s="9"/>
    </row>
    <row r="533">
      <c r="A533" s="9"/>
      <c r="B533" s="9"/>
    </row>
    <row r="534">
      <c r="A534" s="9"/>
      <c r="B534" s="9"/>
    </row>
    <row r="535">
      <c r="A535" s="9"/>
      <c r="B535" s="9"/>
    </row>
    <row r="536">
      <c r="A536" s="9"/>
      <c r="B536" s="9"/>
    </row>
    <row r="537">
      <c r="A537" s="9"/>
      <c r="B537" s="9"/>
    </row>
    <row r="538">
      <c r="A538" s="9"/>
      <c r="B538" s="9"/>
    </row>
    <row r="539">
      <c r="A539" s="9"/>
      <c r="B539" s="9"/>
    </row>
    <row r="540">
      <c r="A540" s="9"/>
      <c r="B540" s="9"/>
    </row>
    <row r="541">
      <c r="A541" s="9"/>
      <c r="B541" s="9"/>
    </row>
    <row r="542">
      <c r="A542" s="9"/>
      <c r="B542" s="9"/>
    </row>
    <row r="543">
      <c r="A543" s="9"/>
      <c r="B543" s="9"/>
    </row>
    <row r="544">
      <c r="A544" s="9"/>
      <c r="B544" s="9"/>
    </row>
    <row r="545">
      <c r="A545" s="9"/>
      <c r="B545" s="9"/>
    </row>
    <row r="546">
      <c r="A546" s="9"/>
      <c r="B546" s="9"/>
    </row>
    <row r="547">
      <c r="A547" s="9"/>
      <c r="B547" s="9"/>
    </row>
    <row r="548">
      <c r="A548" s="9"/>
      <c r="B548" s="9"/>
    </row>
    <row r="549">
      <c r="A549" s="9"/>
      <c r="B549" s="9"/>
    </row>
    <row r="550">
      <c r="A550" s="9"/>
      <c r="B550" s="9"/>
    </row>
    <row r="551">
      <c r="A551" s="9"/>
      <c r="B551" s="9"/>
    </row>
    <row r="552">
      <c r="A552" s="9"/>
      <c r="B552" s="9"/>
    </row>
    <row r="553">
      <c r="A553" s="9"/>
      <c r="B553" s="9"/>
    </row>
    <row r="554">
      <c r="A554" s="9"/>
      <c r="B554" s="9"/>
    </row>
    <row r="555">
      <c r="A555" s="9"/>
      <c r="B555" s="9"/>
    </row>
    <row r="556">
      <c r="A556" s="9"/>
      <c r="B556" s="9"/>
    </row>
    <row r="557">
      <c r="A557" s="9"/>
      <c r="B557" s="9"/>
    </row>
    <row r="558">
      <c r="A558" s="9"/>
      <c r="B558" s="9"/>
    </row>
    <row r="559">
      <c r="A559" s="9"/>
      <c r="B559" s="9"/>
    </row>
    <row r="560">
      <c r="A560" s="9"/>
      <c r="B560" s="9"/>
    </row>
    <row r="561">
      <c r="A561" s="9"/>
      <c r="B561" s="9"/>
    </row>
    <row r="562">
      <c r="A562" s="9"/>
      <c r="B562" s="9"/>
    </row>
    <row r="563">
      <c r="A563" s="9"/>
      <c r="B563" s="9"/>
    </row>
    <row r="564">
      <c r="A564" s="9"/>
      <c r="B564" s="9"/>
    </row>
    <row r="565">
      <c r="A565" s="9"/>
      <c r="B565" s="9"/>
    </row>
    <row r="566">
      <c r="A566" s="9"/>
      <c r="B566" s="9"/>
    </row>
    <row r="567">
      <c r="A567" s="9"/>
      <c r="B567" s="9"/>
    </row>
    <row r="568">
      <c r="A568" s="9"/>
      <c r="B568" s="9"/>
    </row>
    <row r="569">
      <c r="A569" s="9"/>
      <c r="B569" s="9"/>
    </row>
    <row r="570">
      <c r="A570" s="9"/>
      <c r="B570" s="9"/>
    </row>
    <row r="571">
      <c r="A571" s="9"/>
      <c r="B571" s="9"/>
    </row>
    <row r="572">
      <c r="A572" s="9"/>
      <c r="B572" s="9"/>
    </row>
    <row r="573">
      <c r="A573" s="9"/>
      <c r="B573" s="9"/>
    </row>
    <row r="574">
      <c r="A574" s="9"/>
      <c r="B574" s="9"/>
    </row>
    <row r="575">
      <c r="A575" s="9"/>
      <c r="B575" s="9"/>
    </row>
    <row r="576">
      <c r="A576" s="9"/>
      <c r="B576" s="9"/>
    </row>
    <row r="577">
      <c r="A577" s="9"/>
      <c r="B577" s="9"/>
    </row>
    <row r="578">
      <c r="A578" s="9"/>
      <c r="B578" s="9"/>
    </row>
    <row r="579">
      <c r="A579" s="9"/>
      <c r="B579" s="9"/>
    </row>
    <row r="580">
      <c r="A580" s="9"/>
      <c r="B580" s="9"/>
    </row>
    <row r="581">
      <c r="A581" s="9"/>
      <c r="B581" s="9"/>
    </row>
    <row r="582">
      <c r="A582" s="9"/>
      <c r="B582" s="9"/>
    </row>
    <row r="583">
      <c r="A583" s="9"/>
      <c r="B583" s="9"/>
    </row>
    <row r="584">
      <c r="A584" s="9"/>
      <c r="B584" s="9"/>
    </row>
    <row r="585">
      <c r="A585" s="9"/>
      <c r="B585" s="9"/>
    </row>
    <row r="586">
      <c r="A586" s="9"/>
      <c r="B586" s="9"/>
    </row>
    <row r="587">
      <c r="A587" s="9"/>
      <c r="B587" s="9"/>
    </row>
    <row r="588">
      <c r="A588" s="9"/>
      <c r="B588" s="9"/>
    </row>
    <row r="589">
      <c r="A589" s="9"/>
      <c r="B589" s="9"/>
    </row>
    <row r="590">
      <c r="A590" s="9"/>
      <c r="B590" s="9"/>
    </row>
    <row r="591">
      <c r="A591" s="9"/>
      <c r="B591" s="9"/>
    </row>
    <row r="592">
      <c r="A592" s="9"/>
      <c r="B592" s="9"/>
    </row>
    <row r="593">
      <c r="A593" s="9"/>
      <c r="B593" s="9"/>
    </row>
    <row r="594">
      <c r="A594" s="9"/>
      <c r="B594" s="9"/>
    </row>
    <row r="595">
      <c r="A595" s="9"/>
      <c r="B595" s="9"/>
    </row>
    <row r="596">
      <c r="A596" s="9"/>
      <c r="B596" s="9"/>
    </row>
    <row r="597">
      <c r="A597" s="9"/>
      <c r="B597" s="9"/>
    </row>
    <row r="598">
      <c r="A598" s="9"/>
      <c r="B598" s="9"/>
    </row>
    <row r="599">
      <c r="A599" s="9"/>
      <c r="B599" s="9"/>
    </row>
    <row r="600">
      <c r="A600" s="9"/>
      <c r="B600" s="9"/>
    </row>
    <row r="601">
      <c r="A601" s="9"/>
      <c r="B601" s="9"/>
    </row>
    <row r="602">
      <c r="A602" s="9"/>
      <c r="B602" s="9"/>
    </row>
    <row r="603">
      <c r="A603" s="9"/>
      <c r="B603" s="9"/>
    </row>
    <row r="604">
      <c r="A604" s="9"/>
      <c r="B604" s="9"/>
    </row>
    <row r="605">
      <c r="A605" s="9"/>
      <c r="B605" s="9"/>
    </row>
    <row r="606">
      <c r="A606" s="9"/>
      <c r="B606" s="9"/>
    </row>
    <row r="607">
      <c r="A607" s="9"/>
      <c r="B607" s="9"/>
    </row>
    <row r="608">
      <c r="A608" s="9"/>
      <c r="B608" s="9"/>
    </row>
    <row r="609">
      <c r="A609" s="9"/>
      <c r="B609" s="9"/>
    </row>
    <row r="610">
      <c r="A610" s="9"/>
      <c r="B610" s="9"/>
    </row>
    <row r="611">
      <c r="A611" s="9"/>
      <c r="B611" s="9"/>
    </row>
    <row r="612">
      <c r="A612" s="9"/>
      <c r="B612" s="9"/>
    </row>
    <row r="613">
      <c r="A613" s="9"/>
      <c r="B613" s="9"/>
    </row>
    <row r="614">
      <c r="A614" s="9"/>
      <c r="B614" s="9"/>
    </row>
    <row r="615">
      <c r="A615" s="9"/>
      <c r="B615" s="9"/>
    </row>
    <row r="616">
      <c r="A616" s="9"/>
      <c r="B616" s="9"/>
    </row>
    <row r="617">
      <c r="A617" s="9"/>
      <c r="B617" s="9"/>
    </row>
    <row r="618">
      <c r="A618" s="9"/>
      <c r="B618" s="9"/>
    </row>
    <row r="619">
      <c r="A619" s="9"/>
      <c r="B619" s="9"/>
    </row>
    <row r="620">
      <c r="A620" s="9"/>
      <c r="B620" s="9"/>
    </row>
    <row r="621">
      <c r="A621" s="9"/>
      <c r="B621" s="9"/>
    </row>
    <row r="622">
      <c r="A622" s="9"/>
      <c r="B622" s="9"/>
    </row>
    <row r="623">
      <c r="A623" s="9"/>
      <c r="B623" s="9"/>
    </row>
    <row r="624">
      <c r="A624" s="9"/>
      <c r="B624" s="9"/>
    </row>
    <row r="625">
      <c r="A625" s="9"/>
      <c r="B625" s="9"/>
    </row>
    <row r="626">
      <c r="A626" s="9"/>
      <c r="B626" s="9"/>
    </row>
    <row r="627">
      <c r="A627" s="9"/>
      <c r="B627" s="9"/>
    </row>
    <row r="628">
      <c r="A628" s="9"/>
      <c r="B628" s="9"/>
    </row>
    <row r="629">
      <c r="A629" s="9"/>
      <c r="B629" s="9"/>
    </row>
    <row r="630">
      <c r="A630" s="9"/>
      <c r="B630" s="9"/>
    </row>
    <row r="631">
      <c r="A631" s="9"/>
      <c r="B631" s="9"/>
    </row>
    <row r="632">
      <c r="A632" s="9"/>
      <c r="B632" s="9"/>
    </row>
    <row r="633">
      <c r="A633" s="9"/>
      <c r="B633" s="9"/>
    </row>
    <row r="634">
      <c r="A634" s="9"/>
      <c r="B634" s="9"/>
    </row>
    <row r="635">
      <c r="A635" s="9"/>
      <c r="B635" s="9"/>
    </row>
    <row r="636">
      <c r="A636" s="9"/>
      <c r="B636" s="9"/>
    </row>
    <row r="637">
      <c r="A637" s="9"/>
      <c r="B637" s="9"/>
    </row>
    <row r="638">
      <c r="A638" s="9"/>
      <c r="B638" s="9"/>
    </row>
    <row r="639">
      <c r="A639" s="9"/>
      <c r="B639" s="9"/>
    </row>
    <row r="640">
      <c r="A640" s="9"/>
      <c r="B640" s="9"/>
    </row>
    <row r="641">
      <c r="A641" s="9"/>
      <c r="B641" s="9"/>
    </row>
    <row r="642">
      <c r="A642" s="9"/>
      <c r="B642" s="9"/>
    </row>
    <row r="643">
      <c r="A643" s="9"/>
      <c r="B643" s="9"/>
    </row>
    <row r="644">
      <c r="A644" s="9"/>
      <c r="B644" s="9"/>
    </row>
    <row r="645">
      <c r="A645" s="9"/>
      <c r="B645" s="9"/>
    </row>
    <row r="646">
      <c r="A646" s="9"/>
      <c r="B646" s="9"/>
    </row>
    <row r="647">
      <c r="A647" s="9"/>
      <c r="B647" s="9"/>
    </row>
    <row r="648">
      <c r="A648" s="9"/>
      <c r="B648" s="9"/>
    </row>
    <row r="649">
      <c r="A649" s="9"/>
      <c r="B649" s="9"/>
    </row>
    <row r="650">
      <c r="A650" s="9"/>
      <c r="B650" s="9"/>
    </row>
    <row r="651">
      <c r="A651" s="9"/>
      <c r="B651" s="9"/>
    </row>
    <row r="652">
      <c r="A652" s="9"/>
      <c r="B652" s="9"/>
    </row>
    <row r="653">
      <c r="A653" s="9"/>
      <c r="B653" s="9"/>
    </row>
    <row r="654">
      <c r="A654" s="9"/>
      <c r="B654" s="9"/>
    </row>
    <row r="655">
      <c r="A655" s="9"/>
      <c r="B655" s="9"/>
    </row>
    <row r="656">
      <c r="A656" s="9"/>
      <c r="B656" s="9"/>
    </row>
    <row r="657">
      <c r="A657" s="9"/>
      <c r="B657" s="9"/>
    </row>
    <row r="658">
      <c r="A658" s="9"/>
      <c r="B658" s="9"/>
    </row>
    <row r="659">
      <c r="A659" s="9"/>
      <c r="B659" s="9"/>
    </row>
    <row r="660">
      <c r="A660" s="9"/>
      <c r="B660" s="9"/>
    </row>
    <row r="661">
      <c r="A661" s="9"/>
      <c r="B661" s="9"/>
    </row>
    <row r="662">
      <c r="A662" s="9"/>
      <c r="B662" s="9"/>
    </row>
    <row r="663">
      <c r="A663" s="9"/>
      <c r="B663" s="9"/>
    </row>
    <row r="664">
      <c r="A664" s="9"/>
      <c r="B664" s="9"/>
    </row>
    <row r="665">
      <c r="A665" s="9"/>
      <c r="B665" s="9"/>
    </row>
    <row r="666">
      <c r="A666" s="9"/>
      <c r="B666" s="9"/>
    </row>
    <row r="667">
      <c r="A667" s="9"/>
      <c r="B667" s="9"/>
    </row>
    <row r="668">
      <c r="A668" s="9"/>
      <c r="B668" s="9"/>
    </row>
    <row r="669">
      <c r="A669" s="9"/>
      <c r="B669" s="9"/>
    </row>
    <row r="670">
      <c r="A670" s="9"/>
      <c r="B670" s="9"/>
    </row>
    <row r="671">
      <c r="A671" s="9"/>
      <c r="B671" s="9"/>
    </row>
    <row r="672">
      <c r="A672" s="9"/>
      <c r="B672" s="9"/>
    </row>
    <row r="673">
      <c r="A673" s="9"/>
      <c r="B673" s="9"/>
    </row>
    <row r="674">
      <c r="A674" s="9"/>
      <c r="B674" s="9"/>
    </row>
    <row r="675">
      <c r="A675" s="9"/>
      <c r="B675" s="9"/>
    </row>
    <row r="676">
      <c r="A676" s="9"/>
      <c r="B676" s="9"/>
    </row>
    <row r="677">
      <c r="A677" s="9"/>
      <c r="B677" s="9"/>
    </row>
    <row r="678">
      <c r="A678" s="9"/>
      <c r="B678" s="9"/>
    </row>
    <row r="679">
      <c r="A679" s="9"/>
      <c r="B679" s="9"/>
    </row>
    <row r="680">
      <c r="A680" s="9"/>
      <c r="B680" s="9"/>
    </row>
    <row r="681">
      <c r="A681" s="9"/>
      <c r="B681" s="9"/>
    </row>
    <row r="682">
      <c r="A682" s="9"/>
      <c r="B682" s="9"/>
    </row>
    <row r="683">
      <c r="A683" s="9"/>
      <c r="B683" s="9"/>
    </row>
    <row r="684">
      <c r="A684" s="9"/>
      <c r="B684" s="9"/>
    </row>
    <row r="685">
      <c r="A685" s="9"/>
      <c r="B685" s="9"/>
    </row>
    <row r="686">
      <c r="A686" s="9"/>
      <c r="B686" s="9"/>
    </row>
    <row r="687">
      <c r="A687" s="9"/>
      <c r="B687" s="9"/>
    </row>
    <row r="688">
      <c r="A688" s="9"/>
      <c r="B688" s="9"/>
    </row>
    <row r="689">
      <c r="A689" s="9"/>
      <c r="B689" s="9"/>
    </row>
    <row r="690">
      <c r="A690" s="9"/>
      <c r="B690" s="9"/>
    </row>
    <row r="691">
      <c r="A691" s="9"/>
      <c r="B691" s="9"/>
    </row>
    <row r="692">
      <c r="A692" s="9"/>
      <c r="B692" s="9"/>
    </row>
    <row r="693">
      <c r="A693" s="9"/>
      <c r="B693" s="9"/>
    </row>
    <row r="694">
      <c r="A694" s="9"/>
      <c r="B694" s="9"/>
    </row>
    <row r="695">
      <c r="A695" s="9"/>
      <c r="B695" s="9"/>
    </row>
    <row r="696">
      <c r="A696" s="9"/>
      <c r="B696" s="9"/>
    </row>
    <row r="697">
      <c r="A697" s="9"/>
      <c r="B697" s="9"/>
    </row>
    <row r="698">
      <c r="A698" s="9"/>
      <c r="B698" s="9"/>
    </row>
    <row r="699">
      <c r="A699" s="9"/>
      <c r="B699" s="9"/>
    </row>
    <row r="700">
      <c r="A700" s="9"/>
      <c r="B700" s="9"/>
    </row>
    <row r="701">
      <c r="A701" s="9"/>
      <c r="B701" s="9"/>
    </row>
    <row r="702">
      <c r="A702" s="9"/>
      <c r="B702" s="9"/>
    </row>
    <row r="703">
      <c r="A703" s="9"/>
      <c r="B703" s="9"/>
    </row>
    <row r="704">
      <c r="A704" s="9"/>
      <c r="B704" s="9"/>
    </row>
    <row r="705">
      <c r="A705" s="9"/>
      <c r="B705" s="9"/>
    </row>
    <row r="706">
      <c r="A706" s="9"/>
      <c r="B706" s="9"/>
    </row>
    <row r="707">
      <c r="A707" s="9"/>
      <c r="B707" s="9"/>
    </row>
    <row r="708">
      <c r="A708" s="9"/>
      <c r="B708" s="9"/>
    </row>
    <row r="709">
      <c r="A709" s="9"/>
      <c r="B709" s="9"/>
    </row>
    <row r="710">
      <c r="A710" s="9"/>
      <c r="B710" s="9"/>
    </row>
    <row r="711">
      <c r="A711" s="9"/>
      <c r="B711" s="9"/>
    </row>
    <row r="712">
      <c r="A712" s="9"/>
      <c r="B712" s="9"/>
    </row>
    <row r="713">
      <c r="A713" s="9"/>
      <c r="B713" s="9"/>
    </row>
    <row r="714">
      <c r="A714" s="9"/>
      <c r="B714" s="9"/>
    </row>
    <row r="715">
      <c r="A715" s="9"/>
      <c r="B715" s="9"/>
    </row>
    <row r="716">
      <c r="A716" s="9"/>
      <c r="B716" s="9"/>
    </row>
    <row r="717">
      <c r="A717" s="9"/>
      <c r="B717" s="9"/>
    </row>
    <row r="718">
      <c r="A718" s="9"/>
      <c r="B718" s="9"/>
    </row>
    <row r="719">
      <c r="A719" s="9"/>
      <c r="B719" s="9"/>
    </row>
    <row r="720">
      <c r="A720" s="9"/>
      <c r="B720" s="9"/>
    </row>
    <row r="721">
      <c r="A721" s="9"/>
      <c r="B721" s="9"/>
    </row>
    <row r="722">
      <c r="A722" s="9"/>
      <c r="B722" s="9"/>
    </row>
    <row r="723">
      <c r="A723" s="9"/>
      <c r="B723" s="9"/>
    </row>
    <row r="724">
      <c r="A724" s="9"/>
      <c r="B724" s="9"/>
    </row>
    <row r="725">
      <c r="A725" s="9"/>
      <c r="B725" s="9"/>
    </row>
    <row r="726">
      <c r="A726" s="9"/>
      <c r="B726" s="9"/>
    </row>
    <row r="727">
      <c r="A727" s="9"/>
      <c r="B727" s="9"/>
    </row>
    <row r="728">
      <c r="A728" s="9"/>
      <c r="B728" s="9"/>
    </row>
    <row r="729">
      <c r="A729" s="9"/>
      <c r="B729" s="9"/>
    </row>
    <row r="730">
      <c r="A730" s="9"/>
      <c r="B730" s="9"/>
    </row>
    <row r="731">
      <c r="A731" s="9"/>
      <c r="B731" s="9"/>
    </row>
    <row r="732">
      <c r="A732" s="9"/>
      <c r="B732" s="9"/>
    </row>
    <row r="733">
      <c r="A733" s="9"/>
      <c r="B733" s="9"/>
    </row>
    <row r="734">
      <c r="A734" s="9"/>
      <c r="B734" s="9"/>
    </row>
    <row r="735">
      <c r="A735" s="9"/>
      <c r="B735" s="9"/>
    </row>
    <row r="736">
      <c r="A736" s="9"/>
      <c r="B736" s="9"/>
    </row>
    <row r="737">
      <c r="A737" s="9"/>
      <c r="B737" s="9"/>
    </row>
    <row r="738">
      <c r="A738" s="9"/>
      <c r="B738" s="9"/>
    </row>
    <row r="739">
      <c r="A739" s="9"/>
      <c r="B739" s="9"/>
    </row>
    <row r="740">
      <c r="A740" s="9"/>
      <c r="B740" s="9"/>
    </row>
    <row r="741">
      <c r="A741" s="9"/>
      <c r="B741" s="9"/>
    </row>
    <row r="742">
      <c r="A742" s="9"/>
      <c r="B742" s="9"/>
    </row>
    <row r="743">
      <c r="A743" s="9"/>
      <c r="B743" s="9"/>
    </row>
    <row r="744">
      <c r="A744" s="9"/>
      <c r="B744" s="9"/>
    </row>
    <row r="745">
      <c r="A745" s="9"/>
      <c r="B745" s="9"/>
    </row>
    <row r="746">
      <c r="A746" s="9"/>
      <c r="B746" s="9"/>
    </row>
    <row r="747">
      <c r="A747" s="9"/>
      <c r="B747" s="9"/>
    </row>
    <row r="748">
      <c r="A748" s="9"/>
      <c r="B748" s="9"/>
    </row>
    <row r="749">
      <c r="A749" s="9"/>
      <c r="B749" s="9"/>
    </row>
    <row r="750">
      <c r="A750" s="9"/>
      <c r="B750" s="9"/>
    </row>
    <row r="751">
      <c r="A751" s="9"/>
      <c r="B751" s="9"/>
    </row>
    <row r="752">
      <c r="A752" s="9"/>
      <c r="B752" s="9"/>
    </row>
    <row r="753">
      <c r="A753" s="9"/>
      <c r="B753" s="9"/>
    </row>
    <row r="754">
      <c r="A754" s="9"/>
      <c r="B754" s="9"/>
    </row>
    <row r="755">
      <c r="A755" s="9"/>
      <c r="B755" s="9"/>
    </row>
    <row r="756">
      <c r="A756" s="9"/>
      <c r="B756" s="9"/>
    </row>
    <row r="757">
      <c r="A757" s="9"/>
      <c r="B757" s="9"/>
    </row>
    <row r="758">
      <c r="A758" s="9"/>
      <c r="B758" s="9"/>
    </row>
    <row r="759">
      <c r="A759" s="9"/>
      <c r="B759" s="9"/>
    </row>
    <row r="760">
      <c r="A760" s="9"/>
      <c r="B760" s="9"/>
    </row>
    <row r="761">
      <c r="A761" s="9"/>
      <c r="B761" s="9"/>
    </row>
    <row r="762">
      <c r="A762" s="9"/>
      <c r="B762" s="9"/>
    </row>
    <row r="763">
      <c r="A763" s="9"/>
      <c r="B763" s="9"/>
    </row>
    <row r="764">
      <c r="A764" s="9"/>
      <c r="B764" s="9"/>
    </row>
    <row r="765">
      <c r="A765" s="9"/>
      <c r="B765" s="9"/>
    </row>
    <row r="766">
      <c r="A766" s="9"/>
      <c r="B766" s="9"/>
    </row>
    <row r="767">
      <c r="A767" s="9"/>
      <c r="B767" s="9"/>
    </row>
    <row r="768">
      <c r="A768" s="9"/>
      <c r="B768" s="9"/>
    </row>
    <row r="769">
      <c r="A769" s="9"/>
      <c r="B769" s="9"/>
    </row>
    <row r="770">
      <c r="A770" s="9"/>
      <c r="B770" s="9"/>
    </row>
    <row r="771">
      <c r="A771" s="9"/>
      <c r="B771" s="9"/>
    </row>
    <row r="772">
      <c r="A772" s="9"/>
      <c r="B772" s="9"/>
    </row>
    <row r="773">
      <c r="A773" s="9"/>
      <c r="B773" s="9"/>
    </row>
    <row r="774">
      <c r="A774" s="9"/>
      <c r="B774" s="9"/>
    </row>
    <row r="775">
      <c r="A775" s="9"/>
      <c r="B775" s="9"/>
    </row>
    <row r="776">
      <c r="A776" s="9"/>
      <c r="B776" s="9"/>
    </row>
    <row r="777">
      <c r="A777" s="9"/>
      <c r="B777" s="9"/>
    </row>
    <row r="778">
      <c r="A778" s="9"/>
      <c r="B778" s="9"/>
    </row>
    <row r="779">
      <c r="A779" s="9"/>
      <c r="B779" s="9"/>
    </row>
    <row r="780">
      <c r="A780" s="9"/>
      <c r="B780" s="9"/>
    </row>
    <row r="781">
      <c r="A781" s="9"/>
      <c r="B781" s="9"/>
    </row>
    <row r="782">
      <c r="A782" s="9"/>
      <c r="B782" s="9"/>
    </row>
    <row r="783">
      <c r="A783" s="9"/>
      <c r="B783" s="9"/>
    </row>
    <row r="784">
      <c r="A784" s="9"/>
      <c r="B784" s="9"/>
    </row>
    <row r="785">
      <c r="A785" s="9"/>
      <c r="B785" s="9"/>
    </row>
    <row r="786">
      <c r="A786" s="9"/>
      <c r="B786" s="9"/>
    </row>
    <row r="787">
      <c r="A787" s="9"/>
      <c r="B787" s="9"/>
    </row>
    <row r="788">
      <c r="A788" s="9"/>
      <c r="B788" s="9"/>
    </row>
    <row r="789">
      <c r="A789" s="9"/>
      <c r="B789" s="9"/>
    </row>
    <row r="790">
      <c r="A790" s="9"/>
      <c r="B790" s="9"/>
    </row>
    <row r="791">
      <c r="A791" s="9"/>
      <c r="B791" s="9"/>
    </row>
    <row r="792">
      <c r="A792" s="9"/>
      <c r="B792" s="9"/>
    </row>
    <row r="793">
      <c r="A793" s="9"/>
      <c r="B793" s="9"/>
    </row>
    <row r="794">
      <c r="A794" s="9"/>
      <c r="B794" s="9"/>
    </row>
    <row r="795">
      <c r="A795" s="9"/>
      <c r="B795" s="9"/>
    </row>
    <row r="796">
      <c r="A796" s="9"/>
      <c r="B796" s="9"/>
    </row>
    <row r="797">
      <c r="A797" s="9"/>
      <c r="B797" s="9"/>
    </row>
    <row r="798">
      <c r="A798" s="9"/>
      <c r="B798" s="9"/>
    </row>
    <row r="799">
      <c r="A799" s="9"/>
      <c r="B799" s="9"/>
    </row>
    <row r="800">
      <c r="A800" s="9"/>
      <c r="B800" s="9"/>
    </row>
    <row r="801">
      <c r="A801" s="9"/>
      <c r="B801" s="9"/>
    </row>
    <row r="802">
      <c r="A802" s="9"/>
      <c r="B802" s="9"/>
    </row>
    <row r="803">
      <c r="A803" s="9"/>
      <c r="B803" s="9"/>
    </row>
    <row r="804">
      <c r="A804" s="9"/>
      <c r="B804" s="9"/>
    </row>
    <row r="805">
      <c r="A805" s="9"/>
      <c r="B805" s="9"/>
    </row>
    <row r="806">
      <c r="A806" s="9"/>
      <c r="B806" s="9"/>
    </row>
    <row r="807">
      <c r="A807" s="9"/>
      <c r="B807" s="9"/>
    </row>
    <row r="808">
      <c r="A808" s="9"/>
      <c r="B808" s="9"/>
    </row>
    <row r="809">
      <c r="A809" s="9"/>
      <c r="B809" s="9"/>
    </row>
    <row r="810">
      <c r="A810" s="9"/>
      <c r="B810" s="9"/>
    </row>
    <row r="811">
      <c r="A811" s="9"/>
      <c r="B811" s="9"/>
    </row>
    <row r="812">
      <c r="A812" s="9"/>
      <c r="B812" s="9"/>
    </row>
    <row r="813">
      <c r="A813" s="9"/>
      <c r="B813" s="9"/>
    </row>
    <row r="814">
      <c r="A814" s="9"/>
      <c r="B814" s="9"/>
    </row>
    <row r="815">
      <c r="A815" s="9"/>
      <c r="B815" s="9"/>
    </row>
    <row r="816">
      <c r="A816" s="9"/>
      <c r="B816" s="9"/>
    </row>
    <row r="817">
      <c r="A817" s="9"/>
      <c r="B817" s="9"/>
    </row>
    <row r="818">
      <c r="A818" s="9"/>
      <c r="B818" s="9"/>
    </row>
    <row r="819">
      <c r="A819" s="9"/>
      <c r="B819" s="9"/>
    </row>
    <row r="820">
      <c r="A820" s="9"/>
      <c r="B820" s="9"/>
    </row>
    <row r="821">
      <c r="A821" s="9"/>
      <c r="B821" s="9"/>
    </row>
    <row r="822">
      <c r="A822" s="9"/>
      <c r="B822" s="9"/>
    </row>
    <row r="823">
      <c r="A823" s="9"/>
      <c r="B823" s="9"/>
    </row>
    <row r="824">
      <c r="A824" s="9"/>
      <c r="B824" s="9"/>
    </row>
    <row r="825">
      <c r="A825" s="9"/>
      <c r="B825" s="9"/>
    </row>
    <row r="826">
      <c r="A826" s="9"/>
      <c r="B826" s="9"/>
    </row>
    <row r="827">
      <c r="A827" s="9"/>
      <c r="B827" s="9"/>
    </row>
    <row r="828">
      <c r="A828" s="9"/>
      <c r="B828" s="9"/>
    </row>
    <row r="829">
      <c r="A829" s="9"/>
      <c r="B829" s="9"/>
    </row>
    <row r="830">
      <c r="A830" s="9"/>
      <c r="B830" s="9"/>
    </row>
    <row r="831">
      <c r="A831" s="9"/>
      <c r="B831" s="9"/>
    </row>
    <row r="832">
      <c r="A832" s="9"/>
      <c r="B832" s="9"/>
    </row>
    <row r="833">
      <c r="A833" s="9"/>
      <c r="B833" s="9"/>
    </row>
    <row r="834">
      <c r="A834" s="9"/>
      <c r="B834" s="9"/>
    </row>
    <row r="835">
      <c r="A835" s="9"/>
      <c r="B835" s="9"/>
    </row>
    <row r="836">
      <c r="A836" s="9"/>
      <c r="B836" s="9"/>
    </row>
    <row r="837">
      <c r="A837" s="9"/>
      <c r="B837" s="9"/>
    </row>
    <row r="838">
      <c r="A838" s="9"/>
      <c r="B838" s="9"/>
    </row>
    <row r="839">
      <c r="A839" s="9"/>
      <c r="B839" s="9"/>
    </row>
    <row r="840">
      <c r="A840" s="9"/>
      <c r="B840" s="9"/>
    </row>
    <row r="841">
      <c r="A841" s="9"/>
      <c r="B841" s="9"/>
    </row>
    <row r="842">
      <c r="A842" s="9"/>
      <c r="B842" s="9"/>
    </row>
    <row r="843">
      <c r="A843" s="9"/>
      <c r="B843" s="9"/>
    </row>
    <row r="844">
      <c r="A844" s="9"/>
      <c r="B844" s="9"/>
    </row>
    <row r="845">
      <c r="A845" s="9"/>
      <c r="B845" s="9"/>
    </row>
    <row r="846">
      <c r="A846" s="9"/>
      <c r="B846" s="9"/>
    </row>
    <row r="847">
      <c r="A847" s="9"/>
      <c r="B847" s="9"/>
    </row>
    <row r="848">
      <c r="A848" s="9"/>
      <c r="B848" s="9"/>
    </row>
    <row r="849">
      <c r="A849" s="9"/>
      <c r="B849" s="9"/>
    </row>
    <row r="850">
      <c r="A850" s="9"/>
      <c r="B850" s="9"/>
    </row>
    <row r="851">
      <c r="A851" s="9"/>
      <c r="B851" s="9"/>
    </row>
    <row r="852">
      <c r="A852" s="9"/>
      <c r="B852" s="9"/>
    </row>
    <row r="853">
      <c r="A853" s="9"/>
      <c r="B853" s="9"/>
    </row>
    <row r="854">
      <c r="A854" s="9"/>
      <c r="B854" s="9"/>
    </row>
    <row r="855">
      <c r="A855" s="9"/>
      <c r="B855" s="9"/>
    </row>
    <row r="856">
      <c r="A856" s="9"/>
      <c r="B856" s="9"/>
    </row>
    <row r="857">
      <c r="A857" s="9"/>
      <c r="B857" s="9"/>
    </row>
    <row r="858">
      <c r="A858" s="9"/>
      <c r="B858" s="9"/>
    </row>
    <row r="859">
      <c r="A859" s="9"/>
      <c r="B859" s="9"/>
    </row>
    <row r="860">
      <c r="A860" s="9"/>
      <c r="B860" s="9"/>
    </row>
    <row r="861">
      <c r="A861" s="9"/>
      <c r="B861" s="9"/>
    </row>
    <row r="862">
      <c r="A862" s="9"/>
      <c r="B862" s="9"/>
    </row>
    <row r="863">
      <c r="A863" s="9"/>
      <c r="B863" s="9"/>
    </row>
    <row r="864">
      <c r="A864" s="9"/>
      <c r="B864" s="9"/>
    </row>
    <row r="865">
      <c r="A865" s="9"/>
      <c r="B865" s="9"/>
    </row>
    <row r="866">
      <c r="A866" s="9"/>
      <c r="B866" s="9"/>
    </row>
    <row r="867">
      <c r="A867" s="9"/>
      <c r="B867" s="9"/>
    </row>
    <row r="868">
      <c r="A868" s="9"/>
      <c r="B868" s="9"/>
    </row>
    <row r="869">
      <c r="A869" s="9"/>
      <c r="B869" s="9"/>
    </row>
    <row r="870">
      <c r="A870" s="9"/>
      <c r="B870" s="9"/>
    </row>
    <row r="871">
      <c r="A871" s="9"/>
      <c r="B871" s="9"/>
    </row>
    <row r="872">
      <c r="A872" s="9"/>
      <c r="B872" s="9"/>
    </row>
    <row r="873">
      <c r="A873" s="9"/>
      <c r="B873" s="9"/>
    </row>
    <row r="874">
      <c r="A874" s="9"/>
      <c r="B874" s="9"/>
    </row>
    <row r="875">
      <c r="A875" s="9"/>
      <c r="B875" s="9"/>
    </row>
    <row r="876">
      <c r="A876" s="9"/>
      <c r="B876" s="9"/>
    </row>
    <row r="877">
      <c r="A877" s="9"/>
      <c r="B877" s="9"/>
    </row>
    <row r="878">
      <c r="A878" s="9"/>
      <c r="B878" s="9"/>
    </row>
    <row r="879">
      <c r="A879" s="9"/>
      <c r="B879" s="9"/>
    </row>
    <row r="880">
      <c r="A880" s="9"/>
      <c r="B880" s="9"/>
    </row>
    <row r="881">
      <c r="A881" s="9"/>
      <c r="B881" s="9"/>
    </row>
    <row r="882">
      <c r="A882" s="9"/>
      <c r="B882" s="9"/>
    </row>
    <row r="883">
      <c r="A883" s="9"/>
      <c r="B883" s="9"/>
    </row>
    <row r="884">
      <c r="A884" s="9"/>
      <c r="B884" s="9"/>
    </row>
    <row r="885">
      <c r="A885" s="9"/>
      <c r="B885" s="9"/>
    </row>
    <row r="886">
      <c r="A886" s="9"/>
      <c r="B886" s="9"/>
    </row>
    <row r="887">
      <c r="A887" s="9"/>
      <c r="B887" s="9"/>
    </row>
    <row r="888">
      <c r="A888" s="9"/>
      <c r="B888" s="9"/>
    </row>
    <row r="889">
      <c r="A889" s="9"/>
      <c r="B889" s="9"/>
    </row>
    <row r="890">
      <c r="A890" s="9"/>
      <c r="B890" s="9"/>
    </row>
    <row r="891">
      <c r="A891" s="9"/>
      <c r="B891" s="9"/>
    </row>
    <row r="892">
      <c r="A892" s="9"/>
      <c r="B892" s="9"/>
    </row>
    <row r="893">
      <c r="A893" s="9"/>
      <c r="B893" s="9"/>
    </row>
    <row r="894">
      <c r="A894" s="9"/>
      <c r="B894" s="9"/>
    </row>
    <row r="895">
      <c r="A895" s="9"/>
      <c r="B895" s="9"/>
    </row>
    <row r="896">
      <c r="A896" s="9"/>
      <c r="B896" s="9"/>
    </row>
    <row r="897">
      <c r="A897" s="9"/>
      <c r="B897" s="9"/>
    </row>
    <row r="898">
      <c r="A898" s="9"/>
      <c r="B898" s="9"/>
    </row>
    <row r="899">
      <c r="A899" s="9"/>
      <c r="B899" s="9"/>
    </row>
    <row r="900">
      <c r="A900" s="9"/>
      <c r="B900" s="9"/>
    </row>
    <row r="901">
      <c r="A901" s="9"/>
      <c r="B901" s="9"/>
    </row>
    <row r="902">
      <c r="A902" s="9"/>
      <c r="B902" s="9"/>
    </row>
    <row r="903">
      <c r="A903" s="9"/>
      <c r="B903" s="9"/>
    </row>
    <row r="904">
      <c r="A904" s="9"/>
      <c r="B904" s="9"/>
    </row>
    <row r="905">
      <c r="A905" s="9"/>
      <c r="B905" s="9"/>
    </row>
    <row r="906">
      <c r="A906" s="9"/>
      <c r="B906" s="9"/>
    </row>
    <row r="907">
      <c r="A907" s="9"/>
      <c r="B907" s="9"/>
    </row>
    <row r="908">
      <c r="A908" s="9"/>
      <c r="B908" s="9"/>
    </row>
    <row r="909">
      <c r="A909" s="9"/>
      <c r="B909" s="9"/>
    </row>
    <row r="910">
      <c r="A910" s="9"/>
      <c r="B910" s="9"/>
    </row>
    <row r="911">
      <c r="A911" s="9"/>
      <c r="B911" s="9"/>
    </row>
    <row r="912">
      <c r="A912" s="9"/>
      <c r="B912" s="9"/>
    </row>
    <row r="913">
      <c r="A913" s="9"/>
      <c r="B913" s="9"/>
    </row>
    <row r="914">
      <c r="A914" s="9"/>
      <c r="B914" s="9"/>
    </row>
    <row r="915">
      <c r="A915" s="9"/>
      <c r="B915" s="9"/>
    </row>
    <row r="916">
      <c r="A916" s="9"/>
      <c r="B916" s="9"/>
    </row>
    <row r="917">
      <c r="A917" s="9"/>
      <c r="B917" s="9"/>
    </row>
    <row r="918">
      <c r="A918" s="9"/>
      <c r="B918" s="9"/>
    </row>
    <row r="919">
      <c r="A919" s="9"/>
      <c r="B919" s="9"/>
    </row>
    <row r="920">
      <c r="A920" s="9"/>
      <c r="B920" s="9"/>
    </row>
    <row r="921">
      <c r="A921" s="9"/>
      <c r="B921" s="9"/>
    </row>
    <row r="922">
      <c r="A922" s="9"/>
      <c r="B922" s="9"/>
    </row>
    <row r="923">
      <c r="A923" s="9"/>
      <c r="B923" s="9"/>
    </row>
    <row r="924">
      <c r="A924" s="9"/>
      <c r="B924" s="9"/>
    </row>
    <row r="925">
      <c r="A925" s="9"/>
      <c r="B925" s="9"/>
    </row>
    <row r="926">
      <c r="A926" s="9"/>
      <c r="B926" s="9"/>
    </row>
    <row r="927">
      <c r="A927" s="9"/>
      <c r="B927" s="9"/>
    </row>
    <row r="928">
      <c r="A928" s="9"/>
      <c r="B928" s="9"/>
    </row>
    <row r="929">
      <c r="A929" s="9"/>
      <c r="B929" s="9"/>
    </row>
    <row r="930">
      <c r="A930" s="9"/>
      <c r="B930" s="9"/>
    </row>
    <row r="931">
      <c r="A931" s="9"/>
      <c r="B931" s="9"/>
    </row>
    <row r="932">
      <c r="A932" s="9"/>
      <c r="B932" s="9"/>
    </row>
    <row r="933">
      <c r="A933" s="9"/>
      <c r="B933" s="9"/>
    </row>
    <row r="934">
      <c r="A934" s="9"/>
      <c r="B934" s="9"/>
    </row>
    <row r="935">
      <c r="A935" s="9"/>
      <c r="B935" s="9"/>
    </row>
    <row r="936">
      <c r="A936" s="9"/>
      <c r="B936" s="9"/>
    </row>
    <row r="937">
      <c r="A937" s="9"/>
      <c r="B937" s="9"/>
    </row>
    <row r="938">
      <c r="A938" s="9"/>
      <c r="B938" s="9"/>
    </row>
    <row r="939">
      <c r="A939" s="9"/>
      <c r="B939" s="9"/>
    </row>
    <row r="940">
      <c r="A940" s="9"/>
      <c r="B940" s="9"/>
    </row>
    <row r="941">
      <c r="A941" s="9"/>
      <c r="B941" s="9"/>
    </row>
    <row r="942">
      <c r="A942" s="9"/>
      <c r="B942" s="9"/>
    </row>
    <row r="943">
      <c r="A943" s="9"/>
      <c r="B943" s="9"/>
    </row>
    <row r="944">
      <c r="A944" s="9"/>
      <c r="B944" s="9"/>
    </row>
    <row r="945">
      <c r="A945" s="9"/>
      <c r="B945" s="9"/>
    </row>
    <row r="946">
      <c r="A946" s="9"/>
      <c r="B946" s="9"/>
    </row>
    <row r="947">
      <c r="A947" s="9"/>
      <c r="B947" s="9"/>
    </row>
    <row r="948">
      <c r="A948" s="9"/>
      <c r="B948" s="9"/>
    </row>
    <row r="949">
      <c r="A949" s="9"/>
      <c r="B949" s="9"/>
    </row>
    <row r="950">
      <c r="A950" s="9"/>
      <c r="B950" s="9"/>
    </row>
    <row r="951">
      <c r="A951" s="9"/>
      <c r="B951" s="9"/>
    </row>
    <row r="952">
      <c r="A952" s="9"/>
      <c r="B952" s="9"/>
    </row>
    <row r="953">
      <c r="A953" s="9"/>
      <c r="B953" s="9"/>
    </row>
    <row r="954">
      <c r="A954" s="9"/>
      <c r="B954" s="9"/>
    </row>
    <row r="955">
      <c r="A955" s="9"/>
      <c r="B955" s="9"/>
    </row>
    <row r="956">
      <c r="A956" s="9"/>
      <c r="B956" s="9"/>
    </row>
    <row r="957">
      <c r="A957" s="9"/>
      <c r="B957" s="9"/>
    </row>
    <row r="958">
      <c r="A958" s="9"/>
      <c r="B958" s="9"/>
    </row>
    <row r="959">
      <c r="A959" s="9"/>
      <c r="B959" s="9"/>
    </row>
    <row r="960">
      <c r="A960" s="9"/>
      <c r="B960" s="9"/>
    </row>
    <row r="961">
      <c r="A961" s="9"/>
      <c r="B961" s="9"/>
    </row>
    <row r="962">
      <c r="A962" s="9"/>
      <c r="B962" s="9"/>
    </row>
    <row r="963">
      <c r="A963" s="9"/>
      <c r="B963" s="9"/>
    </row>
    <row r="964">
      <c r="A964" s="9"/>
      <c r="B964" s="9"/>
    </row>
    <row r="965">
      <c r="A965" s="9"/>
      <c r="B965" s="9"/>
    </row>
    <row r="966">
      <c r="A966" s="9"/>
      <c r="B966" s="9"/>
    </row>
    <row r="967">
      <c r="A967" s="9"/>
      <c r="B967" s="9"/>
    </row>
    <row r="968">
      <c r="A968" s="9"/>
      <c r="B968" s="9"/>
    </row>
    <row r="969">
      <c r="A969" s="9"/>
      <c r="B969" s="9"/>
    </row>
    <row r="970">
      <c r="A970" s="9"/>
      <c r="B970" s="9"/>
    </row>
    <row r="971">
      <c r="A971" s="9"/>
      <c r="B971" s="9"/>
    </row>
    <row r="972">
      <c r="A972" s="9"/>
      <c r="B972" s="9"/>
    </row>
    <row r="973">
      <c r="A973" s="9"/>
      <c r="B973" s="9"/>
    </row>
    <row r="974">
      <c r="A974" s="9"/>
      <c r="B974" s="9"/>
    </row>
    <row r="975">
      <c r="A975" s="9"/>
      <c r="B975" s="9"/>
    </row>
    <row r="976">
      <c r="A976" s="9"/>
      <c r="B976" s="9"/>
    </row>
    <row r="977">
      <c r="A977" s="9"/>
      <c r="B977" s="9"/>
    </row>
    <row r="978">
      <c r="A978" s="9"/>
      <c r="B978" s="9"/>
    </row>
    <row r="979">
      <c r="A979" s="9"/>
      <c r="B979" s="9"/>
    </row>
    <row r="980">
      <c r="A980" s="9"/>
      <c r="B980" s="9"/>
    </row>
    <row r="981">
      <c r="A981" s="9"/>
      <c r="B981" s="9"/>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2" max="2" width="11.75"/>
    <col customWidth="1" min="3" max="3" width="29.75"/>
    <col customWidth="1" min="4" max="11" width="23.88"/>
  </cols>
  <sheetData>
    <row r="1">
      <c r="A1" s="12" t="str">
        <f>Entities!A1</f>
        <v>CDA.LS.HCP Kernel Translations, Version 24.8, August 30, 2024</v>
      </c>
      <c r="B1" s="3"/>
      <c r="C1" s="3"/>
      <c r="D1" s="2"/>
      <c r="E1" s="2"/>
      <c r="F1" s="3"/>
      <c r="G1" s="3"/>
      <c r="H1" s="4"/>
      <c r="I1" s="4"/>
      <c r="J1" s="4"/>
      <c r="K1" s="4"/>
      <c r="L1" s="4"/>
      <c r="M1" s="4"/>
      <c r="N1" s="4"/>
      <c r="O1" s="4"/>
      <c r="P1" s="4"/>
      <c r="Q1" s="4"/>
      <c r="R1" s="4"/>
      <c r="S1" s="4"/>
      <c r="T1" s="4"/>
      <c r="U1" s="4"/>
      <c r="V1" s="4"/>
      <c r="W1" s="4"/>
      <c r="X1" s="4"/>
      <c r="Y1" s="4"/>
    </row>
    <row r="2">
      <c r="A2" s="5" t="s">
        <v>64</v>
      </c>
      <c r="B2" s="3"/>
      <c r="C2" s="3"/>
      <c r="D2" s="2"/>
      <c r="E2" s="2"/>
      <c r="F2" s="3"/>
      <c r="G2" s="3"/>
      <c r="H2" s="4"/>
      <c r="I2" s="4"/>
      <c r="J2" s="4"/>
      <c r="K2" s="4"/>
      <c r="L2" s="4"/>
      <c r="M2" s="4"/>
      <c r="N2" s="4"/>
      <c r="O2" s="4"/>
      <c r="P2" s="4"/>
      <c r="Q2" s="4"/>
      <c r="R2" s="4"/>
      <c r="S2" s="4"/>
      <c r="T2" s="4"/>
      <c r="U2" s="4"/>
      <c r="V2" s="4"/>
      <c r="W2" s="4"/>
      <c r="X2" s="4"/>
      <c r="Y2" s="4"/>
    </row>
    <row r="3">
      <c r="A3" s="6" t="s">
        <v>26</v>
      </c>
      <c r="B3" s="6" t="s">
        <v>3</v>
      </c>
      <c r="C3" s="6" t="s">
        <v>4</v>
      </c>
      <c r="D3" s="6" t="s">
        <v>5</v>
      </c>
      <c r="E3" s="6" t="s">
        <v>6</v>
      </c>
      <c r="F3" s="6" t="s">
        <v>7</v>
      </c>
      <c r="G3" s="6" t="s">
        <v>8</v>
      </c>
      <c r="H3" s="6" t="s">
        <v>9</v>
      </c>
      <c r="I3" s="6" t="s">
        <v>10</v>
      </c>
      <c r="J3" s="6" t="s">
        <v>11</v>
      </c>
      <c r="K3" s="6"/>
      <c r="L3" s="6"/>
      <c r="M3" s="6"/>
      <c r="N3" s="6"/>
      <c r="O3" s="6"/>
      <c r="P3" s="6"/>
      <c r="Q3" s="6"/>
      <c r="R3" s="6"/>
      <c r="S3" s="6"/>
      <c r="T3" s="6"/>
      <c r="U3" s="6"/>
      <c r="V3" s="6"/>
      <c r="W3" s="6"/>
      <c r="X3" s="18"/>
      <c r="Y3" s="18"/>
      <c r="Z3" s="18"/>
    </row>
    <row r="4">
      <c r="A4" s="8" t="str">
        <f>IFERROR(__xludf.DUMMYFUNCTION("IMPORTRANGE(""htthttps://docs.google.com/spreadsheets/d/1ZIx3-wJv76bPGccT5CZZ4g3Sy52i_iEnaWf6C0L_ST0/edit#gid=832844626"",""Level Items!A4:A"")"),"Level 1")</f>
        <v>Level 1</v>
      </c>
      <c r="B4" s="8">
        <f>IFERROR(__xludf.DUMMYFUNCTION("IMPORTRANGE(""https://docs.google.com/spreadsheets/d/1ZIx3-wJv76bPGccT5CZZ4g3Sy52i_iEnaWf6C0L_ST0/edit#gid=832844626"",""Level Items!B4:B"")"),1.0)</f>
        <v>1</v>
      </c>
      <c r="C4" s="9" t="str">
        <f>IFERROR(__xludf.DUMMYFUNCTION("GOOGLETRANSLATE($A4,""en"",""de"")"),"Stufe 1")</f>
        <v>Stufe 1</v>
      </c>
      <c r="D4" s="9" t="str">
        <f>IFERROR(__xludf.DUMMYFUNCTION("GOOGLETRANSLATE($A4,""en"",""fr"")"),"Niveau 1")</f>
        <v>Niveau 1</v>
      </c>
      <c r="E4" s="9" t="str">
        <f>IFERROR(__xludf.DUMMYFUNCTION("GOOGLETRANSLATE($A4,""en"",""es"")"),"Nivel 1")</f>
        <v>Nivel 1</v>
      </c>
      <c r="F4" s="9" t="str">
        <f>IFERROR(__xludf.DUMMYFUNCTION("GOOGLETRANSLATE($A4,""en"",""it"")"),"Livello 1")</f>
        <v>Livello 1</v>
      </c>
      <c r="G4" s="9" t="str">
        <f>IFERROR(__xludf.DUMMYFUNCTION("GOOGLETRANSLATE($A4,""en"",""zh-cn"")"),"1级")</f>
        <v>1级</v>
      </c>
      <c r="H4" s="9" t="str">
        <f>IFERROR(__xludf.DUMMYFUNCTION("GOOGLETRANSLATE($A4,""en"",""ja"")"),"レベル1")</f>
        <v>レベル1</v>
      </c>
      <c r="I4" s="9" t="str">
        <f>IFERROR(__xludf.DUMMYFUNCTION("GOOGLETRANSLATE($A4,""en"",""ko"")"),"레벨 1")</f>
        <v>레벨 1</v>
      </c>
      <c r="J4" s="9" t="str">
        <f>IFERROR(__xludf.DUMMYFUNCTION("GOOGLETRANSLATE($A4,""en"",""pt-BR"")"),"Nível 1")</f>
        <v>Nível 1</v>
      </c>
    </row>
    <row r="5">
      <c r="A5" s="9" t="str">
        <f>IFERROR(__xludf.DUMMYFUNCTION("""COMPUTED_VALUE"""),"Level 2")</f>
        <v>Level 2</v>
      </c>
      <c r="B5" s="9">
        <f>IFERROR(__xludf.DUMMYFUNCTION("""COMPUTED_VALUE"""),2.0)</f>
        <v>2</v>
      </c>
      <c r="C5" s="9" t="str">
        <f>IFERROR(__xludf.DUMMYFUNCTION("GOOGLETRANSLATE($A5,""en"",""de"")"),"Stufe 2")</f>
        <v>Stufe 2</v>
      </c>
      <c r="D5" s="9" t="str">
        <f>IFERROR(__xludf.DUMMYFUNCTION("GOOGLETRANSLATE($A5,""en"",""fr"")"),"Niveau 2")</f>
        <v>Niveau 2</v>
      </c>
      <c r="E5" s="9" t="str">
        <f>IFERROR(__xludf.DUMMYFUNCTION("GOOGLETRANSLATE($A5,""en"",""es"")"),"Nivel 2")</f>
        <v>Nivel 2</v>
      </c>
      <c r="F5" s="9" t="str">
        <f>IFERROR(__xludf.DUMMYFUNCTION("GOOGLETRANSLATE($A5,""en"",""it"")"),"Livello 2")</f>
        <v>Livello 2</v>
      </c>
      <c r="G5" s="9" t="str">
        <f>IFERROR(__xludf.DUMMYFUNCTION("GOOGLETRANSLATE($A5,""en"",""zh-cn"")"),"2级")</f>
        <v>2级</v>
      </c>
      <c r="H5" s="9" t="str">
        <f>IFERROR(__xludf.DUMMYFUNCTION("GOOGLETRANSLATE($A5,""en"",""ja"")"),"レベル2")</f>
        <v>レベル2</v>
      </c>
      <c r="I5" s="9" t="str">
        <f>IFERROR(__xludf.DUMMYFUNCTION("GOOGLETRANSLATE($A5,""en"",""ko"")"),"레벨 2")</f>
        <v>레벨 2</v>
      </c>
      <c r="J5" s="9" t="str">
        <f>IFERROR(__xludf.DUMMYFUNCTION("GOOGLETRANSLATE($A5,""en"",""pt-BR"")"),"Nível 2")</f>
        <v>Nível 2</v>
      </c>
    </row>
    <row r="6">
      <c r="A6" s="9" t="str">
        <f>IFERROR(__xludf.DUMMYFUNCTION("""COMPUTED_VALUE"""),"Level 3")</f>
        <v>Level 3</v>
      </c>
      <c r="B6" s="9">
        <f>IFERROR(__xludf.DUMMYFUNCTION("""COMPUTED_VALUE"""),3.0)</f>
        <v>3</v>
      </c>
      <c r="C6" s="9" t="str">
        <f>IFERROR(__xludf.DUMMYFUNCTION("GOOGLETRANSLATE($A6,""en"",""de"")"),"Stufe 3")</f>
        <v>Stufe 3</v>
      </c>
      <c r="D6" s="9" t="str">
        <f>IFERROR(__xludf.DUMMYFUNCTION("GOOGLETRANSLATE($A6,""en"",""fr"")"),"Niveau 3")</f>
        <v>Niveau 3</v>
      </c>
      <c r="E6" s="9" t="str">
        <f>IFERROR(__xludf.DUMMYFUNCTION("GOOGLETRANSLATE($A6,""en"",""es"")"),"Nivel 3")</f>
        <v>Nivel 3</v>
      </c>
      <c r="F6" s="9" t="str">
        <f>IFERROR(__xludf.DUMMYFUNCTION("GOOGLETRANSLATE($A6,""en"",""it"")"),"Livello 3")</f>
        <v>Livello 3</v>
      </c>
      <c r="G6" s="9" t="str">
        <f>IFERROR(__xludf.DUMMYFUNCTION("GOOGLETRANSLATE($A6,""en"",""zh-cn"")"),"3级")</f>
        <v>3级</v>
      </c>
      <c r="H6" s="9" t="str">
        <f>IFERROR(__xludf.DUMMYFUNCTION("GOOGLETRANSLATE($A6,""en"",""ja"")"),"レベル3")</f>
        <v>レベル3</v>
      </c>
      <c r="I6" s="9" t="str">
        <f>IFERROR(__xludf.DUMMYFUNCTION("GOOGLETRANSLATE($A6,""en"",""ko"")"),"레벨 3")</f>
        <v>레벨 3</v>
      </c>
      <c r="J6" s="9" t="str">
        <f>IFERROR(__xludf.DUMMYFUNCTION("GOOGLETRANSLATE($A6,""en"",""pt-BR"")"),"Nível 3")</f>
        <v>Nível 3</v>
      </c>
    </row>
    <row r="7">
      <c r="A7" s="9" t="str">
        <f>IFERROR(__xludf.DUMMYFUNCTION("""COMPUTED_VALUE"""),"Level 4")</f>
        <v>Level 4</v>
      </c>
      <c r="B7" s="9">
        <f>IFERROR(__xludf.DUMMYFUNCTION("""COMPUTED_VALUE"""),4.0)</f>
        <v>4</v>
      </c>
      <c r="C7" s="9" t="str">
        <f>IFERROR(__xludf.DUMMYFUNCTION("GOOGLETRANSLATE($A7,""en"",""de"")"),"Stufe 4")</f>
        <v>Stufe 4</v>
      </c>
      <c r="D7" s="9" t="str">
        <f>IFERROR(__xludf.DUMMYFUNCTION("GOOGLETRANSLATE($A7,""en"",""fr"")"),"Niveau 4")</f>
        <v>Niveau 4</v>
      </c>
      <c r="E7" s="9" t="str">
        <f>IFERROR(__xludf.DUMMYFUNCTION("GOOGLETRANSLATE($A7,""en"",""es"")"),"Nivel 4")</f>
        <v>Nivel 4</v>
      </c>
      <c r="F7" s="9" t="str">
        <f>IFERROR(__xludf.DUMMYFUNCTION("GOOGLETRANSLATE($A7,""en"",""it"")"),"Livello 4")</f>
        <v>Livello 4</v>
      </c>
      <c r="G7" s="9" t="str">
        <f>IFERROR(__xludf.DUMMYFUNCTION("GOOGLETRANSLATE($A7,""en"",""zh-cn"")"),"4级")</f>
        <v>4级</v>
      </c>
      <c r="H7" s="9" t="str">
        <f>IFERROR(__xludf.DUMMYFUNCTION("GOOGLETRANSLATE($A7,""en"",""ja"")"),"レベル4")</f>
        <v>レベル4</v>
      </c>
      <c r="I7" s="9" t="str">
        <f>IFERROR(__xludf.DUMMYFUNCTION("GOOGLETRANSLATE($A7,""en"",""ko"")"),"레벨 4")</f>
        <v>레벨 4</v>
      </c>
      <c r="J7" s="9" t="str">
        <f>IFERROR(__xludf.DUMMYFUNCTION("GOOGLETRANSLATE($A7,""en"",""pt-BR"")"),"Nível 4")</f>
        <v>Nível 4</v>
      </c>
    </row>
    <row r="8">
      <c r="A8" s="9" t="str">
        <f>IFERROR(__xludf.DUMMYFUNCTION("""COMPUTED_VALUE"""),"Level 5")</f>
        <v>Level 5</v>
      </c>
      <c r="B8" s="9">
        <f>IFERROR(__xludf.DUMMYFUNCTION("""COMPUTED_VALUE"""),5.0)</f>
        <v>5</v>
      </c>
      <c r="C8" s="9" t="str">
        <f>IFERROR(__xludf.DUMMYFUNCTION("GOOGLETRANSLATE($A8,""en"",""de"")"),"Stufe 5")</f>
        <v>Stufe 5</v>
      </c>
      <c r="D8" s="9" t="str">
        <f>IFERROR(__xludf.DUMMYFUNCTION("GOOGLETRANSLATE($A8,""en"",""fr"")"),"Niveau 5")</f>
        <v>Niveau 5</v>
      </c>
      <c r="E8" s="9" t="str">
        <f>IFERROR(__xludf.DUMMYFUNCTION("GOOGLETRANSLATE($A8,""en"",""es"")"),"Nivel 5")</f>
        <v>Nivel 5</v>
      </c>
      <c r="F8" s="9" t="str">
        <f>IFERROR(__xludf.DUMMYFUNCTION("GOOGLETRANSLATE($A8,""en"",""it"")"),"Livello 5")</f>
        <v>Livello 5</v>
      </c>
      <c r="G8" s="9" t="str">
        <f>IFERROR(__xludf.DUMMYFUNCTION("GOOGLETRANSLATE($A8,""en"",""zh-cn"")"),"5级")</f>
        <v>5级</v>
      </c>
      <c r="H8" s="9" t="str">
        <f>IFERROR(__xludf.DUMMYFUNCTION("GOOGLETRANSLATE($A8,""en"",""ja"")"),"レベル5")</f>
        <v>レベル5</v>
      </c>
      <c r="I8" s="9" t="str">
        <f>IFERROR(__xludf.DUMMYFUNCTION("GOOGLETRANSLATE($A8,""en"",""ko"")"),"레벨 5")</f>
        <v>레벨 5</v>
      </c>
      <c r="J8" s="9" t="str">
        <f>IFERROR(__xludf.DUMMYFUNCTION("GOOGLETRANSLATE($A8,""en"",""pt-BR"")"),"Nível 5")</f>
        <v>Nível 5</v>
      </c>
    </row>
    <row r="9">
      <c r="A9" s="9"/>
      <c r="B9" s="9"/>
    </row>
    <row r="10">
      <c r="A10" s="2"/>
      <c r="B10" s="2"/>
      <c r="C10" s="2"/>
    </row>
    <row r="11">
      <c r="A11" s="2"/>
      <c r="B11" s="2"/>
      <c r="C11" s="2"/>
    </row>
    <row r="12">
      <c r="A12" s="2"/>
      <c r="B12" s="2"/>
      <c r="C12" s="2"/>
    </row>
    <row r="13">
      <c r="A13" s="2"/>
      <c r="B13" s="2"/>
      <c r="C13" s="2"/>
    </row>
    <row r="14">
      <c r="A14" s="2"/>
      <c r="B14" s="2"/>
      <c r="C14" s="2"/>
    </row>
    <row r="15">
      <c r="A15" s="2"/>
      <c r="B15" s="2"/>
      <c r="C15" s="2"/>
    </row>
    <row r="16">
      <c r="A16" s="2"/>
      <c r="B16" s="2"/>
      <c r="C16" s="2"/>
    </row>
    <row r="17">
      <c r="A17" s="2"/>
      <c r="B17" s="2"/>
      <c r="C17" s="2"/>
    </row>
    <row r="18">
      <c r="A18" s="2"/>
      <c r="B18" s="2"/>
      <c r="C18" s="2"/>
    </row>
    <row r="19">
      <c r="A19" s="2"/>
      <c r="B19" s="2"/>
      <c r="C19" s="2"/>
    </row>
    <row r="20">
      <c r="A20" s="2"/>
      <c r="B20" s="2"/>
      <c r="C20" s="2"/>
    </row>
    <row r="21">
      <c r="A21" s="2"/>
      <c r="B21" s="2"/>
      <c r="C21" s="2"/>
    </row>
    <row r="22">
      <c r="A22" s="2"/>
      <c r="B22" s="2"/>
      <c r="C22" s="2"/>
    </row>
    <row r="23">
      <c r="A23" s="9"/>
      <c r="B23" s="9"/>
    </row>
    <row r="24">
      <c r="A24" s="9"/>
      <c r="B24" s="9"/>
    </row>
    <row r="25">
      <c r="A25" s="9"/>
      <c r="B25" s="9"/>
    </row>
    <row r="26">
      <c r="A26" s="9"/>
      <c r="B26" s="9"/>
    </row>
    <row r="27">
      <c r="A27" s="9"/>
      <c r="B27" s="9"/>
    </row>
    <row r="28">
      <c r="A28" s="9"/>
      <c r="B28" s="9"/>
    </row>
    <row r="29">
      <c r="A29" s="9"/>
      <c r="B29" s="9"/>
    </row>
    <row r="30">
      <c r="A30" s="9"/>
      <c r="B30" s="9"/>
    </row>
    <row r="31">
      <c r="A31" s="9"/>
      <c r="B31" s="9"/>
    </row>
    <row r="32">
      <c r="A32" s="9"/>
      <c r="B32" s="9"/>
    </row>
    <row r="33">
      <c r="A33" s="9"/>
      <c r="B33" s="9"/>
    </row>
    <row r="34">
      <c r="A34" s="9"/>
      <c r="B34" s="9"/>
    </row>
    <row r="35">
      <c r="A35" s="9"/>
      <c r="B35" s="9"/>
    </row>
    <row r="36">
      <c r="A36" s="9"/>
      <c r="B36" s="9"/>
    </row>
    <row r="37">
      <c r="A37" s="9"/>
      <c r="B37" s="9"/>
    </row>
    <row r="38">
      <c r="A38" s="9"/>
      <c r="B38" s="9"/>
    </row>
    <row r="39">
      <c r="A39" s="9"/>
      <c r="B39" s="9"/>
    </row>
    <row r="40">
      <c r="A40" s="9"/>
      <c r="B40" s="9"/>
    </row>
    <row r="41">
      <c r="A41" s="9"/>
      <c r="B41" s="9"/>
    </row>
    <row r="42">
      <c r="A42" s="9"/>
      <c r="B42" s="9"/>
    </row>
    <row r="43">
      <c r="A43" s="9"/>
      <c r="B43" s="9"/>
    </row>
    <row r="44">
      <c r="A44" s="9"/>
      <c r="B44" s="9"/>
    </row>
    <row r="45">
      <c r="A45" s="9"/>
      <c r="B45" s="9"/>
    </row>
    <row r="46">
      <c r="A46" s="9"/>
      <c r="B46" s="9"/>
    </row>
    <row r="47">
      <c r="A47" s="9"/>
      <c r="B47" s="9"/>
    </row>
    <row r="48">
      <c r="A48" s="9"/>
      <c r="B48" s="9"/>
    </row>
    <row r="49">
      <c r="A49" s="9"/>
      <c r="B49" s="9"/>
    </row>
    <row r="50">
      <c r="A50" s="9"/>
      <c r="B50" s="9"/>
    </row>
    <row r="51">
      <c r="A51" s="9"/>
      <c r="B51" s="9"/>
    </row>
    <row r="52">
      <c r="A52" s="9"/>
      <c r="B52" s="9"/>
    </row>
    <row r="53">
      <c r="A53" s="9"/>
      <c r="B53" s="9"/>
    </row>
    <row r="54">
      <c r="A54" s="9"/>
      <c r="B54" s="9"/>
    </row>
    <row r="55">
      <c r="A55" s="9"/>
      <c r="B55" s="9"/>
    </row>
    <row r="56">
      <c r="A56" s="9"/>
      <c r="B56" s="9"/>
    </row>
    <row r="57">
      <c r="A57" s="9"/>
      <c r="B57" s="9"/>
    </row>
    <row r="58">
      <c r="A58" s="9"/>
      <c r="B58" s="9"/>
    </row>
    <row r="59">
      <c r="A59" s="9"/>
      <c r="B59" s="9"/>
    </row>
    <row r="60">
      <c r="A60" s="9"/>
      <c r="B60" s="9"/>
    </row>
    <row r="61">
      <c r="A61" s="9"/>
      <c r="B61" s="9"/>
    </row>
    <row r="62">
      <c r="A62" s="9"/>
      <c r="B62" s="9"/>
    </row>
    <row r="63">
      <c r="A63" s="9"/>
      <c r="B63" s="9"/>
    </row>
    <row r="64">
      <c r="A64" s="9"/>
      <c r="B64" s="9"/>
    </row>
    <row r="65">
      <c r="A65" s="9"/>
      <c r="B65" s="9"/>
    </row>
    <row r="66">
      <c r="A66" s="9"/>
      <c r="B66" s="9"/>
    </row>
    <row r="67">
      <c r="A67" s="9"/>
      <c r="B67" s="9"/>
    </row>
    <row r="68">
      <c r="A68" s="9"/>
      <c r="B68" s="9"/>
    </row>
    <row r="69">
      <c r="A69" s="9"/>
      <c r="B69" s="9"/>
    </row>
    <row r="70">
      <c r="A70" s="9"/>
      <c r="B70" s="9"/>
    </row>
    <row r="71">
      <c r="A71" s="9"/>
      <c r="B71" s="9"/>
    </row>
    <row r="72">
      <c r="A72" s="9"/>
      <c r="B72" s="9"/>
    </row>
    <row r="73">
      <c r="A73" s="9"/>
      <c r="B73" s="9"/>
    </row>
    <row r="74">
      <c r="A74" s="9"/>
      <c r="B74" s="9"/>
    </row>
    <row r="75">
      <c r="A75" s="9"/>
      <c r="B75" s="9"/>
    </row>
    <row r="76">
      <c r="A76" s="9"/>
      <c r="B76" s="9"/>
    </row>
    <row r="77">
      <c r="A77" s="9"/>
      <c r="B77" s="9"/>
    </row>
    <row r="78">
      <c r="A78" s="9"/>
      <c r="B78" s="9"/>
    </row>
    <row r="79">
      <c r="A79" s="9"/>
      <c r="B79" s="9"/>
    </row>
    <row r="80">
      <c r="A80" s="9"/>
      <c r="B80" s="9"/>
    </row>
    <row r="81">
      <c r="A81" s="9"/>
      <c r="B81" s="9"/>
    </row>
    <row r="82">
      <c r="A82" s="9"/>
      <c r="B82" s="9"/>
    </row>
    <row r="83">
      <c r="A83" s="9"/>
      <c r="B83" s="9"/>
    </row>
    <row r="84">
      <c r="A84" s="9"/>
      <c r="B84" s="9"/>
    </row>
    <row r="85">
      <c r="A85" s="9"/>
      <c r="B85" s="9"/>
    </row>
    <row r="86">
      <c r="A86" s="9"/>
      <c r="B86" s="9"/>
    </row>
    <row r="87">
      <c r="A87" s="9"/>
      <c r="B87" s="9"/>
    </row>
    <row r="88">
      <c r="A88" s="9"/>
      <c r="B88" s="9"/>
    </row>
    <row r="89">
      <c r="A89" s="9"/>
      <c r="B89" s="9"/>
    </row>
    <row r="90">
      <c r="A90" s="9"/>
      <c r="B90" s="9"/>
    </row>
    <row r="91">
      <c r="A91" s="9"/>
      <c r="B91" s="9"/>
    </row>
    <row r="92">
      <c r="A92" s="9"/>
      <c r="B92" s="9"/>
    </row>
    <row r="93">
      <c r="A93" s="9"/>
      <c r="B93" s="9"/>
    </row>
    <row r="94">
      <c r="A94" s="9"/>
      <c r="B94" s="9"/>
    </row>
    <row r="95">
      <c r="A95" s="9"/>
      <c r="B95" s="9"/>
    </row>
    <row r="96">
      <c r="A96" s="9"/>
      <c r="B96" s="9"/>
    </row>
    <row r="97">
      <c r="A97" s="9"/>
      <c r="B97" s="9"/>
    </row>
    <row r="98">
      <c r="A98" s="9"/>
      <c r="B98" s="9"/>
    </row>
    <row r="99">
      <c r="A99" s="9"/>
      <c r="B99" s="9"/>
    </row>
    <row r="100">
      <c r="A100" s="9"/>
      <c r="B100" s="9"/>
    </row>
    <row r="101">
      <c r="A101" s="9"/>
      <c r="B101" s="9"/>
    </row>
    <row r="102">
      <c r="A102" s="9"/>
      <c r="B102" s="9"/>
    </row>
    <row r="103">
      <c r="A103" s="9"/>
      <c r="B103" s="9"/>
    </row>
    <row r="104">
      <c r="A104" s="9"/>
      <c r="B104" s="9"/>
    </row>
    <row r="105">
      <c r="A105" s="9"/>
      <c r="B105" s="9"/>
    </row>
    <row r="106">
      <c r="A106" s="9"/>
      <c r="B106" s="9"/>
    </row>
    <row r="107">
      <c r="A107" s="9"/>
      <c r="B107" s="9"/>
    </row>
    <row r="108">
      <c r="A108" s="9"/>
      <c r="B108" s="9"/>
    </row>
    <row r="109">
      <c r="A109" s="9"/>
      <c r="B109" s="9"/>
    </row>
    <row r="110">
      <c r="A110" s="9"/>
      <c r="B110" s="9"/>
    </row>
    <row r="111">
      <c r="A111" s="9"/>
      <c r="B111" s="9"/>
    </row>
    <row r="112">
      <c r="A112" s="9"/>
      <c r="B112" s="9"/>
    </row>
    <row r="113">
      <c r="A113" s="9"/>
      <c r="B113" s="9"/>
    </row>
    <row r="114">
      <c r="A114" s="9"/>
      <c r="B114" s="9"/>
    </row>
    <row r="115">
      <c r="A115" s="9"/>
      <c r="B115" s="9"/>
    </row>
    <row r="116">
      <c r="A116" s="9"/>
      <c r="B116" s="9"/>
    </row>
    <row r="117">
      <c r="A117" s="9"/>
      <c r="B117" s="9"/>
    </row>
    <row r="118">
      <c r="A118" s="9"/>
      <c r="B118" s="9"/>
    </row>
    <row r="119">
      <c r="A119" s="9"/>
      <c r="B119" s="9"/>
    </row>
    <row r="120">
      <c r="A120" s="9"/>
      <c r="B120" s="9"/>
    </row>
    <row r="121">
      <c r="A121" s="9"/>
      <c r="B121" s="9"/>
    </row>
    <row r="122">
      <c r="A122" s="9"/>
      <c r="B122" s="9"/>
    </row>
    <row r="123">
      <c r="A123" s="9"/>
      <c r="B123" s="9"/>
    </row>
    <row r="124">
      <c r="A124" s="9"/>
      <c r="B124" s="9"/>
    </row>
    <row r="125">
      <c r="A125" s="9"/>
      <c r="B125" s="9"/>
    </row>
    <row r="126">
      <c r="A126" s="9"/>
      <c r="B126" s="9"/>
    </row>
    <row r="127">
      <c r="A127" s="9"/>
      <c r="B127" s="9"/>
    </row>
    <row r="128">
      <c r="A128" s="9"/>
      <c r="B128" s="9"/>
    </row>
    <row r="129">
      <c r="A129" s="9"/>
      <c r="B129" s="9"/>
    </row>
    <row r="130">
      <c r="A130" s="9"/>
      <c r="B130" s="9"/>
    </row>
    <row r="131">
      <c r="A131" s="9"/>
      <c r="B131" s="9"/>
    </row>
    <row r="132">
      <c r="A132" s="9"/>
      <c r="B132" s="9"/>
    </row>
    <row r="133">
      <c r="A133" s="9"/>
      <c r="B133" s="9"/>
    </row>
    <row r="134">
      <c r="A134" s="9"/>
      <c r="B134" s="9"/>
    </row>
    <row r="135">
      <c r="A135" s="9"/>
      <c r="B135" s="9"/>
    </row>
    <row r="136">
      <c r="A136" s="9"/>
      <c r="B136" s="9"/>
    </row>
    <row r="137">
      <c r="A137" s="9"/>
      <c r="B137" s="9"/>
    </row>
    <row r="138">
      <c r="A138" s="9"/>
      <c r="B138" s="9"/>
    </row>
    <row r="139">
      <c r="A139" s="9"/>
      <c r="B139" s="9"/>
    </row>
    <row r="140">
      <c r="A140" s="9"/>
      <c r="B140" s="9"/>
    </row>
    <row r="141">
      <c r="A141" s="9"/>
      <c r="B141" s="9"/>
    </row>
    <row r="142">
      <c r="A142" s="9"/>
      <c r="B142" s="9"/>
    </row>
    <row r="143">
      <c r="A143" s="9"/>
      <c r="B143" s="9"/>
    </row>
    <row r="144">
      <c r="A144" s="9"/>
      <c r="B144" s="9"/>
    </row>
    <row r="145">
      <c r="A145" s="9"/>
      <c r="B145" s="9"/>
    </row>
    <row r="146">
      <c r="A146" s="9"/>
      <c r="B146" s="9"/>
    </row>
    <row r="147">
      <c r="A147" s="9"/>
      <c r="B147" s="9"/>
    </row>
    <row r="148">
      <c r="A148" s="9"/>
      <c r="B148" s="9"/>
    </row>
    <row r="149">
      <c r="A149" s="9"/>
      <c r="B149" s="9"/>
    </row>
    <row r="150">
      <c r="A150" s="9"/>
      <c r="B150" s="9"/>
    </row>
    <row r="151">
      <c r="A151" s="9"/>
      <c r="B151" s="9"/>
    </row>
    <row r="152">
      <c r="A152" s="9"/>
      <c r="B152" s="9"/>
    </row>
    <row r="153">
      <c r="A153" s="9"/>
      <c r="B153" s="9"/>
    </row>
    <row r="154">
      <c r="A154" s="9"/>
      <c r="B154" s="9"/>
    </row>
    <row r="155">
      <c r="A155" s="9"/>
      <c r="B155" s="9"/>
    </row>
    <row r="156">
      <c r="A156" s="9"/>
      <c r="B156" s="9"/>
    </row>
    <row r="157">
      <c r="A157" s="9"/>
      <c r="B157" s="9"/>
    </row>
    <row r="158">
      <c r="A158" s="9"/>
      <c r="B158" s="9"/>
    </row>
    <row r="159">
      <c r="A159" s="9"/>
      <c r="B159" s="9"/>
    </row>
    <row r="160">
      <c r="A160" s="9"/>
      <c r="B160" s="9"/>
    </row>
    <row r="161">
      <c r="A161" s="9"/>
      <c r="B161" s="9"/>
    </row>
    <row r="162">
      <c r="A162" s="9"/>
      <c r="B162" s="9"/>
    </row>
    <row r="163">
      <c r="A163" s="9"/>
      <c r="B163" s="9"/>
    </row>
    <row r="164">
      <c r="A164" s="9"/>
      <c r="B164" s="9"/>
    </row>
    <row r="165">
      <c r="A165" s="9"/>
      <c r="B165" s="9"/>
    </row>
    <row r="166">
      <c r="A166" s="9"/>
      <c r="B166" s="9"/>
    </row>
    <row r="167">
      <c r="A167" s="9"/>
      <c r="B167" s="9"/>
    </row>
    <row r="168">
      <c r="A168" s="9"/>
      <c r="B168" s="9"/>
    </row>
    <row r="169">
      <c r="A169" s="9"/>
      <c r="B169" s="9"/>
    </row>
    <row r="170">
      <c r="A170" s="9"/>
      <c r="B170" s="9"/>
    </row>
    <row r="171">
      <c r="A171" s="9"/>
      <c r="B171" s="9"/>
    </row>
    <row r="172">
      <c r="A172" s="9"/>
      <c r="B172" s="9"/>
    </row>
    <row r="173">
      <c r="A173" s="9"/>
      <c r="B173" s="9"/>
    </row>
    <row r="174">
      <c r="A174" s="9"/>
      <c r="B174" s="9"/>
    </row>
    <row r="175">
      <c r="A175" s="9"/>
      <c r="B175" s="9"/>
    </row>
    <row r="176">
      <c r="A176" s="9"/>
      <c r="B176" s="9"/>
    </row>
    <row r="177">
      <c r="A177" s="9"/>
      <c r="B177" s="9"/>
    </row>
    <row r="178">
      <c r="A178" s="9"/>
      <c r="B178" s="9"/>
    </row>
    <row r="179">
      <c r="A179" s="9"/>
      <c r="B179" s="9"/>
    </row>
    <row r="180">
      <c r="A180" s="9"/>
      <c r="B180" s="9"/>
    </row>
    <row r="181">
      <c r="A181" s="9"/>
      <c r="B181" s="9"/>
    </row>
    <row r="182">
      <c r="A182" s="9"/>
      <c r="B182" s="9"/>
    </row>
    <row r="183">
      <c r="A183" s="9"/>
      <c r="B183" s="9"/>
    </row>
    <row r="184">
      <c r="A184" s="9"/>
      <c r="B184" s="9"/>
    </row>
    <row r="185">
      <c r="A185" s="9"/>
      <c r="B185" s="9"/>
    </row>
    <row r="186">
      <c r="A186" s="9"/>
      <c r="B186" s="9"/>
    </row>
    <row r="187">
      <c r="A187" s="9"/>
      <c r="B187" s="9"/>
    </row>
    <row r="188">
      <c r="A188" s="9"/>
      <c r="B188" s="9"/>
    </row>
    <row r="189">
      <c r="A189" s="9"/>
      <c r="B189" s="9"/>
    </row>
    <row r="190">
      <c r="A190" s="9"/>
      <c r="B190" s="9"/>
    </row>
    <row r="191">
      <c r="A191" s="9"/>
      <c r="B191" s="9"/>
    </row>
    <row r="192">
      <c r="A192" s="9"/>
      <c r="B192" s="9"/>
    </row>
    <row r="193">
      <c r="A193" s="9"/>
      <c r="B193" s="9"/>
    </row>
    <row r="194">
      <c r="A194" s="9"/>
      <c r="B194" s="9"/>
    </row>
    <row r="195">
      <c r="A195" s="9"/>
      <c r="B195" s="9"/>
    </row>
    <row r="196">
      <c r="A196" s="9"/>
      <c r="B196" s="9"/>
    </row>
    <row r="197">
      <c r="A197" s="9"/>
      <c r="B197" s="9"/>
    </row>
    <row r="198">
      <c r="A198" s="9"/>
      <c r="B198" s="9"/>
    </row>
    <row r="199">
      <c r="A199" s="9"/>
      <c r="B199" s="9"/>
    </row>
    <row r="200">
      <c r="A200" s="9"/>
      <c r="B200" s="9"/>
    </row>
    <row r="201">
      <c r="A201" s="9"/>
      <c r="B201" s="9"/>
    </row>
    <row r="202">
      <c r="A202" s="9"/>
      <c r="B202" s="9"/>
    </row>
    <row r="203">
      <c r="A203" s="9"/>
      <c r="B203" s="9"/>
    </row>
    <row r="204">
      <c r="A204" s="9"/>
      <c r="B204" s="9"/>
    </row>
    <row r="205">
      <c r="A205" s="9"/>
      <c r="B205" s="9"/>
    </row>
    <row r="206">
      <c r="A206" s="9"/>
      <c r="B206" s="9"/>
    </row>
    <row r="207">
      <c r="A207" s="9"/>
      <c r="B207" s="9"/>
    </row>
    <row r="208">
      <c r="A208" s="9"/>
      <c r="B208" s="9"/>
    </row>
    <row r="209">
      <c r="A209" s="9"/>
      <c r="B209" s="9"/>
    </row>
    <row r="210">
      <c r="A210" s="9"/>
      <c r="B210" s="9"/>
    </row>
    <row r="211">
      <c r="A211" s="9"/>
      <c r="B211" s="9"/>
    </row>
    <row r="212">
      <c r="A212" s="9"/>
      <c r="B212" s="9"/>
    </row>
    <row r="213">
      <c r="A213" s="9"/>
      <c r="B213" s="9"/>
    </row>
    <row r="214">
      <c r="A214" s="9"/>
      <c r="B214" s="9"/>
    </row>
    <row r="215">
      <c r="A215" s="9"/>
      <c r="B215" s="9"/>
    </row>
    <row r="216">
      <c r="A216" s="9"/>
      <c r="B216" s="9"/>
    </row>
    <row r="217">
      <c r="A217" s="9"/>
      <c r="B217" s="9"/>
    </row>
    <row r="218">
      <c r="A218" s="9"/>
      <c r="B218" s="9"/>
    </row>
    <row r="219">
      <c r="A219" s="9"/>
      <c r="B219" s="9"/>
    </row>
    <row r="220">
      <c r="A220" s="9"/>
      <c r="B220" s="9"/>
    </row>
    <row r="221">
      <c r="A221" s="9"/>
      <c r="B221" s="9"/>
    </row>
    <row r="222">
      <c r="A222" s="9"/>
      <c r="B222" s="9"/>
    </row>
    <row r="223">
      <c r="A223" s="9"/>
      <c r="B223" s="9"/>
    </row>
    <row r="224">
      <c r="A224" s="9"/>
      <c r="B224" s="9"/>
    </row>
    <row r="225">
      <c r="A225" s="9"/>
      <c r="B225" s="9"/>
    </row>
    <row r="226">
      <c r="A226" s="9"/>
      <c r="B226" s="9"/>
    </row>
    <row r="227">
      <c r="A227" s="9"/>
      <c r="B227" s="9"/>
    </row>
    <row r="228">
      <c r="A228" s="9"/>
      <c r="B228" s="9"/>
    </row>
    <row r="229">
      <c r="A229" s="9"/>
      <c r="B229" s="9"/>
    </row>
    <row r="230">
      <c r="A230" s="9"/>
      <c r="B230" s="9"/>
    </row>
    <row r="231">
      <c r="A231" s="9"/>
      <c r="B231" s="9"/>
    </row>
    <row r="232">
      <c r="A232" s="9"/>
      <c r="B232" s="9"/>
    </row>
    <row r="233">
      <c r="A233" s="9"/>
      <c r="B233" s="9"/>
    </row>
    <row r="234">
      <c r="A234" s="9"/>
      <c r="B234" s="9"/>
    </row>
    <row r="235">
      <c r="A235" s="9"/>
      <c r="B235" s="9"/>
    </row>
    <row r="236">
      <c r="A236" s="9"/>
      <c r="B236" s="9"/>
    </row>
    <row r="237">
      <c r="A237" s="9"/>
      <c r="B237" s="9"/>
    </row>
    <row r="238">
      <c r="A238" s="9"/>
      <c r="B238" s="9"/>
    </row>
    <row r="239">
      <c r="A239" s="9"/>
      <c r="B239" s="9"/>
    </row>
    <row r="240">
      <c r="A240" s="9"/>
      <c r="B240" s="9"/>
    </row>
    <row r="241">
      <c r="A241" s="9"/>
      <c r="B241" s="9"/>
    </row>
    <row r="242">
      <c r="A242" s="9"/>
      <c r="B242" s="9"/>
    </row>
    <row r="243">
      <c r="A243" s="9"/>
      <c r="B243" s="9"/>
    </row>
    <row r="244">
      <c r="A244" s="9"/>
      <c r="B244" s="9"/>
    </row>
    <row r="245">
      <c r="A245" s="9"/>
      <c r="B245" s="9"/>
    </row>
    <row r="246">
      <c r="A246" s="9"/>
      <c r="B246" s="9"/>
    </row>
    <row r="247">
      <c r="A247" s="9"/>
      <c r="B247" s="9"/>
    </row>
    <row r="248">
      <c r="A248" s="9"/>
      <c r="B248" s="9"/>
    </row>
    <row r="249">
      <c r="A249" s="9"/>
      <c r="B249" s="9"/>
    </row>
    <row r="250">
      <c r="A250" s="9"/>
      <c r="B250" s="9"/>
    </row>
    <row r="251">
      <c r="A251" s="9"/>
      <c r="B251" s="9"/>
    </row>
    <row r="252">
      <c r="A252" s="9"/>
      <c r="B252" s="9"/>
    </row>
    <row r="253">
      <c r="A253" s="9"/>
      <c r="B253" s="9"/>
    </row>
    <row r="254">
      <c r="A254" s="9"/>
      <c r="B254" s="9"/>
    </row>
    <row r="255">
      <c r="A255" s="9"/>
      <c r="B255" s="9"/>
    </row>
    <row r="256">
      <c r="A256" s="9"/>
      <c r="B256" s="9"/>
    </row>
    <row r="257">
      <c r="A257" s="9"/>
      <c r="B257" s="9"/>
    </row>
    <row r="258">
      <c r="A258" s="9"/>
      <c r="B258" s="9"/>
    </row>
    <row r="259">
      <c r="A259" s="9"/>
      <c r="B259" s="9"/>
    </row>
    <row r="260">
      <c r="A260" s="9"/>
      <c r="B260" s="9"/>
    </row>
    <row r="261">
      <c r="A261" s="9"/>
      <c r="B261" s="9"/>
    </row>
    <row r="262">
      <c r="A262" s="9"/>
      <c r="B262" s="9"/>
    </row>
    <row r="263">
      <c r="A263" s="9"/>
      <c r="B263" s="9"/>
    </row>
    <row r="264">
      <c r="A264" s="9"/>
      <c r="B264" s="9"/>
    </row>
    <row r="265">
      <c r="A265" s="9"/>
      <c r="B265" s="9"/>
    </row>
    <row r="266">
      <c r="A266" s="9"/>
      <c r="B266" s="9"/>
    </row>
    <row r="267">
      <c r="A267" s="9"/>
      <c r="B267" s="9"/>
    </row>
    <row r="268">
      <c r="A268" s="9"/>
      <c r="B268" s="9"/>
    </row>
    <row r="269">
      <c r="A269" s="9"/>
      <c r="B269" s="9"/>
    </row>
    <row r="270">
      <c r="A270" s="9"/>
      <c r="B270" s="9"/>
    </row>
    <row r="271">
      <c r="A271" s="9"/>
      <c r="B271" s="9"/>
    </row>
    <row r="272">
      <c r="A272" s="9"/>
      <c r="B272" s="9"/>
    </row>
    <row r="273">
      <c r="A273" s="9"/>
      <c r="B273" s="9"/>
    </row>
    <row r="274">
      <c r="A274" s="9"/>
      <c r="B274" s="9"/>
    </row>
    <row r="275">
      <c r="A275" s="9"/>
      <c r="B275" s="9"/>
    </row>
    <row r="276">
      <c r="A276" s="9"/>
      <c r="B276" s="9"/>
    </row>
    <row r="277">
      <c r="A277" s="9"/>
      <c r="B277" s="9"/>
    </row>
    <row r="278">
      <c r="A278" s="9"/>
      <c r="B278" s="9"/>
    </row>
    <row r="279">
      <c r="A279" s="9"/>
      <c r="B279" s="9"/>
    </row>
    <row r="280">
      <c r="A280" s="9"/>
      <c r="B280" s="9"/>
    </row>
    <row r="281">
      <c r="A281" s="9"/>
      <c r="B281" s="9"/>
    </row>
    <row r="282">
      <c r="A282" s="9"/>
      <c r="B282" s="9"/>
    </row>
    <row r="283">
      <c r="A283" s="9"/>
      <c r="B283" s="9"/>
    </row>
    <row r="284">
      <c r="A284" s="9"/>
      <c r="B284" s="9"/>
    </row>
    <row r="285">
      <c r="A285" s="9"/>
      <c r="B285" s="9"/>
    </row>
    <row r="286">
      <c r="A286" s="9"/>
      <c r="B286" s="9"/>
    </row>
    <row r="287">
      <c r="A287" s="9"/>
      <c r="B287" s="9"/>
    </row>
    <row r="288">
      <c r="A288" s="9"/>
      <c r="B288" s="9"/>
    </row>
    <row r="289">
      <c r="A289" s="9"/>
      <c r="B289" s="9"/>
    </row>
    <row r="290">
      <c r="A290" s="9"/>
      <c r="B290" s="9"/>
    </row>
    <row r="291">
      <c r="A291" s="9"/>
      <c r="B291" s="9"/>
    </row>
    <row r="292">
      <c r="A292" s="9"/>
      <c r="B292" s="9"/>
    </row>
    <row r="293">
      <c r="A293" s="9"/>
      <c r="B293" s="9"/>
    </row>
    <row r="294">
      <c r="A294" s="9"/>
      <c r="B294" s="9"/>
    </row>
    <row r="295">
      <c r="A295" s="9"/>
      <c r="B295" s="9"/>
    </row>
    <row r="296">
      <c r="A296" s="9"/>
      <c r="B296" s="9"/>
    </row>
    <row r="297">
      <c r="A297" s="9"/>
      <c r="B297" s="9"/>
    </row>
    <row r="298">
      <c r="A298" s="9"/>
      <c r="B298" s="9"/>
    </row>
    <row r="299">
      <c r="A299" s="9"/>
      <c r="B299" s="9"/>
    </row>
    <row r="300">
      <c r="A300" s="9"/>
      <c r="B300" s="9"/>
    </row>
    <row r="301">
      <c r="A301" s="9"/>
      <c r="B301" s="9"/>
    </row>
    <row r="302">
      <c r="A302" s="9"/>
      <c r="B302" s="9"/>
    </row>
    <row r="303">
      <c r="A303" s="9"/>
      <c r="B303" s="9"/>
    </row>
    <row r="304">
      <c r="A304" s="9"/>
      <c r="B304" s="9"/>
    </row>
    <row r="305">
      <c r="A305" s="9"/>
      <c r="B305" s="9"/>
    </row>
    <row r="306">
      <c r="A306" s="9"/>
      <c r="B306" s="9"/>
    </row>
    <row r="307">
      <c r="A307" s="9"/>
      <c r="B307" s="9"/>
    </row>
    <row r="308">
      <c r="A308" s="9"/>
      <c r="B308" s="9"/>
    </row>
    <row r="309">
      <c r="A309" s="9"/>
      <c r="B309" s="9"/>
    </row>
    <row r="310">
      <c r="A310" s="9"/>
      <c r="B310" s="9"/>
    </row>
    <row r="311">
      <c r="A311" s="9"/>
      <c r="B311" s="9"/>
    </row>
    <row r="312">
      <c r="A312" s="9"/>
      <c r="B312" s="9"/>
    </row>
    <row r="313">
      <c r="A313" s="9"/>
      <c r="B313" s="9"/>
    </row>
    <row r="314">
      <c r="A314" s="9"/>
      <c r="B314" s="9"/>
    </row>
    <row r="315">
      <c r="A315" s="9"/>
      <c r="B315" s="9"/>
    </row>
    <row r="316">
      <c r="A316" s="9"/>
      <c r="B316" s="9"/>
    </row>
    <row r="317">
      <c r="A317" s="9"/>
      <c r="B317" s="9"/>
    </row>
    <row r="318">
      <c r="A318" s="9"/>
      <c r="B318" s="9"/>
    </row>
    <row r="319">
      <c r="A319" s="9"/>
      <c r="B319" s="9"/>
    </row>
    <row r="320">
      <c r="A320" s="9"/>
      <c r="B320" s="9"/>
    </row>
    <row r="321">
      <c r="A321" s="9"/>
      <c r="B321" s="9"/>
    </row>
    <row r="322">
      <c r="A322" s="9"/>
      <c r="B322" s="9"/>
    </row>
    <row r="323">
      <c r="A323" s="9"/>
      <c r="B323" s="9"/>
    </row>
    <row r="324">
      <c r="A324" s="9"/>
      <c r="B324" s="9"/>
    </row>
    <row r="325">
      <c r="A325" s="9"/>
      <c r="B325" s="9"/>
    </row>
    <row r="326">
      <c r="A326" s="9"/>
      <c r="B326" s="9"/>
    </row>
    <row r="327">
      <c r="A327" s="9"/>
      <c r="B327" s="9"/>
    </row>
    <row r="328">
      <c r="A328" s="9"/>
      <c r="B328" s="9"/>
    </row>
    <row r="329">
      <c r="A329" s="9"/>
      <c r="B329" s="9"/>
    </row>
    <row r="330">
      <c r="A330" s="9"/>
      <c r="B330" s="9"/>
    </row>
    <row r="331">
      <c r="A331" s="9"/>
      <c r="B331" s="9"/>
    </row>
    <row r="332">
      <c r="A332" s="9"/>
      <c r="B332" s="9"/>
    </row>
    <row r="333">
      <c r="A333" s="9"/>
      <c r="B333" s="9"/>
    </row>
    <row r="334">
      <c r="A334" s="9"/>
      <c r="B334" s="9"/>
    </row>
    <row r="335">
      <c r="A335" s="9"/>
      <c r="B335" s="9"/>
    </row>
    <row r="336">
      <c r="A336" s="9"/>
      <c r="B336" s="9"/>
    </row>
    <row r="337">
      <c r="A337" s="9"/>
      <c r="B337" s="9"/>
    </row>
    <row r="338">
      <c r="A338" s="9"/>
      <c r="B338" s="9"/>
    </row>
    <row r="339">
      <c r="A339" s="9"/>
      <c r="B339" s="9"/>
    </row>
    <row r="340">
      <c r="A340" s="9"/>
      <c r="B340" s="9"/>
    </row>
    <row r="341">
      <c r="A341" s="9"/>
      <c r="B341" s="9"/>
    </row>
    <row r="342">
      <c r="A342" s="9"/>
      <c r="B342" s="9"/>
    </row>
    <row r="343">
      <c r="A343" s="9"/>
      <c r="B343" s="9"/>
    </row>
    <row r="344">
      <c r="A344" s="9"/>
      <c r="B344" s="9"/>
    </row>
    <row r="345">
      <c r="A345" s="9"/>
      <c r="B345" s="9"/>
    </row>
    <row r="346">
      <c r="A346" s="9"/>
      <c r="B346" s="9"/>
    </row>
    <row r="347">
      <c r="A347" s="9"/>
      <c r="B347" s="9"/>
    </row>
    <row r="348">
      <c r="A348" s="9"/>
      <c r="B348" s="9"/>
    </row>
    <row r="349">
      <c r="A349" s="9"/>
      <c r="B349" s="9"/>
    </row>
    <row r="350">
      <c r="A350" s="9"/>
      <c r="B350" s="9"/>
    </row>
    <row r="351">
      <c r="A351" s="9"/>
      <c r="B351" s="9"/>
    </row>
    <row r="352">
      <c r="A352" s="9"/>
      <c r="B352" s="9"/>
    </row>
    <row r="353">
      <c r="A353" s="9"/>
      <c r="B353" s="9"/>
    </row>
    <row r="354">
      <c r="A354" s="9"/>
      <c r="B354" s="9"/>
    </row>
    <row r="355">
      <c r="A355" s="9"/>
      <c r="B355" s="9"/>
    </row>
    <row r="356">
      <c r="A356" s="9"/>
      <c r="B356" s="9"/>
    </row>
    <row r="357">
      <c r="A357" s="9"/>
      <c r="B357" s="9"/>
    </row>
    <row r="358">
      <c r="A358" s="9"/>
      <c r="B358" s="9"/>
    </row>
    <row r="359">
      <c r="A359" s="9"/>
      <c r="B359" s="9"/>
    </row>
    <row r="360">
      <c r="A360" s="9"/>
      <c r="B360" s="9"/>
    </row>
    <row r="361">
      <c r="A361" s="9"/>
      <c r="B361" s="9"/>
    </row>
    <row r="362">
      <c r="A362" s="9"/>
      <c r="B362" s="9"/>
    </row>
    <row r="363">
      <c r="A363" s="9"/>
      <c r="B363" s="9"/>
    </row>
    <row r="364">
      <c r="A364" s="9"/>
      <c r="B364" s="9"/>
    </row>
    <row r="365">
      <c r="A365" s="9"/>
      <c r="B365" s="9"/>
    </row>
    <row r="366">
      <c r="A366" s="9"/>
      <c r="B366" s="9"/>
    </row>
    <row r="367">
      <c r="A367" s="9"/>
      <c r="B367" s="9"/>
    </row>
    <row r="368">
      <c r="A368" s="9"/>
      <c r="B368" s="9"/>
    </row>
    <row r="369">
      <c r="A369" s="9"/>
      <c r="B369" s="9"/>
    </row>
    <row r="370">
      <c r="A370" s="9"/>
      <c r="B370" s="9"/>
    </row>
    <row r="371">
      <c r="A371" s="9"/>
      <c r="B371" s="9"/>
    </row>
    <row r="372">
      <c r="A372" s="9"/>
      <c r="B372" s="9"/>
    </row>
    <row r="373">
      <c r="A373" s="9"/>
      <c r="B373" s="9"/>
    </row>
    <row r="374">
      <c r="A374" s="9"/>
      <c r="B374" s="9"/>
    </row>
    <row r="375">
      <c r="A375" s="9"/>
      <c r="B375" s="9"/>
    </row>
    <row r="376">
      <c r="A376" s="9"/>
      <c r="B376" s="9"/>
    </row>
    <row r="377">
      <c r="A377" s="9"/>
      <c r="B377" s="9"/>
    </row>
    <row r="378">
      <c r="A378" s="9"/>
      <c r="B378" s="9"/>
    </row>
    <row r="379">
      <c r="A379" s="9"/>
      <c r="B379" s="9"/>
    </row>
    <row r="380">
      <c r="A380" s="9"/>
      <c r="B380" s="9"/>
    </row>
    <row r="381">
      <c r="A381" s="9"/>
      <c r="B381" s="9"/>
    </row>
    <row r="382">
      <c r="A382" s="9"/>
      <c r="B382" s="9"/>
    </row>
    <row r="383">
      <c r="A383" s="9"/>
      <c r="B383" s="9"/>
    </row>
    <row r="384">
      <c r="A384" s="9"/>
      <c r="B384" s="9"/>
    </row>
    <row r="385">
      <c r="A385" s="9"/>
      <c r="B385" s="9"/>
    </row>
    <row r="386">
      <c r="A386" s="9"/>
      <c r="B386" s="9"/>
    </row>
    <row r="387">
      <c r="A387" s="9"/>
      <c r="B387" s="9"/>
    </row>
    <row r="388">
      <c r="A388" s="9"/>
      <c r="B388" s="9"/>
    </row>
    <row r="389">
      <c r="A389" s="9"/>
      <c r="B389" s="9"/>
    </row>
    <row r="390">
      <c r="A390" s="9"/>
      <c r="B390" s="9"/>
    </row>
    <row r="391">
      <c r="A391" s="9"/>
      <c r="B391" s="9"/>
    </row>
    <row r="392">
      <c r="A392" s="9"/>
      <c r="B392" s="9"/>
    </row>
    <row r="393">
      <c r="A393" s="9"/>
      <c r="B393" s="9"/>
    </row>
    <row r="394">
      <c r="A394" s="9"/>
      <c r="B394" s="9"/>
    </row>
    <row r="395">
      <c r="A395" s="9"/>
      <c r="B395" s="9"/>
    </row>
    <row r="396">
      <c r="A396" s="9"/>
      <c r="B396" s="9"/>
    </row>
    <row r="397">
      <c r="A397" s="9"/>
      <c r="B397" s="9"/>
    </row>
    <row r="398">
      <c r="A398" s="9"/>
      <c r="B398" s="9"/>
    </row>
    <row r="399">
      <c r="A399" s="9"/>
      <c r="B399" s="9"/>
    </row>
    <row r="400">
      <c r="A400" s="9"/>
      <c r="B400" s="9"/>
    </row>
    <row r="401">
      <c r="A401" s="9"/>
      <c r="B401" s="9"/>
    </row>
    <row r="402">
      <c r="A402" s="9"/>
      <c r="B402" s="9"/>
    </row>
    <row r="403">
      <c r="A403" s="9"/>
      <c r="B403" s="9"/>
    </row>
    <row r="404">
      <c r="A404" s="9"/>
      <c r="B404" s="9"/>
    </row>
    <row r="405">
      <c r="A405" s="9"/>
      <c r="B405" s="9"/>
    </row>
    <row r="406">
      <c r="A406" s="9"/>
      <c r="B406" s="9"/>
    </row>
    <row r="407">
      <c r="A407" s="9"/>
      <c r="B407" s="9"/>
    </row>
    <row r="408">
      <c r="A408" s="9"/>
      <c r="B408" s="9"/>
    </row>
    <row r="409">
      <c r="A409" s="9"/>
      <c r="B409" s="9"/>
    </row>
    <row r="410">
      <c r="A410" s="9"/>
      <c r="B410" s="9"/>
    </row>
    <row r="411">
      <c r="A411" s="9"/>
      <c r="B411" s="9"/>
    </row>
    <row r="412">
      <c r="A412" s="9"/>
      <c r="B412" s="9"/>
    </row>
    <row r="413">
      <c r="A413" s="9"/>
      <c r="B413" s="9"/>
    </row>
    <row r="414">
      <c r="A414" s="9"/>
      <c r="B414" s="9"/>
    </row>
    <row r="415">
      <c r="A415" s="9"/>
      <c r="B415" s="9"/>
    </row>
    <row r="416">
      <c r="A416" s="9"/>
      <c r="B416" s="9"/>
    </row>
    <row r="417">
      <c r="A417" s="9"/>
      <c r="B417" s="9"/>
    </row>
    <row r="418">
      <c r="A418" s="9"/>
      <c r="B418" s="9"/>
    </row>
    <row r="419">
      <c r="A419" s="9"/>
      <c r="B419" s="9"/>
    </row>
    <row r="420">
      <c r="A420" s="9"/>
      <c r="B420" s="9"/>
    </row>
    <row r="421">
      <c r="A421" s="9"/>
      <c r="B421" s="9"/>
    </row>
    <row r="422">
      <c r="A422" s="9"/>
      <c r="B422" s="9"/>
    </row>
    <row r="423">
      <c r="A423" s="9"/>
      <c r="B423" s="9"/>
    </row>
    <row r="424">
      <c r="A424" s="9"/>
      <c r="B424" s="9"/>
    </row>
    <row r="425">
      <c r="A425" s="9"/>
      <c r="B425" s="9"/>
    </row>
    <row r="426">
      <c r="A426" s="9"/>
      <c r="B426" s="9"/>
    </row>
    <row r="427">
      <c r="A427" s="9"/>
      <c r="B427" s="9"/>
    </row>
    <row r="428">
      <c r="A428" s="9"/>
      <c r="B428" s="9"/>
    </row>
    <row r="429">
      <c r="A429" s="9"/>
      <c r="B429" s="9"/>
    </row>
    <row r="430">
      <c r="A430" s="9"/>
      <c r="B430" s="9"/>
    </row>
    <row r="431">
      <c r="A431" s="9"/>
      <c r="B431" s="9"/>
    </row>
    <row r="432">
      <c r="A432" s="9"/>
      <c r="B432" s="9"/>
    </row>
    <row r="433">
      <c r="A433" s="9"/>
      <c r="B433" s="9"/>
    </row>
    <row r="434">
      <c r="A434" s="9"/>
      <c r="B434" s="9"/>
    </row>
    <row r="435">
      <c r="A435" s="9"/>
      <c r="B435" s="9"/>
    </row>
    <row r="436">
      <c r="A436" s="9"/>
      <c r="B436" s="9"/>
    </row>
    <row r="437">
      <c r="A437" s="9"/>
      <c r="B437" s="9"/>
    </row>
    <row r="438">
      <c r="A438" s="9"/>
      <c r="B438" s="9"/>
    </row>
    <row r="439">
      <c r="A439" s="9"/>
      <c r="B439" s="9"/>
    </row>
    <row r="440">
      <c r="A440" s="9"/>
      <c r="B440" s="9"/>
    </row>
    <row r="441">
      <c r="A441" s="9"/>
      <c r="B441" s="9"/>
    </row>
    <row r="442">
      <c r="A442" s="9"/>
      <c r="B442" s="9"/>
    </row>
    <row r="443">
      <c r="A443" s="9"/>
      <c r="B443" s="9"/>
    </row>
    <row r="444">
      <c r="A444" s="9"/>
      <c r="B444" s="9"/>
    </row>
    <row r="445">
      <c r="A445" s="9"/>
      <c r="B445" s="9"/>
    </row>
    <row r="446">
      <c r="A446" s="9"/>
      <c r="B446" s="9"/>
    </row>
    <row r="447">
      <c r="A447" s="9"/>
      <c r="B447" s="9"/>
    </row>
    <row r="448">
      <c r="A448" s="9"/>
      <c r="B448" s="9"/>
    </row>
    <row r="449">
      <c r="A449" s="9"/>
      <c r="B449" s="9"/>
    </row>
    <row r="450">
      <c r="A450" s="9"/>
      <c r="B450" s="9"/>
    </row>
    <row r="451">
      <c r="A451" s="9"/>
      <c r="B451" s="9"/>
    </row>
    <row r="452">
      <c r="A452" s="9"/>
      <c r="B452" s="9"/>
    </row>
    <row r="453">
      <c r="A453" s="9"/>
      <c r="B453" s="9"/>
    </row>
    <row r="454">
      <c r="A454" s="9"/>
      <c r="B454" s="9"/>
    </row>
    <row r="455">
      <c r="A455" s="9"/>
      <c r="B455" s="9"/>
    </row>
    <row r="456">
      <c r="A456" s="9"/>
      <c r="B456" s="9"/>
    </row>
    <row r="457">
      <c r="A457" s="9"/>
      <c r="B457" s="9"/>
    </row>
    <row r="458">
      <c r="A458" s="9"/>
      <c r="B458" s="9"/>
    </row>
    <row r="459">
      <c r="A459" s="9"/>
      <c r="B459" s="9"/>
    </row>
    <row r="460">
      <c r="A460" s="9"/>
      <c r="B460" s="9"/>
    </row>
    <row r="461">
      <c r="A461" s="9"/>
      <c r="B461" s="9"/>
    </row>
    <row r="462">
      <c r="A462" s="9"/>
      <c r="B462" s="9"/>
    </row>
    <row r="463">
      <c r="A463" s="9"/>
      <c r="B463" s="9"/>
    </row>
    <row r="464">
      <c r="A464" s="9"/>
      <c r="B464" s="9"/>
    </row>
    <row r="465">
      <c r="A465" s="9"/>
      <c r="B465" s="9"/>
    </row>
    <row r="466">
      <c r="A466" s="9"/>
      <c r="B466" s="9"/>
    </row>
    <row r="467">
      <c r="A467" s="9"/>
      <c r="B467" s="9"/>
    </row>
    <row r="468">
      <c r="A468" s="9"/>
      <c r="B468" s="9"/>
    </row>
    <row r="469">
      <c r="A469" s="9"/>
      <c r="B469" s="9"/>
    </row>
    <row r="470">
      <c r="A470" s="9"/>
      <c r="B470" s="9"/>
    </row>
    <row r="471">
      <c r="A471" s="9"/>
      <c r="B471" s="9"/>
    </row>
    <row r="472">
      <c r="A472" s="9"/>
      <c r="B472" s="9"/>
    </row>
    <row r="473">
      <c r="A473" s="9"/>
      <c r="B473" s="9"/>
    </row>
    <row r="474">
      <c r="A474" s="9"/>
      <c r="B474" s="9"/>
    </row>
    <row r="475">
      <c r="A475" s="9"/>
      <c r="B475" s="9"/>
    </row>
    <row r="476">
      <c r="A476" s="9"/>
      <c r="B476" s="9"/>
    </row>
    <row r="477">
      <c r="A477" s="9"/>
      <c r="B477" s="9"/>
    </row>
    <row r="478">
      <c r="A478" s="9"/>
      <c r="B478" s="9"/>
    </row>
    <row r="479">
      <c r="A479" s="9"/>
      <c r="B479" s="9"/>
    </row>
    <row r="480">
      <c r="A480" s="9"/>
      <c r="B480" s="9"/>
    </row>
    <row r="481">
      <c r="A481" s="9"/>
      <c r="B481" s="9"/>
    </row>
    <row r="482">
      <c r="A482" s="9"/>
      <c r="B482" s="9"/>
    </row>
    <row r="483">
      <c r="A483" s="9"/>
      <c r="B483" s="9"/>
    </row>
    <row r="484">
      <c r="A484" s="9"/>
      <c r="B484" s="9"/>
    </row>
    <row r="485">
      <c r="A485" s="9"/>
      <c r="B485" s="9"/>
    </row>
    <row r="486">
      <c r="A486" s="9"/>
      <c r="B486" s="9"/>
    </row>
    <row r="487">
      <c r="A487" s="9"/>
      <c r="B487" s="9"/>
    </row>
    <row r="488">
      <c r="A488" s="9"/>
      <c r="B488" s="9"/>
    </row>
    <row r="489">
      <c r="A489" s="9"/>
      <c r="B489" s="9"/>
    </row>
    <row r="490">
      <c r="A490" s="9"/>
      <c r="B490" s="9"/>
    </row>
    <row r="491">
      <c r="A491" s="9"/>
      <c r="B491" s="9"/>
    </row>
    <row r="492">
      <c r="A492" s="9"/>
      <c r="B492" s="9"/>
    </row>
    <row r="493">
      <c r="A493" s="9"/>
      <c r="B493" s="9"/>
    </row>
    <row r="494">
      <c r="A494" s="9"/>
      <c r="B494" s="9"/>
    </row>
    <row r="495">
      <c r="A495" s="9"/>
      <c r="B495" s="9"/>
    </row>
    <row r="496">
      <c r="A496" s="9"/>
      <c r="B496" s="9"/>
    </row>
    <row r="497">
      <c r="A497" s="9"/>
      <c r="B497" s="9"/>
    </row>
    <row r="498">
      <c r="A498" s="9"/>
      <c r="B498" s="9"/>
    </row>
    <row r="499">
      <c r="A499" s="9"/>
      <c r="B499" s="9"/>
    </row>
    <row r="500">
      <c r="A500" s="9"/>
      <c r="B500" s="9"/>
    </row>
    <row r="501">
      <c r="A501" s="9"/>
      <c r="B501" s="9"/>
    </row>
    <row r="502">
      <c r="A502" s="9"/>
      <c r="B502" s="9"/>
    </row>
    <row r="503">
      <c r="A503" s="9"/>
      <c r="B503" s="9"/>
    </row>
    <row r="504">
      <c r="A504" s="9"/>
      <c r="B504" s="9"/>
    </row>
    <row r="505">
      <c r="A505" s="9"/>
      <c r="B505" s="9"/>
    </row>
    <row r="506">
      <c r="A506" s="9"/>
      <c r="B506" s="9"/>
    </row>
    <row r="507">
      <c r="A507" s="9"/>
      <c r="B507" s="9"/>
    </row>
    <row r="508">
      <c r="A508" s="9"/>
      <c r="B508" s="9"/>
    </row>
    <row r="509">
      <c r="A509" s="9"/>
      <c r="B509" s="9"/>
    </row>
    <row r="510">
      <c r="A510" s="9"/>
      <c r="B510" s="9"/>
    </row>
    <row r="511">
      <c r="A511" s="9"/>
      <c r="B511" s="9"/>
    </row>
    <row r="512">
      <c r="A512" s="9"/>
      <c r="B512" s="9"/>
    </row>
    <row r="513">
      <c r="A513" s="9"/>
      <c r="B513" s="9"/>
    </row>
    <row r="514">
      <c r="A514" s="9"/>
      <c r="B514" s="9"/>
    </row>
    <row r="515">
      <c r="A515" s="9"/>
      <c r="B515" s="9"/>
    </row>
    <row r="516">
      <c r="A516" s="9"/>
      <c r="B516" s="9"/>
    </row>
    <row r="517">
      <c r="A517" s="9"/>
      <c r="B517" s="9"/>
    </row>
    <row r="518">
      <c r="A518" s="9"/>
      <c r="B518" s="9"/>
    </row>
    <row r="519">
      <c r="A519" s="9"/>
      <c r="B519" s="9"/>
    </row>
    <row r="520">
      <c r="A520" s="9"/>
      <c r="B520" s="9"/>
    </row>
    <row r="521">
      <c r="A521" s="9"/>
      <c r="B521" s="9"/>
    </row>
    <row r="522">
      <c r="A522" s="9"/>
      <c r="B522" s="9"/>
    </row>
    <row r="523">
      <c r="A523" s="9"/>
      <c r="B523" s="9"/>
    </row>
    <row r="524">
      <c r="A524" s="9"/>
      <c r="B524" s="9"/>
    </row>
    <row r="525">
      <c r="A525" s="9"/>
      <c r="B525" s="9"/>
    </row>
    <row r="526">
      <c r="A526" s="9"/>
      <c r="B526" s="9"/>
    </row>
    <row r="527">
      <c r="A527" s="9"/>
      <c r="B527" s="9"/>
    </row>
    <row r="528">
      <c r="A528" s="9"/>
      <c r="B528" s="9"/>
    </row>
    <row r="529">
      <c r="A529" s="9"/>
      <c r="B529" s="9"/>
    </row>
    <row r="530">
      <c r="A530" s="9"/>
      <c r="B530" s="9"/>
    </row>
    <row r="531">
      <c r="A531" s="9"/>
      <c r="B531" s="9"/>
    </row>
    <row r="532">
      <c r="A532" s="9"/>
      <c r="B532" s="9"/>
    </row>
    <row r="533">
      <c r="A533" s="9"/>
      <c r="B533" s="9"/>
    </row>
    <row r="534">
      <c r="A534" s="9"/>
      <c r="B534" s="9"/>
    </row>
    <row r="535">
      <c r="A535" s="9"/>
      <c r="B535" s="9"/>
    </row>
    <row r="536">
      <c r="A536" s="9"/>
      <c r="B536" s="9"/>
    </row>
    <row r="537">
      <c r="A537" s="9"/>
      <c r="B537" s="9"/>
    </row>
    <row r="538">
      <c r="A538" s="9"/>
      <c r="B538" s="9"/>
    </row>
    <row r="539">
      <c r="A539" s="9"/>
      <c r="B539" s="9"/>
    </row>
    <row r="540">
      <c r="A540" s="9"/>
      <c r="B540" s="9"/>
    </row>
    <row r="541">
      <c r="A541" s="9"/>
      <c r="B541" s="9"/>
    </row>
    <row r="542">
      <c r="A542" s="9"/>
      <c r="B542" s="9"/>
    </row>
    <row r="543">
      <c r="A543" s="9"/>
      <c r="B543" s="9"/>
    </row>
    <row r="544">
      <c r="A544" s="9"/>
      <c r="B544" s="9"/>
    </row>
    <row r="545">
      <c r="A545" s="9"/>
      <c r="B545" s="9"/>
    </row>
    <row r="546">
      <c r="A546" s="9"/>
      <c r="B546" s="9"/>
    </row>
    <row r="547">
      <c r="A547" s="9"/>
      <c r="B547" s="9"/>
    </row>
    <row r="548">
      <c r="A548" s="9"/>
      <c r="B548" s="9"/>
    </row>
    <row r="549">
      <c r="A549" s="9"/>
      <c r="B549" s="9"/>
    </row>
    <row r="550">
      <c r="A550" s="9"/>
      <c r="B550" s="9"/>
    </row>
    <row r="551">
      <c r="A551" s="9"/>
      <c r="B551" s="9"/>
    </row>
    <row r="552">
      <c r="A552" s="9"/>
      <c r="B552" s="9"/>
    </row>
    <row r="553">
      <c r="A553" s="9"/>
      <c r="B553" s="9"/>
    </row>
    <row r="554">
      <c r="A554" s="9"/>
      <c r="B554" s="9"/>
    </row>
    <row r="555">
      <c r="A555" s="9"/>
      <c r="B555" s="9"/>
    </row>
    <row r="556">
      <c r="A556" s="9"/>
      <c r="B556" s="9"/>
    </row>
    <row r="557">
      <c r="A557" s="9"/>
      <c r="B557" s="9"/>
    </row>
    <row r="558">
      <c r="A558" s="9"/>
      <c r="B558" s="9"/>
    </row>
    <row r="559">
      <c r="A559" s="9"/>
      <c r="B559" s="9"/>
    </row>
    <row r="560">
      <c r="A560" s="9"/>
      <c r="B560" s="9"/>
    </row>
    <row r="561">
      <c r="A561" s="9"/>
      <c r="B561" s="9"/>
    </row>
    <row r="562">
      <c r="A562" s="9"/>
      <c r="B562" s="9"/>
    </row>
    <row r="563">
      <c r="A563" s="9"/>
      <c r="B563" s="9"/>
    </row>
    <row r="564">
      <c r="A564" s="9"/>
      <c r="B564" s="9"/>
    </row>
    <row r="565">
      <c r="A565" s="9"/>
      <c r="B565" s="9"/>
    </row>
    <row r="566">
      <c r="A566" s="9"/>
      <c r="B566" s="9"/>
    </row>
    <row r="567">
      <c r="A567" s="9"/>
      <c r="B567" s="9"/>
    </row>
    <row r="568">
      <c r="A568" s="9"/>
      <c r="B568" s="9"/>
    </row>
    <row r="569">
      <c r="A569" s="9"/>
      <c r="B569" s="9"/>
    </row>
    <row r="570">
      <c r="A570" s="9"/>
      <c r="B570" s="9"/>
    </row>
    <row r="571">
      <c r="A571" s="9"/>
      <c r="B571" s="9"/>
    </row>
    <row r="572">
      <c r="A572" s="9"/>
      <c r="B572" s="9"/>
    </row>
    <row r="573">
      <c r="A573" s="9"/>
      <c r="B573" s="9"/>
    </row>
    <row r="574">
      <c r="A574" s="9"/>
      <c r="B574" s="9"/>
    </row>
    <row r="575">
      <c r="A575" s="9"/>
      <c r="B575" s="9"/>
    </row>
    <row r="576">
      <c r="A576" s="9"/>
      <c r="B576" s="9"/>
    </row>
    <row r="577">
      <c r="A577" s="9"/>
      <c r="B577" s="9"/>
    </row>
    <row r="578">
      <c r="A578" s="9"/>
      <c r="B578" s="9"/>
    </row>
    <row r="579">
      <c r="A579" s="9"/>
      <c r="B579" s="9"/>
    </row>
    <row r="580">
      <c r="A580" s="9"/>
      <c r="B580" s="9"/>
    </row>
    <row r="581">
      <c r="A581" s="9"/>
      <c r="B581" s="9"/>
    </row>
    <row r="582">
      <c r="A582" s="9"/>
      <c r="B582" s="9"/>
    </row>
    <row r="583">
      <c r="A583" s="9"/>
      <c r="B583" s="9"/>
    </row>
    <row r="584">
      <c r="A584" s="9"/>
      <c r="B584" s="9"/>
    </row>
    <row r="585">
      <c r="A585" s="9"/>
      <c r="B585" s="9"/>
    </row>
    <row r="586">
      <c r="A586" s="9"/>
      <c r="B586" s="9"/>
    </row>
    <row r="587">
      <c r="A587" s="9"/>
      <c r="B587" s="9"/>
    </row>
    <row r="588">
      <c r="A588" s="9"/>
      <c r="B588" s="9"/>
    </row>
    <row r="589">
      <c r="A589" s="9"/>
      <c r="B589" s="9"/>
    </row>
    <row r="590">
      <c r="A590" s="9"/>
      <c r="B590" s="9"/>
    </row>
    <row r="591">
      <c r="A591" s="9"/>
      <c r="B591" s="9"/>
    </row>
    <row r="592">
      <c r="A592" s="9"/>
      <c r="B592" s="9"/>
    </row>
    <row r="593">
      <c r="A593" s="9"/>
      <c r="B593" s="9"/>
    </row>
    <row r="594">
      <c r="A594" s="9"/>
      <c r="B594" s="9"/>
    </row>
    <row r="595">
      <c r="A595" s="9"/>
      <c r="B595" s="9"/>
    </row>
    <row r="596">
      <c r="A596" s="9"/>
      <c r="B596" s="9"/>
    </row>
    <row r="597">
      <c r="A597" s="9"/>
      <c r="B597" s="9"/>
    </row>
    <row r="598">
      <c r="A598" s="9"/>
      <c r="B598" s="9"/>
    </row>
    <row r="599">
      <c r="A599" s="9"/>
      <c r="B599" s="9"/>
    </row>
    <row r="600">
      <c r="A600" s="9"/>
      <c r="B600" s="9"/>
    </row>
    <row r="601">
      <c r="A601" s="9"/>
      <c r="B601" s="9"/>
    </row>
    <row r="602">
      <c r="A602" s="9"/>
      <c r="B602" s="9"/>
    </row>
    <row r="603">
      <c r="A603" s="9"/>
      <c r="B603" s="9"/>
    </row>
    <row r="604">
      <c r="A604" s="9"/>
      <c r="B604" s="9"/>
    </row>
    <row r="605">
      <c r="A605" s="9"/>
      <c r="B605" s="9"/>
    </row>
    <row r="606">
      <c r="A606" s="9"/>
      <c r="B606" s="9"/>
    </row>
    <row r="607">
      <c r="A607" s="9"/>
      <c r="B607" s="9"/>
    </row>
    <row r="608">
      <c r="A608" s="9"/>
      <c r="B608" s="9"/>
    </row>
    <row r="609">
      <c r="A609" s="9"/>
      <c r="B609" s="9"/>
    </row>
    <row r="610">
      <c r="A610" s="9"/>
      <c r="B610" s="9"/>
    </row>
    <row r="611">
      <c r="A611" s="9"/>
      <c r="B611" s="9"/>
    </row>
    <row r="612">
      <c r="A612" s="9"/>
      <c r="B612" s="9"/>
    </row>
    <row r="613">
      <c r="A613" s="9"/>
      <c r="B613" s="9"/>
    </row>
    <row r="614">
      <c r="A614" s="9"/>
      <c r="B614" s="9"/>
    </row>
    <row r="615">
      <c r="A615" s="9"/>
      <c r="B615" s="9"/>
    </row>
    <row r="616">
      <c r="A616" s="9"/>
      <c r="B616" s="9"/>
    </row>
    <row r="617">
      <c r="A617" s="9"/>
      <c r="B617" s="9"/>
    </row>
    <row r="618">
      <c r="A618" s="9"/>
      <c r="B618" s="9"/>
    </row>
    <row r="619">
      <c r="A619" s="9"/>
      <c r="B619" s="9"/>
    </row>
    <row r="620">
      <c r="A620" s="9"/>
      <c r="B620" s="9"/>
    </row>
    <row r="621">
      <c r="A621" s="9"/>
      <c r="B621" s="9"/>
    </row>
    <row r="622">
      <c r="A622" s="9"/>
      <c r="B622" s="9"/>
    </row>
    <row r="623">
      <c r="A623" s="9"/>
      <c r="B623" s="9"/>
    </row>
    <row r="624">
      <c r="A624" s="9"/>
      <c r="B624" s="9"/>
    </row>
    <row r="625">
      <c r="A625" s="9"/>
      <c r="B625" s="9"/>
    </row>
    <row r="626">
      <c r="A626" s="9"/>
      <c r="B626" s="9"/>
    </row>
    <row r="627">
      <c r="A627" s="9"/>
      <c r="B627" s="9"/>
    </row>
    <row r="628">
      <c r="A628" s="9"/>
      <c r="B628" s="9"/>
    </row>
    <row r="629">
      <c r="A629" s="9"/>
      <c r="B629" s="9"/>
    </row>
    <row r="630">
      <c r="A630" s="9"/>
      <c r="B630" s="9"/>
    </row>
    <row r="631">
      <c r="A631" s="9"/>
      <c r="B631" s="9"/>
    </row>
    <row r="632">
      <c r="A632" s="9"/>
      <c r="B632" s="9"/>
    </row>
    <row r="633">
      <c r="A633" s="9"/>
      <c r="B633" s="9"/>
    </row>
    <row r="634">
      <c r="A634" s="9"/>
      <c r="B634" s="9"/>
    </row>
    <row r="635">
      <c r="A635" s="9"/>
      <c r="B635" s="9"/>
    </row>
    <row r="636">
      <c r="A636" s="9"/>
      <c r="B636" s="9"/>
    </row>
    <row r="637">
      <c r="A637" s="9"/>
      <c r="B637" s="9"/>
    </row>
    <row r="638">
      <c r="A638" s="9"/>
      <c r="B638" s="9"/>
    </row>
    <row r="639">
      <c r="A639" s="9"/>
      <c r="B639" s="9"/>
    </row>
    <row r="640">
      <c r="A640" s="9"/>
      <c r="B640" s="9"/>
    </row>
    <row r="641">
      <c r="A641" s="9"/>
      <c r="B641" s="9"/>
    </row>
    <row r="642">
      <c r="A642" s="9"/>
      <c r="B642" s="9"/>
    </row>
    <row r="643">
      <c r="A643" s="9"/>
      <c r="B643" s="9"/>
    </row>
    <row r="644">
      <c r="A644" s="9"/>
      <c r="B644" s="9"/>
    </row>
    <row r="645">
      <c r="A645" s="9"/>
      <c r="B645" s="9"/>
    </row>
    <row r="646">
      <c r="A646" s="9"/>
      <c r="B646" s="9"/>
    </row>
    <row r="647">
      <c r="A647" s="9"/>
      <c r="B647" s="9"/>
    </row>
    <row r="648">
      <c r="A648" s="9"/>
      <c r="B648" s="9"/>
    </row>
    <row r="649">
      <c r="A649" s="9"/>
      <c r="B649" s="9"/>
    </row>
    <row r="650">
      <c r="A650" s="9"/>
      <c r="B650" s="9"/>
    </row>
    <row r="651">
      <c r="A651" s="9"/>
      <c r="B651" s="9"/>
    </row>
    <row r="652">
      <c r="A652" s="9"/>
      <c r="B652" s="9"/>
    </row>
    <row r="653">
      <c r="A653" s="9"/>
      <c r="B653" s="9"/>
    </row>
    <row r="654">
      <c r="A654" s="9"/>
      <c r="B654" s="9"/>
    </row>
    <row r="655">
      <c r="A655" s="9"/>
      <c r="B655" s="9"/>
    </row>
    <row r="656">
      <c r="A656" s="9"/>
      <c r="B656" s="9"/>
    </row>
    <row r="657">
      <c r="A657" s="9"/>
      <c r="B657" s="9"/>
    </row>
    <row r="658">
      <c r="A658" s="9"/>
      <c r="B658" s="9"/>
    </row>
    <row r="659">
      <c r="A659" s="9"/>
      <c r="B659" s="9"/>
    </row>
    <row r="660">
      <c r="A660" s="9"/>
      <c r="B660" s="9"/>
    </row>
    <row r="661">
      <c r="A661" s="9"/>
      <c r="B661" s="9"/>
    </row>
    <row r="662">
      <c r="A662" s="9"/>
      <c r="B662" s="9"/>
    </row>
    <row r="663">
      <c r="A663" s="9"/>
      <c r="B663" s="9"/>
    </row>
    <row r="664">
      <c r="A664" s="9"/>
      <c r="B664" s="9"/>
    </row>
    <row r="665">
      <c r="A665" s="9"/>
      <c r="B665" s="9"/>
    </row>
    <row r="666">
      <c r="A666" s="9"/>
      <c r="B666" s="9"/>
    </row>
    <row r="667">
      <c r="A667" s="9"/>
      <c r="B667" s="9"/>
    </row>
    <row r="668">
      <c r="A668" s="9"/>
      <c r="B668" s="9"/>
    </row>
    <row r="669">
      <c r="A669" s="9"/>
      <c r="B669" s="9"/>
    </row>
    <row r="670">
      <c r="A670" s="9"/>
      <c r="B670" s="9"/>
    </row>
    <row r="671">
      <c r="A671" s="9"/>
      <c r="B671" s="9"/>
    </row>
    <row r="672">
      <c r="A672" s="9"/>
      <c r="B672" s="9"/>
    </row>
    <row r="673">
      <c r="A673" s="9"/>
      <c r="B673" s="9"/>
    </row>
    <row r="674">
      <c r="A674" s="9"/>
      <c r="B674" s="9"/>
    </row>
    <row r="675">
      <c r="A675" s="9"/>
      <c r="B675" s="9"/>
    </row>
    <row r="676">
      <c r="A676" s="9"/>
      <c r="B676" s="9"/>
    </row>
    <row r="677">
      <c r="A677" s="9"/>
      <c r="B677" s="9"/>
    </row>
    <row r="678">
      <c r="A678" s="9"/>
      <c r="B678" s="9"/>
    </row>
    <row r="679">
      <c r="A679" s="9"/>
      <c r="B679" s="9"/>
    </row>
    <row r="680">
      <c r="A680" s="9"/>
      <c r="B680" s="9"/>
    </row>
    <row r="681">
      <c r="A681" s="9"/>
      <c r="B681" s="9"/>
    </row>
    <row r="682">
      <c r="A682" s="9"/>
      <c r="B682" s="9"/>
    </row>
    <row r="683">
      <c r="A683" s="9"/>
      <c r="B683" s="9"/>
    </row>
    <row r="684">
      <c r="A684" s="9"/>
      <c r="B684" s="9"/>
    </row>
    <row r="685">
      <c r="A685" s="9"/>
      <c r="B685" s="9"/>
    </row>
    <row r="686">
      <c r="A686" s="9"/>
      <c r="B686" s="9"/>
    </row>
    <row r="687">
      <c r="A687" s="9"/>
      <c r="B687" s="9"/>
    </row>
    <row r="688">
      <c r="A688" s="9"/>
      <c r="B688" s="9"/>
    </row>
    <row r="689">
      <c r="A689" s="9"/>
      <c r="B689" s="9"/>
    </row>
    <row r="690">
      <c r="A690" s="9"/>
      <c r="B690" s="9"/>
    </row>
    <row r="691">
      <c r="A691" s="9"/>
      <c r="B691" s="9"/>
    </row>
    <row r="692">
      <c r="A692" s="9"/>
      <c r="B692" s="9"/>
    </row>
    <row r="693">
      <c r="A693" s="9"/>
      <c r="B693" s="9"/>
    </row>
    <row r="694">
      <c r="A694" s="9"/>
      <c r="B694" s="9"/>
    </row>
    <row r="695">
      <c r="A695" s="9"/>
      <c r="B695" s="9"/>
    </row>
    <row r="696">
      <c r="A696" s="9"/>
      <c r="B696" s="9"/>
    </row>
    <row r="697">
      <c r="A697" s="9"/>
      <c r="B697" s="9"/>
    </row>
    <row r="698">
      <c r="A698" s="9"/>
      <c r="B698" s="9"/>
    </row>
    <row r="699">
      <c r="A699" s="9"/>
      <c r="B699" s="9"/>
    </row>
    <row r="700">
      <c r="A700" s="9"/>
      <c r="B700" s="9"/>
    </row>
    <row r="701">
      <c r="A701" s="9"/>
      <c r="B701" s="9"/>
    </row>
    <row r="702">
      <c r="A702" s="9"/>
      <c r="B702" s="9"/>
    </row>
    <row r="703">
      <c r="A703" s="9"/>
      <c r="B703" s="9"/>
    </row>
    <row r="704">
      <c r="A704" s="9"/>
      <c r="B704" s="9"/>
    </row>
    <row r="705">
      <c r="A705" s="9"/>
      <c r="B705" s="9"/>
    </row>
    <row r="706">
      <c r="A706" s="9"/>
      <c r="B706" s="9"/>
    </row>
    <row r="707">
      <c r="A707" s="9"/>
      <c r="B707" s="9"/>
    </row>
    <row r="708">
      <c r="A708" s="9"/>
      <c r="B708" s="9"/>
    </row>
    <row r="709">
      <c r="A709" s="9"/>
      <c r="B709" s="9"/>
    </row>
    <row r="710">
      <c r="A710" s="9"/>
      <c r="B710" s="9"/>
    </row>
    <row r="711">
      <c r="A711" s="9"/>
      <c r="B711" s="9"/>
    </row>
    <row r="712">
      <c r="A712" s="9"/>
      <c r="B712" s="9"/>
    </row>
    <row r="713">
      <c r="A713" s="9"/>
      <c r="B713" s="9"/>
    </row>
    <row r="714">
      <c r="A714" s="9"/>
      <c r="B714" s="9"/>
    </row>
    <row r="715">
      <c r="A715" s="9"/>
      <c r="B715" s="9"/>
    </row>
    <row r="716">
      <c r="A716" s="9"/>
      <c r="B716" s="9"/>
    </row>
    <row r="717">
      <c r="A717" s="9"/>
      <c r="B717" s="9"/>
    </row>
    <row r="718">
      <c r="A718" s="9"/>
      <c r="B718" s="9"/>
    </row>
    <row r="719">
      <c r="A719" s="9"/>
      <c r="B719" s="9"/>
    </row>
    <row r="720">
      <c r="A720" s="9"/>
      <c r="B720" s="9"/>
    </row>
    <row r="721">
      <c r="A721" s="9"/>
      <c r="B721" s="9"/>
    </row>
    <row r="722">
      <c r="A722" s="9"/>
      <c r="B722" s="9"/>
    </row>
    <row r="723">
      <c r="A723" s="9"/>
      <c r="B723" s="9"/>
    </row>
    <row r="724">
      <c r="A724" s="9"/>
      <c r="B724" s="9"/>
    </row>
    <row r="725">
      <c r="A725" s="9"/>
      <c r="B725" s="9"/>
    </row>
    <row r="726">
      <c r="A726" s="9"/>
      <c r="B726" s="9"/>
    </row>
    <row r="727">
      <c r="A727" s="9"/>
      <c r="B727" s="9"/>
    </row>
    <row r="728">
      <c r="A728" s="9"/>
      <c r="B728" s="9"/>
    </row>
    <row r="729">
      <c r="A729" s="9"/>
      <c r="B729" s="9"/>
    </row>
    <row r="730">
      <c r="A730" s="9"/>
      <c r="B730" s="9"/>
    </row>
    <row r="731">
      <c r="A731" s="9"/>
      <c r="B731" s="9"/>
    </row>
    <row r="732">
      <c r="A732" s="9"/>
      <c r="B732" s="9"/>
    </row>
    <row r="733">
      <c r="A733" s="9"/>
      <c r="B733" s="9"/>
    </row>
    <row r="734">
      <c r="A734" s="9"/>
      <c r="B734" s="9"/>
    </row>
    <row r="735">
      <c r="A735" s="9"/>
      <c r="B735" s="9"/>
    </row>
    <row r="736">
      <c r="A736" s="9"/>
      <c r="B736" s="9"/>
    </row>
    <row r="737">
      <c r="A737" s="9"/>
      <c r="B737" s="9"/>
    </row>
    <row r="738">
      <c r="A738" s="9"/>
      <c r="B738" s="9"/>
    </row>
    <row r="739">
      <c r="A739" s="9"/>
      <c r="B739" s="9"/>
    </row>
    <row r="740">
      <c r="A740" s="9"/>
      <c r="B740" s="9"/>
    </row>
    <row r="741">
      <c r="A741" s="9"/>
      <c r="B741" s="9"/>
    </row>
    <row r="742">
      <c r="A742" s="9"/>
      <c r="B742" s="9"/>
    </row>
    <row r="743">
      <c r="A743" s="9"/>
      <c r="B743" s="9"/>
    </row>
    <row r="744">
      <c r="A744" s="9"/>
      <c r="B744" s="9"/>
    </row>
    <row r="745">
      <c r="A745" s="9"/>
      <c r="B745" s="9"/>
    </row>
    <row r="746">
      <c r="A746" s="9"/>
      <c r="B746" s="9"/>
    </row>
    <row r="747">
      <c r="A747" s="9"/>
      <c r="B747" s="9"/>
    </row>
    <row r="748">
      <c r="A748" s="9"/>
      <c r="B748" s="9"/>
    </row>
    <row r="749">
      <c r="A749" s="9"/>
      <c r="B749" s="9"/>
    </row>
    <row r="750">
      <c r="A750" s="9"/>
      <c r="B750" s="9"/>
    </row>
    <row r="751">
      <c r="A751" s="9"/>
      <c r="B751" s="9"/>
    </row>
    <row r="752">
      <c r="A752" s="9"/>
      <c r="B752" s="9"/>
    </row>
    <row r="753">
      <c r="A753" s="9"/>
      <c r="B753" s="9"/>
    </row>
    <row r="754">
      <c r="A754" s="9"/>
      <c r="B754" s="9"/>
    </row>
    <row r="755">
      <c r="A755" s="9"/>
      <c r="B755" s="9"/>
    </row>
    <row r="756">
      <c r="A756" s="9"/>
      <c r="B756" s="9"/>
    </row>
    <row r="757">
      <c r="A757" s="9"/>
      <c r="B757" s="9"/>
    </row>
    <row r="758">
      <c r="A758" s="9"/>
      <c r="B758" s="9"/>
    </row>
    <row r="759">
      <c r="A759" s="9"/>
      <c r="B759" s="9"/>
    </row>
    <row r="760">
      <c r="A760" s="9"/>
      <c r="B760" s="9"/>
    </row>
    <row r="761">
      <c r="A761" s="9"/>
      <c r="B761" s="9"/>
    </row>
    <row r="762">
      <c r="A762" s="9"/>
      <c r="B762" s="9"/>
    </row>
    <row r="763">
      <c r="A763" s="9"/>
      <c r="B763" s="9"/>
    </row>
    <row r="764">
      <c r="A764" s="9"/>
      <c r="B764" s="9"/>
    </row>
    <row r="765">
      <c r="A765" s="9"/>
      <c r="B765" s="9"/>
    </row>
    <row r="766">
      <c r="A766" s="9"/>
      <c r="B766" s="9"/>
    </row>
    <row r="767">
      <c r="A767" s="9"/>
      <c r="B767" s="9"/>
    </row>
    <row r="768">
      <c r="A768" s="9"/>
      <c r="B768" s="9"/>
    </row>
    <row r="769">
      <c r="A769" s="9"/>
      <c r="B769" s="9"/>
    </row>
    <row r="770">
      <c r="A770" s="9"/>
      <c r="B770" s="9"/>
    </row>
    <row r="771">
      <c r="A771" s="9"/>
      <c r="B771" s="9"/>
    </row>
    <row r="772">
      <c r="A772" s="9"/>
      <c r="B772" s="9"/>
    </row>
    <row r="773">
      <c r="A773" s="9"/>
      <c r="B773" s="9"/>
    </row>
    <row r="774">
      <c r="A774" s="9"/>
      <c r="B774" s="9"/>
    </row>
    <row r="775">
      <c r="A775" s="9"/>
      <c r="B775" s="9"/>
    </row>
    <row r="776">
      <c r="A776" s="9"/>
      <c r="B776" s="9"/>
    </row>
    <row r="777">
      <c r="A777" s="9"/>
      <c r="B777" s="9"/>
    </row>
    <row r="778">
      <c r="A778" s="9"/>
      <c r="B778" s="9"/>
    </row>
    <row r="779">
      <c r="A779" s="9"/>
      <c r="B779" s="9"/>
    </row>
    <row r="780">
      <c r="A780" s="9"/>
      <c r="B780" s="9"/>
    </row>
    <row r="781">
      <c r="A781" s="9"/>
      <c r="B781" s="9"/>
    </row>
    <row r="782">
      <c r="A782" s="9"/>
      <c r="B782" s="9"/>
    </row>
    <row r="783">
      <c r="A783" s="9"/>
      <c r="B783" s="9"/>
    </row>
    <row r="784">
      <c r="A784" s="9"/>
      <c r="B784" s="9"/>
    </row>
    <row r="785">
      <c r="A785" s="9"/>
      <c r="B785" s="9"/>
    </row>
    <row r="786">
      <c r="A786" s="9"/>
      <c r="B786" s="9"/>
    </row>
    <row r="787">
      <c r="A787" s="9"/>
      <c r="B787" s="9"/>
    </row>
    <row r="788">
      <c r="A788" s="9"/>
      <c r="B788" s="9"/>
    </row>
    <row r="789">
      <c r="A789" s="9"/>
      <c r="B789" s="9"/>
    </row>
    <row r="790">
      <c r="A790" s="9"/>
      <c r="B790" s="9"/>
    </row>
    <row r="791">
      <c r="A791" s="9"/>
      <c r="B791" s="9"/>
    </row>
    <row r="792">
      <c r="A792" s="9"/>
      <c r="B792" s="9"/>
    </row>
    <row r="793">
      <c r="A793" s="9"/>
      <c r="B793" s="9"/>
    </row>
    <row r="794">
      <c r="A794" s="9"/>
      <c r="B794" s="9"/>
    </row>
    <row r="795">
      <c r="A795" s="9"/>
      <c r="B795" s="9"/>
    </row>
    <row r="796">
      <c r="A796" s="9"/>
      <c r="B796" s="9"/>
    </row>
    <row r="797">
      <c r="A797" s="9"/>
      <c r="B797" s="9"/>
    </row>
    <row r="798">
      <c r="A798" s="9"/>
      <c r="B798" s="9"/>
    </row>
    <row r="799">
      <c r="A799" s="9"/>
      <c r="B799" s="9"/>
    </row>
    <row r="800">
      <c r="A800" s="9"/>
      <c r="B800" s="9"/>
    </row>
    <row r="801">
      <c r="A801" s="9"/>
      <c r="B801" s="9"/>
    </row>
    <row r="802">
      <c r="A802" s="9"/>
      <c r="B802" s="9"/>
    </row>
    <row r="803">
      <c r="A803" s="9"/>
      <c r="B803" s="9"/>
    </row>
    <row r="804">
      <c r="A804" s="9"/>
      <c r="B804" s="9"/>
    </row>
    <row r="805">
      <c r="A805" s="9"/>
      <c r="B805" s="9"/>
    </row>
    <row r="806">
      <c r="A806" s="9"/>
      <c r="B806" s="9"/>
    </row>
    <row r="807">
      <c r="A807" s="9"/>
      <c r="B807" s="9"/>
    </row>
    <row r="808">
      <c r="A808" s="9"/>
      <c r="B808" s="9"/>
    </row>
    <row r="809">
      <c r="A809" s="9"/>
      <c r="B809" s="9"/>
    </row>
    <row r="810">
      <c r="A810" s="9"/>
      <c r="B810" s="9"/>
    </row>
    <row r="811">
      <c r="A811" s="9"/>
      <c r="B811" s="9"/>
    </row>
    <row r="812">
      <c r="A812" s="9"/>
      <c r="B812" s="9"/>
    </row>
    <row r="813">
      <c r="A813" s="9"/>
      <c r="B813" s="9"/>
    </row>
    <row r="814">
      <c r="A814" s="9"/>
      <c r="B814" s="9"/>
    </row>
    <row r="815">
      <c r="A815" s="9"/>
      <c r="B815" s="9"/>
    </row>
    <row r="816">
      <c r="A816" s="9"/>
      <c r="B816" s="9"/>
    </row>
    <row r="817">
      <c r="A817" s="9"/>
      <c r="B817" s="9"/>
    </row>
    <row r="818">
      <c r="A818" s="9"/>
      <c r="B818" s="9"/>
    </row>
    <row r="819">
      <c r="A819" s="9"/>
      <c r="B819" s="9"/>
    </row>
    <row r="820">
      <c r="A820" s="9"/>
      <c r="B820" s="9"/>
    </row>
    <row r="821">
      <c r="A821" s="9"/>
      <c r="B821" s="9"/>
    </row>
    <row r="822">
      <c r="A822" s="9"/>
      <c r="B822" s="9"/>
    </row>
    <row r="823">
      <c r="A823" s="9"/>
      <c r="B823" s="9"/>
    </row>
    <row r="824">
      <c r="A824" s="9"/>
      <c r="B824" s="9"/>
    </row>
    <row r="825">
      <c r="A825" s="9"/>
      <c r="B825" s="9"/>
    </row>
    <row r="826">
      <c r="A826" s="9"/>
      <c r="B826" s="9"/>
    </row>
    <row r="827">
      <c r="A827" s="9"/>
      <c r="B827" s="9"/>
    </row>
    <row r="828">
      <c r="A828" s="9"/>
      <c r="B828" s="9"/>
    </row>
    <row r="829">
      <c r="A829" s="9"/>
      <c r="B829" s="9"/>
    </row>
    <row r="830">
      <c r="A830" s="9"/>
      <c r="B830" s="9"/>
    </row>
    <row r="831">
      <c r="A831" s="9"/>
      <c r="B831" s="9"/>
    </row>
    <row r="832">
      <c r="A832" s="9"/>
      <c r="B832" s="9"/>
    </row>
    <row r="833">
      <c r="A833" s="9"/>
      <c r="B833" s="9"/>
    </row>
    <row r="834">
      <c r="A834" s="9"/>
      <c r="B834" s="9"/>
    </row>
    <row r="835">
      <c r="A835" s="9"/>
      <c r="B835" s="9"/>
    </row>
    <row r="836">
      <c r="A836" s="9"/>
      <c r="B836" s="9"/>
    </row>
    <row r="837">
      <c r="A837" s="9"/>
      <c r="B837" s="9"/>
    </row>
    <row r="838">
      <c r="A838" s="9"/>
      <c r="B838" s="9"/>
    </row>
    <row r="839">
      <c r="A839" s="9"/>
      <c r="B839" s="9"/>
    </row>
    <row r="840">
      <c r="A840" s="9"/>
      <c r="B840" s="9"/>
    </row>
    <row r="841">
      <c r="A841" s="9"/>
      <c r="B841" s="9"/>
    </row>
    <row r="842">
      <c r="A842" s="9"/>
      <c r="B842" s="9"/>
    </row>
    <row r="843">
      <c r="A843" s="9"/>
      <c r="B843" s="9"/>
    </row>
    <row r="844">
      <c r="A844" s="9"/>
      <c r="B844" s="9"/>
    </row>
    <row r="845">
      <c r="A845" s="9"/>
      <c r="B845" s="9"/>
    </row>
    <row r="846">
      <c r="A846" s="9"/>
      <c r="B846" s="9"/>
    </row>
    <row r="847">
      <c r="A847" s="9"/>
      <c r="B847" s="9"/>
    </row>
    <row r="848">
      <c r="A848" s="9"/>
      <c r="B848" s="9"/>
    </row>
    <row r="849">
      <c r="A849" s="9"/>
      <c r="B849" s="9"/>
    </row>
    <row r="850">
      <c r="A850" s="9"/>
      <c r="B850" s="9"/>
    </row>
    <row r="851">
      <c r="A851" s="9"/>
      <c r="B851" s="9"/>
    </row>
    <row r="852">
      <c r="A852" s="9"/>
      <c r="B852" s="9"/>
    </row>
    <row r="853">
      <c r="A853" s="9"/>
      <c r="B853" s="9"/>
    </row>
    <row r="854">
      <c r="A854" s="9"/>
      <c r="B854" s="9"/>
    </row>
    <row r="855">
      <c r="A855" s="9"/>
      <c r="B855" s="9"/>
    </row>
    <row r="856">
      <c r="A856" s="9"/>
      <c r="B856" s="9"/>
    </row>
    <row r="857">
      <c r="A857" s="9"/>
      <c r="B857" s="9"/>
    </row>
    <row r="858">
      <c r="A858" s="9"/>
      <c r="B858" s="9"/>
    </row>
    <row r="859">
      <c r="A859" s="9"/>
      <c r="B859" s="9"/>
    </row>
    <row r="860">
      <c r="A860" s="9"/>
      <c r="B860" s="9"/>
    </row>
    <row r="861">
      <c r="A861" s="9"/>
      <c r="B861" s="9"/>
    </row>
    <row r="862">
      <c r="A862" s="9"/>
      <c r="B862" s="9"/>
    </row>
    <row r="863">
      <c r="A863" s="9"/>
      <c r="B863" s="9"/>
    </row>
    <row r="864">
      <c r="A864" s="9"/>
      <c r="B864" s="9"/>
    </row>
    <row r="865">
      <c r="A865" s="9"/>
      <c r="B865" s="9"/>
    </row>
    <row r="866">
      <c r="A866" s="9"/>
      <c r="B866" s="9"/>
    </row>
    <row r="867">
      <c r="A867" s="9"/>
      <c r="B867" s="9"/>
    </row>
    <row r="868">
      <c r="A868" s="9"/>
      <c r="B868" s="9"/>
    </row>
    <row r="869">
      <c r="A869" s="9"/>
      <c r="B869" s="9"/>
    </row>
    <row r="870">
      <c r="A870" s="9"/>
      <c r="B870" s="9"/>
    </row>
    <row r="871">
      <c r="A871" s="9"/>
      <c r="B871" s="9"/>
    </row>
    <row r="872">
      <c r="A872" s="9"/>
      <c r="B872" s="9"/>
    </row>
    <row r="873">
      <c r="A873" s="9"/>
      <c r="B873" s="9"/>
    </row>
    <row r="874">
      <c r="A874" s="9"/>
      <c r="B874" s="9"/>
    </row>
    <row r="875">
      <c r="A875" s="9"/>
      <c r="B875" s="9"/>
    </row>
    <row r="876">
      <c r="A876" s="9"/>
      <c r="B876" s="9"/>
    </row>
    <row r="877">
      <c r="A877" s="9"/>
      <c r="B877" s="9"/>
    </row>
    <row r="878">
      <c r="A878" s="9"/>
      <c r="B878" s="9"/>
    </row>
    <row r="879">
      <c r="A879" s="9"/>
      <c r="B879" s="9"/>
    </row>
    <row r="880">
      <c r="A880" s="9"/>
      <c r="B880" s="9"/>
    </row>
    <row r="881">
      <c r="A881" s="9"/>
      <c r="B881" s="9"/>
    </row>
    <row r="882">
      <c r="A882" s="9"/>
      <c r="B882" s="9"/>
    </row>
    <row r="883">
      <c r="A883" s="9"/>
      <c r="B883" s="9"/>
    </row>
    <row r="884">
      <c r="A884" s="9"/>
      <c r="B884" s="9"/>
    </row>
    <row r="885">
      <c r="A885" s="9"/>
      <c r="B885" s="9"/>
    </row>
    <row r="886">
      <c r="A886" s="9"/>
      <c r="B886" s="9"/>
    </row>
    <row r="887">
      <c r="A887" s="9"/>
      <c r="B887" s="9"/>
    </row>
    <row r="888">
      <c r="A888" s="9"/>
      <c r="B888" s="9"/>
    </row>
    <row r="889">
      <c r="A889" s="9"/>
      <c r="B889" s="9"/>
    </row>
    <row r="890">
      <c r="A890" s="9"/>
      <c r="B890" s="9"/>
    </row>
    <row r="891">
      <c r="A891" s="9"/>
      <c r="B891" s="9"/>
    </row>
    <row r="892">
      <c r="A892" s="9"/>
      <c r="B892" s="9"/>
    </row>
    <row r="893">
      <c r="A893" s="9"/>
      <c r="B893" s="9"/>
    </row>
    <row r="894">
      <c r="A894" s="9"/>
      <c r="B894" s="9"/>
    </row>
    <row r="895">
      <c r="A895" s="9"/>
      <c r="B895" s="9"/>
    </row>
    <row r="896">
      <c r="A896" s="9"/>
      <c r="B896" s="9"/>
    </row>
    <row r="897">
      <c r="A897" s="9"/>
      <c r="B897" s="9"/>
    </row>
    <row r="898">
      <c r="A898" s="9"/>
      <c r="B898" s="9"/>
    </row>
    <row r="899">
      <c r="A899" s="9"/>
      <c r="B899" s="9"/>
    </row>
    <row r="900">
      <c r="A900" s="9"/>
      <c r="B900" s="9"/>
    </row>
    <row r="901">
      <c r="A901" s="9"/>
      <c r="B901" s="9"/>
    </row>
    <row r="902">
      <c r="A902" s="9"/>
      <c r="B902" s="9"/>
    </row>
    <row r="903">
      <c r="A903" s="9"/>
      <c r="B903" s="9"/>
    </row>
    <row r="904">
      <c r="A904" s="9"/>
      <c r="B904" s="9"/>
    </row>
    <row r="905">
      <c r="A905" s="9"/>
      <c r="B905" s="9"/>
    </row>
    <row r="906">
      <c r="A906" s="9"/>
      <c r="B906" s="9"/>
    </row>
    <row r="907">
      <c r="A907" s="9"/>
      <c r="B907" s="9"/>
    </row>
    <row r="908">
      <c r="A908" s="9"/>
      <c r="B908" s="9"/>
    </row>
    <row r="909">
      <c r="A909" s="9"/>
      <c r="B909" s="9"/>
    </row>
    <row r="910">
      <c r="A910" s="9"/>
      <c r="B910" s="9"/>
    </row>
    <row r="911">
      <c r="A911" s="9"/>
      <c r="B911" s="9"/>
    </row>
    <row r="912">
      <c r="A912" s="9"/>
      <c r="B912" s="9"/>
    </row>
    <row r="913">
      <c r="A913" s="9"/>
      <c r="B913" s="9"/>
    </row>
    <row r="914">
      <c r="A914" s="9"/>
      <c r="B914" s="9"/>
    </row>
    <row r="915">
      <c r="A915" s="9"/>
      <c r="B915" s="9"/>
    </row>
    <row r="916">
      <c r="A916" s="9"/>
      <c r="B916" s="9"/>
    </row>
    <row r="917">
      <c r="A917" s="9"/>
      <c r="B917" s="9"/>
    </row>
    <row r="918">
      <c r="A918" s="9"/>
      <c r="B918" s="9"/>
    </row>
    <row r="919">
      <c r="A919" s="9"/>
      <c r="B919" s="9"/>
    </row>
    <row r="920">
      <c r="A920" s="9"/>
      <c r="B920" s="9"/>
    </row>
    <row r="921">
      <c r="A921" s="9"/>
      <c r="B921" s="9"/>
    </row>
    <row r="922">
      <c r="A922" s="9"/>
      <c r="B922" s="9"/>
    </row>
    <row r="923">
      <c r="A923" s="9"/>
      <c r="B923" s="9"/>
    </row>
    <row r="924">
      <c r="A924" s="9"/>
      <c r="B924" s="9"/>
    </row>
    <row r="925">
      <c r="A925" s="9"/>
      <c r="B925" s="9"/>
    </row>
    <row r="926">
      <c r="A926" s="9"/>
      <c r="B926" s="9"/>
    </row>
    <row r="927">
      <c r="A927" s="9"/>
      <c r="B927" s="9"/>
    </row>
    <row r="928">
      <c r="A928" s="9"/>
      <c r="B928" s="9"/>
    </row>
    <row r="929">
      <c r="A929" s="9"/>
      <c r="B929" s="9"/>
    </row>
    <row r="930">
      <c r="A930" s="9"/>
      <c r="B930" s="9"/>
    </row>
    <row r="931">
      <c r="A931" s="9"/>
      <c r="B931" s="9"/>
    </row>
    <row r="932">
      <c r="A932" s="9"/>
      <c r="B932" s="9"/>
    </row>
    <row r="933">
      <c r="A933" s="9"/>
      <c r="B933" s="9"/>
    </row>
    <row r="934">
      <c r="A934" s="9"/>
      <c r="B934" s="9"/>
    </row>
    <row r="935">
      <c r="A935" s="9"/>
      <c r="B935" s="9"/>
    </row>
    <row r="936">
      <c r="A936" s="9"/>
      <c r="B936" s="9"/>
    </row>
    <row r="937">
      <c r="A937" s="9"/>
      <c r="B937" s="9"/>
    </row>
    <row r="938">
      <c r="A938" s="9"/>
      <c r="B938" s="9"/>
    </row>
    <row r="939">
      <c r="A939" s="9"/>
      <c r="B939" s="9"/>
    </row>
    <row r="940">
      <c r="A940" s="9"/>
      <c r="B940" s="9"/>
    </row>
    <row r="941">
      <c r="A941" s="9"/>
      <c r="B941" s="9"/>
    </row>
    <row r="942">
      <c r="A942" s="9"/>
      <c r="B942" s="9"/>
    </row>
    <row r="943">
      <c r="A943" s="9"/>
      <c r="B943" s="9"/>
    </row>
    <row r="944">
      <c r="A944" s="9"/>
      <c r="B944" s="9"/>
    </row>
    <row r="945">
      <c r="A945" s="9"/>
      <c r="B945" s="9"/>
    </row>
    <row r="946">
      <c r="A946" s="9"/>
      <c r="B946" s="9"/>
    </row>
    <row r="947">
      <c r="A947" s="9"/>
      <c r="B947" s="9"/>
    </row>
    <row r="948">
      <c r="A948" s="9"/>
      <c r="B948" s="9"/>
    </row>
    <row r="949">
      <c r="A949" s="9"/>
      <c r="B949" s="9"/>
    </row>
    <row r="950">
      <c r="A950" s="9"/>
      <c r="B950" s="9"/>
    </row>
    <row r="951">
      <c r="A951" s="9"/>
      <c r="B951" s="9"/>
    </row>
    <row r="952">
      <c r="A952" s="9"/>
      <c r="B952" s="9"/>
    </row>
    <row r="953">
      <c r="A953" s="9"/>
      <c r="B953" s="9"/>
    </row>
    <row r="954">
      <c r="A954" s="9"/>
      <c r="B954" s="9"/>
    </row>
    <row r="955">
      <c r="A955" s="9"/>
      <c r="B955" s="9"/>
    </row>
    <row r="956">
      <c r="A956" s="9"/>
      <c r="B956" s="9"/>
    </row>
    <row r="957">
      <c r="A957" s="9"/>
      <c r="B957" s="9"/>
    </row>
    <row r="958">
      <c r="A958" s="9"/>
      <c r="B958" s="9"/>
    </row>
    <row r="959">
      <c r="A959" s="9"/>
      <c r="B959" s="9"/>
    </row>
    <row r="960">
      <c r="A960" s="9"/>
      <c r="B960" s="9"/>
    </row>
    <row r="961">
      <c r="A961" s="9"/>
      <c r="B961" s="9"/>
    </row>
    <row r="962">
      <c r="A962" s="9"/>
      <c r="B962" s="9"/>
    </row>
    <row r="963">
      <c r="A963" s="9"/>
      <c r="B963" s="9"/>
    </row>
    <row r="964">
      <c r="A964" s="9"/>
      <c r="B964" s="9"/>
    </row>
    <row r="965">
      <c r="A965" s="9"/>
      <c r="B965" s="9"/>
    </row>
    <row r="966">
      <c r="A966" s="9"/>
      <c r="B966" s="9"/>
    </row>
    <row r="967">
      <c r="A967" s="9"/>
      <c r="B967" s="9"/>
    </row>
    <row r="968">
      <c r="A968" s="9"/>
      <c r="B968" s="9"/>
    </row>
    <row r="969">
      <c r="A969" s="9"/>
      <c r="B969" s="9"/>
    </row>
    <row r="970">
      <c r="A970" s="9"/>
      <c r="B970" s="9"/>
    </row>
    <row r="971">
      <c r="A971" s="9"/>
      <c r="B971" s="9"/>
    </row>
    <row r="972">
      <c r="A972" s="9"/>
      <c r="B972" s="9"/>
    </row>
    <row r="973">
      <c r="A973" s="9"/>
      <c r="B973" s="9"/>
    </row>
    <row r="974">
      <c r="A974" s="9"/>
      <c r="B974" s="9"/>
    </row>
    <row r="975">
      <c r="A975" s="9"/>
      <c r="B975" s="9"/>
    </row>
    <row r="976">
      <c r="A976" s="9"/>
      <c r="B976" s="9"/>
    </row>
    <row r="977">
      <c r="A977" s="9"/>
      <c r="B977" s="9"/>
    </row>
    <row r="978">
      <c r="A978" s="9"/>
      <c r="B978" s="9"/>
    </row>
    <row r="979">
      <c r="A979" s="9"/>
      <c r="B979" s="9"/>
    </row>
    <row r="980">
      <c r="A980" s="9"/>
      <c r="B980" s="9"/>
    </row>
    <row r="981">
      <c r="A981" s="9"/>
      <c r="B981" s="9"/>
    </row>
    <row r="982">
      <c r="A982" s="9"/>
      <c r="B982" s="9"/>
    </row>
    <row r="983">
      <c r="A983" s="9"/>
      <c r="B983" s="9"/>
    </row>
  </sheetData>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4.63"/>
    <col customWidth="1" min="2" max="2" width="11.0"/>
    <col customWidth="1" min="3" max="3" width="16.88"/>
    <col customWidth="1" min="4" max="11" width="23.88"/>
  </cols>
  <sheetData>
    <row r="1">
      <c r="A1" s="12" t="str">
        <f>Entities!A1</f>
        <v>CDA.LS.HCP Kernel Translations, Version 24.8, August 30, 2024</v>
      </c>
      <c r="B1" s="3"/>
      <c r="C1" s="3"/>
      <c r="D1" s="3"/>
      <c r="E1" s="3"/>
      <c r="F1" s="3"/>
      <c r="G1" s="3"/>
      <c r="H1" s="4"/>
      <c r="I1" s="4"/>
      <c r="J1" s="4"/>
      <c r="K1" s="4"/>
      <c r="L1" s="4"/>
      <c r="M1" s="4"/>
      <c r="N1" s="4"/>
      <c r="O1" s="4"/>
      <c r="P1" s="4"/>
      <c r="Q1" s="4"/>
      <c r="R1" s="4"/>
      <c r="S1" s="4"/>
      <c r="T1" s="4"/>
      <c r="U1" s="4"/>
      <c r="V1" s="4"/>
      <c r="W1" s="4"/>
      <c r="X1" s="4"/>
      <c r="Y1" s="4"/>
    </row>
    <row r="2">
      <c r="A2" s="5" t="s">
        <v>65</v>
      </c>
      <c r="B2" s="3"/>
      <c r="C2" s="3"/>
      <c r="D2" s="2"/>
      <c r="E2" s="2"/>
      <c r="F2" s="3"/>
      <c r="G2" s="3"/>
      <c r="H2" s="4"/>
      <c r="I2" s="4"/>
      <c r="J2" s="4"/>
      <c r="K2" s="4"/>
      <c r="L2" s="4"/>
      <c r="M2" s="4"/>
      <c r="N2" s="4"/>
      <c r="O2" s="4"/>
      <c r="P2" s="4"/>
      <c r="Q2" s="4"/>
      <c r="R2" s="4"/>
      <c r="S2" s="4"/>
      <c r="T2" s="4"/>
      <c r="U2" s="4"/>
      <c r="V2" s="4"/>
      <c r="W2" s="4"/>
      <c r="X2" s="4"/>
      <c r="Y2" s="4"/>
    </row>
    <row r="3">
      <c r="A3" s="30" t="s">
        <v>66</v>
      </c>
      <c r="B3" s="31"/>
      <c r="C3" s="31"/>
      <c r="D3" s="2"/>
      <c r="E3" s="2"/>
      <c r="F3" s="3"/>
      <c r="G3" s="3"/>
      <c r="H3" s="4"/>
      <c r="I3" s="4"/>
      <c r="J3" s="4"/>
      <c r="K3" s="4"/>
      <c r="L3" s="32"/>
      <c r="M3" s="32"/>
      <c r="N3" s="32"/>
      <c r="O3" s="32"/>
      <c r="P3" s="32"/>
      <c r="Q3" s="32"/>
      <c r="R3" s="32"/>
      <c r="S3" s="32"/>
      <c r="T3" s="32"/>
      <c r="U3" s="32"/>
      <c r="V3" s="32"/>
      <c r="W3" s="32"/>
      <c r="X3" s="32"/>
      <c r="Y3" s="32"/>
      <c r="Z3" s="32"/>
    </row>
    <row r="4">
      <c r="A4" s="6" t="s">
        <v>26</v>
      </c>
      <c r="B4" s="6" t="s">
        <v>3</v>
      </c>
      <c r="C4" s="6" t="s">
        <v>4</v>
      </c>
      <c r="D4" s="6" t="s">
        <v>5</v>
      </c>
      <c r="E4" s="6" t="s">
        <v>6</v>
      </c>
      <c r="F4" s="6" t="s">
        <v>7</v>
      </c>
      <c r="G4" s="6" t="s">
        <v>8</v>
      </c>
      <c r="H4" s="6" t="s">
        <v>9</v>
      </c>
      <c r="I4" s="6" t="s">
        <v>10</v>
      </c>
      <c r="J4" s="6" t="s">
        <v>11</v>
      </c>
      <c r="K4" s="6"/>
      <c r="L4" s="6"/>
      <c r="M4" s="6"/>
      <c r="N4" s="6"/>
      <c r="O4" s="6"/>
      <c r="P4" s="6"/>
      <c r="Q4" s="6"/>
      <c r="R4" s="6"/>
      <c r="S4" s="6"/>
      <c r="T4" s="6"/>
      <c r="U4" s="6"/>
      <c r="V4" s="6"/>
      <c r="W4" s="6"/>
      <c r="X4" s="18"/>
      <c r="Y4" s="18"/>
      <c r="Z4" s="18"/>
    </row>
    <row r="5">
      <c r="A5" s="8" t="str">
        <f>IFERROR(__xludf.DUMMYFUNCTION("IMPORTRANGE(""https://docs.google.com/spreadsheets/d/1ZIx3-wJv76bPGccT5CZZ4g3Sy52i_iEnaWf6C0L_ST0/edit#gid=832844626"",""Adopter Type Items!A5:A"")"),"Innovator")</f>
        <v>Innovator</v>
      </c>
      <c r="B5" s="8" t="str">
        <f>IFERROR(__xludf.DUMMYFUNCTION("IMPORTRANGE(""https://docs.google.com/spreadsheets/d/1ZIx3-wJv76bPGccT5CZZ4g3Sy52i_iEnaWf6C0L_ST0/edit#gid=832844626"",""Adopter Type Items!B5:B"")"),"inno")</f>
        <v>inno</v>
      </c>
      <c r="C5" s="9" t="str">
        <f>IFERROR(__xludf.DUMMYFUNCTION("GOOGLETRANSLATE($A5,""en"",""de"")"),"Innovator")</f>
        <v>Innovator</v>
      </c>
      <c r="D5" s="9" t="str">
        <f>IFERROR(__xludf.DUMMYFUNCTION("GOOGLETRANSLATE($A5,""en"",""fr"")"),"Innovateur")</f>
        <v>Innovateur</v>
      </c>
      <c r="E5" s="9" t="str">
        <f>IFERROR(__xludf.DUMMYFUNCTION("GOOGLETRANSLATE($A5,""en"",""es"")"),"Innovador")</f>
        <v>Innovador</v>
      </c>
      <c r="F5" s="9" t="str">
        <f>IFERROR(__xludf.DUMMYFUNCTION("GOOGLETRANSLATE($A5,""en"",""it"")"),"Innovatore")</f>
        <v>Innovatore</v>
      </c>
      <c r="G5" s="9" t="str">
        <f>IFERROR(__xludf.DUMMYFUNCTION("GOOGLETRANSLATE($A5,""en"",""zh-cn"")"),"创新者")</f>
        <v>创新者</v>
      </c>
      <c r="H5" s="9" t="str">
        <f>IFERROR(__xludf.DUMMYFUNCTION("GOOGLETRANSLATE($A5,""en"",""ja"")"),"イノベーター")</f>
        <v>イノベーター</v>
      </c>
      <c r="I5" s="9" t="str">
        <f>IFERROR(__xludf.DUMMYFUNCTION("GOOGLETRANSLATE($A5,""en"",""ko"")"),"혁신가")</f>
        <v>혁신가</v>
      </c>
      <c r="J5" s="9" t="str">
        <f>IFERROR(__xludf.DUMMYFUNCTION("GOOGLETRANSLATE($A5,""en"",""pt-BR"")"),"Inovador")</f>
        <v>Inovador</v>
      </c>
    </row>
    <row r="6">
      <c r="A6" s="9" t="str">
        <f>IFERROR(__xludf.DUMMYFUNCTION("""COMPUTED_VALUE"""),"Early")</f>
        <v>Early</v>
      </c>
      <c r="B6" s="9" t="str">
        <f>IFERROR(__xludf.DUMMYFUNCTION("""COMPUTED_VALUE"""),"earl")</f>
        <v>earl</v>
      </c>
      <c r="C6" s="9" t="str">
        <f>IFERROR(__xludf.DUMMYFUNCTION("GOOGLETRANSLATE($A6,""en"",""de"")"),"Früh")</f>
        <v>Früh</v>
      </c>
      <c r="D6" s="9" t="str">
        <f>IFERROR(__xludf.DUMMYFUNCTION("GOOGLETRANSLATE($A6,""en"",""fr"")"),"Tôt")</f>
        <v>Tôt</v>
      </c>
      <c r="E6" s="9" t="str">
        <f>IFERROR(__xludf.DUMMYFUNCTION("GOOGLETRANSLATE($A6,""en"",""es"")"),"Temprano")</f>
        <v>Temprano</v>
      </c>
      <c r="F6" s="9" t="str">
        <f>IFERROR(__xludf.DUMMYFUNCTION("GOOGLETRANSLATE($A6,""en"",""it"")"),"Presto")</f>
        <v>Presto</v>
      </c>
      <c r="G6" s="9" t="str">
        <f>IFERROR(__xludf.DUMMYFUNCTION("GOOGLETRANSLATE($A6,""en"",""zh-cn"")"),"早期的")</f>
        <v>早期的</v>
      </c>
      <c r="H6" s="9" t="str">
        <f>IFERROR(__xludf.DUMMYFUNCTION("GOOGLETRANSLATE($A6,""en"",""ja"")"),"早い")</f>
        <v>早い</v>
      </c>
      <c r="I6" s="9" t="str">
        <f>IFERROR(__xludf.DUMMYFUNCTION("GOOGLETRANSLATE($A6,""en"",""ko"")"),"일찍")</f>
        <v>일찍</v>
      </c>
      <c r="J6" s="9" t="str">
        <f>IFERROR(__xludf.DUMMYFUNCTION("GOOGLETRANSLATE($A6,""en"",""pt-BR"")"),"Cedo")</f>
        <v>Cedo</v>
      </c>
    </row>
    <row r="7">
      <c r="A7" s="9" t="str">
        <f>IFERROR(__xludf.DUMMYFUNCTION("""COMPUTED_VALUE"""),"Middle")</f>
        <v>Middle</v>
      </c>
      <c r="B7" s="9" t="str">
        <f>IFERROR(__xludf.DUMMYFUNCTION("""COMPUTED_VALUE"""),"midd")</f>
        <v>midd</v>
      </c>
      <c r="C7" s="9" t="str">
        <f>IFERROR(__xludf.DUMMYFUNCTION("GOOGLETRANSLATE($A7,""en"",""de"")"),"Mitte")</f>
        <v>Mitte</v>
      </c>
      <c r="D7" s="9" t="str">
        <f>IFERROR(__xludf.DUMMYFUNCTION("GOOGLETRANSLATE($A7,""en"",""fr"")"),"Milieu")</f>
        <v>Milieu</v>
      </c>
      <c r="E7" s="9" t="str">
        <f>IFERROR(__xludf.DUMMYFUNCTION("GOOGLETRANSLATE($A7,""en"",""es"")"),"Medio")</f>
        <v>Medio</v>
      </c>
      <c r="F7" s="9" t="str">
        <f>IFERROR(__xludf.DUMMYFUNCTION("GOOGLETRANSLATE($A7,""en"",""it"")"),"Mezzo")</f>
        <v>Mezzo</v>
      </c>
      <c r="G7" s="9" t="str">
        <f>IFERROR(__xludf.DUMMYFUNCTION("GOOGLETRANSLATE($A7,""en"",""zh-cn"")"),"中间")</f>
        <v>中间</v>
      </c>
      <c r="H7" s="9" t="str">
        <f>IFERROR(__xludf.DUMMYFUNCTION("GOOGLETRANSLATE($A7,""en"",""ja"")"),"真ん中")</f>
        <v>真ん中</v>
      </c>
      <c r="I7" s="9" t="str">
        <f>IFERROR(__xludf.DUMMYFUNCTION("GOOGLETRANSLATE($A7,""en"",""ko"")"),"가운데")</f>
        <v>가운데</v>
      </c>
      <c r="J7" s="9" t="str">
        <f>IFERROR(__xludf.DUMMYFUNCTION("GOOGLETRANSLATE($A7,""en"",""pt-BR"")"),"Meio")</f>
        <v>Meio</v>
      </c>
    </row>
    <row r="8">
      <c r="A8" s="9" t="str">
        <f>IFERROR(__xludf.DUMMYFUNCTION("""COMPUTED_VALUE"""),"Late")</f>
        <v>Late</v>
      </c>
      <c r="B8" s="9" t="str">
        <f>IFERROR(__xludf.DUMMYFUNCTION("""COMPUTED_VALUE"""),"late")</f>
        <v>late</v>
      </c>
      <c r="C8" s="9" t="str">
        <f>IFERROR(__xludf.DUMMYFUNCTION("GOOGLETRANSLATE($A8,""en"",""de"")"),"Spät")</f>
        <v>Spät</v>
      </c>
      <c r="D8" s="9" t="str">
        <f>IFERROR(__xludf.DUMMYFUNCTION("GOOGLETRANSLATE($A8,""en"",""fr"")"),"En retard")</f>
        <v>En retard</v>
      </c>
      <c r="E8" s="9" t="str">
        <f>IFERROR(__xludf.DUMMYFUNCTION("GOOGLETRANSLATE($A8,""en"",""es"")"),"Tarde")</f>
        <v>Tarde</v>
      </c>
      <c r="F8" s="9" t="str">
        <f>IFERROR(__xludf.DUMMYFUNCTION("GOOGLETRANSLATE($A8,""en"",""it"")"),"Tardi")</f>
        <v>Tardi</v>
      </c>
      <c r="G8" s="9" t="str">
        <f>IFERROR(__xludf.DUMMYFUNCTION("GOOGLETRANSLATE($A8,""en"",""zh-cn"")"),"晚的")</f>
        <v>晚的</v>
      </c>
      <c r="H8" s="9" t="str">
        <f>IFERROR(__xludf.DUMMYFUNCTION("GOOGLETRANSLATE($A8,""en"",""ja"")"),"遅い")</f>
        <v>遅い</v>
      </c>
      <c r="I8" s="9" t="str">
        <f>IFERROR(__xludf.DUMMYFUNCTION("GOOGLETRANSLATE($A8,""en"",""ko"")"),"늦은")</f>
        <v>늦은</v>
      </c>
      <c r="J8" s="9" t="str">
        <f>IFERROR(__xludf.DUMMYFUNCTION("GOOGLETRANSLATE($A8,""en"",""pt-BR"")"),"Tarde")</f>
        <v>Tarde</v>
      </c>
    </row>
    <row r="9">
      <c r="A9" s="9"/>
      <c r="B9" s="9"/>
    </row>
    <row r="10">
      <c r="A10" s="2"/>
      <c r="B10" s="2"/>
      <c r="C10" s="2"/>
    </row>
    <row r="11">
      <c r="A11" s="2"/>
      <c r="B11" s="2"/>
      <c r="C11" s="2"/>
    </row>
    <row r="12">
      <c r="A12" s="2"/>
      <c r="B12" s="2"/>
      <c r="C12" s="2"/>
    </row>
    <row r="13">
      <c r="A13" s="2"/>
      <c r="B13" s="2"/>
      <c r="C13" s="2"/>
    </row>
    <row r="14">
      <c r="A14" s="2"/>
      <c r="B14" s="2"/>
      <c r="C14" s="2"/>
    </row>
    <row r="15">
      <c r="A15" s="2"/>
      <c r="B15" s="2"/>
      <c r="C15" s="2"/>
    </row>
    <row r="16">
      <c r="A16" s="2"/>
      <c r="B16" s="2"/>
      <c r="C16" s="2"/>
    </row>
    <row r="17">
      <c r="A17" s="2"/>
      <c r="B17" s="2"/>
      <c r="C17" s="2"/>
    </row>
    <row r="18">
      <c r="A18" s="2"/>
      <c r="B18" s="2"/>
      <c r="C18" s="2"/>
    </row>
    <row r="19">
      <c r="A19" s="2"/>
      <c r="B19" s="2"/>
      <c r="C19" s="2"/>
    </row>
    <row r="20">
      <c r="A20" s="2"/>
      <c r="B20" s="2"/>
      <c r="C20" s="2"/>
    </row>
    <row r="21">
      <c r="A21" s="2"/>
      <c r="B21" s="2"/>
      <c r="C21" s="2"/>
    </row>
    <row r="22">
      <c r="A22" s="2"/>
      <c r="B22" s="2"/>
      <c r="C22" s="2"/>
    </row>
    <row r="23">
      <c r="A23" s="9"/>
      <c r="B23" s="9"/>
    </row>
    <row r="24">
      <c r="A24" s="9"/>
      <c r="B24" s="9"/>
    </row>
    <row r="25">
      <c r="A25" s="9"/>
      <c r="B25" s="9"/>
    </row>
    <row r="26">
      <c r="A26" s="9"/>
      <c r="B26" s="9"/>
    </row>
    <row r="27">
      <c r="A27" s="9"/>
      <c r="B27" s="9"/>
    </row>
    <row r="28">
      <c r="A28" s="9"/>
      <c r="B28" s="9"/>
    </row>
    <row r="29">
      <c r="A29" s="9"/>
      <c r="B29" s="9"/>
    </row>
    <row r="30">
      <c r="A30" s="9"/>
      <c r="B30" s="9"/>
    </row>
    <row r="31">
      <c r="A31" s="9"/>
      <c r="B31" s="9"/>
    </row>
    <row r="32">
      <c r="A32" s="9"/>
      <c r="B32" s="9"/>
    </row>
    <row r="33">
      <c r="A33" s="9"/>
      <c r="B33" s="9"/>
    </row>
    <row r="34">
      <c r="A34" s="9"/>
      <c r="B34" s="9"/>
    </row>
    <row r="35">
      <c r="A35" s="9"/>
      <c r="B35" s="9"/>
    </row>
    <row r="36">
      <c r="A36" s="9"/>
      <c r="B36" s="9"/>
    </row>
    <row r="37">
      <c r="A37" s="9"/>
      <c r="B37" s="9"/>
    </row>
    <row r="38">
      <c r="A38" s="9"/>
      <c r="B38" s="9"/>
    </row>
    <row r="39">
      <c r="A39" s="9"/>
      <c r="B39" s="9"/>
    </row>
    <row r="40">
      <c r="A40" s="9"/>
      <c r="B40" s="9"/>
    </row>
    <row r="41">
      <c r="A41" s="9"/>
      <c r="B41" s="9"/>
    </row>
    <row r="42">
      <c r="A42" s="9"/>
      <c r="B42" s="9"/>
    </row>
    <row r="43">
      <c r="A43" s="9"/>
      <c r="B43" s="9"/>
    </row>
    <row r="44">
      <c r="A44" s="9"/>
      <c r="B44" s="9"/>
    </row>
    <row r="45">
      <c r="A45" s="9"/>
      <c r="B45" s="9"/>
    </row>
    <row r="46">
      <c r="A46" s="9"/>
      <c r="B46" s="9"/>
    </row>
    <row r="47">
      <c r="A47" s="9"/>
      <c r="B47" s="9"/>
    </row>
    <row r="48">
      <c r="A48" s="9"/>
      <c r="B48" s="9"/>
    </row>
    <row r="49">
      <c r="A49" s="9"/>
      <c r="B49" s="9"/>
    </row>
    <row r="50">
      <c r="A50" s="9"/>
      <c r="B50" s="9"/>
    </row>
    <row r="51">
      <c r="A51" s="9"/>
      <c r="B51" s="9"/>
    </row>
    <row r="52">
      <c r="A52" s="9"/>
      <c r="B52" s="9"/>
    </row>
    <row r="53">
      <c r="A53" s="9"/>
      <c r="B53" s="9"/>
    </row>
    <row r="54">
      <c r="A54" s="9"/>
      <c r="B54" s="9"/>
    </row>
    <row r="55">
      <c r="A55" s="9"/>
      <c r="B55" s="9"/>
    </row>
    <row r="56">
      <c r="A56" s="9"/>
      <c r="B56" s="9"/>
    </row>
    <row r="57">
      <c r="A57" s="9"/>
      <c r="B57" s="9"/>
    </row>
    <row r="58">
      <c r="A58" s="9"/>
      <c r="B58" s="9"/>
    </row>
    <row r="59">
      <c r="A59" s="9"/>
      <c r="B59" s="9"/>
    </row>
    <row r="60">
      <c r="A60" s="9"/>
      <c r="B60" s="9"/>
    </row>
    <row r="61">
      <c r="A61" s="9"/>
      <c r="B61" s="9"/>
    </row>
    <row r="62">
      <c r="A62" s="9"/>
      <c r="B62" s="9"/>
    </row>
    <row r="63">
      <c r="A63" s="9"/>
      <c r="B63" s="9"/>
    </row>
    <row r="64">
      <c r="A64" s="9"/>
      <c r="B64" s="9"/>
    </row>
    <row r="65">
      <c r="A65" s="9"/>
      <c r="B65" s="9"/>
    </row>
    <row r="66">
      <c r="A66" s="9"/>
      <c r="B66" s="9"/>
    </row>
    <row r="67">
      <c r="A67" s="9"/>
      <c r="B67" s="9"/>
    </row>
    <row r="68">
      <c r="A68" s="9"/>
      <c r="B68" s="9"/>
    </row>
    <row r="69">
      <c r="A69" s="9"/>
      <c r="B69" s="9"/>
    </row>
    <row r="70">
      <c r="A70" s="9"/>
      <c r="B70" s="9"/>
    </row>
    <row r="71">
      <c r="A71" s="9"/>
      <c r="B71" s="9"/>
    </row>
    <row r="72">
      <c r="A72" s="9"/>
      <c r="B72" s="9"/>
    </row>
    <row r="73">
      <c r="A73" s="9"/>
      <c r="B73" s="9"/>
    </row>
    <row r="74">
      <c r="A74" s="9"/>
      <c r="B74" s="9"/>
    </row>
    <row r="75">
      <c r="A75" s="9"/>
      <c r="B75" s="9"/>
    </row>
    <row r="76">
      <c r="A76" s="9"/>
      <c r="B76" s="9"/>
    </row>
    <row r="77">
      <c r="A77" s="9"/>
      <c r="B77" s="9"/>
    </row>
    <row r="78">
      <c r="A78" s="9"/>
      <c r="B78" s="9"/>
    </row>
    <row r="79">
      <c r="A79" s="9"/>
      <c r="B79" s="9"/>
    </row>
    <row r="80">
      <c r="A80" s="9"/>
      <c r="B80" s="9"/>
    </row>
    <row r="81">
      <c r="A81" s="9"/>
      <c r="B81" s="9"/>
    </row>
    <row r="82">
      <c r="A82" s="9"/>
      <c r="B82" s="9"/>
    </row>
    <row r="83">
      <c r="A83" s="9"/>
      <c r="B83" s="9"/>
    </row>
    <row r="84">
      <c r="A84" s="9"/>
      <c r="B84" s="9"/>
    </row>
    <row r="85">
      <c r="A85" s="9"/>
      <c r="B85" s="9"/>
    </row>
    <row r="86">
      <c r="A86" s="9"/>
      <c r="B86" s="9"/>
    </row>
    <row r="87">
      <c r="A87" s="9"/>
      <c r="B87" s="9"/>
    </row>
    <row r="88">
      <c r="A88" s="9"/>
      <c r="B88" s="9"/>
    </row>
    <row r="89">
      <c r="A89" s="9"/>
      <c r="B89" s="9"/>
    </row>
    <row r="90">
      <c r="A90" s="9"/>
      <c r="B90" s="9"/>
    </row>
    <row r="91">
      <c r="A91" s="9"/>
      <c r="B91" s="9"/>
    </row>
    <row r="92">
      <c r="A92" s="9"/>
      <c r="B92" s="9"/>
    </row>
    <row r="93">
      <c r="A93" s="9"/>
      <c r="B93" s="9"/>
    </row>
    <row r="94">
      <c r="A94" s="9"/>
      <c r="B94" s="9"/>
    </row>
    <row r="95">
      <c r="A95" s="9"/>
      <c r="B95" s="9"/>
    </row>
    <row r="96">
      <c r="A96" s="9"/>
      <c r="B96" s="9"/>
    </row>
    <row r="97">
      <c r="A97" s="9"/>
      <c r="B97" s="9"/>
    </row>
    <row r="98">
      <c r="A98" s="9"/>
      <c r="B98" s="9"/>
    </row>
    <row r="99">
      <c r="A99" s="9"/>
      <c r="B99" s="9"/>
    </row>
    <row r="100">
      <c r="A100" s="9"/>
      <c r="B100" s="9"/>
    </row>
    <row r="101">
      <c r="A101" s="9"/>
      <c r="B101" s="9"/>
    </row>
    <row r="102">
      <c r="A102" s="9"/>
      <c r="B102" s="9"/>
    </row>
    <row r="103">
      <c r="A103" s="9"/>
      <c r="B103" s="9"/>
    </row>
    <row r="104">
      <c r="A104" s="9"/>
      <c r="B104" s="9"/>
    </row>
    <row r="105">
      <c r="A105" s="9"/>
      <c r="B105" s="9"/>
    </row>
    <row r="106">
      <c r="A106" s="9"/>
      <c r="B106" s="9"/>
    </row>
    <row r="107">
      <c r="A107" s="9"/>
      <c r="B107" s="9"/>
    </row>
    <row r="108">
      <c r="A108" s="9"/>
      <c r="B108" s="9"/>
    </row>
    <row r="109">
      <c r="A109" s="9"/>
      <c r="B109" s="9"/>
    </row>
    <row r="110">
      <c r="A110" s="9"/>
      <c r="B110" s="9"/>
    </row>
    <row r="111">
      <c r="A111" s="9"/>
      <c r="B111" s="9"/>
    </row>
    <row r="112">
      <c r="A112" s="9"/>
      <c r="B112" s="9"/>
    </row>
    <row r="113">
      <c r="A113" s="9"/>
      <c r="B113" s="9"/>
    </row>
    <row r="114">
      <c r="A114" s="9"/>
      <c r="B114" s="9"/>
    </row>
    <row r="115">
      <c r="A115" s="9"/>
      <c r="B115" s="9"/>
    </row>
    <row r="116">
      <c r="A116" s="9"/>
      <c r="B116" s="9"/>
    </row>
    <row r="117">
      <c r="A117" s="9"/>
      <c r="B117" s="9"/>
    </row>
    <row r="118">
      <c r="A118" s="9"/>
      <c r="B118" s="9"/>
    </row>
    <row r="119">
      <c r="A119" s="9"/>
      <c r="B119" s="9"/>
    </row>
    <row r="120">
      <c r="A120" s="9"/>
      <c r="B120" s="9"/>
    </row>
    <row r="121">
      <c r="A121" s="9"/>
      <c r="B121" s="9"/>
    </row>
    <row r="122">
      <c r="A122" s="9"/>
      <c r="B122" s="9"/>
    </row>
    <row r="123">
      <c r="A123" s="9"/>
      <c r="B123" s="9"/>
    </row>
    <row r="124">
      <c r="A124" s="9"/>
      <c r="B124" s="9"/>
    </row>
    <row r="125">
      <c r="A125" s="9"/>
      <c r="B125" s="9"/>
    </row>
    <row r="126">
      <c r="A126" s="9"/>
      <c r="B126" s="9"/>
    </row>
    <row r="127">
      <c r="A127" s="9"/>
      <c r="B127" s="9"/>
    </row>
    <row r="128">
      <c r="A128" s="9"/>
      <c r="B128" s="9"/>
    </row>
    <row r="129">
      <c r="A129" s="9"/>
      <c r="B129" s="9"/>
    </row>
    <row r="130">
      <c r="A130" s="9"/>
      <c r="B130" s="9"/>
    </row>
    <row r="131">
      <c r="A131" s="9"/>
      <c r="B131" s="9"/>
    </row>
    <row r="132">
      <c r="A132" s="9"/>
      <c r="B132" s="9"/>
    </row>
    <row r="133">
      <c r="A133" s="9"/>
      <c r="B133" s="9"/>
    </row>
    <row r="134">
      <c r="A134" s="9"/>
      <c r="B134" s="9"/>
    </row>
    <row r="135">
      <c r="A135" s="9"/>
      <c r="B135" s="9"/>
    </row>
    <row r="136">
      <c r="A136" s="9"/>
      <c r="B136" s="9"/>
    </row>
    <row r="137">
      <c r="A137" s="9"/>
      <c r="B137" s="9"/>
    </row>
    <row r="138">
      <c r="A138" s="9"/>
      <c r="B138" s="9"/>
    </row>
    <row r="139">
      <c r="A139" s="9"/>
      <c r="B139" s="9"/>
    </row>
    <row r="140">
      <c r="A140" s="9"/>
      <c r="B140" s="9"/>
    </row>
    <row r="141">
      <c r="A141" s="9"/>
      <c r="B141" s="9"/>
    </row>
    <row r="142">
      <c r="A142" s="9"/>
      <c r="B142" s="9"/>
    </row>
    <row r="143">
      <c r="A143" s="9"/>
      <c r="B143" s="9"/>
    </row>
    <row r="144">
      <c r="A144" s="9"/>
      <c r="B144" s="9"/>
    </row>
    <row r="145">
      <c r="A145" s="9"/>
      <c r="B145" s="9"/>
    </row>
    <row r="146">
      <c r="A146" s="9"/>
      <c r="B146" s="9"/>
    </row>
    <row r="147">
      <c r="A147" s="9"/>
      <c r="B147" s="9"/>
    </row>
    <row r="148">
      <c r="A148" s="9"/>
      <c r="B148" s="9"/>
    </row>
    <row r="149">
      <c r="A149" s="9"/>
      <c r="B149" s="9"/>
    </row>
    <row r="150">
      <c r="A150" s="9"/>
      <c r="B150" s="9"/>
    </row>
    <row r="151">
      <c r="A151" s="9"/>
      <c r="B151" s="9"/>
    </row>
    <row r="152">
      <c r="A152" s="9"/>
      <c r="B152" s="9"/>
    </row>
    <row r="153">
      <c r="A153" s="9"/>
      <c r="B153" s="9"/>
    </row>
    <row r="154">
      <c r="A154" s="9"/>
      <c r="B154" s="9"/>
    </row>
    <row r="155">
      <c r="A155" s="9"/>
      <c r="B155" s="9"/>
    </row>
    <row r="156">
      <c r="A156" s="9"/>
      <c r="B156" s="9"/>
    </row>
    <row r="157">
      <c r="A157" s="9"/>
      <c r="B157" s="9"/>
    </row>
    <row r="158">
      <c r="A158" s="9"/>
      <c r="B158" s="9"/>
    </row>
    <row r="159">
      <c r="A159" s="9"/>
      <c r="B159" s="9"/>
    </row>
    <row r="160">
      <c r="A160" s="9"/>
      <c r="B160" s="9"/>
    </row>
    <row r="161">
      <c r="A161" s="9"/>
      <c r="B161" s="9"/>
    </row>
    <row r="162">
      <c r="A162" s="9"/>
      <c r="B162" s="9"/>
    </row>
    <row r="163">
      <c r="A163" s="9"/>
      <c r="B163" s="9"/>
    </row>
    <row r="164">
      <c r="A164" s="9"/>
      <c r="B164" s="9"/>
    </row>
    <row r="165">
      <c r="A165" s="9"/>
      <c r="B165" s="9"/>
    </row>
    <row r="166">
      <c r="A166" s="9"/>
      <c r="B166" s="9"/>
    </row>
    <row r="167">
      <c r="A167" s="9"/>
      <c r="B167" s="9"/>
    </row>
    <row r="168">
      <c r="A168" s="9"/>
      <c r="B168" s="9"/>
    </row>
    <row r="169">
      <c r="A169" s="9"/>
      <c r="B169" s="9"/>
    </row>
    <row r="170">
      <c r="A170" s="9"/>
      <c r="B170" s="9"/>
    </row>
    <row r="171">
      <c r="A171" s="9"/>
      <c r="B171" s="9"/>
    </row>
    <row r="172">
      <c r="A172" s="9"/>
      <c r="B172" s="9"/>
    </row>
    <row r="173">
      <c r="A173" s="9"/>
      <c r="B173" s="9"/>
    </row>
    <row r="174">
      <c r="A174" s="9"/>
      <c r="B174" s="9"/>
    </row>
    <row r="175">
      <c r="A175" s="9"/>
      <c r="B175" s="9"/>
    </row>
    <row r="176">
      <c r="A176" s="9"/>
      <c r="B176" s="9"/>
    </row>
    <row r="177">
      <c r="A177" s="9"/>
      <c r="B177" s="9"/>
    </row>
    <row r="178">
      <c r="A178" s="9"/>
      <c r="B178" s="9"/>
    </row>
    <row r="179">
      <c r="A179" s="9"/>
      <c r="B179" s="9"/>
    </row>
    <row r="180">
      <c r="A180" s="9"/>
      <c r="B180" s="9"/>
    </row>
    <row r="181">
      <c r="A181" s="9"/>
      <c r="B181" s="9"/>
    </row>
    <row r="182">
      <c r="A182" s="9"/>
      <c r="B182" s="9"/>
    </row>
    <row r="183">
      <c r="A183" s="9"/>
      <c r="B183" s="9"/>
    </row>
    <row r="184">
      <c r="A184" s="9"/>
      <c r="B184" s="9"/>
    </row>
    <row r="185">
      <c r="A185" s="9"/>
      <c r="B185" s="9"/>
    </row>
    <row r="186">
      <c r="A186" s="9"/>
      <c r="B186" s="9"/>
    </row>
    <row r="187">
      <c r="A187" s="9"/>
      <c r="B187" s="9"/>
    </row>
    <row r="188">
      <c r="A188" s="9"/>
      <c r="B188" s="9"/>
    </row>
    <row r="189">
      <c r="A189" s="9"/>
      <c r="B189" s="9"/>
    </row>
    <row r="190">
      <c r="A190" s="9"/>
      <c r="B190" s="9"/>
    </row>
    <row r="191">
      <c r="A191" s="9"/>
      <c r="B191" s="9"/>
    </row>
    <row r="192">
      <c r="A192" s="9"/>
      <c r="B192" s="9"/>
    </row>
    <row r="193">
      <c r="A193" s="9"/>
      <c r="B193" s="9"/>
    </row>
    <row r="194">
      <c r="A194" s="9"/>
      <c r="B194" s="9"/>
    </row>
    <row r="195">
      <c r="A195" s="9"/>
      <c r="B195" s="9"/>
    </row>
    <row r="196">
      <c r="A196" s="9"/>
      <c r="B196" s="9"/>
    </row>
    <row r="197">
      <c r="A197" s="9"/>
      <c r="B197" s="9"/>
    </row>
    <row r="198">
      <c r="A198" s="9"/>
      <c r="B198" s="9"/>
    </row>
    <row r="199">
      <c r="A199" s="9"/>
      <c r="B199" s="9"/>
    </row>
    <row r="200">
      <c r="A200" s="9"/>
      <c r="B200" s="9"/>
    </row>
    <row r="201">
      <c r="A201" s="9"/>
      <c r="B201" s="9"/>
    </row>
    <row r="202">
      <c r="A202" s="9"/>
      <c r="B202" s="9"/>
    </row>
    <row r="203">
      <c r="A203" s="9"/>
      <c r="B203" s="9"/>
    </row>
    <row r="204">
      <c r="A204" s="9"/>
      <c r="B204" s="9"/>
    </row>
    <row r="205">
      <c r="A205" s="9"/>
      <c r="B205" s="9"/>
    </row>
    <row r="206">
      <c r="A206" s="9"/>
      <c r="B206" s="9"/>
    </row>
    <row r="207">
      <c r="A207" s="9"/>
      <c r="B207" s="9"/>
    </row>
    <row r="208">
      <c r="A208" s="9"/>
      <c r="B208" s="9"/>
    </row>
    <row r="209">
      <c r="A209" s="9"/>
      <c r="B209" s="9"/>
    </row>
    <row r="210">
      <c r="A210" s="9"/>
      <c r="B210" s="9"/>
    </row>
    <row r="211">
      <c r="A211" s="9"/>
      <c r="B211" s="9"/>
    </row>
    <row r="212">
      <c r="A212" s="9"/>
      <c r="B212" s="9"/>
    </row>
    <row r="213">
      <c r="A213" s="9"/>
      <c r="B213" s="9"/>
    </row>
    <row r="214">
      <c r="A214" s="9"/>
      <c r="B214" s="9"/>
    </row>
    <row r="215">
      <c r="A215" s="9"/>
      <c r="B215" s="9"/>
    </row>
    <row r="216">
      <c r="A216" s="9"/>
      <c r="B216" s="9"/>
    </row>
    <row r="217">
      <c r="A217" s="9"/>
      <c r="B217" s="9"/>
    </row>
    <row r="218">
      <c r="A218" s="9"/>
      <c r="B218" s="9"/>
    </row>
    <row r="219">
      <c r="A219" s="9"/>
      <c r="B219" s="9"/>
    </row>
    <row r="220">
      <c r="A220" s="9"/>
      <c r="B220" s="9"/>
    </row>
    <row r="221">
      <c r="A221" s="9"/>
      <c r="B221" s="9"/>
    </row>
    <row r="222">
      <c r="A222" s="9"/>
      <c r="B222" s="9"/>
    </row>
    <row r="223">
      <c r="A223" s="9"/>
      <c r="B223" s="9"/>
    </row>
    <row r="224">
      <c r="A224" s="9"/>
      <c r="B224" s="9"/>
    </row>
    <row r="225">
      <c r="A225" s="9"/>
      <c r="B225" s="9"/>
    </row>
    <row r="226">
      <c r="A226" s="9"/>
      <c r="B226" s="9"/>
    </row>
    <row r="227">
      <c r="A227" s="9"/>
      <c r="B227" s="9"/>
    </row>
    <row r="228">
      <c r="A228" s="9"/>
      <c r="B228" s="9"/>
    </row>
    <row r="229">
      <c r="A229" s="9"/>
      <c r="B229" s="9"/>
    </row>
    <row r="230">
      <c r="A230" s="9"/>
      <c r="B230" s="9"/>
    </row>
    <row r="231">
      <c r="A231" s="9"/>
      <c r="B231" s="9"/>
    </row>
    <row r="232">
      <c r="A232" s="9"/>
      <c r="B232" s="9"/>
    </row>
    <row r="233">
      <c r="A233" s="9"/>
      <c r="B233" s="9"/>
    </row>
    <row r="234">
      <c r="A234" s="9"/>
      <c r="B234" s="9"/>
    </row>
    <row r="235">
      <c r="A235" s="9"/>
      <c r="B235" s="9"/>
    </row>
    <row r="236">
      <c r="A236" s="9"/>
      <c r="B236" s="9"/>
    </row>
    <row r="237">
      <c r="A237" s="9"/>
      <c r="B237" s="9"/>
    </row>
    <row r="238">
      <c r="A238" s="9"/>
      <c r="B238" s="9"/>
    </row>
    <row r="239">
      <c r="A239" s="9"/>
      <c r="B239" s="9"/>
    </row>
    <row r="240">
      <c r="A240" s="9"/>
      <c r="B240" s="9"/>
    </row>
    <row r="241">
      <c r="A241" s="9"/>
      <c r="B241" s="9"/>
    </row>
    <row r="242">
      <c r="A242" s="9"/>
      <c r="B242" s="9"/>
    </row>
    <row r="243">
      <c r="A243" s="9"/>
      <c r="B243" s="9"/>
    </row>
    <row r="244">
      <c r="A244" s="9"/>
      <c r="B244" s="9"/>
    </row>
    <row r="245">
      <c r="A245" s="9"/>
      <c r="B245" s="9"/>
    </row>
    <row r="246">
      <c r="A246" s="9"/>
      <c r="B246" s="9"/>
    </row>
    <row r="247">
      <c r="A247" s="9"/>
      <c r="B247" s="9"/>
    </row>
    <row r="248">
      <c r="A248" s="9"/>
      <c r="B248" s="9"/>
    </row>
    <row r="249">
      <c r="A249" s="9"/>
      <c r="B249" s="9"/>
    </row>
    <row r="250">
      <c r="A250" s="9"/>
      <c r="B250" s="9"/>
    </row>
    <row r="251">
      <c r="A251" s="9"/>
      <c r="B251" s="9"/>
    </row>
    <row r="252">
      <c r="A252" s="9"/>
      <c r="B252" s="9"/>
    </row>
    <row r="253">
      <c r="A253" s="9"/>
      <c r="B253" s="9"/>
    </row>
    <row r="254">
      <c r="A254" s="9"/>
      <c r="B254" s="9"/>
    </row>
    <row r="255">
      <c r="A255" s="9"/>
      <c r="B255" s="9"/>
    </row>
    <row r="256">
      <c r="A256" s="9"/>
      <c r="B256" s="9"/>
    </row>
    <row r="257">
      <c r="A257" s="9"/>
      <c r="B257" s="9"/>
    </row>
    <row r="258">
      <c r="A258" s="9"/>
      <c r="B258" s="9"/>
    </row>
    <row r="259">
      <c r="A259" s="9"/>
      <c r="B259" s="9"/>
    </row>
    <row r="260">
      <c r="A260" s="9"/>
      <c r="B260" s="9"/>
    </row>
    <row r="261">
      <c r="A261" s="9"/>
      <c r="B261" s="9"/>
    </row>
    <row r="262">
      <c r="A262" s="9"/>
      <c r="B262" s="9"/>
    </row>
    <row r="263">
      <c r="A263" s="9"/>
      <c r="B263" s="9"/>
    </row>
    <row r="264">
      <c r="A264" s="9"/>
      <c r="B264" s="9"/>
    </row>
    <row r="265">
      <c r="A265" s="9"/>
      <c r="B265" s="9"/>
    </row>
    <row r="266">
      <c r="A266" s="9"/>
      <c r="B266" s="9"/>
    </row>
    <row r="267">
      <c r="A267" s="9"/>
      <c r="B267" s="9"/>
    </row>
    <row r="268">
      <c r="A268" s="9"/>
      <c r="B268" s="9"/>
    </row>
    <row r="269">
      <c r="A269" s="9"/>
      <c r="B269" s="9"/>
    </row>
    <row r="270">
      <c r="A270" s="9"/>
      <c r="B270" s="9"/>
    </row>
    <row r="271">
      <c r="A271" s="9"/>
      <c r="B271" s="9"/>
    </row>
    <row r="272">
      <c r="A272" s="9"/>
      <c r="B272" s="9"/>
    </row>
    <row r="273">
      <c r="A273" s="9"/>
      <c r="B273" s="9"/>
    </row>
    <row r="274">
      <c r="A274" s="9"/>
      <c r="B274" s="9"/>
    </row>
    <row r="275">
      <c r="A275" s="9"/>
      <c r="B275" s="9"/>
    </row>
    <row r="276">
      <c r="A276" s="9"/>
      <c r="B276" s="9"/>
    </row>
    <row r="277">
      <c r="A277" s="9"/>
      <c r="B277" s="9"/>
    </row>
    <row r="278">
      <c r="A278" s="9"/>
      <c r="B278" s="9"/>
    </row>
    <row r="279">
      <c r="A279" s="9"/>
      <c r="B279" s="9"/>
    </row>
    <row r="280">
      <c r="A280" s="9"/>
      <c r="B280" s="9"/>
    </row>
    <row r="281">
      <c r="A281" s="9"/>
      <c r="B281" s="9"/>
    </row>
    <row r="282">
      <c r="A282" s="9"/>
      <c r="B282" s="9"/>
    </row>
    <row r="283">
      <c r="A283" s="9"/>
      <c r="B283" s="9"/>
    </row>
    <row r="284">
      <c r="A284" s="9"/>
      <c r="B284" s="9"/>
    </row>
    <row r="285">
      <c r="A285" s="9"/>
      <c r="B285" s="9"/>
    </row>
    <row r="286">
      <c r="A286" s="9"/>
      <c r="B286" s="9"/>
    </row>
    <row r="287">
      <c r="A287" s="9"/>
      <c r="B287" s="9"/>
    </row>
    <row r="288">
      <c r="A288" s="9"/>
      <c r="B288" s="9"/>
    </row>
    <row r="289">
      <c r="A289" s="9"/>
      <c r="B289" s="9"/>
    </row>
    <row r="290">
      <c r="A290" s="9"/>
      <c r="B290" s="9"/>
    </row>
    <row r="291">
      <c r="A291" s="9"/>
      <c r="B291" s="9"/>
    </row>
    <row r="292">
      <c r="A292" s="9"/>
      <c r="B292" s="9"/>
    </row>
    <row r="293">
      <c r="A293" s="9"/>
      <c r="B293" s="9"/>
    </row>
    <row r="294">
      <c r="A294" s="9"/>
      <c r="B294" s="9"/>
    </row>
    <row r="295">
      <c r="A295" s="9"/>
      <c r="B295" s="9"/>
    </row>
    <row r="296">
      <c r="A296" s="9"/>
      <c r="B296" s="9"/>
    </row>
    <row r="297">
      <c r="A297" s="9"/>
      <c r="B297" s="9"/>
    </row>
    <row r="298">
      <c r="A298" s="9"/>
      <c r="B298" s="9"/>
    </row>
    <row r="299">
      <c r="A299" s="9"/>
      <c r="B299" s="9"/>
    </row>
    <row r="300">
      <c r="A300" s="9"/>
      <c r="B300" s="9"/>
    </row>
    <row r="301">
      <c r="A301" s="9"/>
      <c r="B301" s="9"/>
    </row>
    <row r="302">
      <c r="A302" s="9"/>
      <c r="B302" s="9"/>
    </row>
    <row r="303">
      <c r="A303" s="9"/>
      <c r="B303" s="9"/>
    </row>
    <row r="304">
      <c r="A304" s="9"/>
      <c r="B304" s="9"/>
    </row>
    <row r="305">
      <c r="A305" s="9"/>
      <c r="B305" s="9"/>
    </row>
    <row r="306">
      <c r="A306" s="9"/>
      <c r="B306" s="9"/>
    </row>
    <row r="307">
      <c r="A307" s="9"/>
      <c r="B307" s="9"/>
    </row>
    <row r="308">
      <c r="A308" s="9"/>
      <c r="B308" s="9"/>
    </row>
    <row r="309">
      <c r="A309" s="9"/>
      <c r="B309" s="9"/>
    </row>
    <row r="310">
      <c r="A310" s="9"/>
      <c r="B310" s="9"/>
    </row>
    <row r="311">
      <c r="A311" s="9"/>
      <c r="B311" s="9"/>
    </row>
    <row r="312">
      <c r="A312" s="9"/>
      <c r="B312" s="9"/>
    </row>
    <row r="313">
      <c r="A313" s="9"/>
      <c r="B313" s="9"/>
    </row>
    <row r="314">
      <c r="A314" s="9"/>
      <c r="B314" s="9"/>
    </row>
    <row r="315">
      <c r="A315" s="9"/>
      <c r="B315" s="9"/>
    </row>
    <row r="316">
      <c r="A316" s="9"/>
      <c r="B316" s="9"/>
    </row>
    <row r="317">
      <c r="A317" s="9"/>
      <c r="B317" s="9"/>
    </row>
    <row r="318">
      <c r="A318" s="9"/>
      <c r="B318" s="9"/>
    </row>
    <row r="319">
      <c r="A319" s="9"/>
      <c r="B319" s="9"/>
    </row>
    <row r="320">
      <c r="A320" s="9"/>
      <c r="B320" s="9"/>
    </row>
    <row r="321">
      <c r="A321" s="9"/>
      <c r="B321" s="9"/>
    </row>
    <row r="322">
      <c r="A322" s="9"/>
      <c r="B322" s="9"/>
    </row>
    <row r="323">
      <c r="A323" s="9"/>
      <c r="B323" s="9"/>
    </row>
    <row r="324">
      <c r="A324" s="9"/>
      <c r="B324" s="9"/>
    </row>
    <row r="325">
      <c r="A325" s="9"/>
      <c r="B325" s="9"/>
    </row>
    <row r="326">
      <c r="A326" s="9"/>
      <c r="B326" s="9"/>
    </row>
    <row r="327">
      <c r="A327" s="9"/>
      <c r="B327" s="9"/>
    </row>
    <row r="328">
      <c r="A328" s="9"/>
      <c r="B328" s="9"/>
    </row>
    <row r="329">
      <c r="A329" s="9"/>
      <c r="B329" s="9"/>
    </row>
    <row r="330">
      <c r="A330" s="9"/>
      <c r="B330" s="9"/>
    </row>
    <row r="331">
      <c r="A331" s="9"/>
      <c r="B331" s="9"/>
    </row>
    <row r="332">
      <c r="A332" s="9"/>
      <c r="B332" s="9"/>
    </row>
    <row r="333">
      <c r="A333" s="9"/>
      <c r="B333" s="9"/>
    </row>
    <row r="334">
      <c r="A334" s="9"/>
      <c r="B334" s="9"/>
    </row>
    <row r="335">
      <c r="A335" s="9"/>
      <c r="B335" s="9"/>
    </row>
    <row r="336">
      <c r="A336" s="9"/>
      <c r="B336" s="9"/>
    </row>
    <row r="337">
      <c r="A337" s="9"/>
      <c r="B337" s="9"/>
    </row>
    <row r="338">
      <c r="A338" s="9"/>
      <c r="B338" s="9"/>
    </row>
    <row r="339">
      <c r="A339" s="9"/>
      <c r="B339" s="9"/>
    </row>
    <row r="340">
      <c r="A340" s="9"/>
      <c r="B340" s="9"/>
    </row>
    <row r="341">
      <c r="A341" s="9"/>
      <c r="B341" s="9"/>
    </row>
    <row r="342">
      <c r="A342" s="9"/>
      <c r="B342" s="9"/>
    </row>
    <row r="343">
      <c r="A343" s="9"/>
      <c r="B343" s="9"/>
    </row>
    <row r="344">
      <c r="A344" s="9"/>
      <c r="B344" s="9"/>
    </row>
    <row r="345">
      <c r="A345" s="9"/>
      <c r="B345" s="9"/>
    </row>
    <row r="346">
      <c r="A346" s="9"/>
      <c r="B346" s="9"/>
    </row>
    <row r="347">
      <c r="A347" s="9"/>
      <c r="B347" s="9"/>
    </row>
    <row r="348">
      <c r="A348" s="9"/>
      <c r="B348" s="9"/>
    </row>
    <row r="349">
      <c r="A349" s="9"/>
      <c r="B349" s="9"/>
    </row>
    <row r="350">
      <c r="A350" s="9"/>
      <c r="B350" s="9"/>
    </row>
    <row r="351">
      <c r="A351" s="9"/>
      <c r="B351" s="9"/>
    </row>
    <row r="352">
      <c r="A352" s="9"/>
      <c r="B352" s="9"/>
    </row>
    <row r="353">
      <c r="A353" s="9"/>
      <c r="B353" s="9"/>
    </row>
    <row r="354">
      <c r="A354" s="9"/>
      <c r="B354" s="9"/>
    </row>
    <row r="355">
      <c r="A355" s="9"/>
      <c r="B355" s="9"/>
    </row>
    <row r="356">
      <c r="A356" s="9"/>
      <c r="B356" s="9"/>
    </row>
    <row r="357">
      <c r="A357" s="9"/>
      <c r="B357" s="9"/>
    </row>
    <row r="358">
      <c r="A358" s="9"/>
      <c r="B358" s="9"/>
    </row>
    <row r="359">
      <c r="A359" s="9"/>
      <c r="B359" s="9"/>
    </row>
    <row r="360">
      <c r="A360" s="9"/>
      <c r="B360" s="9"/>
    </row>
    <row r="361">
      <c r="A361" s="9"/>
      <c r="B361" s="9"/>
    </row>
    <row r="362">
      <c r="A362" s="9"/>
      <c r="B362" s="9"/>
    </row>
    <row r="363">
      <c r="A363" s="9"/>
      <c r="B363" s="9"/>
    </row>
    <row r="364">
      <c r="A364" s="9"/>
      <c r="B364" s="9"/>
    </row>
    <row r="365">
      <c r="A365" s="9"/>
      <c r="B365" s="9"/>
    </row>
    <row r="366">
      <c r="A366" s="9"/>
      <c r="B366" s="9"/>
    </row>
    <row r="367">
      <c r="A367" s="9"/>
      <c r="B367" s="9"/>
    </row>
    <row r="368">
      <c r="A368" s="9"/>
      <c r="B368" s="9"/>
    </row>
    <row r="369">
      <c r="A369" s="9"/>
      <c r="B369" s="9"/>
    </row>
    <row r="370">
      <c r="A370" s="9"/>
      <c r="B370" s="9"/>
    </row>
    <row r="371">
      <c r="A371" s="9"/>
      <c r="B371" s="9"/>
    </row>
    <row r="372">
      <c r="A372" s="9"/>
      <c r="B372" s="9"/>
    </row>
    <row r="373">
      <c r="A373" s="9"/>
      <c r="B373" s="9"/>
    </row>
    <row r="374">
      <c r="A374" s="9"/>
      <c r="B374" s="9"/>
    </row>
    <row r="375">
      <c r="A375" s="9"/>
      <c r="B375" s="9"/>
    </row>
    <row r="376">
      <c r="A376" s="9"/>
      <c r="B376" s="9"/>
    </row>
    <row r="377">
      <c r="A377" s="9"/>
      <c r="B377" s="9"/>
    </row>
    <row r="378">
      <c r="A378" s="9"/>
      <c r="B378" s="9"/>
    </row>
    <row r="379">
      <c r="A379" s="9"/>
      <c r="B379" s="9"/>
    </row>
    <row r="380">
      <c r="A380" s="9"/>
      <c r="B380" s="9"/>
    </row>
    <row r="381">
      <c r="A381" s="9"/>
      <c r="B381" s="9"/>
    </row>
    <row r="382">
      <c r="A382" s="9"/>
      <c r="B382" s="9"/>
    </row>
    <row r="383">
      <c r="A383" s="9"/>
      <c r="B383" s="9"/>
    </row>
    <row r="384">
      <c r="A384" s="9"/>
      <c r="B384" s="9"/>
    </row>
    <row r="385">
      <c r="A385" s="9"/>
      <c r="B385" s="9"/>
    </row>
    <row r="386">
      <c r="A386" s="9"/>
      <c r="B386" s="9"/>
    </row>
    <row r="387">
      <c r="A387" s="9"/>
      <c r="B387" s="9"/>
    </row>
    <row r="388">
      <c r="A388" s="9"/>
      <c r="B388" s="9"/>
    </row>
    <row r="389">
      <c r="A389" s="9"/>
      <c r="B389" s="9"/>
    </row>
    <row r="390">
      <c r="A390" s="9"/>
      <c r="B390" s="9"/>
    </row>
    <row r="391">
      <c r="A391" s="9"/>
      <c r="B391" s="9"/>
    </row>
    <row r="392">
      <c r="A392" s="9"/>
      <c r="B392" s="9"/>
    </row>
    <row r="393">
      <c r="A393" s="9"/>
      <c r="B393" s="9"/>
    </row>
    <row r="394">
      <c r="A394" s="9"/>
      <c r="B394" s="9"/>
    </row>
    <row r="395">
      <c r="A395" s="9"/>
      <c r="B395" s="9"/>
    </row>
    <row r="396">
      <c r="A396" s="9"/>
      <c r="B396" s="9"/>
    </row>
    <row r="397">
      <c r="A397" s="9"/>
      <c r="B397" s="9"/>
    </row>
    <row r="398">
      <c r="A398" s="9"/>
      <c r="B398" s="9"/>
    </row>
    <row r="399">
      <c r="A399" s="9"/>
      <c r="B399" s="9"/>
    </row>
    <row r="400">
      <c r="A400" s="9"/>
      <c r="B400" s="9"/>
    </row>
    <row r="401">
      <c r="A401" s="9"/>
      <c r="B401" s="9"/>
    </row>
    <row r="402">
      <c r="A402" s="9"/>
      <c r="B402" s="9"/>
    </row>
    <row r="403">
      <c r="A403" s="9"/>
      <c r="B403" s="9"/>
    </row>
    <row r="404">
      <c r="A404" s="9"/>
      <c r="B404" s="9"/>
    </row>
    <row r="405">
      <c r="A405" s="9"/>
      <c r="B405" s="9"/>
    </row>
    <row r="406">
      <c r="A406" s="9"/>
      <c r="B406" s="9"/>
    </row>
    <row r="407">
      <c r="A407" s="9"/>
      <c r="B407" s="9"/>
    </row>
    <row r="408">
      <c r="A408" s="9"/>
      <c r="B408" s="9"/>
    </row>
    <row r="409">
      <c r="A409" s="9"/>
      <c r="B409" s="9"/>
    </row>
    <row r="410">
      <c r="A410" s="9"/>
      <c r="B410" s="9"/>
    </row>
    <row r="411">
      <c r="A411" s="9"/>
      <c r="B411" s="9"/>
    </row>
    <row r="412">
      <c r="A412" s="9"/>
      <c r="B412" s="9"/>
    </row>
    <row r="413">
      <c r="A413" s="9"/>
      <c r="B413" s="9"/>
    </row>
    <row r="414">
      <c r="A414" s="9"/>
      <c r="B414" s="9"/>
    </row>
    <row r="415">
      <c r="A415" s="9"/>
      <c r="B415" s="9"/>
    </row>
    <row r="416">
      <c r="A416" s="9"/>
      <c r="B416" s="9"/>
    </row>
    <row r="417">
      <c r="A417" s="9"/>
      <c r="B417" s="9"/>
    </row>
    <row r="418">
      <c r="A418" s="9"/>
      <c r="B418" s="9"/>
    </row>
    <row r="419">
      <c r="A419" s="9"/>
      <c r="B419" s="9"/>
    </row>
    <row r="420">
      <c r="A420" s="9"/>
      <c r="B420" s="9"/>
    </row>
    <row r="421">
      <c r="A421" s="9"/>
      <c r="B421" s="9"/>
    </row>
    <row r="422">
      <c r="A422" s="9"/>
      <c r="B422" s="9"/>
    </row>
    <row r="423">
      <c r="A423" s="9"/>
      <c r="B423" s="9"/>
    </row>
    <row r="424">
      <c r="A424" s="9"/>
      <c r="B424" s="9"/>
    </row>
    <row r="425">
      <c r="A425" s="9"/>
      <c r="B425" s="9"/>
    </row>
    <row r="426">
      <c r="A426" s="9"/>
      <c r="B426" s="9"/>
    </row>
    <row r="427">
      <c r="A427" s="9"/>
      <c r="B427" s="9"/>
    </row>
    <row r="428">
      <c r="A428" s="9"/>
      <c r="B428" s="9"/>
    </row>
    <row r="429">
      <c r="A429" s="9"/>
      <c r="B429" s="9"/>
    </row>
    <row r="430">
      <c r="A430" s="9"/>
      <c r="B430" s="9"/>
    </row>
    <row r="431">
      <c r="A431" s="9"/>
      <c r="B431" s="9"/>
    </row>
    <row r="432">
      <c r="A432" s="9"/>
      <c r="B432" s="9"/>
    </row>
    <row r="433">
      <c r="A433" s="9"/>
      <c r="B433" s="9"/>
    </row>
    <row r="434">
      <c r="A434" s="9"/>
      <c r="B434" s="9"/>
    </row>
    <row r="435">
      <c r="A435" s="9"/>
      <c r="B435" s="9"/>
    </row>
    <row r="436">
      <c r="A436" s="9"/>
      <c r="B436" s="9"/>
    </row>
    <row r="437">
      <c r="A437" s="9"/>
      <c r="B437" s="9"/>
    </row>
    <row r="438">
      <c r="A438" s="9"/>
      <c r="B438" s="9"/>
    </row>
    <row r="439">
      <c r="A439" s="9"/>
      <c r="B439" s="9"/>
    </row>
    <row r="440">
      <c r="A440" s="9"/>
      <c r="B440" s="9"/>
    </row>
    <row r="441">
      <c r="A441" s="9"/>
      <c r="B441" s="9"/>
    </row>
    <row r="442">
      <c r="A442" s="9"/>
      <c r="B442" s="9"/>
    </row>
    <row r="443">
      <c r="A443" s="9"/>
      <c r="B443" s="9"/>
    </row>
    <row r="444">
      <c r="A444" s="9"/>
      <c r="B444" s="9"/>
    </row>
    <row r="445">
      <c r="A445" s="9"/>
      <c r="B445" s="9"/>
    </row>
    <row r="446">
      <c r="A446" s="9"/>
      <c r="B446" s="9"/>
    </row>
    <row r="447">
      <c r="A447" s="9"/>
      <c r="B447" s="9"/>
    </row>
    <row r="448">
      <c r="A448" s="9"/>
      <c r="B448" s="9"/>
    </row>
    <row r="449">
      <c r="A449" s="9"/>
      <c r="B449" s="9"/>
    </row>
    <row r="450">
      <c r="A450" s="9"/>
      <c r="B450" s="9"/>
    </row>
    <row r="451">
      <c r="A451" s="9"/>
      <c r="B451" s="9"/>
    </row>
    <row r="452">
      <c r="A452" s="9"/>
      <c r="B452" s="9"/>
    </row>
    <row r="453">
      <c r="A453" s="9"/>
      <c r="B453" s="9"/>
    </row>
    <row r="454">
      <c r="A454" s="9"/>
      <c r="B454" s="9"/>
    </row>
    <row r="455">
      <c r="A455" s="9"/>
      <c r="B455" s="9"/>
    </row>
    <row r="456">
      <c r="A456" s="9"/>
      <c r="B456" s="9"/>
    </row>
    <row r="457">
      <c r="A457" s="9"/>
      <c r="B457" s="9"/>
    </row>
    <row r="458">
      <c r="A458" s="9"/>
      <c r="B458" s="9"/>
    </row>
    <row r="459">
      <c r="A459" s="9"/>
      <c r="B459" s="9"/>
    </row>
    <row r="460">
      <c r="A460" s="9"/>
      <c r="B460" s="9"/>
    </row>
    <row r="461">
      <c r="A461" s="9"/>
      <c r="B461" s="9"/>
    </row>
    <row r="462">
      <c r="A462" s="9"/>
      <c r="B462" s="9"/>
    </row>
    <row r="463">
      <c r="A463" s="9"/>
      <c r="B463" s="9"/>
    </row>
    <row r="464">
      <c r="A464" s="9"/>
      <c r="B464" s="9"/>
    </row>
    <row r="465">
      <c r="A465" s="9"/>
      <c r="B465" s="9"/>
    </row>
    <row r="466">
      <c r="A466" s="9"/>
      <c r="B466" s="9"/>
    </row>
    <row r="467">
      <c r="A467" s="9"/>
      <c r="B467" s="9"/>
    </row>
    <row r="468">
      <c r="A468" s="9"/>
      <c r="B468" s="9"/>
    </row>
    <row r="469">
      <c r="A469" s="9"/>
      <c r="B469" s="9"/>
    </row>
    <row r="470">
      <c r="A470" s="9"/>
      <c r="B470" s="9"/>
    </row>
    <row r="471">
      <c r="A471" s="9"/>
      <c r="B471" s="9"/>
    </row>
    <row r="472">
      <c r="A472" s="9"/>
      <c r="B472" s="9"/>
    </row>
    <row r="473">
      <c r="A473" s="9"/>
      <c r="B473" s="9"/>
    </row>
    <row r="474">
      <c r="A474" s="9"/>
      <c r="B474" s="9"/>
    </row>
    <row r="475">
      <c r="A475" s="9"/>
      <c r="B475" s="9"/>
    </row>
    <row r="476">
      <c r="A476" s="9"/>
      <c r="B476" s="9"/>
    </row>
    <row r="477">
      <c r="A477" s="9"/>
      <c r="B477" s="9"/>
    </row>
    <row r="478">
      <c r="A478" s="9"/>
      <c r="B478" s="9"/>
    </row>
    <row r="479">
      <c r="A479" s="9"/>
      <c r="B479" s="9"/>
    </row>
    <row r="480">
      <c r="A480" s="9"/>
      <c r="B480" s="9"/>
    </row>
    <row r="481">
      <c r="A481" s="9"/>
      <c r="B481" s="9"/>
    </row>
    <row r="482">
      <c r="A482" s="9"/>
      <c r="B482" s="9"/>
    </row>
    <row r="483">
      <c r="A483" s="9"/>
      <c r="B483" s="9"/>
    </row>
    <row r="484">
      <c r="A484" s="9"/>
      <c r="B484" s="9"/>
    </row>
    <row r="485">
      <c r="A485" s="9"/>
      <c r="B485" s="9"/>
    </row>
    <row r="486">
      <c r="A486" s="9"/>
      <c r="B486" s="9"/>
    </row>
    <row r="487">
      <c r="A487" s="9"/>
      <c r="B487" s="9"/>
    </row>
    <row r="488">
      <c r="A488" s="9"/>
      <c r="B488" s="9"/>
    </row>
    <row r="489">
      <c r="A489" s="9"/>
      <c r="B489" s="9"/>
    </row>
    <row r="490">
      <c r="A490" s="9"/>
      <c r="B490" s="9"/>
    </row>
    <row r="491">
      <c r="A491" s="9"/>
      <c r="B491" s="9"/>
    </row>
    <row r="492">
      <c r="A492" s="9"/>
      <c r="B492" s="9"/>
    </row>
    <row r="493">
      <c r="A493" s="9"/>
      <c r="B493" s="9"/>
    </row>
    <row r="494">
      <c r="A494" s="9"/>
      <c r="B494" s="9"/>
    </row>
    <row r="495">
      <c r="A495" s="9"/>
      <c r="B495" s="9"/>
    </row>
    <row r="496">
      <c r="A496" s="9"/>
      <c r="B496" s="9"/>
    </row>
    <row r="497">
      <c r="A497" s="9"/>
      <c r="B497" s="9"/>
    </row>
    <row r="498">
      <c r="A498" s="9"/>
      <c r="B498" s="9"/>
    </row>
    <row r="499">
      <c r="A499" s="9"/>
      <c r="B499" s="9"/>
    </row>
    <row r="500">
      <c r="A500" s="9"/>
      <c r="B500" s="9"/>
    </row>
    <row r="501">
      <c r="A501" s="9"/>
      <c r="B501" s="9"/>
    </row>
    <row r="502">
      <c r="A502" s="9"/>
      <c r="B502" s="9"/>
    </row>
    <row r="503">
      <c r="A503" s="9"/>
      <c r="B503" s="9"/>
    </row>
    <row r="504">
      <c r="A504" s="9"/>
      <c r="B504" s="9"/>
    </row>
    <row r="505">
      <c r="A505" s="9"/>
      <c r="B505" s="9"/>
    </row>
    <row r="506">
      <c r="A506" s="9"/>
      <c r="B506" s="9"/>
    </row>
    <row r="507">
      <c r="A507" s="9"/>
      <c r="B507" s="9"/>
    </row>
    <row r="508">
      <c r="A508" s="9"/>
      <c r="B508" s="9"/>
    </row>
    <row r="509">
      <c r="A509" s="9"/>
      <c r="B509" s="9"/>
    </row>
    <row r="510">
      <c r="A510" s="9"/>
      <c r="B510" s="9"/>
    </row>
    <row r="511">
      <c r="A511" s="9"/>
      <c r="B511" s="9"/>
    </row>
    <row r="512">
      <c r="A512" s="9"/>
      <c r="B512" s="9"/>
    </row>
    <row r="513">
      <c r="A513" s="9"/>
      <c r="B513" s="9"/>
    </row>
    <row r="514">
      <c r="A514" s="9"/>
      <c r="B514" s="9"/>
    </row>
    <row r="515">
      <c r="A515" s="9"/>
      <c r="B515" s="9"/>
    </row>
    <row r="516">
      <c r="A516" s="9"/>
      <c r="B516" s="9"/>
    </row>
    <row r="517">
      <c r="A517" s="9"/>
      <c r="B517" s="9"/>
    </row>
    <row r="518">
      <c r="A518" s="9"/>
      <c r="B518" s="9"/>
    </row>
    <row r="519">
      <c r="A519" s="9"/>
      <c r="B519" s="9"/>
    </row>
    <row r="520">
      <c r="A520" s="9"/>
      <c r="B520" s="9"/>
    </row>
    <row r="521">
      <c r="A521" s="9"/>
      <c r="B521" s="9"/>
    </row>
    <row r="522">
      <c r="A522" s="9"/>
      <c r="B522" s="9"/>
    </row>
    <row r="523">
      <c r="A523" s="9"/>
      <c r="B523" s="9"/>
    </row>
    <row r="524">
      <c r="A524" s="9"/>
      <c r="B524" s="9"/>
    </row>
    <row r="525">
      <c r="A525" s="9"/>
      <c r="B525" s="9"/>
    </row>
    <row r="526">
      <c r="A526" s="9"/>
      <c r="B526" s="9"/>
    </row>
    <row r="527">
      <c r="A527" s="9"/>
      <c r="B527" s="9"/>
    </row>
    <row r="528">
      <c r="A528" s="9"/>
      <c r="B528" s="9"/>
    </row>
    <row r="529">
      <c r="A529" s="9"/>
      <c r="B529" s="9"/>
    </row>
    <row r="530">
      <c r="A530" s="9"/>
      <c r="B530" s="9"/>
    </row>
    <row r="531">
      <c r="A531" s="9"/>
      <c r="B531" s="9"/>
    </row>
    <row r="532">
      <c r="A532" s="9"/>
      <c r="B532" s="9"/>
    </row>
    <row r="533">
      <c r="A533" s="9"/>
      <c r="B533" s="9"/>
    </row>
    <row r="534">
      <c r="A534" s="9"/>
      <c r="B534" s="9"/>
    </row>
    <row r="535">
      <c r="A535" s="9"/>
      <c r="B535" s="9"/>
    </row>
    <row r="536">
      <c r="A536" s="9"/>
      <c r="B536" s="9"/>
    </row>
    <row r="537">
      <c r="A537" s="9"/>
      <c r="B537" s="9"/>
    </row>
    <row r="538">
      <c r="A538" s="9"/>
      <c r="B538" s="9"/>
    </row>
    <row r="539">
      <c r="A539" s="9"/>
      <c r="B539" s="9"/>
    </row>
    <row r="540">
      <c r="A540" s="9"/>
      <c r="B540" s="9"/>
    </row>
    <row r="541">
      <c r="A541" s="9"/>
      <c r="B541" s="9"/>
    </row>
    <row r="542">
      <c r="A542" s="9"/>
      <c r="B542" s="9"/>
    </row>
    <row r="543">
      <c r="A543" s="9"/>
      <c r="B543" s="9"/>
    </row>
    <row r="544">
      <c r="A544" s="9"/>
      <c r="B544" s="9"/>
    </row>
    <row r="545">
      <c r="A545" s="9"/>
      <c r="B545" s="9"/>
    </row>
    <row r="546">
      <c r="A546" s="9"/>
      <c r="B546" s="9"/>
    </row>
    <row r="547">
      <c r="A547" s="9"/>
      <c r="B547" s="9"/>
    </row>
    <row r="548">
      <c r="A548" s="9"/>
      <c r="B548" s="9"/>
    </row>
    <row r="549">
      <c r="A549" s="9"/>
      <c r="B549" s="9"/>
    </row>
    <row r="550">
      <c r="A550" s="9"/>
      <c r="B550" s="9"/>
    </row>
    <row r="551">
      <c r="A551" s="9"/>
      <c r="B551" s="9"/>
    </row>
    <row r="552">
      <c r="A552" s="9"/>
      <c r="B552" s="9"/>
    </row>
    <row r="553">
      <c r="A553" s="9"/>
      <c r="B553" s="9"/>
    </row>
    <row r="554">
      <c r="A554" s="9"/>
      <c r="B554" s="9"/>
    </row>
    <row r="555">
      <c r="A555" s="9"/>
      <c r="B555" s="9"/>
    </row>
    <row r="556">
      <c r="A556" s="9"/>
      <c r="B556" s="9"/>
    </row>
    <row r="557">
      <c r="A557" s="9"/>
      <c r="B557" s="9"/>
    </row>
    <row r="558">
      <c r="A558" s="9"/>
      <c r="B558" s="9"/>
    </row>
    <row r="559">
      <c r="A559" s="9"/>
      <c r="B559" s="9"/>
    </row>
    <row r="560">
      <c r="A560" s="9"/>
      <c r="B560" s="9"/>
    </row>
    <row r="561">
      <c r="A561" s="9"/>
      <c r="B561" s="9"/>
    </row>
    <row r="562">
      <c r="A562" s="9"/>
      <c r="B562" s="9"/>
    </row>
    <row r="563">
      <c r="A563" s="9"/>
      <c r="B563" s="9"/>
    </row>
    <row r="564">
      <c r="A564" s="9"/>
      <c r="B564" s="9"/>
    </row>
    <row r="565">
      <c r="A565" s="9"/>
      <c r="B565" s="9"/>
    </row>
    <row r="566">
      <c r="A566" s="9"/>
      <c r="B566" s="9"/>
    </row>
    <row r="567">
      <c r="A567" s="9"/>
      <c r="B567" s="9"/>
    </row>
    <row r="568">
      <c r="A568" s="9"/>
      <c r="B568" s="9"/>
    </row>
    <row r="569">
      <c r="A569" s="9"/>
      <c r="B569" s="9"/>
    </row>
    <row r="570">
      <c r="A570" s="9"/>
      <c r="B570" s="9"/>
    </row>
    <row r="571">
      <c r="A571" s="9"/>
      <c r="B571" s="9"/>
    </row>
    <row r="572">
      <c r="A572" s="9"/>
      <c r="B572" s="9"/>
    </row>
    <row r="573">
      <c r="A573" s="9"/>
      <c r="B573" s="9"/>
    </row>
    <row r="574">
      <c r="A574" s="9"/>
      <c r="B574" s="9"/>
    </row>
    <row r="575">
      <c r="A575" s="9"/>
      <c r="B575" s="9"/>
    </row>
    <row r="576">
      <c r="A576" s="9"/>
      <c r="B576" s="9"/>
    </row>
    <row r="577">
      <c r="A577" s="9"/>
      <c r="B577" s="9"/>
    </row>
    <row r="578">
      <c r="A578" s="9"/>
      <c r="B578" s="9"/>
    </row>
    <row r="579">
      <c r="A579" s="9"/>
      <c r="B579" s="9"/>
    </row>
    <row r="580">
      <c r="A580" s="9"/>
      <c r="B580" s="9"/>
    </row>
    <row r="581">
      <c r="A581" s="9"/>
      <c r="B581" s="9"/>
    </row>
    <row r="582">
      <c r="A582" s="9"/>
      <c r="B582" s="9"/>
    </row>
    <row r="583">
      <c r="A583" s="9"/>
      <c r="B583" s="9"/>
    </row>
    <row r="584">
      <c r="A584" s="9"/>
      <c r="B584" s="9"/>
    </row>
    <row r="585">
      <c r="A585" s="9"/>
      <c r="B585" s="9"/>
    </row>
    <row r="586">
      <c r="A586" s="9"/>
      <c r="B586" s="9"/>
    </row>
    <row r="587">
      <c r="A587" s="9"/>
      <c r="B587" s="9"/>
    </row>
    <row r="588">
      <c r="A588" s="9"/>
      <c r="B588" s="9"/>
    </row>
    <row r="589">
      <c r="A589" s="9"/>
      <c r="B589" s="9"/>
    </row>
    <row r="590">
      <c r="A590" s="9"/>
      <c r="B590" s="9"/>
    </row>
    <row r="591">
      <c r="A591" s="9"/>
      <c r="B591" s="9"/>
    </row>
    <row r="592">
      <c r="A592" s="9"/>
      <c r="B592" s="9"/>
    </row>
    <row r="593">
      <c r="A593" s="9"/>
      <c r="B593" s="9"/>
    </row>
    <row r="594">
      <c r="A594" s="9"/>
      <c r="B594" s="9"/>
    </row>
    <row r="595">
      <c r="A595" s="9"/>
      <c r="B595" s="9"/>
    </row>
    <row r="596">
      <c r="A596" s="9"/>
      <c r="B596" s="9"/>
    </row>
    <row r="597">
      <c r="A597" s="9"/>
      <c r="B597" s="9"/>
    </row>
    <row r="598">
      <c r="A598" s="9"/>
      <c r="B598" s="9"/>
    </row>
    <row r="599">
      <c r="A599" s="9"/>
      <c r="B599" s="9"/>
    </row>
    <row r="600">
      <c r="A600" s="9"/>
      <c r="B600" s="9"/>
    </row>
    <row r="601">
      <c r="A601" s="9"/>
      <c r="B601" s="9"/>
    </row>
    <row r="602">
      <c r="A602" s="9"/>
      <c r="B602" s="9"/>
    </row>
    <row r="603">
      <c r="A603" s="9"/>
      <c r="B603" s="9"/>
    </row>
    <row r="604">
      <c r="A604" s="9"/>
      <c r="B604" s="9"/>
    </row>
    <row r="605">
      <c r="A605" s="9"/>
      <c r="B605" s="9"/>
    </row>
    <row r="606">
      <c r="A606" s="9"/>
      <c r="B606" s="9"/>
    </row>
    <row r="607">
      <c r="A607" s="9"/>
      <c r="B607" s="9"/>
    </row>
    <row r="608">
      <c r="A608" s="9"/>
      <c r="B608" s="9"/>
    </row>
    <row r="609">
      <c r="A609" s="9"/>
      <c r="B609" s="9"/>
    </row>
    <row r="610">
      <c r="A610" s="9"/>
      <c r="B610" s="9"/>
    </row>
    <row r="611">
      <c r="A611" s="9"/>
      <c r="B611" s="9"/>
    </row>
    <row r="612">
      <c r="A612" s="9"/>
      <c r="B612" s="9"/>
    </row>
    <row r="613">
      <c r="A613" s="9"/>
      <c r="B613" s="9"/>
    </row>
    <row r="614">
      <c r="A614" s="9"/>
      <c r="B614" s="9"/>
    </row>
    <row r="615">
      <c r="A615" s="9"/>
      <c r="B615" s="9"/>
    </row>
    <row r="616">
      <c r="A616" s="9"/>
      <c r="B616" s="9"/>
    </row>
    <row r="617">
      <c r="A617" s="9"/>
      <c r="B617" s="9"/>
    </row>
    <row r="618">
      <c r="A618" s="9"/>
      <c r="B618" s="9"/>
    </row>
    <row r="619">
      <c r="A619" s="9"/>
      <c r="B619" s="9"/>
    </row>
    <row r="620">
      <c r="A620" s="9"/>
      <c r="B620" s="9"/>
    </row>
    <row r="621">
      <c r="A621" s="9"/>
      <c r="B621" s="9"/>
    </row>
    <row r="622">
      <c r="A622" s="9"/>
      <c r="B622" s="9"/>
    </row>
    <row r="623">
      <c r="A623" s="9"/>
      <c r="B623" s="9"/>
    </row>
    <row r="624">
      <c r="A624" s="9"/>
      <c r="B624" s="9"/>
    </row>
    <row r="625">
      <c r="A625" s="9"/>
      <c r="B625" s="9"/>
    </row>
    <row r="626">
      <c r="A626" s="9"/>
      <c r="B626" s="9"/>
    </row>
    <row r="627">
      <c r="A627" s="9"/>
      <c r="B627" s="9"/>
    </row>
    <row r="628">
      <c r="A628" s="9"/>
      <c r="B628" s="9"/>
    </row>
    <row r="629">
      <c r="A629" s="9"/>
      <c r="B629" s="9"/>
    </row>
    <row r="630">
      <c r="A630" s="9"/>
      <c r="B630" s="9"/>
    </row>
    <row r="631">
      <c r="A631" s="9"/>
      <c r="B631" s="9"/>
    </row>
    <row r="632">
      <c r="A632" s="9"/>
      <c r="B632" s="9"/>
    </row>
    <row r="633">
      <c r="A633" s="9"/>
      <c r="B633" s="9"/>
    </row>
    <row r="634">
      <c r="A634" s="9"/>
      <c r="B634" s="9"/>
    </row>
    <row r="635">
      <c r="A635" s="9"/>
      <c r="B635" s="9"/>
    </row>
    <row r="636">
      <c r="A636" s="9"/>
      <c r="B636" s="9"/>
    </row>
    <row r="637">
      <c r="A637" s="9"/>
      <c r="B637" s="9"/>
    </row>
    <row r="638">
      <c r="A638" s="9"/>
      <c r="B638" s="9"/>
    </row>
    <row r="639">
      <c r="A639" s="9"/>
      <c r="B639" s="9"/>
    </row>
    <row r="640">
      <c r="A640" s="9"/>
      <c r="B640" s="9"/>
    </row>
    <row r="641">
      <c r="A641" s="9"/>
      <c r="B641" s="9"/>
    </row>
    <row r="642">
      <c r="A642" s="9"/>
      <c r="B642" s="9"/>
    </row>
    <row r="643">
      <c r="A643" s="9"/>
      <c r="B643" s="9"/>
    </row>
    <row r="644">
      <c r="A644" s="9"/>
      <c r="B644" s="9"/>
    </row>
    <row r="645">
      <c r="A645" s="9"/>
      <c r="B645" s="9"/>
    </row>
    <row r="646">
      <c r="A646" s="9"/>
      <c r="B646" s="9"/>
    </row>
    <row r="647">
      <c r="A647" s="9"/>
      <c r="B647" s="9"/>
    </row>
    <row r="648">
      <c r="A648" s="9"/>
      <c r="B648" s="9"/>
    </row>
    <row r="649">
      <c r="A649" s="9"/>
      <c r="B649" s="9"/>
    </row>
    <row r="650">
      <c r="A650" s="9"/>
      <c r="B650" s="9"/>
    </row>
    <row r="651">
      <c r="A651" s="9"/>
      <c r="B651" s="9"/>
    </row>
    <row r="652">
      <c r="A652" s="9"/>
      <c r="B652" s="9"/>
    </row>
    <row r="653">
      <c r="A653" s="9"/>
      <c r="B653" s="9"/>
    </row>
    <row r="654">
      <c r="A654" s="9"/>
      <c r="B654" s="9"/>
    </row>
    <row r="655">
      <c r="A655" s="9"/>
      <c r="B655" s="9"/>
    </row>
    <row r="656">
      <c r="A656" s="9"/>
      <c r="B656" s="9"/>
    </row>
    <row r="657">
      <c r="A657" s="9"/>
      <c r="B657" s="9"/>
    </row>
    <row r="658">
      <c r="A658" s="9"/>
      <c r="B658" s="9"/>
    </row>
    <row r="659">
      <c r="A659" s="9"/>
      <c r="B659" s="9"/>
    </row>
    <row r="660">
      <c r="A660" s="9"/>
      <c r="B660" s="9"/>
    </row>
    <row r="661">
      <c r="A661" s="9"/>
      <c r="B661" s="9"/>
    </row>
    <row r="662">
      <c r="A662" s="9"/>
      <c r="B662" s="9"/>
    </row>
    <row r="663">
      <c r="A663" s="9"/>
      <c r="B663" s="9"/>
    </row>
    <row r="664">
      <c r="A664" s="9"/>
      <c r="B664" s="9"/>
    </row>
    <row r="665">
      <c r="A665" s="9"/>
      <c r="B665" s="9"/>
    </row>
    <row r="666">
      <c r="A666" s="9"/>
      <c r="B666" s="9"/>
    </row>
    <row r="667">
      <c r="A667" s="9"/>
      <c r="B667" s="9"/>
    </row>
    <row r="668">
      <c r="A668" s="9"/>
      <c r="B668" s="9"/>
    </row>
    <row r="669">
      <c r="A669" s="9"/>
      <c r="B669" s="9"/>
    </row>
    <row r="670">
      <c r="A670" s="9"/>
      <c r="B670" s="9"/>
    </row>
    <row r="671">
      <c r="A671" s="9"/>
      <c r="B671" s="9"/>
    </row>
    <row r="672">
      <c r="A672" s="9"/>
      <c r="B672" s="9"/>
    </row>
    <row r="673">
      <c r="A673" s="9"/>
      <c r="B673" s="9"/>
    </row>
    <row r="674">
      <c r="A674" s="9"/>
      <c r="B674" s="9"/>
    </row>
    <row r="675">
      <c r="A675" s="9"/>
      <c r="B675" s="9"/>
    </row>
    <row r="676">
      <c r="A676" s="9"/>
      <c r="B676" s="9"/>
    </row>
    <row r="677">
      <c r="A677" s="9"/>
      <c r="B677" s="9"/>
    </row>
    <row r="678">
      <c r="A678" s="9"/>
      <c r="B678" s="9"/>
    </row>
    <row r="679">
      <c r="A679" s="9"/>
      <c r="B679" s="9"/>
    </row>
    <row r="680">
      <c r="A680" s="9"/>
      <c r="B680" s="9"/>
    </row>
    <row r="681">
      <c r="A681" s="9"/>
      <c r="B681" s="9"/>
    </row>
    <row r="682">
      <c r="A682" s="9"/>
      <c r="B682" s="9"/>
    </row>
    <row r="683">
      <c r="A683" s="9"/>
      <c r="B683" s="9"/>
    </row>
    <row r="684">
      <c r="A684" s="9"/>
      <c r="B684" s="9"/>
    </row>
    <row r="685">
      <c r="A685" s="9"/>
      <c r="B685" s="9"/>
    </row>
    <row r="686">
      <c r="A686" s="9"/>
      <c r="B686" s="9"/>
    </row>
    <row r="687">
      <c r="A687" s="9"/>
      <c r="B687" s="9"/>
    </row>
    <row r="688">
      <c r="A688" s="9"/>
      <c r="B688" s="9"/>
    </row>
    <row r="689">
      <c r="A689" s="9"/>
      <c r="B689" s="9"/>
    </row>
    <row r="690">
      <c r="A690" s="9"/>
      <c r="B690" s="9"/>
    </row>
    <row r="691">
      <c r="A691" s="9"/>
      <c r="B691" s="9"/>
    </row>
    <row r="692">
      <c r="A692" s="9"/>
      <c r="B692" s="9"/>
    </row>
    <row r="693">
      <c r="A693" s="9"/>
      <c r="B693" s="9"/>
    </row>
    <row r="694">
      <c r="A694" s="9"/>
      <c r="B694" s="9"/>
    </row>
    <row r="695">
      <c r="A695" s="9"/>
      <c r="B695" s="9"/>
    </row>
    <row r="696">
      <c r="A696" s="9"/>
      <c r="B696" s="9"/>
    </row>
    <row r="697">
      <c r="A697" s="9"/>
      <c r="B697" s="9"/>
    </row>
    <row r="698">
      <c r="A698" s="9"/>
      <c r="B698" s="9"/>
    </row>
    <row r="699">
      <c r="A699" s="9"/>
      <c r="B699" s="9"/>
    </row>
    <row r="700">
      <c r="A700" s="9"/>
      <c r="B700" s="9"/>
    </row>
    <row r="701">
      <c r="A701" s="9"/>
      <c r="B701" s="9"/>
    </row>
    <row r="702">
      <c r="A702" s="9"/>
      <c r="B702" s="9"/>
    </row>
    <row r="703">
      <c r="A703" s="9"/>
      <c r="B703" s="9"/>
    </row>
    <row r="704">
      <c r="A704" s="9"/>
      <c r="B704" s="9"/>
    </row>
    <row r="705">
      <c r="A705" s="9"/>
      <c r="B705" s="9"/>
    </row>
    <row r="706">
      <c r="A706" s="9"/>
      <c r="B706" s="9"/>
    </row>
    <row r="707">
      <c r="A707" s="9"/>
      <c r="B707" s="9"/>
    </row>
    <row r="708">
      <c r="A708" s="9"/>
      <c r="B708" s="9"/>
    </row>
    <row r="709">
      <c r="A709" s="9"/>
      <c r="B709" s="9"/>
    </row>
    <row r="710">
      <c r="A710" s="9"/>
      <c r="B710" s="9"/>
    </row>
    <row r="711">
      <c r="A711" s="9"/>
      <c r="B711" s="9"/>
    </row>
    <row r="712">
      <c r="A712" s="9"/>
      <c r="B712" s="9"/>
    </row>
    <row r="713">
      <c r="A713" s="9"/>
      <c r="B713" s="9"/>
    </row>
    <row r="714">
      <c r="A714" s="9"/>
      <c r="B714" s="9"/>
    </row>
    <row r="715">
      <c r="A715" s="9"/>
      <c r="B715" s="9"/>
    </row>
    <row r="716">
      <c r="A716" s="9"/>
      <c r="B716" s="9"/>
    </row>
    <row r="717">
      <c r="A717" s="9"/>
      <c r="B717" s="9"/>
    </row>
    <row r="718">
      <c r="A718" s="9"/>
      <c r="B718" s="9"/>
    </row>
    <row r="719">
      <c r="A719" s="9"/>
      <c r="B719" s="9"/>
    </row>
    <row r="720">
      <c r="A720" s="9"/>
      <c r="B720" s="9"/>
    </row>
    <row r="721">
      <c r="A721" s="9"/>
      <c r="B721" s="9"/>
    </row>
    <row r="722">
      <c r="A722" s="9"/>
      <c r="B722" s="9"/>
    </row>
    <row r="723">
      <c r="A723" s="9"/>
      <c r="B723" s="9"/>
    </row>
    <row r="724">
      <c r="A724" s="9"/>
      <c r="B724" s="9"/>
    </row>
    <row r="725">
      <c r="A725" s="9"/>
      <c r="B725" s="9"/>
    </row>
    <row r="726">
      <c r="A726" s="9"/>
      <c r="B726" s="9"/>
    </row>
    <row r="727">
      <c r="A727" s="9"/>
      <c r="B727" s="9"/>
    </row>
    <row r="728">
      <c r="A728" s="9"/>
      <c r="B728" s="9"/>
    </row>
    <row r="729">
      <c r="A729" s="9"/>
      <c r="B729" s="9"/>
    </row>
    <row r="730">
      <c r="A730" s="9"/>
      <c r="B730" s="9"/>
    </row>
    <row r="731">
      <c r="A731" s="9"/>
      <c r="B731" s="9"/>
    </row>
    <row r="732">
      <c r="A732" s="9"/>
      <c r="B732" s="9"/>
    </row>
    <row r="733">
      <c r="A733" s="9"/>
      <c r="B733" s="9"/>
    </row>
    <row r="734">
      <c r="A734" s="9"/>
      <c r="B734" s="9"/>
    </row>
    <row r="735">
      <c r="A735" s="9"/>
      <c r="B735" s="9"/>
    </row>
    <row r="736">
      <c r="A736" s="9"/>
      <c r="B736" s="9"/>
    </row>
    <row r="737">
      <c r="A737" s="9"/>
      <c r="B737" s="9"/>
    </row>
    <row r="738">
      <c r="A738" s="9"/>
      <c r="B738" s="9"/>
    </row>
    <row r="739">
      <c r="A739" s="9"/>
      <c r="B739" s="9"/>
    </row>
    <row r="740">
      <c r="A740" s="9"/>
      <c r="B740" s="9"/>
    </row>
    <row r="741">
      <c r="A741" s="9"/>
      <c r="B741" s="9"/>
    </row>
    <row r="742">
      <c r="A742" s="9"/>
      <c r="B742" s="9"/>
    </row>
    <row r="743">
      <c r="A743" s="9"/>
      <c r="B743" s="9"/>
    </row>
    <row r="744">
      <c r="A744" s="9"/>
      <c r="B744" s="9"/>
    </row>
    <row r="745">
      <c r="A745" s="9"/>
      <c r="B745" s="9"/>
    </row>
    <row r="746">
      <c r="A746" s="9"/>
      <c r="B746" s="9"/>
    </row>
    <row r="747">
      <c r="A747" s="9"/>
      <c r="B747" s="9"/>
    </row>
    <row r="748">
      <c r="A748" s="9"/>
      <c r="B748" s="9"/>
    </row>
    <row r="749">
      <c r="A749" s="9"/>
      <c r="B749" s="9"/>
    </row>
    <row r="750">
      <c r="A750" s="9"/>
      <c r="B750" s="9"/>
    </row>
    <row r="751">
      <c r="A751" s="9"/>
      <c r="B751" s="9"/>
    </row>
    <row r="752">
      <c r="A752" s="9"/>
      <c r="B752" s="9"/>
    </row>
    <row r="753">
      <c r="A753" s="9"/>
      <c r="B753" s="9"/>
    </row>
    <row r="754">
      <c r="A754" s="9"/>
      <c r="B754" s="9"/>
    </row>
    <row r="755">
      <c r="A755" s="9"/>
      <c r="B755" s="9"/>
    </row>
    <row r="756">
      <c r="A756" s="9"/>
      <c r="B756" s="9"/>
    </row>
    <row r="757">
      <c r="A757" s="9"/>
      <c r="B757" s="9"/>
    </row>
    <row r="758">
      <c r="A758" s="9"/>
      <c r="B758" s="9"/>
    </row>
    <row r="759">
      <c r="A759" s="9"/>
      <c r="B759" s="9"/>
    </row>
    <row r="760">
      <c r="A760" s="9"/>
      <c r="B760" s="9"/>
    </row>
    <row r="761">
      <c r="A761" s="9"/>
      <c r="B761" s="9"/>
    </row>
    <row r="762">
      <c r="A762" s="9"/>
      <c r="B762" s="9"/>
    </row>
    <row r="763">
      <c r="A763" s="9"/>
      <c r="B763" s="9"/>
    </row>
    <row r="764">
      <c r="A764" s="9"/>
      <c r="B764" s="9"/>
    </row>
    <row r="765">
      <c r="A765" s="9"/>
      <c r="B765" s="9"/>
    </row>
    <row r="766">
      <c r="A766" s="9"/>
      <c r="B766" s="9"/>
    </row>
    <row r="767">
      <c r="A767" s="9"/>
      <c r="B767" s="9"/>
    </row>
    <row r="768">
      <c r="A768" s="9"/>
      <c r="B768" s="9"/>
    </row>
    <row r="769">
      <c r="A769" s="9"/>
      <c r="B769" s="9"/>
    </row>
    <row r="770">
      <c r="A770" s="9"/>
      <c r="B770" s="9"/>
    </row>
    <row r="771">
      <c r="A771" s="9"/>
      <c r="B771" s="9"/>
    </row>
    <row r="772">
      <c r="A772" s="9"/>
      <c r="B772" s="9"/>
    </row>
    <row r="773">
      <c r="A773" s="9"/>
      <c r="B773" s="9"/>
    </row>
    <row r="774">
      <c r="A774" s="9"/>
      <c r="B774" s="9"/>
    </row>
    <row r="775">
      <c r="A775" s="9"/>
      <c r="B775" s="9"/>
    </row>
    <row r="776">
      <c r="A776" s="9"/>
      <c r="B776" s="9"/>
    </row>
    <row r="777">
      <c r="A777" s="9"/>
      <c r="B777" s="9"/>
    </row>
    <row r="778">
      <c r="A778" s="9"/>
      <c r="B778" s="9"/>
    </row>
    <row r="779">
      <c r="A779" s="9"/>
      <c r="B779" s="9"/>
    </row>
    <row r="780">
      <c r="A780" s="9"/>
      <c r="B780" s="9"/>
    </row>
    <row r="781">
      <c r="A781" s="9"/>
      <c r="B781" s="9"/>
    </row>
    <row r="782">
      <c r="A782" s="9"/>
      <c r="B782" s="9"/>
    </row>
    <row r="783">
      <c r="A783" s="9"/>
      <c r="B783" s="9"/>
    </row>
    <row r="784">
      <c r="A784" s="9"/>
      <c r="B784" s="9"/>
    </row>
    <row r="785">
      <c r="A785" s="9"/>
      <c r="B785" s="9"/>
    </row>
    <row r="786">
      <c r="A786" s="9"/>
      <c r="B786" s="9"/>
    </row>
    <row r="787">
      <c r="A787" s="9"/>
      <c r="B787" s="9"/>
    </row>
    <row r="788">
      <c r="A788" s="9"/>
      <c r="B788" s="9"/>
    </row>
    <row r="789">
      <c r="A789" s="9"/>
      <c r="B789" s="9"/>
    </row>
    <row r="790">
      <c r="A790" s="9"/>
      <c r="B790" s="9"/>
    </row>
    <row r="791">
      <c r="A791" s="9"/>
      <c r="B791" s="9"/>
    </row>
    <row r="792">
      <c r="A792" s="9"/>
      <c r="B792" s="9"/>
    </row>
    <row r="793">
      <c r="A793" s="9"/>
      <c r="B793" s="9"/>
    </row>
    <row r="794">
      <c r="A794" s="9"/>
      <c r="B794" s="9"/>
    </row>
    <row r="795">
      <c r="A795" s="9"/>
      <c r="B795" s="9"/>
    </row>
    <row r="796">
      <c r="A796" s="9"/>
      <c r="B796" s="9"/>
    </row>
    <row r="797">
      <c r="A797" s="9"/>
      <c r="B797" s="9"/>
    </row>
    <row r="798">
      <c r="A798" s="9"/>
      <c r="B798" s="9"/>
    </row>
    <row r="799">
      <c r="A799" s="9"/>
      <c r="B799" s="9"/>
    </row>
    <row r="800">
      <c r="A800" s="9"/>
      <c r="B800" s="9"/>
    </row>
    <row r="801">
      <c r="A801" s="9"/>
      <c r="B801" s="9"/>
    </row>
    <row r="802">
      <c r="A802" s="9"/>
      <c r="B802" s="9"/>
    </row>
    <row r="803">
      <c r="A803" s="9"/>
      <c r="B803" s="9"/>
    </row>
    <row r="804">
      <c r="A804" s="9"/>
      <c r="B804" s="9"/>
    </row>
    <row r="805">
      <c r="A805" s="9"/>
      <c r="B805" s="9"/>
    </row>
    <row r="806">
      <c r="A806" s="9"/>
      <c r="B806" s="9"/>
    </row>
    <row r="807">
      <c r="A807" s="9"/>
      <c r="B807" s="9"/>
    </row>
    <row r="808">
      <c r="A808" s="9"/>
      <c r="B808" s="9"/>
    </row>
    <row r="809">
      <c r="A809" s="9"/>
      <c r="B809" s="9"/>
    </row>
    <row r="810">
      <c r="A810" s="9"/>
      <c r="B810" s="9"/>
    </row>
    <row r="811">
      <c r="A811" s="9"/>
      <c r="B811" s="9"/>
    </row>
    <row r="812">
      <c r="A812" s="9"/>
      <c r="B812" s="9"/>
    </row>
    <row r="813">
      <c r="A813" s="9"/>
      <c r="B813" s="9"/>
    </row>
    <row r="814">
      <c r="A814" s="9"/>
      <c r="B814" s="9"/>
    </row>
    <row r="815">
      <c r="A815" s="9"/>
      <c r="B815" s="9"/>
    </row>
    <row r="816">
      <c r="A816" s="9"/>
      <c r="B816" s="9"/>
    </row>
    <row r="817">
      <c r="A817" s="9"/>
      <c r="B817" s="9"/>
    </row>
    <row r="818">
      <c r="A818" s="9"/>
      <c r="B818" s="9"/>
    </row>
    <row r="819">
      <c r="A819" s="9"/>
      <c r="B819" s="9"/>
    </row>
    <row r="820">
      <c r="A820" s="9"/>
      <c r="B820" s="9"/>
    </row>
    <row r="821">
      <c r="A821" s="9"/>
      <c r="B821" s="9"/>
    </row>
    <row r="822">
      <c r="A822" s="9"/>
      <c r="B822" s="9"/>
    </row>
    <row r="823">
      <c r="A823" s="9"/>
      <c r="B823" s="9"/>
    </row>
    <row r="824">
      <c r="A824" s="9"/>
      <c r="B824" s="9"/>
    </row>
    <row r="825">
      <c r="A825" s="9"/>
      <c r="B825" s="9"/>
    </row>
    <row r="826">
      <c r="A826" s="9"/>
      <c r="B826" s="9"/>
    </row>
    <row r="827">
      <c r="A827" s="9"/>
      <c r="B827" s="9"/>
    </row>
    <row r="828">
      <c r="A828" s="9"/>
      <c r="B828" s="9"/>
    </row>
    <row r="829">
      <c r="A829" s="9"/>
      <c r="B829" s="9"/>
    </row>
    <row r="830">
      <c r="A830" s="9"/>
      <c r="B830" s="9"/>
    </row>
    <row r="831">
      <c r="A831" s="9"/>
      <c r="B831" s="9"/>
    </row>
    <row r="832">
      <c r="A832" s="9"/>
      <c r="B832" s="9"/>
    </row>
    <row r="833">
      <c r="A833" s="9"/>
      <c r="B833" s="9"/>
    </row>
    <row r="834">
      <c r="A834" s="9"/>
      <c r="B834" s="9"/>
    </row>
    <row r="835">
      <c r="A835" s="9"/>
      <c r="B835" s="9"/>
    </row>
    <row r="836">
      <c r="A836" s="9"/>
      <c r="B836" s="9"/>
    </row>
    <row r="837">
      <c r="A837" s="9"/>
      <c r="B837" s="9"/>
    </row>
    <row r="838">
      <c r="A838" s="9"/>
      <c r="B838" s="9"/>
    </row>
    <row r="839">
      <c r="A839" s="9"/>
      <c r="B839" s="9"/>
    </row>
    <row r="840">
      <c r="A840" s="9"/>
      <c r="B840" s="9"/>
    </row>
    <row r="841">
      <c r="A841" s="9"/>
      <c r="B841" s="9"/>
    </row>
    <row r="842">
      <c r="A842" s="9"/>
      <c r="B842" s="9"/>
    </row>
    <row r="843">
      <c r="A843" s="9"/>
      <c r="B843" s="9"/>
    </row>
    <row r="844">
      <c r="A844" s="9"/>
      <c r="B844" s="9"/>
    </row>
    <row r="845">
      <c r="A845" s="9"/>
      <c r="B845" s="9"/>
    </row>
    <row r="846">
      <c r="A846" s="9"/>
      <c r="B846" s="9"/>
    </row>
    <row r="847">
      <c r="A847" s="9"/>
      <c r="B847" s="9"/>
    </row>
    <row r="848">
      <c r="A848" s="9"/>
      <c r="B848" s="9"/>
    </row>
    <row r="849">
      <c r="A849" s="9"/>
      <c r="B849" s="9"/>
    </row>
    <row r="850">
      <c r="A850" s="9"/>
      <c r="B850" s="9"/>
    </row>
    <row r="851">
      <c r="A851" s="9"/>
      <c r="B851" s="9"/>
    </row>
    <row r="852">
      <c r="A852" s="9"/>
      <c r="B852" s="9"/>
    </row>
    <row r="853">
      <c r="A853" s="9"/>
      <c r="B853" s="9"/>
    </row>
    <row r="854">
      <c r="A854" s="9"/>
      <c r="B854" s="9"/>
    </row>
    <row r="855">
      <c r="A855" s="9"/>
      <c r="B855" s="9"/>
    </row>
    <row r="856">
      <c r="A856" s="9"/>
      <c r="B856" s="9"/>
    </row>
    <row r="857">
      <c r="A857" s="9"/>
      <c r="B857" s="9"/>
    </row>
    <row r="858">
      <c r="A858" s="9"/>
      <c r="B858" s="9"/>
    </row>
    <row r="859">
      <c r="A859" s="9"/>
      <c r="B859" s="9"/>
    </row>
    <row r="860">
      <c r="A860" s="9"/>
      <c r="B860" s="9"/>
    </row>
    <row r="861">
      <c r="A861" s="9"/>
      <c r="B861" s="9"/>
    </row>
    <row r="862">
      <c r="A862" s="9"/>
      <c r="B862" s="9"/>
    </row>
    <row r="863">
      <c r="A863" s="9"/>
      <c r="B863" s="9"/>
    </row>
    <row r="864">
      <c r="A864" s="9"/>
      <c r="B864" s="9"/>
    </row>
    <row r="865">
      <c r="A865" s="9"/>
      <c r="B865" s="9"/>
    </row>
    <row r="866">
      <c r="A866" s="9"/>
      <c r="B866" s="9"/>
    </row>
    <row r="867">
      <c r="A867" s="9"/>
      <c r="B867" s="9"/>
    </row>
    <row r="868">
      <c r="A868" s="9"/>
      <c r="B868" s="9"/>
    </row>
    <row r="869">
      <c r="A869" s="9"/>
      <c r="B869" s="9"/>
    </row>
    <row r="870">
      <c r="A870" s="9"/>
      <c r="B870" s="9"/>
    </row>
    <row r="871">
      <c r="A871" s="9"/>
      <c r="B871" s="9"/>
    </row>
    <row r="872">
      <c r="A872" s="9"/>
      <c r="B872" s="9"/>
    </row>
    <row r="873">
      <c r="A873" s="9"/>
      <c r="B873" s="9"/>
    </row>
    <row r="874">
      <c r="A874" s="9"/>
      <c r="B874" s="9"/>
    </row>
    <row r="875">
      <c r="A875" s="9"/>
      <c r="B875" s="9"/>
    </row>
    <row r="876">
      <c r="A876" s="9"/>
      <c r="B876" s="9"/>
    </row>
    <row r="877">
      <c r="A877" s="9"/>
      <c r="B877" s="9"/>
    </row>
    <row r="878">
      <c r="A878" s="9"/>
      <c r="B878" s="9"/>
    </row>
    <row r="879">
      <c r="A879" s="9"/>
      <c r="B879" s="9"/>
    </row>
    <row r="880">
      <c r="A880" s="9"/>
      <c r="B880" s="9"/>
    </row>
    <row r="881">
      <c r="A881" s="9"/>
      <c r="B881" s="9"/>
    </row>
    <row r="882">
      <c r="A882" s="9"/>
      <c r="B882" s="9"/>
    </row>
    <row r="883">
      <c r="A883" s="9"/>
      <c r="B883" s="9"/>
    </row>
    <row r="884">
      <c r="A884" s="9"/>
      <c r="B884" s="9"/>
    </row>
    <row r="885">
      <c r="A885" s="9"/>
      <c r="B885" s="9"/>
    </row>
    <row r="886">
      <c r="A886" s="9"/>
      <c r="B886" s="9"/>
    </row>
    <row r="887">
      <c r="A887" s="9"/>
      <c r="B887" s="9"/>
    </row>
    <row r="888">
      <c r="A888" s="9"/>
      <c r="B888" s="9"/>
    </row>
    <row r="889">
      <c r="A889" s="9"/>
      <c r="B889" s="9"/>
    </row>
    <row r="890">
      <c r="A890" s="9"/>
      <c r="B890" s="9"/>
    </row>
    <row r="891">
      <c r="A891" s="9"/>
      <c r="B891" s="9"/>
    </row>
    <row r="892">
      <c r="A892" s="9"/>
      <c r="B892" s="9"/>
    </row>
    <row r="893">
      <c r="A893" s="9"/>
      <c r="B893" s="9"/>
    </row>
    <row r="894">
      <c r="A894" s="9"/>
      <c r="B894" s="9"/>
    </row>
    <row r="895">
      <c r="A895" s="9"/>
      <c r="B895" s="9"/>
    </row>
    <row r="896">
      <c r="A896" s="9"/>
      <c r="B896" s="9"/>
    </row>
    <row r="897">
      <c r="A897" s="9"/>
      <c r="B897" s="9"/>
    </row>
    <row r="898">
      <c r="A898" s="9"/>
      <c r="B898" s="9"/>
    </row>
    <row r="899">
      <c r="A899" s="9"/>
      <c r="B899" s="9"/>
    </row>
    <row r="900">
      <c r="A900" s="9"/>
      <c r="B900" s="9"/>
    </row>
    <row r="901">
      <c r="A901" s="9"/>
      <c r="B901" s="9"/>
    </row>
    <row r="902">
      <c r="A902" s="9"/>
      <c r="B902" s="9"/>
    </row>
    <row r="903">
      <c r="A903" s="9"/>
      <c r="B903" s="9"/>
    </row>
    <row r="904">
      <c r="A904" s="9"/>
      <c r="B904" s="9"/>
    </row>
    <row r="905">
      <c r="A905" s="9"/>
      <c r="B905" s="9"/>
    </row>
    <row r="906">
      <c r="A906" s="9"/>
      <c r="B906" s="9"/>
    </row>
    <row r="907">
      <c r="A907" s="9"/>
      <c r="B907" s="9"/>
    </row>
    <row r="908">
      <c r="A908" s="9"/>
      <c r="B908" s="9"/>
    </row>
    <row r="909">
      <c r="A909" s="9"/>
      <c r="B909" s="9"/>
    </row>
    <row r="910">
      <c r="A910" s="9"/>
      <c r="B910" s="9"/>
    </row>
    <row r="911">
      <c r="A911" s="9"/>
      <c r="B911" s="9"/>
    </row>
    <row r="912">
      <c r="A912" s="9"/>
      <c r="B912" s="9"/>
    </row>
    <row r="913">
      <c r="A913" s="9"/>
      <c r="B913" s="9"/>
    </row>
    <row r="914">
      <c r="A914" s="9"/>
      <c r="B914" s="9"/>
    </row>
    <row r="915">
      <c r="A915" s="9"/>
      <c r="B915" s="9"/>
    </row>
    <row r="916">
      <c r="A916" s="9"/>
      <c r="B916" s="9"/>
    </row>
    <row r="917">
      <c r="A917" s="9"/>
      <c r="B917" s="9"/>
    </row>
    <row r="918">
      <c r="A918" s="9"/>
      <c r="B918" s="9"/>
    </row>
    <row r="919">
      <c r="A919" s="9"/>
      <c r="B919" s="9"/>
    </row>
    <row r="920">
      <c r="A920" s="9"/>
      <c r="B920" s="9"/>
    </row>
    <row r="921">
      <c r="A921" s="9"/>
      <c r="B921" s="9"/>
    </row>
    <row r="922">
      <c r="A922" s="9"/>
      <c r="B922" s="9"/>
    </row>
    <row r="923">
      <c r="A923" s="9"/>
      <c r="B923" s="9"/>
    </row>
    <row r="924">
      <c r="A924" s="9"/>
      <c r="B924" s="9"/>
    </row>
    <row r="925">
      <c r="A925" s="9"/>
      <c r="B925" s="9"/>
    </row>
    <row r="926">
      <c r="A926" s="9"/>
      <c r="B926" s="9"/>
    </row>
    <row r="927">
      <c r="A927" s="9"/>
      <c r="B927" s="9"/>
    </row>
    <row r="928">
      <c r="A928" s="9"/>
      <c r="B928" s="9"/>
    </row>
    <row r="929">
      <c r="A929" s="9"/>
      <c r="B929" s="9"/>
    </row>
    <row r="930">
      <c r="A930" s="9"/>
      <c r="B930" s="9"/>
    </row>
    <row r="931">
      <c r="A931" s="9"/>
      <c r="B931" s="9"/>
    </row>
    <row r="932">
      <c r="A932" s="9"/>
      <c r="B932" s="9"/>
    </row>
    <row r="933">
      <c r="A933" s="9"/>
      <c r="B933" s="9"/>
    </row>
    <row r="934">
      <c r="A934" s="9"/>
      <c r="B934" s="9"/>
    </row>
    <row r="935">
      <c r="A935" s="9"/>
      <c r="B935" s="9"/>
    </row>
    <row r="936">
      <c r="A936" s="9"/>
      <c r="B936" s="9"/>
    </row>
    <row r="937">
      <c r="A937" s="9"/>
      <c r="B937" s="9"/>
    </row>
    <row r="938">
      <c r="A938" s="9"/>
      <c r="B938" s="9"/>
    </row>
    <row r="939">
      <c r="A939" s="9"/>
      <c r="B939" s="9"/>
    </row>
    <row r="940">
      <c r="A940" s="9"/>
      <c r="B940" s="9"/>
    </row>
    <row r="941">
      <c r="A941" s="9"/>
      <c r="B941" s="9"/>
    </row>
    <row r="942">
      <c r="A942" s="9"/>
      <c r="B942" s="9"/>
    </row>
    <row r="943">
      <c r="A943" s="9"/>
      <c r="B943" s="9"/>
    </row>
    <row r="944">
      <c r="A944" s="9"/>
      <c r="B944" s="9"/>
    </row>
    <row r="945">
      <c r="A945" s="9"/>
      <c r="B945" s="9"/>
    </row>
    <row r="946">
      <c r="A946" s="9"/>
      <c r="B946" s="9"/>
    </row>
    <row r="947">
      <c r="A947" s="9"/>
      <c r="B947" s="9"/>
    </row>
    <row r="948">
      <c r="A948" s="9"/>
      <c r="B948" s="9"/>
    </row>
    <row r="949">
      <c r="A949" s="9"/>
      <c r="B949" s="9"/>
    </row>
    <row r="950">
      <c r="A950" s="9"/>
      <c r="B950" s="9"/>
    </row>
    <row r="951">
      <c r="A951" s="9"/>
      <c r="B951" s="9"/>
    </row>
    <row r="952">
      <c r="A952" s="9"/>
      <c r="B952" s="9"/>
    </row>
    <row r="953">
      <c r="A953" s="9"/>
      <c r="B953" s="9"/>
    </row>
    <row r="954">
      <c r="A954" s="9"/>
      <c r="B954" s="9"/>
    </row>
    <row r="955">
      <c r="A955" s="9"/>
      <c r="B955" s="9"/>
    </row>
    <row r="956">
      <c r="A956" s="9"/>
      <c r="B956" s="9"/>
    </row>
    <row r="957">
      <c r="A957" s="9"/>
      <c r="B957" s="9"/>
    </row>
    <row r="958">
      <c r="A958" s="9"/>
      <c r="B958" s="9"/>
    </row>
    <row r="959">
      <c r="A959" s="9"/>
      <c r="B959" s="9"/>
    </row>
    <row r="960">
      <c r="A960" s="9"/>
      <c r="B960" s="9"/>
    </row>
    <row r="961">
      <c r="A961" s="9"/>
      <c r="B961" s="9"/>
    </row>
    <row r="962">
      <c r="A962" s="9"/>
      <c r="B962" s="9"/>
    </row>
    <row r="963">
      <c r="A963" s="9"/>
      <c r="B963" s="9"/>
    </row>
    <row r="964">
      <c r="A964" s="9"/>
      <c r="B964" s="9"/>
    </row>
    <row r="965">
      <c r="A965" s="9"/>
      <c r="B965" s="9"/>
    </row>
    <row r="966">
      <c r="A966" s="9"/>
      <c r="B966" s="9"/>
    </row>
    <row r="967">
      <c r="A967" s="9"/>
      <c r="B967" s="9"/>
    </row>
    <row r="968">
      <c r="A968" s="9"/>
      <c r="B968" s="9"/>
    </row>
    <row r="969">
      <c r="A969" s="9"/>
      <c r="B969" s="9"/>
    </row>
    <row r="970">
      <c r="A970" s="9"/>
      <c r="B970" s="9"/>
    </row>
    <row r="971">
      <c r="A971" s="9"/>
      <c r="B971" s="9"/>
    </row>
    <row r="972">
      <c r="A972" s="9"/>
      <c r="B972" s="9"/>
    </row>
    <row r="973">
      <c r="A973" s="9"/>
      <c r="B973" s="9"/>
    </row>
    <row r="974">
      <c r="A974" s="9"/>
      <c r="B974" s="9"/>
    </row>
    <row r="975">
      <c r="A975" s="9"/>
      <c r="B975" s="9"/>
    </row>
    <row r="976">
      <c r="A976" s="9"/>
      <c r="B976" s="9"/>
    </row>
    <row r="977">
      <c r="A977" s="9"/>
      <c r="B977" s="9"/>
    </row>
    <row r="978">
      <c r="A978" s="9"/>
      <c r="B978" s="9"/>
    </row>
    <row r="979">
      <c r="A979" s="9"/>
      <c r="B979" s="9"/>
    </row>
    <row r="980">
      <c r="A980" s="9"/>
      <c r="B980" s="9"/>
    </row>
    <row r="981">
      <c r="A981" s="9"/>
      <c r="B981" s="9"/>
    </row>
    <row r="982">
      <c r="A982" s="9"/>
      <c r="B982" s="9"/>
    </row>
    <row r="983">
      <c r="A983" s="9"/>
      <c r="B983" s="9"/>
    </row>
  </sheetData>
  <hyperlinks>
    <hyperlink r:id="rId1" ref="A3"/>
  </hyperlinks>
  <drawing r:id="rId2"/>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9.13"/>
    <col customWidth="1" min="2" max="2" width="10.5"/>
    <col customWidth="1" min="3" max="3" width="16.88"/>
    <col customWidth="1" min="4" max="11" width="23.88"/>
  </cols>
  <sheetData>
    <row r="1">
      <c r="A1" s="12" t="str">
        <f>Entities!A1</f>
        <v>CDA.LS.HCP Kernel Translations, Version 24.8, August 30, 2024</v>
      </c>
      <c r="B1" s="3"/>
      <c r="C1" s="3"/>
      <c r="D1" s="2"/>
      <c r="E1" s="2"/>
      <c r="F1" s="3"/>
      <c r="G1" s="3"/>
      <c r="H1" s="4"/>
      <c r="I1" s="4"/>
      <c r="J1" s="4"/>
      <c r="K1" s="4"/>
      <c r="L1" s="4"/>
      <c r="M1" s="4"/>
      <c r="N1" s="4"/>
      <c r="O1" s="4"/>
      <c r="P1" s="4"/>
      <c r="Q1" s="4"/>
      <c r="R1" s="4"/>
      <c r="S1" s="4"/>
      <c r="T1" s="4"/>
      <c r="U1" s="4"/>
      <c r="V1" s="4"/>
      <c r="W1" s="4"/>
      <c r="X1" s="4"/>
      <c r="Y1" s="4"/>
    </row>
    <row r="2">
      <c r="A2" s="5" t="s">
        <v>67</v>
      </c>
      <c r="B2" s="3"/>
      <c r="C2" s="3"/>
      <c r="D2" s="2"/>
      <c r="E2" s="2"/>
      <c r="F2" s="3"/>
      <c r="G2" s="3"/>
      <c r="H2" s="4"/>
      <c r="I2" s="4"/>
      <c r="J2" s="4"/>
      <c r="K2" s="4"/>
      <c r="L2" s="4"/>
      <c r="M2" s="4"/>
      <c r="N2" s="4"/>
      <c r="O2" s="4"/>
      <c r="P2" s="4"/>
      <c r="Q2" s="4"/>
      <c r="R2" s="4"/>
      <c r="S2" s="4"/>
      <c r="T2" s="4"/>
      <c r="U2" s="4"/>
      <c r="V2" s="4"/>
      <c r="W2" s="4"/>
      <c r="X2" s="4"/>
      <c r="Y2" s="4"/>
    </row>
    <row r="3">
      <c r="A3" s="6" t="s">
        <v>26</v>
      </c>
      <c r="B3" s="6" t="s">
        <v>3</v>
      </c>
      <c r="C3" s="6" t="s">
        <v>4</v>
      </c>
      <c r="D3" s="6" t="s">
        <v>5</v>
      </c>
      <c r="E3" s="6" t="s">
        <v>6</v>
      </c>
      <c r="F3" s="6" t="s">
        <v>7</v>
      </c>
      <c r="G3" s="6" t="s">
        <v>8</v>
      </c>
      <c r="H3" s="6" t="s">
        <v>9</v>
      </c>
      <c r="I3" s="6" t="s">
        <v>10</v>
      </c>
      <c r="J3" s="6" t="s">
        <v>11</v>
      </c>
      <c r="K3" s="6"/>
      <c r="L3" s="6"/>
      <c r="M3" s="6"/>
      <c r="N3" s="6"/>
      <c r="O3" s="6"/>
      <c r="P3" s="6"/>
      <c r="Q3" s="6"/>
      <c r="R3" s="6"/>
      <c r="S3" s="6"/>
      <c r="T3" s="6"/>
      <c r="U3" s="6"/>
      <c r="V3" s="6"/>
      <c r="W3" s="6"/>
      <c r="X3" s="18"/>
      <c r="Y3" s="18"/>
      <c r="Z3" s="18"/>
    </row>
    <row r="4">
      <c r="A4" s="8" t="str">
        <f>IFERROR(__xludf.DUMMYFUNCTION("IMPORTRANGE(""https://docs.google.com/spreadsheets/d/1ZIx3-wJv76bPGccT5CZZ4g3Sy52i_iEnaWf6C0L_ST0/edit#gid=832844626"",""Address Status Items!A4:A"")"),"Active")</f>
        <v>Active</v>
      </c>
      <c r="B4" s="8" t="str">
        <f>IFERROR(__xludf.DUMMYFUNCTION("IMPORTRANGE(""https://docs.google.com/spreadsheets/d/1ZIx3-wJv76bPGccT5CZZ4g3Sy52i_iEnaWf6C0L_ST0/edit#gid=832844626"",""Address Status Items!B4:B"")"),"act")</f>
        <v>act</v>
      </c>
      <c r="C4" s="9" t="str">
        <f>IFERROR(__xludf.DUMMYFUNCTION("GOOGLETRANSLATE($A4,""en"",""de"")"),"Aktiv")</f>
        <v>Aktiv</v>
      </c>
      <c r="D4" s="9" t="str">
        <f>IFERROR(__xludf.DUMMYFUNCTION("GOOGLETRANSLATE($A4,""en"",""fr"")"),"Actif")</f>
        <v>Actif</v>
      </c>
      <c r="E4" s="9" t="str">
        <f>IFERROR(__xludf.DUMMYFUNCTION("GOOGLETRANSLATE($A4,""en"",""es"")"),"Activo")</f>
        <v>Activo</v>
      </c>
      <c r="F4" s="9" t="str">
        <f>IFERROR(__xludf.DUMMYFUNCTION("GOOGLETRANSLATE($A4,""en"",""it"")"),"Attivo")</f>
        <v>Attivo</v>
      </c>
      <c r="G4" s="9" t="str">
        <f>IFERROR(__xludf.DUMMYFUNCTION("GOOGLETRANSLATE($A4,""en"",""zh-cn"")"),"积极的")</f>
        <v>积极的</v>
      </c>
      <c r="H4" s="9" t="str">
        <f>IFERROR(__xludf.DUMMYFUNCTION("GOOGLETRANSLATE($A4,""en"",""ja"")"),"アクティブ")</f>
        <v>アクティブ</v>
      </c>
      <c r="I4" s="9" t="str">
        <f>IFERROR(__xludf.DUMMYFUNCTION("GOOGLETRANSLATE($A4,""en"",""ko"")"),"활동적인")</f>
        <v>활동적인</v>
      </c>
      <c r="J4" s="9" t="str">
        <f>IFERROR(__xludf.DUMMYFUNCTION("GOOGLETRANSLATE($A4,""en"",""pt-BR"")"),"Ativo")</f>
        <v>Ativo</v>
      </c>
    </row>
    <row r="5">
      <c r="A5" s="9" t="str">
        <f>IFERROR(__xludf.DUMMYFUNCTION("""COMPUTED_VALUE"""),"Inactive")</f>
        <v>Inactive</v>
      </c>
      <c r="B5" s="9" t="str">
        <f>IFERROR(__xludf.DUMMYFUNCTION("""COMPUTED_VALUE"""),"iact")</f>
        <v>iact</v>
      </c>
      <c r="C5" s="9" t="str">
        <f>IFERROR(__xludf.DUMMYFUNCTION("GOOGLETRANSLATE($A5,""en"",""de"")"),"Inaktiv")</f>
        <v>Inaktiv</v>
      </c>
      <c r="D5" s="9" t="str">
        <f>IFERROR(__xludf.DUMMYFUNCTION("GOOGLETRANSLATE($A5,""en"",""fr"")"),"Inactif")</f>
        <v>Inactif</v>
      </c>
      <c r="E5" s="9" t="str">
        <f>IFERROR(__xludf.DUMMYFUNCTION("GOOGLETRANSLATE($A5,""en"",""es"")"),"Inactivo")</f>
        <v>Inactivo</v>
      </c>
      <c r="F5" s="9" t="str">
        <f>IFERROR(__xludf.DUMMYFUNCTION("GOOGLETRANSLATE($A5,""en"",""it"")"),"Inattivo")</f>
        <v>Inattivo</v>
      </c>
      <c r="G5" s="9" t="str">
        <f>IFERROR(__xludf.DUMMYFUNCTION("GOOGLETRANSLATE($A5,""en"",""zh-cn"")"),"不活跃")</f>
        <v>不活跃</v>
      </c>
      <c r="H5" s="9" t="str">
        <f>IFERROR(__xludf.DUMMYFUNCTION("GOOGLETRANSLATE($A5,""en"",""ja"")"),"非アクティブ")</f>
        <v>非アクティブ</v>
      </c>
      <c r="I5" s="9" t="str">
        <f>IFERROR(__xludf.DUMMYFUNCTION("GOOGLETRANSLATE($A5,""en"",""ko"")"),"비활성")</f>
        <v>비활성</v>
      </c>
      <c r="J5" s="9" t="str">
        <f>IFERROR(__xludf.DUMMYFUNCTION("GOOGLETRANSLATE($A5,""en"",""pt-BR"")"),"Inativo")</f>
        <v>Inativo</v>
      </c>
    </row>
    <row r="6">
      <c r="A6" s="2"/>
      <c r="B6" s="2"/>
      <c r="C6" s="2"/>
    </row>
    <row r="7">
      <c r="A7" s="2"/>
      <c r="B7" s="2"/>
      <c r="C7" s="2"/>
    </row>
    <row r="8">
      <c r="A8" s="2"/>
      <c r="B8" s="2"/>
      <c r="C8" s="2"/>
    </row>
    <row r="9">
      <c r="A9" s="2"/>
      <c r="B9" s="2"/>
      <c r="C9" s="2"/>
    </row>
    <row r="10">
      <c r="A10" s="2"/>
      <c r="B10" s="2"/>
      <c r="C10" s="2"/>
    </row>
    <row r="11">
      <c r="A11" s="2"/>
      <c r="B11" s="2"/>
      <c r="C11" s="2"/>
    </row>
    <row r="12">
      <c r="A12" s="2"/>
      <c r="B12" s="2"/>
      <c r="C12" s="2"/>
    </row>
    <row r="13">
      <c r="A13" s="2"/>
      <c r="B13" s="2"/>
      <c r="C13" s="2"/>
    </row>
    <row r="14">
      <c r="A14" s="2"/>
      <c r="B14" s="2"/>
      <c r="C14" s="2"/>
    </row>
    <row r="15">
      <c r="A15" s="2"/>
      <c r="B15" s="2"/>
      <c r="C15" s="2"/>
    </row>
    <row r="16">
      <c r="A16" s="2"/>
      <c r="B16" s="2"/>
      <c r="C16" s="2"/>
    </row>
    <row r="17">
      <c r="A17" s="2"/>
      <c r="B17" s="2"/>
      <c r="C17" s="2"/>
    </row>
    <row r="18">
      <c r="A18" s="2"/>
      <c r="B18" s="2"/>
      <c r="C18" s="2"/>
    </row>
    <row r="19">
      <c r="A19" s="2"/>
      <c r="B19" s="2"/>
      <c r="C19" s="2"/>
    </row>
    <row r="20">
      <c r="A20" s="9"/>
      <c r="B20" s="9"/>
    </row>
    <row r="21">
      <c r="A21" s="9"/>
      <c r="B21" s="9"/>
    </row>
    <row r="22">
      <c r="A22" s="9"/>
      <c r="B22" s="9"/>
    </row>
    <row r="23">
      <c r="A23" s="9"/>
      <c r="B23" s="9"/>
    </row>
    <row r="24">
      <c r="A24" s="9"/>
      <c r="B24" s="9"/>
    </row>
    <row r="25">
      <c r="A25" s="9"/>
      <c r="B25" s="9"/>
    </row>
    <row r="26">
      <c r="A26" s="9"/>
      <c r="B26" s="9"/>
    </row>
    <row r="27">
      <c r="A27" s="9"/>
      <c r="B27" s="9"/>
    </row>
    <row r="28">
      <c r="A28" s="9"/>
      <c r="B28" s="9"/>
    </row>
    <row r="29">
      <c r="A29" s="9"/>
      <c r="B29" s="9"/>
    </row>
    <row r="30">
      <c r="A30" s="9"/>
      <c r="B30" s="9"/>
    </row>
    <row r="31">
      <c r="A31" s="9"/>
      <c r="B31" s="9"/>
    </row>
    <row r="32">
      <c r="A32" s="9"/>
      <c r="B32" s="9"/>
    </row>
    <row r="33">
      <c r="A33" s="9"/>
      <c r="B33" s="9"/>
    </row>
    <row r="34">
      <c r="A34" s="9"/>
      <c r="B34" s="9"/>
    </row>
    <row r="35">
      <c r="A35" s="9"/>
      <c r="B35" s="9"/>
    </row>
    <row r="36">
      <c r="A36" s="9"/>
      <c r="B36" s="9"/>
    </row>
    <row r="37">
      <c r="A37" s="9"/>
      <c r="B37" s="9"/>
    </row>
    <row r="38">
      <c r="A38" s="9"/>
      <c r="B38" s="9"/>
    </row>
    <row r="39">
      <c r="A39" s="9"/>
      <c r="B39" s="9"/>
    </row>
    <row r="40">
      <c r="A40" s="9"/>
      <c r="B40" s="9"/>
    </row>
    <row r="41">
      <c r="A41" s="9"/>
      <c r="B41" s="9"/>
    </row>
    <row r="42">
      <c r="A42" s="9"/>
      <c r="B42" s="9"/>
    </row>
    <row r="43">
      <c r="A43" s="9"/>
      <c r="B43" s="9"/>
    </row>
    <row r="44">
      <c r="A44" s="9"/>
      <c r="B44" s="9"/>
    </row>
    <row r="45">
      <c r="A45" s="9"/>
      <c r="B45" s="9"/>
    </row>
    <row r="46">
      <c r="A46" s="9"/>
      <c r="B46" s="9"/>
    </row>
    <row r="47">
      <c r="A47" s="9"/>
      <c r="B47" s="9"/>
    </row>
    <row r="48">
      <c r="A48" s="9"/>
      <c r="B48" s="9"/>
    </row>
    <row r="49">
      <c r="A49" s="9"/>
      <c r="B49" s="9"/>
    </row>
    <row r="50">
      <c r="A50" s="9"/>
      <c r="B50" s="9"/>
    </row>
    <row r="51">
      <c r="A51" s="9"/>
      <c r="B51" s="9"/>
    </row>
    <row r="52">
      <c r="A52" s="9"/>
      <c r="B52" s="9"/>
    </row>
    <row r="53">
      <c r="A53" s="9"/>
      <c r="B53" s="9"/>
    </row>
    <row r="54">
      <c r="A54" s="9"/>
      <c r="B54" s="9"/>
    </row>
    <row r="55">
      <c r="A55" s="9"/>
      <c r="B55" s="9"/>
    </row>
    <row r="56">
      <c r="A56" s="9"/>
      <c r="B56" s="9"/>
    </row>
    <row r="57">
      <c r="A57" s="9"/>
      <c r="B57" s="9"/>
    </row>
    <row r="58">
      <c r="A58" s="9"/>
      <c r="B58" s="9"/>
    </row>
    <row r="59">
      <c r="A59" s="9"/>
      <c r="B59" s="9"/>
    </row>
    <row r="60">
      <c r="A60" s="9"/>
      <c r="B60" s="9"/>
    </row>
    <row r="61">
      <c r="A61" s="9"/>
      <c r="B61" s="9"/>
    </row>
    <row r="62">
      <c r="A62" s="9"/>
      <c r="B62" s="9"/>
    </row>
    <row r="63">
      <c r="A63" s="9"/>
      <c r="B63" s="9"/>
    </row>
    <row r="64">
      <c r="A64" s="9"/>
      <c r="B64" s="9"/>
    </row>
    <row r="65">
      <c r="A65" s="9"/>
      <c r="B65" s="9"/>
    </row>
    <row r="66">
      <c r="A66" s="9"/>
      <c r="B66" s="9"/>
    </row>
    <row r="67">
      <c r="A67" s="9"/>
      <c r="B67" s="9"/>
    </row>
    <row r="68">
      <c r="A68" s="9"/>
      <c r="B68" s="9"/>
    </row>
    <row r="69">
      <c r="A69" s="9"/>
      <c r="B69" s="9"/>
    </row>
    <row r="70">
      <c r="A70" s="9"/>
      <c r="B70" s="9"/>
    </row>
    <row r="71">
      <c r="A71" s="9"/>
      <c r="B71" s="9"/>
    </row>
    <row r="72">
      <c r="A72" s="9"/>
      <c r="B72" s="9"/>
    </row>
    <row r="73">
      <c r="A73" s="9"/>
      <c r="B73" s="9"/>
    </row>
    <row r="74">
      <c r="A74" s="9"/>
      <c r="B74" s="9"/>
    </row>
    <row r="75">
      <c r="A75" s="9"/>
      <c r="B75" s="9"/>
    </row>
    <row r="76">
      <c r="A76" s="9"/>
      <c r="B76" s="9"/>
    </row>
    <row r="77">
      <c r="A77" s="9"/>
      <c r="B77" s="9"/>
    </row>
    <row r="78">
      <c r="A78" s="9"/>
      <c r="B78" s="9"/>
    </row>
    <row r="79">
      <c r="A79" s="9"/>
      <c r="B79" s="9"/>
    </row>
    <row r="80">
      <c r="A80" s="9"/>
      <c r="B80" s="9"/>
    </row>
    <row r="81">
      <c r="A81" s="9"/>
      <c r="B81" s="9"/>
    </row>
    <row r="82">
      <c r="A82" s="9"/>
      <c r="B82" s="9"/>
    </row>
    <row r="83">
      <c r="A83" s="9"/>
      <c r="B83" s="9"/>
    </row>
    <row r="84">
      <c r="A84" s="9"/>
      <c r="B84" s="9"/>
    </row>
    <row r="85">
      <c r="A85" s="9"/>
      <c r="B85" s="9"/>
    </row>
    <row r="86">
      <c r="A86" s="9"/>
      <c r="B86" s="9"/>
    </row>
    <row r="87">
      <c r="A87" s="9"/>
      <c r="B87" s="9"/>
    </row>
    <row r="88">
      <c r="A88" s="9"/>
      <c r="B88" s="9"/>
    </row>
    <row r="89">
      <c r="A89" s="9"/>
      <c r="B89" s="9"/>
    </row>
    <row r="90">
      <c r="A90" s="9"/>
      <c r="B90" s="9"/>
    </row>
    <row r="91">
      <c r="A91" s="9"/>
      <c r="B91" s="9"/>
    </row>
    <row r="92">
      <c r="A92" s="9"/>
      <c r="B92" s="9"/>
    </row>
    <row r="93">
      <c r="A93" s="9"/>
      <c r="B93" s="9"/>
    </row>
    <row r="94">
      <c r="A94" s="9"/>
      <c r="B94" s="9"/>
    </row>
    <row r="95">
      <c r="A95" s="9"/>
      <c r="B95" s="9"/>
    </row>
    <row r="96">
      <c r="A96" s="9"/>
      <c r="B96" s="9"/>
    </row>
    <row r="97">
      <c r="A97" s="9"/>
      <c r="B97" s="9"/>
    </row>
    <row r="98">
      <c r="A98" s="9"/>
      <c r="B98" s="9"/>
    </row>
    <row r="99">
      <c r="A99" s="9"/>
      <c r="B99" s="9"/>
    </row>
    <row r="100">
      <c r="A100" s="9"/>
      <c r="B100" s="9"/>
    </row>
    <row r="101">
      <c r="A101" s="9"/>
      <c r="B101" s="9"/>
    </row>
    <row r="102">
      <c r="A102" s="9"/>
      <c r="B102" s="9"/>
    </row>
    <row r="103">
      <c r="A103" s="9"/>
      <c r="B103" s="9"/>
    </row>
    <row r="104">
      <c r="A104" s="9"/>
      <c r="B104" s="9"/>
    </row>
    <row r="105">
      <c r="A105" s="9"/>
      <c r="B105" s="9"/>
    </row>
    <row r="106">
      <c r="A106" s="9"/>
      <c r="B106" s="9"/>
    </row>
    <row r="107">
      <c r="A107" s="9"/>
      <c r="B107" s="9"/>
    </row>
    <row r="108">
      <c r="A108" s="9"/>
      <c r="B108" s="9"/>
    </row>
    <row r="109">
      <c r="A109" s="9"/>
      <c r="B109" s="9"/>
    </row>
    <row r="110">
      <c r="A110" s="9"/>
      <c r="B110" s="9"/>
    </row>
    <row r="111">
      <c r="A111" s="9"/>
      <c r="B111" s="9"/>
    </row>
    <row r="112">
      <c r="A112" s="9"/>
      <c r="B112" s="9"/>
    </row>
    <row r="113">
      <c r="A113" s="9"/>
      <c r="B113" s="9"/>
    </row>
    <row r="114">
      <c r="A114" s="9"/>
      <c r="B114" s="9"/>
    </row>
    <row r="115">
      <c r="A115" s="9"/>
      <c r="B115" s="9"/>
    </row>
    <row r="116">
      <c r="A116" s="9"/>
      <c r="B116" s="9"/>
    </row>
    <row r="117">
      <c r="A117" s="9"/>
      <c r="B117" s="9"/>
    </row>
    <row r="118">
      <c r="A118" s="9"/>
      <c r="B118" s="9"/>
    </row>
    <row r="119">
      <c r="A119" s="9"/>
      <c r="B119" s="9"/>
    </row>
    <row r="120">
      <c r="A120" s="9"/>
      <c r="B120" s="9"/>
    </row>
    <row r="121">
      <c r="A121" s="9"/>
      <c r="B121" s="9"/>
    </row>
    <row r="122">
      <c r="A122" s="9"/>
      <c r="B122" s="9"/>
    </row>
    <row r="123">
      <c r="A123" s="9"/>
      <c r="B123" s="9"/>
    </row>
    <row r="124">
      <c r="A124" s="9"/>
      <c r="B124" s="9"/>
    </row>
    <row r="125">
      <c r="A125" s="9"/>
      <c r="B125" s="9"/>
    </row>
    <row r="126">
      <c r="A126" s="9"/>
      <c r="B126" s="9"/>
    </row>
    <row r="127">
      <c r="A127" s="9"/>
      <c r="B127" s="9"/>
    </row>
    <row r="128">
      <c r="A128" s="9"/>
      <c r="B128" s="9"/>
    </row>
    <row r="129">
      <c r="A129" s="9"/>
      <c r="B129" s="9"/>
    </row>
    <row r="130">
      <c r="A130" s="9"/>
      <c r="B130" s="9"/>
    </row>
    <row r="131">
      <c r="A131" s="9"/>
      <c r="B131" s="9"/>
    </row>
    <row r="132">
      <c r="A132" s="9"/>
      <c r="B132" s="9"/>
    </row>
    <row r="133">
      <c r="A133" s="9"/>
      <c r="B133" s="9"/>
    </row>
    <row r="134">
      <c r="A134" s="9"/>
      <c r="B134" s="9"/>
    </row>
    <row r="135">
      <c r="A135" s="9"/>
      <c r="B135" s="9"/>
    </row>
    <row r="136">
      <c r="A136" s="9"/>
      <c r="B136" s="9"/>
    </row>
    <row r="137">
      <c r="A137" s="9"/>
      <c r="B137" s="9"/>
    </row>
    <row r="138">
      <c r="A138" s="9"/>
      <c r="B138" s="9"/>
    </row>
    <row r="139">
      <c r="A139" s="9"/>
      <c r="B139" s="9"/>
    </row>
    <row r="140">
      <c r="A140" s="9"/>
      <c r="B140" s="9"/>
    </row>
    <row r="141">
      <c r="A141" s="9"/>
      <c r="B141" s="9"/>
    </row>
    <row r="142">
      <c r="A142" s="9"/>
      <c r="B142" s="9"/>
    </row>
    <row r="143">
      <c r="A143" s="9"/>
      <c r="B143" s="9"/>
    </row>
    <row r="144">
      <c r="A144" s="9"/>
      <c r="B144" s="9"/>
    </row>
    <row r="145">
      <c r="A145" s="9"/>
      <c r="B145" s="9"/>
    </row>
    <row r="146">
      <c r="A146" s="9"/>
      <c r="B146" s="9"/>
    </row>
    <row r="147">
      <c r="A147" s="9"/>
      <c r="B147" s="9"/>
    </row>
    <row r="148">
      <c r="A148" s="9"/>
      <c r="B148" s="9"/>
    </row>
    <row r="149">
      <c r="A149" s="9"/>
      <c r="B149" s="9"/>
    </row>
    <row r="150">
      <c r="A150" s="9"/>
      <c r="B150" s="9"/>
    </row>
    <row r="151">
      <c r="A151" s="9"/>
      <c r="B151" s="9"/>
    </row>
    <row r="152">
      <c r="A152" s="9"/>
      <c r="B152" s="9"/>
    </row>
    <row r="153">
      <c r="A153" s="9"/>
      <c r="B153" s="9"/>
    </row>
    <row r="154">
      <c r="A154" s="9"/>
      <c r="B154" s="9"/>
    </row>
    <row r="155">
      <c r="A155" s="9"/>
      <c r="B155" s="9"/>
    </row>
    <row r="156">
      <c r="A156" s="9"/>
      <c r="B156" s="9"/>
    </row>
    <row r="157">
      <c r="A157" s="9"/>
      <c r="B157" s="9"/>
    </row>
    <row r="158">
      <c r="A158" s="9"/>
      <c r="B158" s="9"/>
    </row>
    <row r="159">
      <c r="A159" s="9"/>
      <c r="B159" s="9"/>
    </row>
    <row r="160">
      <c r="A160" s="9"/>
      <c r="B160" s="9"/>
    </row>
    <row r="161">
      <c r="A161" s="9"/>
      <c r="B161" s="9"/>
    </row>
    <row r="162">
      <c r="A162" s="9"/>
      <c r="B162" s="9"/>
    </row>
    <row r="163">
      <c r="A163" s="9"/>
      <c r="B163" s="9"/>
    </row>
    <row r="164">
      <c r="A164" s="9"/>
      <c r="B164" s="9"/>
    </row>
    <row r="165">
      <c r="A165" s="9"/>
      <c r="B165" s="9"/>
    </row>
    <row r="166">
      <c r="A166" s="9"/>
      <c r="B166" s="9"/>
    </row>
    <row r="167">
      <c r="A167" s="9"/>
      <c r="B167" s="9"/>
    </row>
    <row r="168">
      <c r="A168" s="9"/>
      <c r="B168" s="9"/>
    </row>
    <row r="169">
      <c r="A169" s="9"/>
      <c r="B169" s="9"/>
    </row>
    <row r="170">
      <c r="A170" s="9"/>
      <c r="B170" s="9"/>
    </row>
    <row r="171">
      <c r="A171" s="9"/>
      <c r="B171" s="9"/>
    </row>
    <row r="172">
      <c r="A172" s="9"/>
      <c r="B172" s="9"/>
    </row>
    <row r="173">
      <c r="A173" s="9"/>
      <c r="B173" s="9"/>
    </row>
    <row r="174">
      <c r="A174" s="9"/>
      <c r="B174" s="9"/>
    </row>
    <row r="175">
      <c r="A175" s="9"/>
      <c r="B175" s="9"/>
    </row>
    <row r="176">
      <c r="A176" s="9"/>
      <c r="B176" s="9"/>
    </row>
    <row r="177">
      <c r="A177" s="9"/>
      <c r="B177" s="9"/>
    </row>
    <row r="178">
      <c r="A178" s="9"/>
      <c r="B178" s="9"/>
    </row>
    <row r="179">
      <c r="A179" s="9"/>
      <c r="B179" s="9"/>
    </row>
    <row r="180">
      <c r="A180" s="9"/>
      <c r="B180" s="9"/>
    </row>
    <row r="181">
      <c r="A181" s="9"/>
      <c r="B181" s="9"/>
    </row>
    <row r="182">
      <c r="A182" s="9"/>
      <c r="B182" s="9"/>
    </row>
    <row r="183">
      <c r="A183" s="9"/>
      <c r="B183" s="9"/>
    </row>
    <row r="184">
      <c r="A184" s="9"/>
      <c r="B184" s="9"/>
    </row>
    <row r="185">
      <c r="A185" s="9"/>
      <c r="B185" s="9"/>
    </row>
    <row r="186">
      <c r="A186" s="9"/>
      <c r="B186" s="9"/>
    </row>
    <row r="187">
      <c r="A187" s="9"/>
      <c r="B187" s="9"/>
    </row>
    <row r="188">
      <c r="A188" s="9"/>
      <c r="B188" s="9"/>
    </row>
    <row r="189">
      <c r="A189" s="9"/>
      <c r="B189" s="9"/>
    </row>
    <row r="190">
      <c r="A190" s="9"/>
      <c r="B190" s="9"/>
    </row>
    <row r="191">
      <c r="A191" s="9"/>
      <c r="B191" s="9"/>
    </row>
    <row r="192">
      <c r="A192" s="9"/>
      <c r="B192" s="9"/>
    </row>
    <row r="193">
      <c r="A193" s="9"/>
      <c r="B193" s="9"/>
    </row>
    <row r="194">
      <c r="A194" s="9"/>
      <c r="B194" s="9"/>
    </row>
    <row r="195">
      <c r="A195" s="9"/>
      <c r="B195" s="9"/>
    </row>
    <row r="196">
      <c r="A196" s="9"/>
      <c r="B196" s="9"/>
    </row>
    <row r="197">
      <c r="A197" s="9"/>
      <c r="B197" s="9"/>
    </row>
    <row r="198">
      <c r="A198" s="9"/>
      <c r="B198" s="9"/>
    </row>
    <row r="199">
      <c r="A199" s="9"/>
      <c r="B199" s="9"/>
    </row>
    <row r="200">
      <c r="A200" s="9"/>
      <c r="B200" s="9"/>
    </row>
    <row r="201">
      <c r="A201" s="9"/>
      <c r="B201" s="9"/>
    </row>
    <row r="202">
      <c r="A202" s="9"/>
      <c r="B202" s="9"/>
    </row>
    <row r="203">
      <c r="A203" s="9"/>
      <c r="B203" s="9"/>
    </row>
    <row r="204">
      <c r="A204" s="9"/>
      <c r="B204" s="9"/>
    </row>
    <row r="205">
      <c r="A205" s="9"/>
      <c r="B205" s="9"/>
    </row>
    <row r="206">
      <c r="A206" s="9"/>
      <c r="B206" s="9"/>
    </row>
    <row r="207">
      <c r="A207" s="9"/>
      <c r="B207" s="9"/>
    </row>
    <row r="208">
      <c r="A208" s="9"/>
      <c r="B208" s="9"/>
    </row>
    <row r="209">
      <c r="A209" s="9"/>
      <c r="B209" s="9"/>
    </row>
    <row r="210">
      <c r="A210" s="9"/>
      <c r="B210" s="9"/>
    </row>
    <row r="211">
      <c r="A211" s="9"/>
      <c r="B211" s="9"/>
    </row>
    <row r="212">
      <c r="A212" s="9"/>
      <c r="B212" s="9"/>
    </row>
    <row r="213">
      <c r="A213" s="9"/>
      <c r="B213" s="9"/>
    </row>
    <row r="214">
      <c r="A214" s="9"/>
      <c r="B214" s="9"/>
    </row>
    <row r="215">
      <c r="A215" s="9"/>
      <c r="B215" s="9"/>
    </row>
    <row r="216">
      <c r="A216" s="9"/>
      <c r="B216" s="9"/>
    </row>
    <row r="217">
      <c r="A217" s="9"/>
      <c r="B217" s="9"/>
    </row>
    <row r="218">
      <c r="A218" s="9"/>
      <c r="B218" s="9"/>
    </row>
    <row r="219">
      <c r="A219" s="9"/>
      <c r="B219" s="9"/>
    </row>
    <row r="220">
      <c r="A220" s="9"/>
      <c r="B220" s="9"/>
    </row>
    <row r="221">
      <c r="A221" s="9"/>
      <c r="B221" s="9"/>
    </row>
    <row r="222">
      <c r="A222" s="9"/>
      <c r="B222" s="9"/>
    </row>
    <row r="223">
      <c r="A223" s="9"/>
      <c r="B223" s="9"/>
    </row>
    <row r="224">
      <c r="A224" s="9"/>
      <c r="B224" s="9"/>
    </row>
    <row r="225">
      <c r="A225" s="9"/>
      <c r="B225" s="9"/>
    </row>
    <row r="226">
      <c r="A226" s="9"/>
      <c r="B226" s="9"/>
    </row>
    <row r="227">
      <c r="A227" s="9"/>
      <c r="B227" s="9"/>
    </row>
    <row r="228">
      <c r="A228" s="9"/>
      <c r="B228" s="9"/>
    </row>
    <row r="229">
      <c r="A229" s="9"/>
      <c r="B229" s="9"/>
    </row>
    <row r="230">
      <c r="A230" s="9"/>
      <c r="B230" s="9"/>
    </row>
    <row r="231">
      <c r="A231" s="9"/>
      <c r="B231" s="9"/>
    </row>
    <row r="232">
      <c r="A232" s="9"/>
      <c r="B232" s="9"/>
    </row>
    <row r="233">
      <c r="A233" s="9"/>
      <c r="B233" s="9"/>
    </row>
    <row r="234">
      <c r="A234" s="9"/>
      <c r="B234" s="9"/>
    </row>
    <row r="235">
      <c r="A235" s="9"/>
      <c r="B235" s="9"/>
    </row>
    <row r="236">
      <c r="A236" s="9"/>
      <c r="B236" s="9"/>
    </row>
    <row r="237">
      <c r="A237" s="9"/>
      <c r="B237" s="9"/>
    </row>
    <row r="238">
      <c r="A238" s="9"/>
      <c r="B238" s="9"/>
    </row>
    <row r="239">
      <c r="A239" s="9"/>
      <c r="B239" s="9"/>
    </row>
    <row r="240">
      <c r="A240" s="9"/>
      <c r="B240" s="9"/>
    </row>
    <row r="241">
      <c r="A241" s="9"/>
      <c r="B241" s="9"/>
    </row>
    <row r="242">
      <c r="A242" s="9"/>
      <c r="B242" s="9"/>
    </row>
    <row r="243">
      <c r="A243" s="9"/>
      <c r="B243" s="9"/>
    </row>
    <row r="244">
      <c r="A244" s="9"/>
      <c r="B244" s="9"/>
    </row>
    <row r="245">
      <c r="A245" s="9"/>
      <c r="B245" s="9"/>
    </row>
    <row r="246">
      <c r="A246" s="9"/>
      <c r="B246" s="9"/>
    </row>
    <row r="247">
      <c r="A247" s="9"/>
      <c r="B247" s="9"/>
    </row>
    <row r="248">
      <c r="A248" s="9"/>
      <c r="B248" s="9"/>
    </row>
    <row r="249">
      <c r="A249" s="9"/>
      <c r="B249" s="9"/>
    </row>
    <row r="250">
      <c r="A250" s="9"/>
      <c r="B250" s="9"/>
    </row>
    <row r="251">
      <c r="A251" s="9"/>
      <c r="B251" s="9"/>
    </row>
    <row r="252">
      <c r="A252" s="9"/>
      <c r="B252" s="9"/>
    </row>
    <row r="253">
      <c r="A253" s="9"/>
      <c r="B253" s="9"/>
    </row>
    <row r="254">
      <c r="A254" s="9"/>
      <c r="B254" s="9"/>
    </row>
    <row r="255">
      <c r="A255" s="9"/>
      <c r="B255" s="9"/>
    </row>
    <row r="256">
      <c r="A256" s="9"/>
      <c r="B256" s="9"/>
    </row>
    <row r="257">
      <c r="A257" s="9"/>
      <c r="B257" s="9"/>
    </row>
    <row r="258">
      <c r="A258" s="9"/>
      <c r="B258" s="9"/>
    </row>
    <row r="259">
      <c r="A259" s="9"/>
      <c r="B259" s="9"/>
    </row>
    <row r="260">
      <c r="A260" s="9"/>
      <c r="B260" s="9"/>
    </row>
    <row r="261">
      <c r="A261" s="9"/>
      <c r="B261" s="9"/>
    </row>
    <row r="262">
      <c r="A262" s="9"/>
      <c r="B262" s="9"/>
    </row>
    <row r="263">
      <c r="A263" s="9"/>
      <c r="B263" s="9"/>
    </row>
    <row r="264">
      <c r="A264" s="9"/>
      <c r="B264" s="9"/>
    </row>
    <row r="265">
      <c r="A265" s="9"/>
      <c r="B265" s="9"/>
    </row>
    <row r="266">
      <c r="A266" s="9"/>
      <c r="B266" s="9"/>
    </row>
    <row r="267">
      <c r="A267" s="9"/>
      <c r="B267" s="9"/>
    </row>
    <row r="268">
      <c r="A268" s="9"/>
      <c r="B268" s="9"/>
    </row>
    <row r="269">
      <c r="A269" s="9"/>
      <c r="B269" s="9"/>
    </row>
    <row r="270">
      <c r="A270" s="9"/>
      <c r="B270" s="9"/>
    </row>
    <row r="271">
      <c r="A271" s="9"/>
      <c r="B271" s="9"/>
    </row>
    <row r="272">
      <c r="A272" s="9"/>
      <c r="B272" s="9"/>
    </row>
    <row r="273">
      <c r="A273" s="9"/>
      <c r="B273" s="9"/>
    </row>
    <row r="274">
      <c r="A274" s="9"/>
      <c r="B274" s="9"/>
    </row>
    <row r="275">
      <c r="A275" s="9"/>
      <c r="B275" s="9"/>
    </row>
    <row r="276">
      <c r="A276" s="9"/>
      <c r="B276" s="9"/>
    </row>
    <row r="277">
      <c r="A277" s="9"/>
      <c r="B277" s="9"/>
    </row>
    <row r="278">
      <c r="A278" s="9"/>
      <c r="B278" s="9"/>
    </row>
    <row r="279">
      <c r="A279" s="9"/>
      <c r="B279" s="9"/>
    </row>
    <row r="280">
      <c r="A280" s="9"/>
      <c r="B280" s="9"/>
    </row>
    <row r="281">
      <c r="A281" s="9"/>
      <c r="B281" s="9"/>
    </row>
    <row r="282">
      <c r="A282" s="9"/>
      <c r="B282" s="9"/>
    </row>
    <row r="283">
      <c r="A283" s="9"/>
      <c r="B283" s="9"/>
    </row>
    <row r="284">
      <c r="A284" s="9"/>
      <c r="B284" s="9"/>
    </row>
    <row r="285">
      <c r="A285" s="9"/>
      <c r="B285" s="9"/>
    </row>
    <row r="286">
      <c r="A286" s="9"/>
      <c r="B286" s="9"/>
    </row>
    <row r="287">
      <c r="A287" s="9"/>
      <c r="B287" s="9"/>
    </row>
    <row r="288">
      <c r="A288" s="9"/>
      <c r="B288" s="9"/>
    </row>
    <row r="289">
      <c r="A289" s="9"/>
      <c r="B289" s="9"/>
    </row>
    <row r="290">
      <c r="A290" s="9"/>
      <c r="B290" s="9"/>
    </row>
    <row r="291">
      <c r="A291" s="9"/>
      <c r="B291" s="9"/>
    </row>
    <row r="292">
      <c r="A292" s="9"/>
      <c r="B292" s="9"/>
    </row>
    <row r="293">
      <c r="A293" s="9"/>
      <c r="B293" s="9"/>
    </row>
    <row r="294">
      <c r="A294" s="9"/>
      <c r="B294" s="9"/>
    </row>
    <row r="295">
      <c r="A295" s="9"/>
      <c r="B295" s="9"/>
    </row>
    <row r="296">
      <c r="A296" s="9"/>
      <c r="B296" s="9"/>
    </row>
    <row r="297">
      <c r="A297" s="9"/>
      <c r="B297" s="9"/>
    </row>
    <row r="298">
      <c r="A298" s="9"/>
      <c r="B298" s="9"/>
    </row>
    <row r="299">
      <c r="A299" s="9"/>
      <c r="B299" s="9"/>
    </row>
    <row r="300">
      <c r="A300" s="9"/>
      <c r="B300" s="9"/>
    </row>
    <row r="301">
      <c r="A301" s="9"/>
      <c r="B301" s="9"/>
    </row>
    <row r="302">
      <c r="A302" s="9"/>
      <c r="B302" s="9"/>
    </row>
    <row r="303">
      <c r="A303" s="9"/>
      <c r="B303" s="9"/>
    </row>
    <row r="304">
      <c r="A304" s="9"/>
      <c r="B304" s="9"/>
    </row>
    <row r="305">
      <c r="A305" s="9"/>
      <c r="B305" s="9"/>
    </row>
    <row r="306">
      <c r="A306" s="9"/>
      <c r="B306" s="9"/>
    </row>
    <row r="307">
      <c r="A307" s="9"/>
      <c r="B307" s="9"/>
    </row>
    <row r="308">
      <c r="A308" s="9"/>
      <c r="B308" s="9"/>
    </row>
    <row r="309">
      <c r="A309" s="9"/>
      <c r="B309" s="9"/>
    </row>
    <row r="310">
      <c r="A310" s="9"/>
      <c r="B310" s="9"/>
    </row>
    <row r="311">
      <c r="A311" s="9"/>
      <c r="B311" s="9"/>
    </row>
    <row r="312">
      <c r="A312" s="9"/>
      <c r="B312" s="9"/>
    </row>
    <row r="313">
      <c r="A313" s="9"/>
      <c r="B313" s="9"/>
    </row>
    <row r="314">
      <c r="A314" s="9"/>
      <c r="B314" s="9"/>
    </row>
    <row r="315">
      <c r="A315" s="9"/>
      <c r="B315" s="9"/>
    </row>
    <row r="316">
      <c r="A316" s="9"/>
      <c r="B316" s="9"/>
    </row>
    <row r="317">
      <c r="A317" s="9"/>
      <c r="B317" s="9"/>
    </row>
    <row r="318">
      <c r="A318" s="9"/>
      <c r="B318" s="9"/>
    </row>
    <row r="319">
      <c r="A319" s="9"/>
      <c r="B319" s="9"/>
    </row>
    <row r="320">
      <c r="A320" s="9"/>
      <c r="B320" s="9"/>
    </row>
    <row r="321">
      <c r="A321" s="9"/>
      <c r="B321" s="9"/>
    </row>
    <row r="322">
      <c r="A322" s="9"/>
      <c r="B322" s="9"/>
    </row>
    <row r="323">
      <c r="A323" s="9"/>
      <c r="B323" s="9"/>
    </row>
    <row r="324">
      <c r="A324" s="9"/>
      <c r="B324" s="9"/>
    </row>
    <row r="325">
      <c r="A325" s="9"/>
      <c r="B325" s="9"/>
    </row>
    <row r="326">
      <c r="A326" s="9"/>
      <c r="B326" s="9"/>
    </row>
    <row r="327">
      <c r="A327" s="9"/>
      <c r="B327" s="9"/>
    </row>
    <row r="328">
      <c r="A328" s="9"/>
      <c r="B328" s="9"/>
    </row>
    <row r="329">
      <c r="A329" s="9"/>
      <c r="B329" s="9"/>
    </row>
    <row r="330">
      <c r="A330" s="9"/>
      <c r="B330" s="9"/>
    </row>
    <row r="331">
      <c r="A331" s="9"/>
      <c r="B331" s="9"/>
    </row>
    <row r="332">
      <c r="A332" s="9"/>
      <c r="B332" s="9"/>
    </row>
    <row r="333">
      <c r="A333" s="9"/>
      <c r="B333" s="9"/>
    </row>
    <row r="334">
      <c r="A334" s="9"/>
      <c r="B334" s="9"/>
    </row>
    <row r="335">
      <c r="A335" s="9"/>
      <c r="B335" s="9"/>
    </row>
    <row r="336">
      <c r="A336" s="9"/>
      <c r="B336" s="9"/>
    </row>
    <row r="337">
      <c r="A337" s="9"/>
      <c r="B337" s="9"/>
    </row>
    <row r="338">
      <c r="A338" s="9"/>
      <c r="B338" s="9"/>
    </row>
    <row r="339">
      <c r="A339" s="9"/>
      <c r="B339" s="9"/>
    </row>
    <row r="340">
      <c r="A340" s="9"/>
      <c r="B340" s="9"/>
    </row>
    <row r="341">
      <c r="A341" s="9"/>
      <c r="B341" s="9"/>
    </row>
    <row r="342">
      <c r="A342" s="9"/>
      <c r="B342" s="9"/>
    </row>
    <row r="343">
      <c r="A343" s="9"/>
      <c r="B343" s="9"/>
    </row>
    <row r="344">
      <c r="A344" s="9"/>
      <c r="B344" s="9"/>
    </row>
    <row r="345">
      <c r="A345" s="9"/>
      <c r="B345" s="9"/>
    </row>
    <row r="346">
      <c r="A346" s="9"/>
      <c r="B346" s="9"/>
    </row>
    <row r="347">
      <c r="A347" s="9"/>
      <c r="B347" s="9"/>
    </row>
    <row r="348">
      <c r="A348" s="9"/>
      <c r="B348" s="9"/>
    </row>
    <row r="349">
      <c r="A349" s="9"/>
      <c r="B349" s="9"/>
    </row>
    <row r="350">
      <c r="A350" s="9"/>
      <c r="B350" s="9"/>
    </row>
    <row r="351">
      <c r="A351" s="9"/>
      <c r="B351" s="9"/>
    </row>
    <row r="352">
      <c r="A352" s="9"/>
      <c r="B352" s="9"/>
    </row>
    <row r="353">
      <c r="A353" s="9"/>
      <c r="B353" s="9"/>
    </row>
    <row r="354">
      <c r="A354" s="9"/>
      <c r="B354" s="9"/>
    </row>
    <row r="355">
      <c r="A355" s="9"/>
      <c r="B355" s="9"/>
    </row>
    <row r="356">
      <c r="A356" s="9"/>
      <c r="B356" s="9"/>
    </row>
    <row r="357">
      <c r="A357" s="9"/>
      <c r="B357" s="9"/>
    </row>
    <row r="358">
      <c r="A358" s="9"/>
      <c r="B358" s="9"/>
    </row>
    <row r="359">
      <c r="A359" s="9"/>
      <c r="B359" s="9"/>
    </row>
    <row r="360">
      <c r="A360" s="9"/>
      <c r="B360" s="9"/>
    </row>
    <row r="361">
      <c r="A361" s="9"/>
      <c r="B361" s="9"/>
    </row>
    <row r="362">
      <c r="A362" s="9"/>
      <c r="B362" s="9"/>
    </row>
    <row r="363">
      <c r="A363" s="9"/>
      <c r="B363" s="9"/>
    </row>
    <row r="364">
      <c r="A364" s="9"/>
      <c r="B364" s="9"/>
    </row>
    <row r="365">
      <c r="A365" s="9"/>
      <c r="B365" s="9"/>
    </row>
    <row r="366">
      <c r="A366" s="9"/>
      <c r="B366" s="9"/>
    </row>
    <row r="367">
      <c r="A367" s="9"/>
      <c r="B367" s="9"/>
    </row>
    <row r="368">
      <c r="A368" s="9"/>
      <c r="B368" s="9"/>
    </row>
    <row r="369">
      <c r="A369" s="9"/>
      <c r="B369" s="9"/>
    </row>
    <row r="370">
      <c r="A370" s="9"/>
      <c r="B370" s="9"/>
    </row>
    <row r="371">
      <c r="A371" s="9"/>
      <c r="B371" s="9"/>
    </row>
    <row r="372">
      <c r="A372" s="9"/>
      <c r="B372" s="9"/>
    </row>
    <row r="373">
      <c r="A373" s="9"/>
      <c r="B373" s="9"/>
    </row>
    <row r="374">
      <c r="A374" s="9"/>
      <c r="B374" s="9"/>
    </row>
    <row r="375">
      <c r="A375" s="9"/>
      <c r="B375" s="9"/>
    </row>
    <row r="376">
      <c r="A376" s="9"/>
      <c r="B376" s="9"/>
    </row>
    <row r="377">
      <c r="A377" s="9"/>
      <c r="B377" s="9"/>
    </row>
    <row r="378">
      <c r="A378" s="9"/>
      <c r="B378" s="9"/>
    </row>
    <row r="379">
      <c r="A379" s="9"/>
      <c r="B379" s="9"/>
    </row>
    <row r="380">
      <c r="A380" s="9"/>
      <c r="B380" s="9"/>
    </row>
    <row r="381">
      <c r="A381" s="9"/>
      <c r="B381" s="9"/>
    </row>
    <row r="382">
      <c r="A382" s="9"/>
      <c r="B382" s="9"/>
    </row>
    <row r="383">
      <c r="A383" s="9"/>
      <c r="B383" s="9"/>
    </row>
    <row r="384">
      <c r="A384" s="9"/>
      <c r="B384" s="9"/>
    </row>
    <row r="385">
      <c r="A385" s="9"/>
      <c r="B385" s="9"/>
    </row>
    <row r="386">
      <c r="A386" s="9"/>
      <c r="B386" s="9"/>
    </row>
    <row r="387">
      <c r="A387" s="9"/>
      <c r="B387" s="9"/>
    </row>
    <row r="388">
      <c r="A388" s="9"/>
      <c r="B388" s="9"/>
    </row>
    <row r="389">
      <c r="A389" s="9"/>
      <c r="B389" s="9"/>
    </row>
    <row r="390">
      <c r="A390" s="9"/>
      <c r="B390" s="9"/>
    </row>
    <row r="391">
      <c r="A391" s="9"/>
      <c r="B391" s="9"/>
    </row>
    <row r="392">
      <c r="A392" s="9"/>
      <c r="B392" s="9"/>
    </row>
    <row r="393">
      <c r="A393" s="9"/>
      <c r="B393" s="9"/>
    </row>
    <row r="394">
      <c r="A394" s="9"/>
      <c r="B394" s="9"/>
    </row>
    <row r="395">
      <c r="A395" s="9"/>
      <c r="B395" s="9"/>
    </row>
    <row r="396">
      <c r="A396" s="9"/>
      <c r="B396" s="9"/>
    </row>
    <row r="397">
      <c r="A397" s="9"/>
      <c r="B397" s="9"/>
    </row>
    <row r="398">
      <c r="A398" s="9"/>
      <c r="B398" s="9"/>
    </row>
    <row r="399">
      <c r="A399" s="9"/>
      <c r="B399" s="9"/>
    </row>
    <row r="400">
      <c r="A400" s="9"/>
      <c r="B400" s="9"/>
    </row>
    <row r="401">
      <c r="A401" s="9"/>
      <c r="B401" s="9"/>
    </row>
    <row r="402">
      <c r="A402" s="9"/>
      <c r="B402" s="9"/>
    </row>
    <row r="403">
      <c r="A403" s="9"/>
      <c r="B403" s="9"/>
    </row>
    <row r="404">
      <c r="A404" s="9"/>
      <c r="B404" s="9"/>
    </row>
    <row r="405">
      <c r="A405" s="9"/>
      <c r="B405" s="9"/>
    </row>
    <row r="406">
      <c r="A406" s="9"/>
      <c r="B406" s="9"/>
    </row>
    <row r="407">
      <c r="A407" s="9"/>
      <c r="B407" s="9"/>
    </row>
    <row r="408">
      <c r="A408" s="9"/>
      <c r="B408" s="9"/>
    </row>
    <row r="409">
      <c r="A409" s="9"/>
      <c r="B409" s="9"/>
    </row>
    <row r="410">
      <c r="A410" s="9"/>
      <c r="B410" s="9"/>
    </row>
    <row r="411">
      <c r="A411" s="9"/>
      <c r="B411" s="9"/>
    </row>
    <row r="412">
      <c r="A412" s="9"/>
      <c r="B412" s="9"/>
    </row>
    <row r="413">
      <c r="A413" s="9"/>
      <c r="B413" s="9"/>
    </row>
    <row r="414">
      <c r="A414" s="9"/>
      <c r="B414" s="9"/>
    </row>
    <row r="415">
      <c r="A415" s="9"/>
      <c r="B415" s="9"/>
    </row>
    <row r="416">
      <c r="A416" s="9"/>
      <c r="B416" s="9"/>
    </row>
    <row r="417">
      <c r="A417" s="9"/>
      <c r="B417" s="9"/>
    </row>
    <row r="418">
      <c r="A418" s="9"/>
      <c r="B418" s="9"/>
    </row>
    <row r="419">
      <c r="A419" s="9"/>
      <c r="B419" s="9"/>
    </row>
    <row r="420">
      <c r="A420" s="9"/>
      <c r="B420" s="9"/>
    </row>
    <row r="421">
      <c r="A421" s="9"/>
      <c r="B421" s="9"/>
    </row>
    <row r="422">
      <c r="A422" s="9"/>
      <c r="B422" s="9"/>
    </row>
    <row r="423">
      <c r="A423" s="9"/>
      <c r="B423" s="9"/>
    </row>
    <row r="424">
      <c r="A424" s="9"/>
      <c r="B424" s="9"/>
    </row>
    <row r="425">
      <c r="A425" s="9"/>
      <c r="B425" s="9"/>
    </row>
    <row r="426">
      <c r="A426" s="9"/>
      <c r="B426" s="9"/>
    </row>
    <row r="427">
      <c r="A427" s="9"/>
      <c r="B427" s="9"/>
    </row>
    <row r="428">
      <c r="A428" s="9"/>
      <c r="B428" s="9"/>
    </row>
    <row r="429">
      <c r="A429" s="9"/>
      <c r="B429" s="9"/>
    </row>
    <row r="430">
      <c r="A430" s="9"/>
      <c r="B430" s="9"/>
    </row>
    <row r="431">
      <c r="A431" s="9"/>
      <c r="B431" s="9"/>
    </row>
    <row r="432">
      <c r="A432" s="9"/>
      <c r="B432" s="9"/>
    </row>
    <row r="433">
      <c r="A433" s="9"/>
      <c r="B433" s="9"/>
    </row>
    <row r="434">
      <c r="A434" s="9"/>
      <c r="B434" s="9"/>
    </row>
    <row r="435">
      <c r="A435" s="9"/>
      <c r="B435" s="9"/>
    </row>
    <row r="436">
      <c r="A436" s="9"/>
      <c r="B436" s="9"/>
    </row>
    <row r="437">
      <c r="A437" s="9"/>
      <c r="B437" s="9"/>
    </row>
    <row r="438">
      <c r="A438" s="9"/>
      <c r="B438" s="9"/>
    </row>
    <row r="439">
      <c r="A439" s="9"/>
      <c r="B439" s="9"/>
    </row>
    <row r="440">
      <c r="A440" s="9"/>
      <c r="B440" s="9"/>
    </row>
    <row r="441">
      <c r="A441" s="9"/>
      <c r="B441" s="9"/>
    </row>
    <row r="442">
      <c r="A442" s="9"/>
      <c r="B442" s="9"/>
    </row>
    <row r="443">
      <c r="A443" s="9"/>
      <c r="B443" s="9"/>
    </row>
    <row r="444">
      <c r="A444" s="9"/>
      <c r="B444" s="9"/>
    </row>
    <row r="445">
      <c r="A445" s="9"/>
      <c r="B445" s="9"/>
    </row>
    <row r="446">
      <c r="A446" s="9"/>
      <c r="B446" s="9"/>
    </row>
    <row r="447">
      <c r="A447" s="9"/>
      <c r="B447" s="9"/>
    </row>
    <row r="448">
      <c r="A448" s="9"/>
      <c r="B448" s="9"/>
    </row>
    <row r="449">
      <c r="A449" s="9"/>
      <c r="B449" s="9"/>
    </row>
    <row r="450">
      <c r="A450" s="9"/>
      <c r="B450" s="9"/>
    </row>
    <row r="451">
      <c r="A451" s="9"/>
      <c r="B451" s="9"/>
    </row>
    <row r="452">
      <c r="A452" s="9"/>
      <c r="B452" s="9"/>
    </row>
    <row r="453">
      <c r="A453" s="9"/>
      <c r="B453" s="9"/>
    </row>
    <row r="454">
      <c r="A454" s="9"/>
      <c r="B454" s="9"/>
    </row>
    <row r="455">
      <c r="A455" s="9"/>
      <c r="B455" s="9"/>
    </row>
    <row r="456">
      <c r="A456" s="9"/>
      <c r="B456" s="9"/>
    </row>
    <row r="457">
      <c r="A457" s="9"/>
      <c r="B457" s="9"/>
    </row>
    <row r="458">
      <c r="A458" s="9"/>
      <c r="B458" s="9"/>
    </row>
    <row r="459">
      <c r="A459" s="9"/>
      <c r="B459" s="9"/>
    </row>
    <row r="460">
      <c r="A460" s="9"/>
      <c r="B460" s="9"/>
    </row>
    <row r="461">
      <c r="A461" s="9"/>
      <c r="B461" s="9"/>
    </row>
    <row r="462">
      <c r="A462" s="9"/>
      <c r="B462" s="9"/>
    </row>
    <row r="463">
      <c r="A463" s="9"/>
      <c r="B463" s="9"/>
    </row>
    <row r="464">
      <c r="A464" s="9"/>
      <c r="B464" s="9"/>
    </row>
    <row r="465">
      <c r="A465" s="9"/>
      <c r="B465" s="9"/>
    </row>
    <row r="466">
      <c r="A466" s="9"/>
      <c r="B466" s="9"/>
    </row>
    <row r="467">
      <c r="A467" s="9"/>
      <c r="B467" s="9"/>
    </row>
    <row r="468">
      <c r="A468" s="9"/>
      <c r="B468" s="9"/>
    </row>
    <row r="469">
      <c r="A469" s="9"/>
      <c r="B469" s="9"/>
    </row>
    <row r="470">
      <c r="A470" s="9"/>
      <c r="B470" s="9"/>
    </row>
    <row r="471">
      <c r="A471" s="9"/>
      <c r="B471" s="9"/>
    </row>
    <row r="472">
      <c r="A472" s="9"/>
      <c r="B472" s="9"/>
    </row>
    <row r="473">
      <c r="A473" s="9"/>
      <c r="B473" s="9"/>
    </row>
    <row r="474">
      <c r="A474" s="9"/>
      <c r="B474" s="9"/>
    </row>
    <row r="475">
      <c r="A475" s="9"/>
      <c r="B475" s="9"/>
    </row>
    <row r="476">
      <c r="A476" s="9"/>
      <c r="B476" s="9"/>
    </row>
    <row r="477">
      <c r="A477" s="9"/>
      <c r="B477" s="9"/>
    </row>
    <row r="478">
      <c r="A478" s="9"/>
      <c r="B478" s="9"/>
    </row>
    <row r="479">
      <c r="A479" s="9"/>
      <c r="B479" s="9"/>
    </row>
    <row r="480">
      <c r="A480" s="9"/>
      <c r="B480" s="9"/>
    </row>
    <row r="481">
      <c r="A481" s="9"/>
      <c r="B481" s="9"/>
    </row>
    <row r="482">
      <c r="A482" s="9"/>
      <c r="B482" s="9"/>
    </row>
    <row r="483">
      <c r="A483" s="9"/>
      <c r="B483" s="9"/>
    </row>
    <row r="484">
      <c r="A484" s="9"/>
      <c r="B484" s="9"/>
    </row>
    <row r="485">
      <c r="A485" s="9"/>
      <c r="B485" s="9"/>
    </row>
    <row r="486">
      <c r="A486" s="9"/>
      <c r="B486" s="9"/>
    </row>
    <row r="487">
      <c r="A487" s="9"/>
      <c r="B487" s="9"/>
    </row>
    <row r="488">
      <c r="A488" s="9"/>
      <c r="B488" s="9"/>
    </row>
    <row r="489">
      <c r="A489" s="9"/>
      <c r="B489" s="9"/>
    </row>
    <row r="490">
      <c r="A490" s="9"/>
      <c r="B490" s="9"/>
    </row>
    <row r="491">
      <c r="A491" s="9"/>
      <c r="B491" s="9"/>
    </row>
    <row r="492">
      <c r="A492" s="9"/>
      <c r="B492" s="9"/>
    </row>
    <row r="493">
      <c r="A493" s="9"/>
      <c r="B493" s="9"/>
    </row>
    <row r="494">
      <c r="A494" s="9"/>
      <c r="B494" s="9"/>
    </row>
    <row r="495">
      <c r="A495" s="9"/>
      <c r="B495" s="9"/>
    </row>
    <row r="496">
      <c r="A496" s="9"/>
      <c r="B496" s="9"/>
    </row>
    <row r="497">
      <c r="A497" s="9"/>
      <c r="B497" s="9"/>
    </row>
    <row r="498">
      <c r="A498" s="9"/>
      <c r="B498" s="9"/>
    </row>
    <row r="499">
      <c r="A499" s="9"/>
      <c r="B499" s="9"/>
    </row>
    <row r="500">
      <c r="A500" s="9"/>
      <c r="B500" s="9"/>
    </row>
    <row r="501">
      <c r="A501" s="9"/>
      <c r="B501" s="9"/>
    </row>
    <row r="502">
      <c r="A502" s="9"/>
      <c r="B502" s="9"/>
    </row>
    <row r="503">
      <c r="A503" s="9"/>
      <c r="B503" s="9"/>
    </row>
    <row r="504">
      <c r="A504" s="9"/>
      <c r="B504" s="9"/>
    </row>
    <row r="505">
      <c r="A505" s="9"/>
      <c r="B505" s="9"/>
    </row>
    <row r="506">
      <c r="A506" s="9"/>
      <c r="B506" s="9"/>
    </row>
    <row r="507">
      <c r="A507" s="9"/>
      <c r="B507" s="9"/>
    </row>
    <row r="508">
      <c r="A508" s="9"/>
      <c r="B508" s="9"/>
    </row>
    <row r="509">
      <c r="A509" s="9"/>
      <c r="B509" s="9"/>
    </row>
    <row r="510">
      <c r="A510" s="9"/>
      <c r="B510" s="9"/>
    </row>
    <row r="511">
      <c r="A511" s="9"/>
      <c r="B511" s="9"/>
    </row>
    <row r="512">
      <c r="A512" s="9"/>
      <c r="B512" s="9"/>
    </row>
    <row r="513">
      <c r="A513" s="9"/>
      <c r="B513" s="9"/>
    </row>
    <row r="514">
      <c r="A514" s="9"/>
      <c r="B514" s="9"/>
    </row>
    <row r="515">
      <c r="A515" s="9"/>
      <c r="B515" s="9"/>
    </row>
    <row r="516">
      <c r="A516" s="9"/>
      <c r="B516" s="9"/>
    </row>
    <row r="517">
      <c r="A517" s="9"/>
      <c r="B517" s="9"/>
    </row>
    <row r="518">
      <c r="A518" s="9"/>
      <c r="B518" s="9"/>
    </row>
    <row r="519">
      <c r="A519" s="9"/>
      <c r="B519" s="9"/>
    </row>
    <row r="520">
      <c r="A520" s="9"/>
      <c r="B520" s="9"/>
    </row>
    <row r="521">
      <c r="A521" s="9"/>
      <c r="B521" s="9"/>
    </row>
    <row r="522">
      <c r="A522" s="9"/>
      <c r="B522" s="9"/>
    </row>
    <row r="523">
      <c r="A523" s="9"/>
      <c r="B523" s="9"/>
    </row>
    <row r="524">
      <c r="A524" s="9"/>
      <c r="B524" s="9"/>
    </row>
    <row r="525">
      <c r="A525" s="9"/>
      <c r="B525" s="9"/>
    </row>
    <row r="526">
      <c r="A526" s="9"/>
      <c r="B526" s="9"/>
    </row>
    <row r="527">
      <c r="A527" s="9"/>
      <c r="B527" s="9"/>
    </row>
    <row r="528">
      <c r="A528" s="9"/>
      <c r="B528" s="9"/>
    </row>
    <row r="529">
      <c r="A529" s="9"/>
      <c r="B529" s="9"/>
    </row>
    <row r="530">
      <c r="A530" s="9"/>
      <c r="B530" s="9"/>
    </row>
    <row r="531">
      <c r="A531" s="9"/>
      <c r="B531" s="9"/>
    </row>
    <row r="532">
      <c r="A532" s="9"/>
      <c r="B532" s="9"/>
    </row>
    <row r="533">
      <c r="A533" s="9"/>
      <c r="B533" s="9"/>
    </row>
    <row r="534">
      <c r="A534" s="9"/>
      <c r="B534" s="9"/>
    </row>
    <row r="535">
      <c r="A535" s="9"/>
      <c r="B535" s="9"/>
    </row>
    <row r="536">
      <c r="A536" s="9"/>
      <c r="B536" s="9"/>
    </row>
    <row r="537">
      <c r="A537" s="9"/>
      <c r="B537" s="9"/>
    </row>
    <row r="538">
      <c r="A538" s="9"/>
      <c r="B538" s="9"/>
    </row>
    <row r="539">
      <c r="A539" s="9"/>
      <c r="B539" s="9"/>
    </row>
    <row r="540">
      <c r="A540" s="9"/>
      <c r="B540" s="9"/>
    </row>
    <row r="541">
      <c r="A541" s="9"/>
      <c r="B541" s="9"/>
    </row>
    <row r="542">
      <c r="A542" s="9"/>
      <c r="B542" s="9"/>
    </row>
    <row r="543">
      <c r="A543" s="9"/>
      <c r="B543" s="9"/>
    </row>
    <row r="544">
      <c r="A544" s="9"/>
      <c r="B544" s="9"/>
    </row>
    <row r="545">
      <c r="A545" s="9"/>
      <c r="B545" s="9"/>
    </row>
    <row r="546">
      <c r="A546" s="9"/>
      <c r="B546" s="9"/>
    </row>
    <row r="547">
      <c r="A547" s="9"/>
      <c r="B547" s="9"/>
    </row>
    <row r="548">
      <c r="A548" s="9"/>
      <c r="B548" s="9"/>
    </row>
    <row r="549">
      <c r="A549" s="9"/>
      <c r="B549" s="9"/>
    </row>
    <row r="550">
      <c r="A550" s="9"/>
      <c r="B550" s="9"/>
    </row>
    <row r="551">
      <c r="A551" s="9"/>
      <c r="B551" s="9"/>
    </row>
    <row r="552">
      <c r="A552" s="9"/>
      <c r="B552" s="9"/>
    </row>
    <row r="553">
      <c r="A553" s="9"/>
      <c r="B553" s="9"/>
    </row>
    <row r="554">
      <c r="A554" s="9"/>
      <c r="B554" s="9"/>
    </row>
    <row r="555">
      <c r="A555" s="9"/>
      <c r="B555" s="9"/>
    </row>
    <row r="556">
      <c r="A556" s="9"/>
      <c r="B556" s="9"/>
    </row>
    <row r="557">
      <c r="A557" s="9"/>
      <c r="B557" s="9"/>
    </row>
    <row r="558">
      <c r="A558" s="9"/>
      <c r="B558" s="9"/>
    </row>
    <row r="559">
      <c r="A559" s="9"/>
      <c r="B559" s="9"/>
    </row>
    <row r="560">
      <c r="A560" s="9"/>
      <c r="B560" s="9"/>
    </row>
    <row r="561">
      <c r="A561" s="9"/>
      <c r="B561" s="9"/>
    </row>
    <row r="562">
      <c r="A562" s="9"/>
      <c r="B562" s="9"/>
    </row>
    <row r="563">
      <c r="A563" s="9"/>
      <c r="B563" s="9"/>
    </row>
    <row r="564">
      <c r="A564" s="9"/>
      <c r="B564" s="9"/>
    </row>
    <row r="565">
      <c r="A565" s="9"/>
      <c r="B565" s="9"/>
    </row>
    <row r="566">
      <c r="A566" s="9"/>
      <c r="B566" s="9"/>
    </row>
    <row r="567">
      <c r="A567" s="9"/>
      <c r="B567" s="9"/>
    </row>
    <row r="568">
      <c r="A568" s="9"/>
      <c r="B568" s="9"/>
    </row>
    <row r="569">
      <c r="A569" s="9"/>
      <c r="B569" s="9"/>
    </row>
    <row r="570">
      <c r="A570" s="9"/>
      <c r="B570" s="9"/>
    </row>
    <row r="571">
      <c r="A571" s="9"/>
      <c r="B571" s="9"/>
    </row>
    <row r="572">
      <c r="A572" s="9"/>
      <c r="B572" s="9"/>
    </row>
    <row r="573">
      <c r="A573" s="9"/>
      <c r="B573" s="9"/>
    </row>
    <row r="574">
      <c r="A574" s="9"/>
      <c r="B574" s="9"/>
    </row>
    <row r="575">
      <c r="A575" s="9"/>
      <c r="B575" s="9"/>
    </row>
    <row r="576">
      <c r="A576" s="9"/>
      <c r="B576" s="9"/>
    </row>
    <row r="577">
      <c r="A577" s="9"/>
      <c r="B577" s="9"/>
    </row>
    <row r="578">
      <c r="A578" s="9"/>
      <c r="B578" s="9"/>
    </row>
    <row r="579">
      <c r="A579" s="9"/>
      <c r="B579" s="9"/>
    </row>
    <row r="580">
      <c r="A580" s="9"/>
      <c r="B580" s="9"/>
    </row>
    <row r="581">
      <c r="A581" s="9"/>
      <c r="B581" s="9"/>
    </row>
    <row r="582">
      <c r="A582" s="9"/>
      <c r="B582" s="9"/>
    </row>
    <row r="583">
      <c r="A583" s="9"/>
      <c r="B583" s="9"/>
    </row>
    <row r="584">
      <c r="A584" s="9"/>
      <c r="B584" s="9"/>
    </row>
    <row r="585">
      <c r="A585" s="9"/>
      <c r="B585" s="9"/>
    </row>
    <row r="586">
      <c r="A586" s="9"/>
      <c r="B586" s="9"/>
    </row>
    <row r="587">
      <c r="A587" s="9"/>
      <c r="B587" s="9"/>
    </row>
    <row r="588">
      <c r="A588" s="9"/>
      <c r="B588" s="9"/>
    </row>
    <row r="589">
      <c r="A589" s="9"/>
      <c r="B589" s="9"/>
    </row>
    <row r="590">
      <c r="A590" s="9"/>
      <c r="B590" s="9"/>
    </row>
    <row r="591">
      <c r="A591" s="9"/>
      <c r="B591" s="9"/>
    </row>
    <row r="592">
      <c r="A592" s="9"/>
      <c r="B592" s="9"/>
    </row>
    <row r="593">
      <c r="A593" s="9"/>
      <c r="B593" s="9"/>
    </row>
    <row r="594">
      <c r="A594" s="9"/>
      <c r="B594" s="9"/>
    </row>
    <row r="595">
      <c r="A595" s="9"/>
      <c r="B595" s="9"/>
    </row>
    <row r="596">
      <c r="A596" s="9"/>
      <c r="B596" s="9"/>
    </row>
    <row r="597">
      <c r="A597" s="9"/>
      <c r="B597" s="9"/>
    </row>
    <row r="598">
      <c r="A598" s="9"/>
      <c r="B598" s="9"/>
    </row>
    <row r="599">
      <c r="A599" s="9"/>
      <c r="B599" s="9"/>
    </row>
    <row r="600">
      <c r="A600" s="9"/>
      <c r="B600" s="9"/>
    </row>
    <row r="601">
      <c r="A601" s="9"/>
      <c r="B601" s="9"/>
    </row>
    <row r="602">
      <c r="A602" s="9"/>
      <c r="B602" s="9"/>
    </row>
    <row r="603">
      <c r="A603" s="9"/>
      <c r="B603" s="9"/>
    </row>
    <row r="604">
      <c r="A604" s="9"/>
      <c r="B604" s="9"/>
    </row>
    <row r="605">
      <c r="A605" s="9"/>
      <c r="B605" s="9"/>
    </row>
    <row r="606">
      <c r="A606" s="9"/>
      <c r="B606" s="9"/>
    </row>
    <row r="607">
      <c r="A607" s="9"/>
      <c r="B607" s="9"/>
    </row>
    <row r="608">
      <c r="A608" s="9"/>
      <c r="B608" s="9"/>
    </row>
    <row r="609">
      <c r="A609" s="9"/>
      <c r="B609" s="9"/>
    </row>
    <row r="610">
      <c r="A610" s="9"/>
      <c r="B610" s="9"/>
    </row>
    <row r="611">
      <c r="A611" s="9"/>
      <c r="B611" s="9"/>
    </row>
    <row r="612">
      <c r="A612" s="9"/>
      <c r="B612" s="9"/>
    </row>
    <row r="613">
      <c r="A613" s="9"/>
      <c r="B613" s="9"/>
    </row>
    <row r="614">
      <c r="A614" s="9"/>
      <c r="B614" s="9"/>
    </row>
    <row r="615">
      <c r="A615" s="9"/>
      <c r="B615" s="9"/>
    </row>
    <row r="616">
      <c r="A616" s="9"/>
      <c r="B616" s="9"/>
    </row>
    <row r="617">
      <c r="A617" s="9"/>
      <c r="B617" s="9"/>
    </row>
    <row r="618">
      <c r="A618" s="9"/>
      <c r="B618" s="9"/>
    </row>
    <row r="619">
      <c r="A619" s="9"/>
      <c r="B619" s="9"/>
    </row>
    <row r="620">
      <c r="A620" s="9"/>
      <c r="B620" s="9"/>
    </row>
    <row r="621">
      <c r="A621" s="9"/>
      <c r="B621" s="9"/>
    </row>
    <row r="622">
      <c r="A622" s="9"/>
      <c r="B622" s="9"/>
    </row>
    <row r="623">
      <c r="A623" s="9"/>
      <c r="B623" s="9"/>
    </row>
    <row r="624">
      <c r="A624" s="9"/>
      <c r="B624" s="9"/>
    </row>
    <row r="625">
      <c r="A625" s="9"/>
      <c r="B625" s="9"/>
    </row>
    <row r="626">
      <c r="A626" s="9"/>
      <c r="B626" s="9"/>
    </row>
    <row r="627">
      <c r="A627" s="9"/>
      <c r="B627" s="9"/>
    </row>
    <row r="628">
      <c r="A628" s="9"/>
      <c r="B628" s="9"/>
    </row>
    <row r="629">
      <c r="A629" s="9"/>
      <c r="B629" s="9"/>
    </row>
    <row r="630">
      <c r="A630" s="9"/>
      <c r="B630" s="9"/>
    </row>
    <row r="631">
      <c r="A631" s="9"/>
      <c r="B631" s="9"/>
    </row>
    <row r="632">
      <c r="A632" s="9"/>
      <c r="B632" s="9"/>
    </row>
    <row r="633">
      <c r="A633" s="9"/>
      <c r="B633" s="9"/>
    </row>
    <row r="634">
      <c r="A634" s="9"/>
      <c r="B634" s="9"/>
    </row>
    <row r="635">
      <c r="A635" s="9"/>
      <c r="B635" s="9"/>
    </row>
    <row r="636">
      <c r="A636" s="9"/>
      <c r="B636" s="9"/>
    </row>
    <row r="637">
      <c r="A637" s="9"/>
      <c r="B637" s="9"/>
    </row>
    <row r="638">
      <c r="A638" s="9"/>
      <c r="B638" s="9"/>
    </row>
    <row r="639">
      <c r="A639" s="9"/>
      <c r="B639" s="9"/>
    </row>
    <row r="640">
      <c r="A640" s="9"/>
      <c r="B640" s="9"/>
    </row>
    <row r="641">
      <c r="A641" s="9"/>
      <c r="B641" s="9"/>
    </row>
    <row r="642">
      <c r="A642" s="9"/>
      <c r="B642" s="9"/>
    </row>
    <row r="643">
      <c r="A643" s="9"/>
      <c r="B643" s="9"/>
    </row>
    <row r="644">
      <c r="A644" s="9"/>
      <c r="B644" s="9"/>
    </row>
    <row r="645">
      <c r="A645" s="9"/>
      <c r="B645" s="9"/>
    </row>
    <row r="646">
      <c r="A646" s="9"/>
      <c r="B646" s="9"/>
    </row>
    <row r="647">
      <c r="A647" s="9"/>
      <c r="B647" s="9"/>
    </row>
    <row r="648">
      <c r="A648" s="9"/>
      <c r="B648" s="9"/>
    </row>
    <row r="649">
      <c r="A649" s="9"/>
      <c r="B649" s="9"/>
    </row>
    <row r="650">
      <c r="A650" s="9"/>
      <c r="B650" s="9"/>
    </row>
    <row r="651">
      <c r="A651" s="9"/>
      <c r="B651" s="9"/>
    </row>
    <row r="652">
      <c r="A652" s="9"/>
      <c r="B652" s="9"/>
    </row>
    <row r="653">
      <c r="A653" s="9"/>
      <c r="B653" s="9"/>
    </row>
    <row r="654">
      <c r="A654" s="9"/>
      <c r="B654" s="9"/>
    </row>
    <row r="655">
      <c r="A655" s="9"/>
      <c r="B655" s="9"/>
    </row>
    <row r="656">
      <c r="A656" s="9"/>
      <c r="B656" s="9"/>
    </row>
    <row r="657">
      <c r="A657" s="9"/>
      <c r="B657" s="9"/>
    </row>
    <row r="658">
      <c r="A658" s="9"/>
      <c r="B658" s="9"/>
    </row>
    <row r="659">
      <c r="A659" s="9"/>
      <c r="B659" s="9"/>
    </row>
    <row r="660">
      <c r="A660" s="9"/>
      <c r="B660" s="9"/>
    </row>
    <row r="661">
      <c r="A661" s="9"/>
      <c r="B661" s="9"/>
    </row>
    <row r="662">
      <c r="A662" s="9"/>
      <c r="B662" s="9"/>
    </row>
    <row r="663">
      <c r="A663" s="9"/>
      <c r="B663" s="9"/>
    </row>
    <row r="664">
      <c r="A664" s="9"/>
      <c r="B664" s="9"/>
    </row>
    <row r="665">
      <c r="A665" s="9"/>
      <c r="B665" s="9"/>
    </row>
    <row r="666">
      <c r="A666" s="9"/>
      <c r="B666" s="9"/>
    </row>
    <row r="667">
      <c r="A667" s="9"/>
      <c r="B667" s="9"/>
    </row>
    <row r="668">
      <c r="A668" s="9"/>
      <c r="B668" s="9"/>
    </row>
    <row r="669">
      <c r="A669" s="9"/>
      <c r="B669" s="9"/>
    </row>
    <row r="670">
      <c r="A670" s="9"/>
      <c r="B670" s="9"/>
    </row>
    <row r="671">
      <c r="A671" s="9"/>
      <c r="B671" s="9"/>
    </row>
    <row r="672">
      <c r="A672" s="9"/>
      <c r="B672" s="9"/>
    </row>
    <row r="673">
      <c r="A673" s="9"/>
      <c r="B673" s="9"/>
    </row>
    <row r="674">
      <c r="A674" s="9"/>
      <c r="B674" s="9"/>
    </row>
    <row r="675">
      <c r="A675" s="9"/>
      <c r="B675" s="9"/>
    </row>
    <row r="676">
      <c r="A676" s="9"/>
      <c r="B676" s="9"/>
    </row>
    <row r="677">
      <c r="A677" s="9"/>
      <c r="B677" s="9"/>
    </row>
    <row r="678">
      <c r="A678" s="9"/>
      <c r="B678" s="9"/>
    </row>
    <row r="679">
      <c r="A679" s="9"/>
      <c r="B679" s="9"/>
    </row>
    <row r="680">
      <c r="A680" s="9"/>
      <c r="B680" s="9"/>
    </row>
    <row r="681">
      <c r="A681" s="9"/>
      <c r="B681" s="9"/>
    </row>
    <row r="682">
      <c r="A682" s="9"/>
      <c r="B682" s="9"/>
    </row>
    <row r="683">
      <c r="A683" s="9"/>
      <c r="B683" s="9"/>
    </row>
    <row r="684">
      <c r="A684" s="9"/>
      <c r="B684" s="9"/>
    </row>
    <row r="685">
      <c r="A685" s="9"/>
      <c r="B685" s="9"/>
    </row>
    <row r="686">
      <c r="A686" s="9"/>
      <c r="B686" s="9"/>
    </row>
    <row r="687">
      <c r="A687" s="9"/>
      <c r="B687" s="9"/>
    </row>
    <row r="688">
      <c r="A688" s="9"/>
      <c r="B688" s="9"/>
    </row>
    <row r="689">
      <c r="A689" s="9"/>
      <c r="B689" s="9"/>
    </row>
    <row r="690">
      <c r="A690" s="9"/>
      <c r="B690" s="9"/>
    </row>
    <row r="691">
      <c r="A691" s="9"/>
      <c r="B691" s="9"/>
    </row>
    <row r="692">
      <c r="A692" s="9"/>
      <c r="B692" s="9"/>
    </row>
    <row r="693">
      <c r="A693" s="9"/>
      <c r="B693" s="9"/>
    </row>
    <row r="694">
      <c r="A694" s="9"/>
      <c r="B694" s="9"/>
    </row>
    <row r="695">
      <c r="A695" s="9"/>
      <c r="B695" s="9"/>
    </row>
    <row r="696">
      <c r="A696" s="9"/>
      <c r="B696" s="9"/>
    </row>
    <row r="697">
      <c r="A697" s="9"/>
      <c r="B697" s="9"/>
    </row>
    <row r="698">
      <c r="A698" s="9"/>
      <c r="B698" s="9"/>
    </row>
    <row r="699">
      <c r="A699" s="9"/>
      <c r="B699" s="9"/>
    </row>
    <row r="700">
      <c r="A700" s="9"/>
      <c r="B700" s="9"/>
    </row>
    <row r="701">
      <c r="A701" s="9"/>
      <c r="B701" s="9"/>
    </row>
    <row r="702">
      <c r="A702" s="9"/>
      <c r="B702" s="9"/>
    </row>
    <row r="703">
      <c r="A703" s="9"/>
      <c r="B703" s="9"/>
    </row>
    <row r="704">
      <c r="A704" s="9"/>
      <c r="B704" s="9"/>
    </row>
    <row r="705">
      <c r="A705" s="9"/>
      <c r="B705" s="9"/>
    </row>
    <row r="706">
      <c r="A706" s="9"/>
      <c r="B706" s="9"/>
    </row>
    <row r="707">
      <c r="A707" s="9"/>
      <c r="B707" s="9"/>
    </row>
    <row r="708">
      <c r="A708" s="9"/>
      <c r="B708" s="9"/>
    </row>
    <row r="709">
      <c r="A709" s="9"/>
      <c r="B709" s="9"/>
    </row>
    <row r="710">
      <c r="A710" s="9"/>
      <c r="B710" s="9"/>
    </row>
    <row r="711">
      <c r="A711" s="9"/>
      <c r="B711" s="9"/>
    </row>
    <row r="712">
      <c r="A712" s="9"/>
      <c r="B712" s="9"/>
    </row>
    <row r="713">
      <c r="A713" s="9"/>
      <c r="B713" s="9"/>
    </row>
    <row r="714">
      <c r="A714" s="9"/>
      <c r="B714" s="9"/>
    </row>
    <row r="715">
      <c r="A715" s="9"/>
      <c r="B715" s="9"/>
    </row>
    <row r="716">
      <c r="A716" s="9"/>
      <c r="B716" s="9"/>
    </row>
    <row r="717">
      <c r="A717" s="9"/>
      <c r="B717" s="9"/>
    </row>
    <row r="718">
      <c r="A718" s="9"/>
      <c r="B718" s="9"/>
    </row>
    <row r="719">
      <c r="A719" s="9"/>
      <c r="B719" s="9"/>
    </row>
    <row r="720">
      <c r="A720" s="9"/>
      <c r="B720" s="9"/>
    </row>
    <row r="721">
      <c r="A721" s="9"/>
      <c r="B721" s="9"/>
    </row>
    <row r="722">
      <c r="A722" s="9"/>
      <c r="B722" s="9"/>
    </row>
    <row r="723">
      <c r="A723" s="9"/>
      <c r="B723" s="9"/>
    </row>
    <row r="724">
      <c r="A724" s="9"/>
      <c r="B724" s="9"/>
    </row>
    <row r="725">
      <c r="A725" s="9"/>
      <c r="B725" s="9"/>
    </row>
    <row r="726">
      <c r="A726" s="9"/>
      <c r="B726" s="9"/>
    </row>
    <row r="727">
      <c r="A727" s="9"/>
      <c r="B727" s="9"/>
    </row>
    <row r="728">
      <c r="A728" s="9"/>
      <c r="B728" s="9"/>
    </row>
    <row r="729">
      <c r="A729" s="9"/>
      <c r="B729" s="9"/>
    </row>
    <row r="730">
      <c r="A730" s="9"/>
      <c r="B730" s="9"/>
    </row>
    <row r="731">
      <c r="A731" s="9"/>
      <c r="B731" s="9"/>
    </row>
    <row r="732">
      <c r="A732" s="9"/>
      <c r="B732" s="9"/>
    </row>
    <row r="733">
      <c r="A733" s="9"/>
      <c r="B733" s="9"/>
    </row>
    <row r="734">
      <c r="A734" s="9"/>
      <c r="B734" s="9"/>
    </row>
    <row r="735">
      <c r="A735" s="9"/>
      <c r="B735" s="9"/>
    </row>
    <row r="736">
      <c r="A736" s="9"/>
      <c r="B736" s="9"/>
    </row>
    <row r="737">
      <c r="A737" s="9"/>
      <c r="B737" s="9"/>
    </row>
    <row r="738">
      <c r="A738" s="9"/>
      <c r="B738" s="9"/>
    </row>
    <row r="739">
      <c r="A739" s="9"/>
      <c r="B739" s="9"/>
    </row>
    <row r="740">
      <c r="A740" s="9"/>
      <c r="B740" s="9"/>
    </row>
    <row r="741">
      <c r="A741" s="9"/>
      <c r="B741" s="9"/>
    </row>
    <row r="742">
      <c r="A742" s="9"/>
      <c r="B742" s="9"/>
    </row>
    <row r="743">
      <c r="A743" s="9"/>
      <c r="B743" s="9"/>
    </row>
    <row r="744">
      <c r="A744" s="9"/>
      <c r="B744" s="9"/>
    </row>
    <row r="745">
      <c r="A745" s="9"/>
      <c r="B745" s="9"/>
    </row>
    <row r="746">
      <c r="A746" s="9"/>
      <c r="B746" s="9"/>
    </row>
    <row r="747">
      <c r="A747" s="9"/>
      <c r="B747" s="9"/>
    </row>
    <row r="748">
      <c r="A748" s="9"/>
      <c r="B748" s="9"/>
    </row>
    <row r="749">
      <c r="A749" s="9"/>
      <c r="B749" s="9"/>
    </row>
    <row r="750">
      <c r="A750" s="9"/>
      <c r="B750" s="9"/>
    </row>
    <row r="751">
      <c r="A751" s="9"/>
      <c r="B751" s="9"/>
    </row>
    <row r="752">
      <c r="A752" s="9"/>
      <c r="B752" s="9"/>
    </row>
    <row r="753">
      <c r="A753" s="9"/>
      <c r="B753" s="9"/>
    </row>
    <row r="754">
      <c r="A754" s="9"/>
      <c r="B754" s="9"/>
    </row>
    <row r="755">
      <c r="A755" s="9"/>
      <c r="B755" s="9"/>
    </row>
    <row r="756">
      <c r="A756" s="9"/>
      <c r="B756" s="9"/>
    </row>
    <row r="757">
      <c r="A757" s="9"/>
      <c r="B757" s="9"/>
    </row>
    <row r="758">
      <c r="A758" s="9"/>
      <c r="B758" s="9"/>
    </row>
    <row r="759">
      <c r="A759" s="9"/>
      <c r="B759" s="9"/>
    </row>
    <row r="760">
      <c r="A760" s="9"/>
      <c r="B760" s="9"/>
    </row>
    <row r="761">
      <c r="A761" s="9"/>
      <c r="B761" s="9"/>
    </row>
    <row r="762">
      <c r="A762" s="9"/>
      <c r="B762" s="9"/>
    </row>
    <row r="763">
      <c r="A763" s="9"/>
      <c r="B763" s="9"/>
    </row>
    <row r="764">
      <c r="A764" s="9"/>
      <c r="B764" s="9"/>
    </row>
    <row r="765">
      <c r="A765" s="9"/>
      <c r="B765" s="9"/>
    </row>
    <row r="766">
      <c r="A766" s="9"/>
      <c r="B766" s="9"/>
    </row>
    <row r="767">
      <c r="A767" s="9"/>
      <c r="B767" s="9"/>
    </row>
    <row r="768">
      <c r="A768" s="9"/>
      <c r="B768" s="9"/>
    </row>
    <row r="769">
      <c r="A769" s="9"/>
      <c r="B769" s="9"/>
    </row>
    <row r="770">
      <c r="A770" s="9"/>
      <c r="B770" s="9"/>
    </row>
    <row r="771">
      <c r="A771" s="9"/>
      <c r="B771" s="9"/>
    </row>
    <row r="772">
      <c r="A772" s="9"/>
      <c r="B772" s="9"/>
    </row>
    <row r="773">
      <c r="A773" s="9"/>
      <c r="B773" s="9"/>
    </row>
    <row r="774">
      <c r="A774" s="9"/>
      <c r="B774" s="9"/>
    </row>
    <row r="775">
      <c r="A775" s="9"/>
      <c r="B775" s="9"/>
    </row>
    <row r="776">
      <c r="A776" s="9"/>
      <c r="B776" s="9"/>
    </row>
    <row r="777">
      <c r="A777" s="9"/>
      <c r="B777" s="9"/>
    </row>
    <row r="778">
      <c r="A778" s="9"/>
      <c r="B778" s="9"/>
    </row>
    <row r="779">
      <c r="A779" s="9"/>
      <c r="B779" s="9"/>
    </row>
    <row r="780">
      <c r="A780" s="9"/>
      <c r="B780" s="9"/>
    </row>
    <row r="781">
      <c r="A781" s="9"/>
      <c r="B781" s="9"/>
    </row>
    <row r="782">
      <c r="A782" s="9"/>
      <c r="B782" s="9"/>
    </row>
    <row r="783">
      <c r="A783" s="9"/>
      <c r="B783" s="9"/>
    </row>
    <row r="784">
      <c r="A784" s="9"/>
      <c r="B784" s="9"/>
    </row>
    <row r="785">
      <c r="A785" s="9"/>
      <c r="B785" s="9"/>
    </row>
    <row r="786">
      <c r="A786" s="9"/>
      <c r="B786" s="9"/>
    </row>
    <row r="787">
      <c r="A787" s="9"/>
      <c r="B787" s="9"/>
    </row>
    <row r="788">
      <c r="A788" s="9"/>
      <c r="B788" s="9"/>
    </row>
    <row r="789">
      <c r="A789" s="9"/>
      <c r="B789" s="9"/>
    </row>
    <row r="790">
      <c r="A790" s="9"/>
      <c r="B790" s="9"/>
    </row>
    <row r="791">
      <c r="A791" s="9"/>
      <c r="B791" s="9"/>
    </row>
    <row r="792">
      <c r="A792" s="9"/>
      <c r="B792" s="9"/>
    </row>
    <row r="793">
      <c r="A793" s="9"/>
      <c r="B793" s="9"/>
    </row>
    <row r="794">
      <c r="A794" s="9"/>
      <c r="B794" s="9"/>
    </row>
    <row r="795">
      <c r="A795" s="9"/>
      <c r="B795" s="9"/>
    </row>
    <row r="796">
      <c r="A796" s="9"/>
      <c r="B796" s="9"/>
    </row>
    <row r="797">
      <c r="A797" s="9"/>
      <c r="B797" s="9"/>
    </row>
    <row r="798">
      <c r="A798" s="9"/>
      <c r="B798" s="9"/>
    </row>
    <row r="799">
      <c r="A799" s="9"/>
      <c r="B799" s="9"/>
    </row>
    <row r="800">
      <c r="A800" s="9"/>
      <c r="B800" s="9"/>
    </row>
    <row r="801">
      <c r="A801" s="9"/>
      <c r="B801" s="9"/>
    </row>
    <row r="802">
      <c r="A802" s="9"/>
      <c r="B802" s="9"/>
    </row>
    <row r="803">
      <c r="A803" s="9"/>
      <c r="B803" s="9"/>
    </row>
    <row r="804">
      <c r="A804" s="9"/>
      <c r="B804" s="9"/>
    </row>
    <row r="805">
      <c r="A805" s="9"/>
      <c r="B805" s="9"/>
    </row>
    <row r="806">
      <c r="A806" s="9"/>
      <c r="B806" s="9"/>
    </row>
    <row r="807">
      <c r="A807" s="9"/>
      <c r="B807" s="9"/>
    </row>
    <row r="808">
      <c r="A808" s="9"/>
      <c r="B808" s="9"/>
    </row>
    <row r="809">
      <c r="A809" s="9"/>
      <c r="B809" s="9"/>
    </row>
    <row r="810">
      <c r="A810" s="9"/>
      <c r="B810" s="9"/>
    </row>
    <row r="811">
      <c r="A811" s="9"/>
      <c r="B811" s="9"/>
    </row>
    <row r="812">
      <c r="A812" s="9"/>
      <c r="B812" s="9"/>
    </row>
    <row r="813">
      <c r="A813" s="9"/>
      <c r="B813" s="9"/>
    </row>
    <row r="814">
      <c r="A814" s="9"/>
      <c r="B814" s="9"/>
    </row>
    <row r="815">
      <c r="A815" s="9"/>
      <c r="B815" s="9"/>
    </row>
    <row r="816">
      <c r="A816" s="9"/>
      <c r="B816" s="9"/>
    </row>
    <row r="817">
      <c r="A817" s="9"/>
      <c r="B817" s="9"/>
    </row>
    <row r="818">
      <c r="A818" s="9"/>
      <c r="B818" s="9"/>
    </row>
    <row r="819">
      <c r="A819" s="9"/>
      <c r="B819" s="9"/>
    </row>
    <row r="820">
      <c r="A820" s="9"/>
      <c r="B820" s="9"/>
    </row>
    <row r="821">
      <c r="A821" s="9"/>
      <c r="B821" s="9"/>
    </row>
    <row r="822">
      <c r="A822" s="9"/>
      <c r="B822" s="9"/>
    </row>
    <row r="823">
      <c r="A823" s="9"/>
      <c r="B823" s="9"/>
    </row>
    <row r="824">
      <c r="A824" s="9"/>
      <c r="B824" s="9"/>
    </row>
    <row r="825">
      <c r="A825" s="9"/>
      <c r="B825" s="9"/>
    </row>
    <row r="826">
      <c r="A826" s="9"/>
      <c r="B826" s="9"/>
    </row>
    <row r="827">
      <c r="A827" s="9"/>
      <c r="B827" s="9"/>
    </row>
    <row r="828">
      <c r="A828" s="9"/>
      <c r="B828" s="9"/>
    </row>
    <row r="829">
      <c r="A829" s="9"/>
      <c r="B829" s="9"/>
    </row>
    <row r="830">
      <c r="A830" s="9"/>
      <c r="B830" s="9"/>
    </row>
    <row r="831">
      <c r="A831" s="9"/>
      <c r="B831" s="9"/>
    </row>
    <row r="832">
      <c r="A832" s="9"/>
      <c r="B832" s="9"/>
    </row>
    <row r="833">
      <c r="A833" s="9"/>
      <c r="B833" s="9"/>
    </row>
    <row r="834">
      <c r="A834" s="9"/>
      <c r="B834" s="9"/>
    </row>
    <row r="835">
      <c r="A835" s="9"/>
      <c r="B835" s="9"/>
    </row>
    <row r="836">
      <c r="A836" s="9"/>
      <c r="B836" s="9"/>
    </row>
    <row r="837">
      <c r="A837" s="9"/>
      <c r="B837" s="9"/>
    </row>
    <row r="838">
      <c r="A838" s="9"/>
      <c r="B838" s="9"/>
    </row>
    <row r="839">
      <c r="A839" s="9"/>
      <c r="B839" s="9"/>
    </row>
    <row r="840">
      <c r="A840" s="9"/>
      <c r="B840" s="9"/>
    </row>
    <row r="841">
      <c r="A841" s="9"/>
      <c r="B841" s="9"/>
    </row>
    <row r="842">
      <c r="A842" s="9"/>
      <c r="B842" s="9"/>
    </row>
    <row r="843">
      <c r="A843" s="9"/>
      <c r="B843" s="9"/>
    </row>
    <row r="844">
      <c r="A844" s="9"/>
      <c r="B844" s="9"/>
    </row>
    <row r="845">
      <c r="A845" s="9"/>
      <c r="B845" s="9"/>
    </row>
    <row r="846">
      <c r="A846" s="9"/>
      <c r="B846" s="9"/>
    </row>
    <row r="847">
      <c r="A847" s="9"/>
      <c r="B847" s="9"/>
    </row>
    <row r="848">
      <c r="A848" s="9"/>
      <c r="B848" s="9"/>
    </row>
    <row r="849">
      <c r="A849" s="9"/>
      <c r="B849" s="9"/>
    </row>
    <row r="850">
      <c r="A850" s="9"/>
      <c r="B850" s="9"/>
    </row>
    <row r="851">
      <c r="A851" s="9"/>
      <c r="B851" s="9"/>
    </row>
    <row r="852">
      <c r="A852" s="9"/>
      <c r="B852" s="9"/>
    </row>
    <row r="853">
      <c r="A853" s="9"/>
      <c r="B853" s="9"/>
    </row>
    <row r="854">
      <c r="A854" s="9"/>
      <c r="B854" s="9"/>
    </row>
    <row r="855">
      <c r="A855" s="9"/>
      <c r="B855" s="9"/>
    </row>
    <row r="856">
      <c r="A856" s="9"/>
      <c r="B856" s="9"/>
    </row>
    <row r="857">
      <c r="A857" s="9"/>
      <c r="B857" s="9"/>
    </row>
    <row r="858">
      <c r="A858" s="9"/>
      <c r="B858" s="9"/>
    </row>
    <row r="859">
      <c r="A859" s="9"/>
      <c r="B859" s="9"/>
    </row>
    <row r="860">
      <c r="A860" s="9"/>
      <c r="B860" s="9"/>
    </row>
    <row r="861">
      <c r="A861" s="9"/>
      <c r="B861" s="9"/>
    </row>
    <row r="862">
      <c r="A862" s="9"/>
      <c r="B862" s="9"/>
    </row>
    <row r="863">
      <c r="A863" s="9"/>
      <c r="B863" s="9"/>
    </row>
    <row r="864">
      <c r="A864" s="9"/>
      <c r="B864" s="9"/>
    </row>
    <row r="865">
      <c r="A865" s="9"/>
      <c r="B865" s="9"/>
    </row>
    <row r="866">
      <c r="A866" s="9"/>
      <c r="B866" s="9"/>
    </row>
    <row r="867">
      <c r="A867" s="9"/>
      <c r="B867" s="9"/>
    </row>
    <row r="868">
      <c r="A868" s="9"/>
      <c r="B868" s="9"/>
    </row>
    <row r="869">
      <c r="A869" s="9"/>
      <c r="B869" s="9"/>
    </row>
    <row r="870">
      <c r="A870" s="9"/>
      <c r="B870" s="9"/>
    </row>
    <row r="871">
      <c r="A871" s="9"/>
      <c r="B871" s="9"/>
    </row>
    <row r="872">
      <c r="A872" s="9"/>
      <c r="B872" s="9"/>
    </row>
    <row r="873">
      <c r="A873" s="9"/>
      <c r="B873" s="9"/>
    </row>
    <row r="874">
      <c r="A874" s="9"/>
      <c r="B874" s="9"/>
    </row>
    <row r="875">
      <c r="A875" s="9"/>
      <c r="B875" s="9"/>
    </row>
    <row r="876">
      <c r="A876" s="9"/>
      <c r="B876" s="9"/>
    </row>
    <row r="877">
      <c r="A877" s="9"/>
      <c r="B877" s="9"/>
    </row>
    <row r="878">
      <c r="A878" s="9"/>
      <c r="B878" s="9"/>
    </row>
    <row r="879">
      <c r="A879" s="9"/>
      <c r="B879" s="9"/>
    </row>
    <row r="880">
      <c r="A880" s="9"/>
      <c r="B880" s="9"/>
    </row>
    <row r="881">
      <c r="A881" s="9"/>
      <c r="B881" s="9"/>
    </row>
    <row r="882">
      <c r="A882" s="9"/>
      <c r="B882" s="9"/>
    </row>
    <row r="883">
      <c r="A883" s="9"/>
      <c r="B883" s="9"/>
    </row>
    <row r="884">
      <c r="A884" s="9"/>
      <c r="B884" s="9"/>
    </row>
    <row r="885">
      <c r="A885" s="9"/>
      <c r="B885" s="9"/>
    </row>
    <row r="886">
      <c r="A886" s="9"/>
      <c r="B886" s="9"/>
    </row>
    <row r="887">
      <c r="A887" s="9"/>
      <c r="B887" s="9"/>
    </row>
    <row r="888">
      <c r="A888" s="9"/>
      <c r="B888" s="9"/>
    </row>
    <row r="889">
      <c r="A889" s="9"/>
      <c r="B889" s="9"/>
    </row>
    <row r="890">
      <c r="A890" s="9"/>
      <c r="B890" s="9"/>
    </row>
    <row r="891">
      <c r="A891" s="9"/>
      <c r="B891" s="9"/>
    </row>
    <row r="892">
      <c r="A892" s="9"/>
      <c r="B892" s="9"/>
    </row>
    <row r="893">
      <c r="A893" s="9"/>
      <c r="B893" s="9"/>
    </row>
    <row r="894">
      <c r="A894" s="9"/>
      <c r="B894" s="9"/>
    </row>
    <row r="895">
      <c r="A895" s="9"/>
      <c r="B895" s="9"/>
    </row>
    <row r="896">
      <c r="A896" s="9"/>
      <c r="B896" s="9"/>
    </row>
    <row r="897">
      <c r="A897" s="9"/>
      <c r="B897" s="9"/>
    </row>
    <row r="898">
      <c r="A898" s="9"/>
      <c r="B898" s="9"/>
    </row>
    <row r="899">
      <c r="A899" s="9"/>
      <c r="B899" s="9"/>
    </row>
    <row r="900">
      <c r="A900" s="9"/>
      <c r="B900" s="9"/>
    </row>
    <row r="901">
      <c r="A901" s="9"/>
      <c r="B901" s="9"/>
    </row>
    <row r="902">
      <c r="A902" s="9"/>
      <c r="B902" s="9"/>
    </row>
    <row r="903">
      <c r="A903" s="9"/>
      <c r="B903" s="9"/>
    </row>
    <row r="904">
      <c r="A904" s="9"/>
      <c r="B904" s="9"/>
    </row>
    <row r="905">
      <c r="A905" s="9"/>
      <c r="B905" s="9"/>
    </row>
    <row r="906">
      <c r="A906" s="9"/>
      <c r="B906" s="9"/>
    </row>
    <row r="907">
      <c r="A907" s="9"/>
      <c r="B907" s="9"/>
    </row>
    <row r="908">
      <c r="A908" s="9"/>
      <c r="B908" s="9"/>
    </row>
    <row r="909">
      <c r="A909" s="9"/>
      <c r="B909" s="9"/>
    </row>
    <row r="910">
      <c r="A910" s="9"/>
      <c r="B910" s="9"/>
    </row>
    <row r="911">
      <c r="A911" s="9"/>
      <c r="B911" s="9"/>
    </row>
    <row r="912">
      <c r="A912" s="9"/>
      <c r="B912" s="9"/>
    </row>
    <row r="913">
      <c r="A913" s="9"/>
      <c r="B913" s="9"/>
    </row>
    <row r="914">
      <c r="A914" s="9"/>
      <c r="B914" s="9"/>
    </row>
    <row r="915">
      <c r="A915" s="9"/>
      <c r="B915" s="9"/>
    </row>
    <row r="916">
      <c r="A916" s="9"/>
      <c r="B916" s="9"/>
    </row>
    <row r="917">
      <c r="A917" s="9"/>
      <c r="B917" s="9"/>
    </row>
    <row r="918">
      <c r="A918" s="9"/>
      <c r="B918" s="9"/>
    </row>
    <row r="919">
      <c r="A919" s="9"/>
      <c r="B919" s="9"/>
    </row>
    <row r="920">
      <c r="A920" s="9"/>
      <c r="B920" s="9"/>
    </row>
    <row r="921">
      <c r="A921" s="9"/>
      <c r="B921" s="9"/>
    </row>
    <row r="922">
      <c r="A922" s="9"/>
      <c r="B922" s="9"/>
    </row>
    <row r="923">
      <c r="A923" s="9"/>
      <c r="B923" s="9"/>
    </row>
    <row r="924">
      <c r="A924" s="9"/>
      <c r="B924" s="9"/>
    </row>
    <row r="925">
      <c r="A925" s="9"/>
      <c r="B925" s="9"/>
    </row>
    <row r="926">
      <c r="A926" s="9"/>
      <c r="B926" s="9"/>
    </row>
    <row r="927">
      <c r="A927" s="9"/>
      <c r="B927" s="9"/>
    </row>
    <row r="928">
      <c r="A928" s="9"/>
      <c r="B928" s="9"/>
    </row>
    <row r="929">
      <c r="A929" s="9"/>
      <c r="B929" s="9"/>
    </row>
    <row r="930">
      <c r="A930" s="9"/>
      <c r="B930" s="9"/>
    </row>
    <row r="931">
      <c r="A931" s="9"/>
      <c r="B931" s="9"/>
    </row>
    <row r="932">
      <c r="A932" s="9"/>
      <c r="B932" s="9"/>
    </row>
    <row r="933">
      <c r="A933" s="9"/>
      <c r="B933" s="9"/>
    </row>
    <row r="934">
      <c r="A934" s="9"/>
      <c r="B934" s="9"/>
    </row>
    <row r="935">
      <c r="A935" s="9"/>
      <c r="B935" s="9"/>
    </row>
    <row r="936">
      <c r="A936" s="9"/>
      <c r="B936" s="9"/>
    </row>
    <row r="937">
      <c r="A937" s="9"/>
      <c r="B937" s="9"/>
    </row>
    <row r="938">
      <c r="A938" s="9"/>
      <c r="B938" s="9"/>
    </row>
    <row r="939">
      <c r="A939" s="9"/>
      <c r="B939" s="9"/>
    </row>
    <row r="940">
      <c r="A940" s="9"/>
      <c r="B940" s="9"/>
    </row>
    <row r="941">
      <c r="A941" s="9"/>
      <c r="B941" s="9"/>
    </row>
    <row r="942">
      <c r="A942" s="9"/>
      <c r="B942" s="9"/>
    </row>
    <row r="943">
      <c r="A943" s="9"/>
      <c r="B943" s="9"/>
    </row>
    <row r="944">
      <c r="A944" s="9"/>
      <c r="B944" s="9"/>
    </row>
    <row r="945">
      <c r="A945" s="9"/>
      <c r="B945" s="9"/>
    </row>
    <row r="946">
      <c r="A946" s="9"/>
      <c r="B946" s="9"/>
    </row>
    <row r="947">
      <c r="A947" s="9"/>
      <c r="B947" s="9"/>
    </row>
    <row r="948">
      <c r="A948" s="9"/>
      <c r="B948" s="9"/>
    </row>
    <row r="949">
      <c r="A949" s="9"/>
      <c r="B949" s="9"/>
    </row>
    <row r="950">
      <c r="A950" s="9"/>
      <c r="B950" s="9"/>
    </row>
    <row r="951">
      <c r="A951" s="9"/>
      <c r="B951" s="9"/>
    </row>
    <row r="952">
      <c r="A952" s="9"/>
      <c r="B952" s="9"/>
    </row>
    <row r="953">
      <c r="A953" s="9"/>
      <c r="B953" s="9"/>
    </row>
    <row r="954">
      <c r="A954" s="9"/>
      <c r="B954" s="9"/>
    </row>
    <row r="955">
      <c r="A955" s="9"/>
      <c r="B955" s="9"/>
    </row>
    <row r="956">
      <c r="A956" s="9"/>
      <c r="B956" s="9"/>
    </row>
    <row r="957">
      <c r="A957" s="9"/>
      <c r="B957" s="9"/>
    </row>
    <row r="958">
      <c r="A958" s="9"/>
      <c r="B958" s="9"/>
    </row>
    <row r="959">
      <c r="A959" s="9"/>
      <c r="B959" s="9"/>
    </row>
    <row r="960">
      <c r="A960" s="9"/>
      <c r="B960" s="9"/>
    </row>
    <row r="961">
      <c r="A961" s="9"/>
      <c r="B961" s="9"/>
    </row>
    <row r="962">
      <c r="A962" s="9"/>
      <c r="B962" s="9"/>
    </row>
    <row r="963">
      <c r="A963" s="9"/>
      <c r="B963" s="9"/>
    </row>
    <row r="964">
      <c r="A964" s="9"/>
      <c r="B964" s="9"/>
    </row>
    <row r="965">
      <c r="A965" s="9"/>
      <c r="B965" s="9"/>
    </row>
    <row r="966">
      <c r="A966" s="9"/>
      <c r="B966" s="9"/>
    </row>
    <row r="967">
      <c r="A967" s="9"/>
      <c r="B967" s="9"/>
    </row>
    <row r="968">
      <c r="A968" s="9"/>
      <c r="B968" s="9"/>
    </row>
    <row r="969">
      <c r="A969" s="9"/>
      <c r="B969" s="9"/>
    </row>
    <row r="970">
      <c r="A970" s="9"/>
      <c r="B970" s="9"/>
    </row>
    <row r="971">
      <c r="A971" s="9"/>
      <c r="B971" s="9"/>
    </row>
    <row r="972">
      <c r="A972" s="9"/>
      <c r="B972" s="9"/>
    </row>
    <row r="973">
      <c r="A973" s="9"/>
      <c r="B973" s="9"/>
    </row>
    <row r="974">
      <c r="A974" s="9"/>
      <c r="B974" s="9"/>
    </row>
    <row r="975">
      <c r="A975" s="9"/>
      <c r="B975" s="9"/>
    </row>
    <row r="976">
      <c r="A976" s="9"/>
      <c r="B976" s="9"/>
    </row>
    <row r="977">
      <c r="A977" s="9"/>
      <c r="B977" s="9"/>
    </row>
    <row r="978">
      <c r="A978" s="9"/>
      <c r="B978" s="9"/>
    </row>
    <row r="979">
      <c r="A979" s="9"/>
      <c r="B979" s="9"/>
    </row>
    <row r="980">
      <c r="A980" s="9"/>
      <c r="B980" s="9"/>
    </row>
    <row r="981">
      <c r="A981" s="9"/>
      <c r="B981" s="9"/>
    </row>
  </sheetData>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90.25"/>
  </cols>
  <sheetData>
    <row r="1">
      <c r="A1" s="12" t="str">
        <f>Entities!A1</f>
        <v>CDA.LS.HCP Kernel Translations, Version 24.8, August 30, 2024</v>
      </c>
      <c r="F1" s="33"/>
    </row>
    <row r="2">
      <c r="A2" s="34" t="s">
        <v>68</v>
      </c>
    </row>
    <row r="3">
      <c r="A3" s="35" t="s">
        <v>69</v>
      </c>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6.88"/>
    <col customWidth="1" min="2" max="2" width="21.75"/>
    <col customWidth="1" min="3" max="3" width="18.0"/>
    <col customWidth="1" min="4" max="4" width="28.63"/>
    <col customWidth="1" min="5" max="12" width="27.13"/>
  </cols>
  <sheetData>
    <row r="1">
      <c r="A1" s="12" t="str">
        <f>Entities!A1</f>
        <v>CDA.LS.HCP Kernel Translations, Version 24.8, August 30, 2024</v>
      </c>
      <c r="B1" s="3"/>
      <c r="D1" s="3"/>
      <c r="E1" s="4"/>
      <c r="F1" s="4"/>
      <c r="G1" s="4"/>
      <c r="H1" s="4"/>
      <c r="I1" s="4"/>
      <c r="J1" s="4"/>
      <c r="K1" s="4"/>
      <c r="L1" s="4"/>
      <c r="M1" s="4"/>
      <c r="N1" s="4"/>
      <c r="O1" s="4"/>
      <c r="P1" s="4"/>
      <c r="Q1" s="4"/>
      <c r="R1" s="4"/>
    </row>
    <row r="2">
      <c r="A2" s="5" t="s">
        <v>24</v>
      </c>
      <c r="B2" s="3"/>
      <c r="D2" s="3"/>
      <c r="E2" s="3"/>
      <c r="F2" s="3"/>
      <c r="G2" s="3"/>
      <c r="H2" s="3"/>
      <c r="I2" s="4"/>
      <c r="J2" s="4"/>
      <c r="K2" s="4"/>
      <c r="L2" s="4"/>
      <c r="M2" s="4"/>
      <c r="N2" s="4"/>
      <c r="O2" s="4"/>
      <c r="P2" s="4"/>
      <c r="Q2" s="4"/>
      <c r="R2" s="4"/>
    </row>
    <row r="3">
      <c r="A3" s="6" t="s">
        <v>25</v>
      </c>
      <c r="B3" s="6" t="s">
        <v>26</v>
      </c>
      <c r="C3" s="6" t="s">
        <v>3</v>
      </c>
      <c r="D3" s="6" t="s">
        <v>27</v>
      </c>
      <c r="E3" s="6" t="s">
        <v>4</v>
      </c>
      <c r="F3" s="6" t="s">
        <v>5</v>
      </c>
      <c r="G3" s="6" t="s">
        <v>6</v>
      </c>
      <c r="H3" s="6" t="s">
        <v>7</v>
      </c>
      <c r="I3" s="6" t="s">
        <v>8</v>
      </c>
      <c r="J3" s="6" t="s">
        <v>9</v>
      </c>
      <c r="K3" s="6" t="s">
        <v>10</v>
      </c>
      <c r="L3" s="6" t="s">
        <v>11</v>
      </c>
      <c r="M3" s="7"/>
      <c r="N3" s="7"/>
      <c r="O3" s="7"/>
      <c r="P3" s="7"/>
      <c r="Q3" s="7"/>
      <c r="R3" s="7"/>
    </row>
    <row r="4">
      <c r="A4" s="8" t="str">
        <f>IFERROR(__xludf.DUMMYFUNCTION("IMPORTRANGE(""https://docs.google.com/spreadsheets/d/1hkTQyimJXJ5gBV9upik5RHrHFAe3cPZji1K6V4uA_cI/edit?pli=1&amp;gid=1869488518#gid=1869488518"",""Attributes!A4:A"")"),"hcp")</f>
        <v>hcp</v>
      </c>
      <c r="B4" s="8" t="str">
        <f>IFERROR(__xludf.DUMMYFUNCTION("IMPORTRANGE(""https://docs.google.com/spreadsheets/d/1hkTQyimJXJ5gBV9upik5RHrHFAe3cPZji1K6V4uA_cI/edit?pli=1&amp;gid=1869488518#gid=1869488518"",""Attributes!B4:B"")"),"Veeva ID")</f>
        <v>Veeva ID</v>
      </c>
      <c r="C4" s="8" t="str">
        <f>IFERROR(__xludf.DUMMYFUNCTION("IMPORTRANGE(""https://docs.google.com/spreadsheets/d/1hkTQyimJXJ5gBV9upik5RHrHFAe3cPZji1K6V4uA_cI/edit?pli=1&amp;gid=1869488518#gid=1869488518"",""Attributes!B4:B"")"),"Veeva ID")</f>
        <v>Veeva ID</v>
      </c>
      <c r="D4" s="2" t="s">
        <v>28</v>
      </c>
      <c r="E4" s="2" t="s">
        <v>29</v>
      </c>
      <c r="F4" s="2" t="s">
        <v>29</v>
      </c>
      <c r="G4" s="2" t="s">
        <v>29</v>
      </c>
      <c r="H4" s="2" t="s">
        <v>29</v>
      </c>
      <c r="I4" s="9" t="str">
        <f>IFERROR(__xludf.DUMMYFUNCTION("GOOGLETRANSLATE(#REF!,""en"",""zh-cn"")"),"#REF!")</f>
        <v>#REF!</v>
      </c>
      <c r="J4" s="2" t="s">
        <v>29</v>
      </c>
      <c r="K4" s="2" t="s">
        <v>29</v>
      </c>
      <c r="L4" s="2" t="s">
        <v>29</v>
      </c>
    </row>
    <row r="5">
      <c r="A5" s="9" t="str">
        <f>IFERROR(__xludf.DUMMYFUNCTION("""COMPUTED_VALUE"""),"hcp")</f>
        <v>hcp</v>
      </c>
      <c r="B5" s="9" t="str">
        <f>IFERROR(__xludf.DUMMYFUNCTION("""COMPUTED_VALUE"""),"First Name")</f>
        <v>First Name</v>
      </c>
      <c r="C5" s="9" t="str">
        <f>IFERROR(__xludf.DUMMYFUNCTION("""COMPUTED_VALUE"""),"First Name")</f>
        <v>First Name</v>
      </c>
      <c r="D5" s="2" t="s">
        <v>28</v>
      </c>
      <c r="E5" s="9" t="str">
        <f>IFERROR(__xludf.DUMMYFUNCTION("GOOGLETRANSLATE(B4,""en"",""de"")"),"Veeva-ID")</f>
        <v>Veeva-ID</v>
      </c>
      <c r="F5" s="9" t="str">
        <f>IFERROR(__xludf.DUMMYFUNCTION("GOOGLETRANSLATE(B4,""en"",""fr"")"),"Identifiant Veeva")</f>
        <v>Identifiant Veeva</v>
      </c>
      <c r="G5" s="9" t="str">
        <f>IFERROR(__xludf.DUMMYFUNCTION("GOOGLETRANSLATE(B4,""en"",""es"")"),"Identificación de Veeva")</f>
        <v>Identificación de Veeva</v>
      </c>
      <c r="H5" s="9" t="str">
        <f>IFERROR(__xludf.DUMMYFUNCTION("GOOGLETRANSLATE($B4,""en"",""it"")"),"ID Veeva")</f>
        <v>ID Veeva</v>
      </c>
      <c r="I5" s="9" t="str">
        <f>IFERROR(__xludf.DUMMYFUNCTION("GOOGLETRANSLATE($B4,""en"",""zh-cn"")"),"Veeva ID")</f>
        <v>Veeva ID</v>
      </c>
      <c r="J5" s="9" t="str">
        <f>IFERROR(__xludf.DUMMYFUNCTION("GOOGLETRANSLATE($B4,""en"",""ja"")"),"ヴィーバID")</f>
        <v>ヴィーバID</v>
      </c>
      <c r="K5" s="9" t="str">
        <f>IFERROR(__xludf.DUMMYFUNCTION("GOOGLETRANSLATE($B4,""en"",""ko"")"),"비바 ID")</f>
        <v>비바 ID</v>
      </c>
      <c r="L5" s="9" t="str">
        <f>IFERROR(__xludf.DUMMYFUNCTION("GOOGLETRANSLATE($B4,""en"",""pt-BR"")"),"ID Veeva")</f>
        <v>ID Veeva</v>
      </c>
    </row>
    <row r="6">
      <c r="A6" s="9" t="str">
        <f>IFERROR(__xludf.DUMMYFUNCTION("""COMPUTED_VALUE"""),"hcp")</f>
        <v>hcp</v>
      </c>
      <c r="B6" s="9" t="str">
        <f>IFERROR(__xludf.DUMMYFUNCTION("""COMPUTED_VALUE"""),"Last Name")</f>
        <v>Last Name</v>
      </c>
      <c r="C6" s="9" t="str">
        <f>IFERROR(__xludf.DUMMYFUNCTION("""COMPUTED_VALUE"""),"Last Name")</f>
        <v>Last Name</v>
      </c>
      <c r="D6" s="2" t="s">
        <v>28</v>
      </c>
      <c r="E6" s="9" t="str">
        <f>IFERROR(__xludf.DUMMYFUNCTION("GOOGLETRANSLATE(B6,""en"",""de"")"),"Nachname")</f>
        <v>Nachname</v>
      </c>
      <c r="F6" s="9" t="str">
        <f>IFERROR(__xludf.DUMMYFUNCTION("GOOGLETRANSLATE(B6,""en"",""fr"")"),"Nom de famille")</f>
        <v>Nom de famille</v>
      </c>
      <c r="G6" s="9" t="str">
        <f>IFERROR(__xludf.DUMMYFUNCTION("GOOGLETRANSLATE(B6,""en"",""es"")"),"Apellido")</f>
        <v>Apellido</v>
      </c>
      <c r="H6" s="9" t="str">
        <f>IFERROR(__xludf.DUMMYFUNCTION("GOOGLETRANSLATE($B6,""en"",""it"")"),"Cognome")</f>
        <v>Cognome</v>
      </c>
      <c r="I6" s="9" t="str">
        <f>IFERROR(__xludf.DUMMYFUNCTION("GOOGLETRANSLATE($B6,""en"",""zh-cn"")"),"姓")</f>
        <v>姓</v>
      </c>
      <c r="J6" s="9" t="str">
        <f>IFERROR(__xludf.DUMMYFUNCTION("GOOGLETRANSLATE($B6,""en"",""ja"")"),"苗字")</f>
        <v>苗字</v>
      </c>
      <c r="K6" s="9" t="str">
        <f>IFERROR(__xludf.DUMMYFUNCTION("GOOGLETRANSLATE($B6,""en"",""ko"")"),"성")</f>
        <v>성</v>
      </c>
      <c r="L6" s="9" t="str">
        <f>IFERROR(__xludf.DUMMYFUNCTION("GOOGLETRANSLATE($B6,""en"",""pt-BR"")"),"Sobrenome")</f>
        <v>Sobrenome</v>
      </c>
    </row>
    <row r="7">
      <c r="A7" s="9" t="str">
        <f>IFERROR(__xludf.DUMMYFUNCTION("""COMPUTED_VALUE"""),"hcp")</f>
        <v>hcp</v>
      </c>
      <c r="B7" s="9" t="str">
        <f>IFERROR(__xludf.DUMMYFUNCTION("""COMPUTED_VALUE"""),"Middle Name")</f>
        <v>Middle Name</v>
      </c>
      <c r="C7" s="9" t="str">
        <f>IFERROR(__xludf.DUMMYFUNCTION("""COMPUTED_VALUE"""),"Middle Name")</f>
        <v>Middle Name</v>
      </c>
      <c r="D7" s="2" t="s">
        <v>28</v>
      </c>
      <c r="E7" s="9" t="str">
        <f>IFERROR(__xludf.DUMMYFUNCTION("GOOGLETRANSLATE(B7,""en"",""de"")"),"Zweiter Vorname")</f>
        <v>Zweiter Vorname</v>
      </c>
      <c r="F7" s="9" t="str">
        <f>IFERROR(__xludf.DUMMYFUNCTION("GOOGLETRANSLATE(B7,""en"",""fr"")"),"Deuxième prénom")</f>
        <v>Deuxième prénom</v>
      </c>
      <c r="G7" s="9" t="str">
        <f>IFERROR(__xludf.DUMMYFUNCTION("GOOGLETRANSLATE(B7,""en"",""es"")"),"Segundo nombre")</f>
        <v>Segundo nombre</v>
      </c>
      <c r="H7" s="9" t="str">
        <f>IFERROR(__xludf.DUMMYFUNCTION("GOOGLETRANSLATE($B7,""en"",""it"")"),"Secondo nome")</f>
        <v>Secondo nome</v>
      </c>
      <c r="I7" s="9" t="str">
        <f>IFERROR(__xludf.DUMMYFUNCTION("GOOGLETRANSLATE($B7,""en"",""zh-cn"")"),"中间名字")</f>
        <v>中间名字</v>
      </c>
      <c r="J7" s="9" t="str">
        <f>IFERROR(__xludf.DUMMYFUNCTION("GOOGLETRANSLATE($B7,""en"",""ja"")"),"ミドルネーム")</f>
        <v>ミドルネーム</v>
      </c>
      <c r="K7" s="9" t="str">
        <f>IFERROR(__xludf.DUMMYFUNCTION("GOOGLETRANSLATE($B7,""en"",""ko"")"),"중간 이름")</f>
        <v>중간 이름</v>
      </c>
      <c r="L7" s="9" t="str">
        <f>IFERROR(__xludf.DUMMYFUNCTION("GOOGLETRANSLATE($B7,""en"",""pt-BR"")"),"Nome do meio")</f>
        <v>Nome do meio</v>
      </c>
    </row>
    <row r="8">
      <c r="A8" s="9" t="str">
        <f>IFERROR(__xludf.DUMMYFUNCTION("""COMPUTED_VALUE"""),"hcp")</f>
        <v>hcp</v>
      </c>
      <c r="B8" s="9" t="str">
        <f>IFERROR(__xludf.DUMMYFUNCTION("""COMPUTED_VALUE"""),"Prefix")</f>
        <v>Prefix</v>
      </c>
      <c r="C8" s="9" t="str">
        <f>IFERROR(__xludf.DUMMYFUNCTION("""COMPUTED_VALUE"""),"Prefix")</f>
        <v>Prefix</v>
      </c>
      <c r="D8" s="2" t="s">
        <v>28</v>
      </c>
      <c r="E8" s="9" t="str">
        <f>IFERROR(__xludf.DUMMYFUNCTION("GOOGLETRANSLATE(B8,""en"",""de"")"),"Präfix")</f>
        <v>Präfix</v>
      </c>
      <c r="F8" s="9" t="str">
        <f>IFERROR(__xludf.DUMMYFUNCTION("GOOGLETRANSLATE(B8,""en"",""fr"")"),"Préfixe")</f>
        <v>Préfixe</v>
      </c>
      <c r="G8" s="9" t="str">
        <f>IFERROR(__xludf.DUMMYFUNCTION("GOOGLETRANSLATE(B8,""en"",""es"")"),"Prefijo")</f>
        <v>Prefijo</v>
      </c>
      <c r="H8" s="9" t="str">
        <f>IFERROR(__xludf.DUMMYFUNCTION("GOOGLETRANSLATE($B8,""en"",""it"")"),"Prefisso")</f>
        <v>Prefisso</v>
      </c>
      <c r="I8" s="9" t="str">
        <f>IFERROR(__xludf.DUMMYFUNCTION("GOOGLETRANSLATE($B8,""en"",""zh-cn"")"),"前缀")</f>
        <v>前缀</v>
      </c>
      <c r="J8" s="9" t="str">
        <f>IFERROR(__xludf.DUMMYFUNCTION("GOOGLETRANSLATE($B8,""en"",""ja"")"),"プレフィックス")</f>
        <v>プレフィックス</v>
      </c>
      <c r="K8" s="9" t="str">
        <f>IFERROR(__xludf.DUMMYFUNCTION("GOOGLETRANSLATE($B8,""en"",""ko"")"),"접두사")</f>
        <v>접두사</v>
      </c>
      <c r="L8" s="9" t="str">
        <f>IFERROR(__xludf.DUMMYFUNCTION("GOOGLETRANSLATE($B8,""en"",""pt-BR"")"),"Prefixo")</f>
        <v>Prefixo</v>
      </c>
    </row>
    <row r="9">
      <c r="A9" s="9" t="str">
        <f>IFERROR(__xludf.DUMMYFUNCTION("""COMPUTED_VALUE"""),"hcp")</f>
        <v>hcp</v>
      </c>
      <c r="B9" s="9" t="str">
        <f>IFERROR(__xludf.DUMMYFUNCTION("""COMPUTED_VALUE"""),"Suffix")</f>
        <v>Suffix</v>
      </c>
      <c r="C9" s="9" t="str">
        <f>IFERROR(__xludf.DUMMYFUNCTION("""COMPUTED_VALUE"""),"Suffix")</f>
        <v>Suffix</v>
      </c>
      <c r="D9" s="2" t="s">
        <v>28</v>
      </c>
      <c r="E9" s="9" t="str">
        <f>IFERROR(__xludf.DUMMYFUNCTION("GOOGLETRANSLATE(B9,""en"",""de"")"),"Suffix")</f>
        <v>Suffix</v>
      </c>
      <c r="F9" s="9" t="str">
        <f>IFERROR(__xludf.DUMMYFUNCTION("GOOGLETRANSLATE(B9,""en"",""fr"")"),"Suffixe")</f>
        <v>Suffixe</v>
      </c>
      <c r="G9" s="9" t="str">
        <f>IFERROR(__xludf.DUMMYFUNCTION("GOOGLETRANSLATE(B9,""en"",""es"")"),"Sufijo")</f>
        <v>Sufijo</v>
      </c>
      <c r="H9" s="9" t="str">
        <f>IFERROR(__xludf.DUMMYFUNCTION("GOOGLETRANSLATE($B9,""en"",""it"")"),"Suffisso")</f>
        <v>Suffisso</v>
      </c>
      <c r="I9" s="9" t="str">
        <f>IFERROR(__xludf.DUMMYFUNCTION("GOOGLETRANSLATE($B9,""en"",""zh-cn"")"),"后缀")</f>
        <v>后缀</v>
      </c>
      <c r="J9" s="9" t="str">
        <f>IFERROR(__xludf.DUMMYFUNCTION("GOOGLETRANSLATE($B9,""en"",""ja"")"),"サフィックス")</f>
        <v>サフィックス</v>
      </c>
      <c r="K9" s="9" t="str">
        <f>IFERROR(__xludf.DUMMYFUNCTION("GOOGLETRANSLATE($B9,""en"",""ko"")"),"접미사")</f>
        <v>접미사</v>
      </c>
      <c r="L9" s="9" t="str">
        <f>IFERROR(__xludf.DUMMYFUNCTION("GOOGLETRANSLATE($B9,""en"",""pt-BR"")"),"Sufixo")</f>
        <v>Sufixo</v>
      </c>
    </row>
    <row r="10">
      <c r="A10" s="9" t="str">
        <f>IFERROR(__xludf.DUMMYFUNCTION("""COMPUTED_VALUE"""),"hcp")</f>
        <v>hcp</v>
      </c>
      <c r="B10" s="9" t="str">
        <f>IFERROR(__xludf.DUMMYFUNCTION("""COMPUTED_VALUE"""),"Primary Language")</f>
        <v>Primary Language</v>
      </c>
      <c r="C10" s="9" t="str">
        <f>IFERROR(__xludf.DUMMYFUNCTION("""COMPUTED_VALUE"""),"Primary Language")</f>
        <v>Primary Language</v>
      </c>
      <c r="D10" s="13" t="s">
        <v>30</v>
      </c>
      <c r="E10" s="9" t="str">
        <f>IFERROR(__xludf.DUMMYFUNCTION("GOOGLETRANSLATE(B10,""en"",""de"")"),"Primärsprache")</f>
        <v>Primärsprache</v>
      </c>
      <c r="F10" s="9" t="str">
        <f>IFERROR(__xludf.DUMMYFUNCTION("GOOGLETRANSLATE(B10,""en"",""fr"")"),"Langue principale")</f>
        <v>Langue principale</v>
      </c>
      <c r="G10" s="9" t="str">
        <f>IFERROR(__xludf.DUMMYFUNCTION("GOOGLETRANSLATE(B10,""en"",""es"")"),"Idioma principal")</f>
        <v>Idioma principal</v>
      </c>
      <c r="H10" s="9" t="str">
        <f>IFERROR(__xludf.DUMMYFUNCTION("GOOGLETRANSLATE($B10,""en"",""it"")"),"Lingua primaria")</f>
        <v>Lingua primaria</v>
      </c>
      <c r="I10" s="9" t="str">
        <f>IFERROR(__xludf.DUMMYFUNCTION("GOOGLETRANSLATE($B10,""en"",""zh-cn"")"),"主要语言")</f>
        <v>主要语言</v>
      </c>
      <c r="J10" s="9" t="str">
        <f>IFERROR(__xludf.DUMMYFUNCTION("GOOGLETRANSLATE($B10,""en"",""ja"")"),"第一言語")</f>
        <v>第一言語</v>
      </c>
      <c r="K10" s="9" t="str">
        <f>IFERROR(__xludf.DUMMYFUNCTION("GOOGLETRANSLATE($B10,""en"",""ko"")"),"기본 언어")</f>
        <v>기본 언어</v>
      </c>
      <c r="L10" s="9" t="str">
        <f>IFERROR(__xludf.DUMMYFUNCTION("GOOGLETRANSLATE($B10,""en"",""pt-BR"")"),"Idioma principal")</f>
        <v>Idioma principal</v>
      </c>
    </row>
    <row r="11">
      <c r="A11" s="9" t="str">
        <f>IFERROR(__xludf.DUMMYFUNCTION("""COMPUTED_VALUE"""),"hcp")</f>
        <v>hcp</v>
      </c>
      <c r="B11" s="9" t="str">
        <f>IFERROR(__xludf.DUMMYFUNCTION("""COMPUTED_VALUE"""),"Year of Birth")</f>
        <v>Year of Birth</v>
      </c>
      <c r="C11" s="9" t="str">
        <f>IFERROR(__xludf.DUMMYFUNCTION("""COMPUTED_VALUE"""),"Year of Birth")</f>
        <v>Year of Birth</v>
      </c>
      <c r="D11" s="2" t="s">
        <v>28</v>
      </c>
      <c r="E11" s="9" t="str">
        <f>IFERROR(__xludf.DUMMYFUNCTION("GOOGLETRANSLATE(B11,""en"",""de"")"),"Geburtsjahr")</f>
        <v>Geburtsjahr</v>
      </c>
      <c r="F11" s="9" t="str">
        <f>IFERROR(__xludf.DUMMYFUNCTION("GOOGLETRANSLATE(B11,""en"",""fr"")"),"Année de naissance")</f>
        <v>Année de naissance</v>
      </c>
      <c r="G11" s="9" t="str">
        <f>IFERROR(__xludf.DUMMYFUNCTION("GOOGLETRANSLATE(B11,""en"",""es"")"),"Año de nacimiento")</f>
        <v>Año de nacimiento</v>
      </c>
      <c r="H11" s="9" t="str">
        <f>IFERROR(__xludf.DUMMYFUNCTION("GOOGLETRANSLATE($B11,""en"",""it"")"),"Anno di nascita")</f>
        <v>Anno di nascita</v>
      </c>
      <c r="I11" s="9" t="str">
        <f>IFERROR(__xludf.DUMMYFUNCTION("GOOGLETRANSLATE($B11,""en"",""zh-cn"")"),"出生年份")</f>
        <v>出生年份</v>
      </c>
      <c r="J11" s="9" t="str">
        <f>IFERROR(__xludf.DUMMYFUNCTION("GOOGLETRANSLATE($B11,""en"",""ja"")"),"生年")</f>
        <v>生年</v>
      </c>
      <c r="K11" s="9" t="str">
        <f>IFERROR(__xludf.DUMMYFUNCTION("GOOGLETRANSLATE($B11,""en"",""ko"")"),"출생연도")</f>
        <v>출생연도</v>
      </c>
      <c r="L11" s="9" t="str">
        <f>IFERROR(__xludf.DUMMYFUNCTION("GOOGLETRANSLATE($B11,""en"",""pt-BR"")"),"Ano de Nascimento")</f>
        <v>Ano de Nascimento</v>
      </c>
    </row>
    <row r="12">
      <c r="A12" s="9" t="str">
        <f>IFERROR(__xludf.DUMMYFUNCTION("""COMPUTED_VALUE"""),"hcp")</f>
        <v>hcp</v>
      </c>
      <c r="B12" s="9" t="str">
        <f>IFERROR(__xludf.DUMMYFUNCTION("""COMPUTED_VALUE"""),"Age Range")</f>
        <v>Age Range</v>
      </c>
      <c r="C12" s="9" t="str">
        <f>IFERROR(__xludf.DUMMYFUNCTION("""COMPUTED_VALUE"""),"Age Range")</f>
        <v>Age Range</v>
      </c>
      <c r="D12" s="13" t="s">
        <v>31</v>
      </c>
      <c r="E12" s="9" t="str">
        <f>IFERROR(__xludf.DUMMYFUNCTION("GOOGLETRANSLATE(B12,""en"",""de"")"),"Altersspanne")</f>
        <v>Altersspanne</v>
      </c>
      <c r="F12" s="9" t="str">
        <f>IFERROR(__xludf.DUMMYFUNCTION("GOOGLETRANSLATE(B12,""en"",""fr"")"),"Tranche d'âge")</f>
        <v>Tranche d'âge</v>
      </c>
      <c r="G12" s="9" t="str">
        <f>IFERROR(__xludf.DUMMYFUNCTION("GOOGLETRANSLATE(B12,""en"",""es"")"),"Rango de edad")</f>
        <v>Rango de edad</v>
      </c>
      <c r="H12" s="9" t="str">
        <f>IFERROR(__xludf.DUMMYFUNCTION("GOOGLETRANSLATE($B12,""en"",""it"")"),"Fascia d'età")</f>
        <v>Fascia d'età</v>
      </c>
      <c r="I12" s="9" t="str">
        <f>IFERROR(__xludf.DUMMYFUNCTION("GOOGLETRANSLATE($B12,""en"",""zh-cn"")"),"年龄范围")</f>
        <v>年龄范围</v>
      </c>
      <c r="J12" s="9" t="str">
        <f>IFERROR(__xludf.DUMMYFUNCTION("GOOGLETRANSLATE($B12,""en"",""ja"")"),"年齢層")</f>
        <v>年齢層</v>
      </c>
      <c r="K12" s="9" t="str">
        <f>IFERROR(__xludf.DUMMYFUNCTION("GOOGLETRANSLATE($B12,""en"",""ko"")"),"연령대")</f>
        <v>연령대</v>
      </c>
      <c r="L12" s="9" t="str">
        <f>IFERROR(__xludf.DUMMYFUNCTION("GOOGLETRANSLATE($B12,""en"",""pt-BR"")"),"Faixa etária")</f>
        <v>Faixa etária</v>
      </c>
    </row>
    <row r="13">
      <c r="A13" s="9" t="str">
        <f>IFERROR(__xludf.DUMMYFUNCTION("""COMPUTED_VALUE"""),"hcp")</f>
        <v>hcp</v>
      </c>
      <c r="B13" s="9" t="str">
        <f>IFERROR(__xludf.DUMMYFUNCTION("""COMPUTED_VALUE"""),"Primary Email")</f>
        <v>Primary Email</v>
      </c>
      <c r="C13" s="9" t="str">
        <f>IFERROR(__xludf.DUMMYFUNCTION("""COMPUTED_VALUE"""),"Primary Email")</f>
        <v>Primary Email</v>
      </c>
      <c r="D13" s="2" t="s">
        <v>28</v>
      </c>
      <c r="E13" s="9" t="str">
        <f>IFERROR(__xludf.DUMMYFUNCTION("GOOGLETRANSLATE(B13,""en"",""de"")"),"Primäre E-Mail")</f>
        <v>Primäre E-Mail</v>
      </c>
      <c r="F13" s="9" t="str">
        <f>IFERROR(__xludf.DUMMYFUNCTION("GOOGLETRANSLATE(B13,""en"",""fr"")"),"E-mail principal")</f>
        <v>E-mail principal</v>
      </c>
      <c r="G13" s="9" t="str">
        <f>IFERROR(__xludf.DUMMYFUNCTION("GOOGLETRANSLATE(B13,""en"",""es"")"),"Correo electrónico principal")</f>
        <v>Correo electrónico principal</v>
      </c>
      <c r="H13" s="9" t="str">
        <f>IFERROR(__xludf.DUMMYFUNCTION("GOOGLETRANSLATE($B13,""en"",""it"")"),"E-mail principale")</f>
        <v>E-mail principale</v>
      </c>
      <c r="I13" s="9" t="str">
        <f>IFERROR(__xludf.DUMMYFUNCTION("GOOGLETRANSLATE($B13,""en"",""zh-cn"")"),"主要电子邮件")</f>
        <v>主要电子邮件</v>
      </c>
      <c r="J13" s="9" t="str">
        <f>IFERROR(__xludf.DUMMYFUNCTION("GOOGLETRANSLATE($B13,""en"",""ja"")"),"プライマリメールアドレス")</f>
        <v>プライマリメールアドレス</v>
      </c>
      <c r="K13" s="9" t="str">
        <f>IFERROR(__xludf.DUMMYFUNCTION("GOOGLETRANSLATE($B13,""en"",""ko"")"),"기본 이메일")</f>
        <v>기본 이메일</v>
      </c>
      <c r="L13" s="9" t="str">
        <f>IFERROR(__xludf.DUMMYFUNCTION("GOOGLETRANSLATE($B13,""en"",""pt-BR"")"),"E-mail principal")</f>
        <v>E-mail principal</v>
      </c>
    </row>
    <row r="14">
      <c r="A14" s="9" t="str">
        <f>IFERROR(__xludf.DUMMYFUNCTION("""COMPUTED_VALUE"""),"hcp")</f>
        <v>hcp</v>
      </c>
      <c r="B14" s="9" t="str">
        <f>IFERROR(__xludf.DUMMYFUNCTION("""COMPUTED_VALUE"""),"Mobile Phone")</f>
        <v>Mobile Phone</v>
      </c>
      <c r="C14" s="9" t="str">
        <f>IFERROR(__xludf.DUMMYFUNCTION("""COMPUTED_VALUE"""),"Mobile Phone")</f>
        <v>Mobile Phone</v>
      </c>
      <c r="D14" s="2" t="s">
        <v>28</v>
      </c>
      <c r="E14" s="9" t="str">
        <f>IFERROR(__xludf.DUMMYFUNCTION("GOOGLETRANSLATE(B14,""en"",""de"")"),"Mobiltelefon")</f>
        <v>Mobiltelefon</v>
      </c>
      <c r="F14" s="9" t="str">
        <f>IFERROR(__xludf.DUMMYFUNCTION("GOOGLETRANSLATE(B14,""en"",""fr"")"),"Téléphone mobile")</f>
        <v>Téléphone mobile</v>
      </c>
      <c r="G14" s="9" t="str">
        <f>IFERROR(__xludf.DUMMYFUNCTION("GOOGLETRANSLATE(B14,""en"",""es"")"),"Teléfono móvil")</f>
        <v>Teléfono móvil</v>
      </c>
      <c r="H14" s="9" t="str">
        <f>IFERROR(__xludf.DUMMYFUNCTION("GOOGLETRANSLATE($B14,""en"",""it"")"),"Telefono cellulare")</f>
        <v>Telefono cellulare</v>
      </c>
      <c r="I14" s="9" t="str">
        <f>IFERROR(__xludf.DUMMYFUNCTION("GOOGLETRANSLATE($B14,""en"",""zh-cn"")"),"手机")</f>
        <v>手机</v>
      </c>
      <c r="J14" s="9" t="str">
        <f>IFERROR(__xludf.DUMMYFUNCTION("GOOGLETRANSLATE($B14,""en"",""ja"")"),"携帯電話")</f>
        <v>携帯電話</v>
      </c>
      <c r="K14" s="9" t="str">
        <f>IFERROR(__xludf.DUMMYFUNCTION("GOOGLETRANSLATE($B14,""en"",""ko"")"),"휴대전화")</f>
        <v>휴대전화</v>
      </c>
      <c r="L14" s="9" t="str">
        <f>IFERROR(__xludf.DUMMYFUNCTION("GOOGLETRANSLATE($B14,""en"",""pt-BR"")"),"Celular")</f>
        <v>Celular</v>
      </c>
    </row>
    <row r="15">
      <c r="A15" s="9" t="str">
        <f>IFERROR(__xludf.DUMMYFUNCTION("""COMPUTED_VALUE"""),"hcp")</f>
        <v>hcp</v>
      </c>
      <c r="B15" s="9" t="str">
        <f>IFERROR(__xludf.DUMMYFUNCTION("""COMPUTED_VALUE"""),"Office Phone")</f>
        <v>Office Phone</v>
      </c>
      <c r="C15" s="9" t="str">
        <f>IFERROR(__xludf.DUMMYFUNCTION("""COMPUTED_VALUE"""),"Office Phone")</f>
        <v>Office Phone</v>
      </c>
      <c r="D15" s="2" t="s">
        <v>28</v>
      </c>
      <c r="E15" s="9" t="str">
        <f>IFERROR(__xludf.DUMMYFUNCTION("GOOGLETRANSLATE(B15,""en"",""de"")"),"Bürotelefon")</f>
        <v>Bürotelefon</v>
      </c>
      <c r="F15" s="9" t="str">
        <f>IFERROR(__xludf.DUMMYFUNCTION("GOOGLETRANSLATE(B15,""en"",""fr"")"),"Téléphone de bureau")</f>
        <v>Téléphone de bureau</v>
      </c>
      <c r="G15" s="9" t="str">
        <f>IFERROR(__xludf.DUMMYFUNCTION("GOOGLETRANSLATE(B15,""en"",""es"")"),"Teléfono de oficina")</f>
        <v>Teléfono de oficina</v>
      </c>
      <c r="H15" s="9" t="str">
        <f>IFERROR(__xludf.DUMMYFUNCTION("GOOGLETRANSLATE($B15,""en"",""it"")"),"Telefono dell'ufficio")</f>
        <v>Telefono dell'ufficio</v>
      </c>
      <c r="I15" s="9" t="str">
        <f>IFERROR(__xludf.DUMMYFUNCTION("GOOGLETRANSLATE($B15,""en"",""zh-cn"")"),"办公电话")</f>
        <v>办公电话</v>
      </c>
      <c r="J15" s="9" t="str">
        <f>IFERROR(__xludf.DUMMYFUNCTION("GOOGLETRANSLATE($B15,""en"",""ja"")"),"オフィスの電話")</f>
        <v>オフィスの電話</v>
      </c>
      <c r="K15" s="9" t="str">
        <f>IFERROR(__xludf.DUMMYFUNCTION("GOOGLETRANSLATE($B15,""en"",""ko"")"),"사무실 전화")</f>
        <v>사무실 전화</v>
      </c>
      <c r="L15" s="9" t="str">
        <f>IFERROR(__xludf.DUMMYFUNCTION("GOOGLETRANSLATE($B15,""en"",""pt-BR"")"),"Telefone do escritório")</f>
        <v>Telefone do escritório</v>
      </c>
    </row>
    <row r="16">
      <c r="A16" s="9" t="str">
        <f>IFERROR(__xludf.DUMMYFUNCTION("""COMPUTED_VALUE"""),"hcp")</f>
        <v>hcp</v>
      </c>
      <c r="B16" s="9" t="str">
        <f>IFERROR(__xludf.DUMMYFUNCTION("""COMPUTED_VALUE"""),"Fax")</f>
        <v>Fax</v>
      </c>
      <c r="C16" s="9" t="str">
        <f>IFERROR(__xludf.DUMMYFUNCTION("""COMPUTED_VALUE"""),"Fax")</f>
        <v>Fax</v>
      </c>
      <c r="D16" s="2" t="s">
        <v>28</v>
      </c>
      <c r="E16" s="9" t="str">
        <f>IFERROR(__xludf.DUMMYFUNCTION("GOOGLETRANSLATE(B16,""en"",""de"")"),"Fax")</f>
        <v>Fax</v>
      </c>
      <c r="F16" s="9" t="str">
        <f>IFERROR(__xludf.DUMMYFUNCTION("GOOGLETRANSLATE(B16,""en"",""fr"")"),"Fax")</f>
        <v>Fax</v>
      </c>
      <c r="G16" s="9" t="str">
        <f>IFERROR(__xludf.DUMMYFUNCTION("GOOGLETRANSLATE(B16,""en"",""es"")"),"Fax")</f>
        <v>Fax</v>
      </c>
      <c r="H16" s="9" t="str">
        <f>IFERROR(__xludf.DUMMYFUNCTION("GOOGLETRANSLATE($B16,""en"",""it"")"),"Fax")</f>
        <v>Fax</v>
      </c>
      <c r="I16" s="9" t="str">
        <f>IFERROR(__xludf.DUMMYFUNCTION("GOOGLETRANSLATE($B16,""en"",""zh-cn"")"),"传真")</f>
        <v>传真</v>
      </c>
      <c r="J16" s="9" t="str">
        <f>IFERROR(__xludf.DUMMYFUNCTION("GOOGLETRANSLATE($B16,""en"",""ja"")"),"ファックス")</f>
        <v>ファックス</v>
      </c>
      <c r="K16" s="9" t="str">
        <f>IFERROR(__xludf.DUMMYFUNCTION("GOOGLETRANSLATE($B16,""en"",""ko"")"),"팩스")</f>
        <v>팩스</v>
      </c>
      <c r="L16" s="9" t="str">
        <f>IFERROR(__xludf.DUMMYFUNCTION("GOOGLETRANSLATE($B16,""en"",""pt-BR"")"),"Fax")</f>
        <v>Fax</v>
      </c>
    </row>
    <row r="17">
      <c r="A17" s="9" t="str">
        <f>IFERROR(__xludf.DUMMYFUNCTION("""COMPUTED_VALUE"""),"hcp")</f>
        <v>hcp</v>
      </c>
      <c r="B17" s="9" t="str">
        <f>IFERROR(__xludf.DUMMYFUNCTION("""COMPUTED_VALUE"""),"Primary Country")</f>
        <v>Primary Country</v>
      </c>
      <c r="C17" s="9" t="str">
        <f>IFERROR(__xludf.DUMMYFUNCTION("""COMPUTED_VALUE"""),"Primary Country")</f>
        <v>Primary Country</v>
      </c>
      <c r="D17" s="13" t="s">
        <v>32</v>
      </c>
      <c r="E17" s="9" t="str">
        <f>IFERROR(__xludf.DUMMYFUNCTION("GOOGLETRANSLATE(B17,""en"",""de"")"),"Primäres Land")</f>
        <v>Primäres Land</v>
      </c>
      <c r="F17" s="9" t="str">
        <f>IFERROR(__xludf.DUMMYFUNCTION("GOOGLETRANSLATE(B17,""en"",""fr"")"),"Pays principal")</f>
        <v>Pays principal</v>
      </c>
      <c r="G17" s="9" t="str">
        <f>IFERROR(__xludf.DUMMYFUNCTION("GOOGLETRANSLATE(B17,""en"",""es"")"),"País primario")</f>
        <v>País primario</v>
      </c>
      <c r="H17" s="9" t="str">
        <f>IFERROR(__xludf.DUMMYFUNCTION("GOOGLETRANSLATE($B17,""en"",""it"")"),"Paese principale")</f>
        <v>Paese principale</v>
      </c>
      <c r="I17" s="9" t="str">
        <f>IFERROR(__xludf.DUMMYFUNCTION("GOOGLETRANSLATE($B17,""en"",""zh-cn"")"),"主要国家")</f>
        <v>主要国家</v>
      </c>
      <c r="J17" s="9" t="str">
        <f>IFERROR(__xludf.DUMMYFUNCTION("GOOGLETRANSLATE($B17,""en"",""ja"")"),"主な国")</f>
        <v>主な国</v>
      </c>
      <c r="K17" s="9" t="str">
        <f>IFERROR(__xludf.DUMMYFUNCTION("GOOGLETRANSLATE($B17,""en"",""ko"")"),"기본 국가")</f>
        <v>기본 국가</v>
      </c>
      <c r="L17" s="9" t="str">
        <f>IFERROR(__xludf.DUMMYFUNCTION("GOOGLETRANSLATE($B17,""en"",""pt-BR"")"),"País principal")</f>
        <v>País principal</v>
      </c>
    </row>
    <row r="18">
      <c r="A18" s="9" t="str">
        <f>IFERROR(__xludf.DUMMYFUNCTION("""COMPUTED_VALUE"""),"hcp")</f>
        <v>hcp</v>
      </c>
      <c r="B18" s="9" t="str">
        <f>IFERROR(__xludf.DUMMYFUNCTION("""COMPUTED_VALUE"""),"Primary State")</f>
        <v>Primary State</v>
      </c>
      <c r="C18" s="9" t="str">
        <f>IFERROR(__xludf.DUMMYFUNCTION("""COMPUTED_VALUE"""),"Primary State")</f>
        <v>Primary State</v>
      </c>
      <c r="D18" s="13" t="s">
        <v>33</v>
      </c>
      <c r="E18" s="9" t="str">
        <f>IFERROR(__xludf.DUMMYFUNCTION("GOOGLETRANSLATE(B18,""en"",""de"")"),"Primärstaat")</f>
        <v>Primärstaat</v>
      </c>
      <c r="F18" s="9" t="str">
        <f>IFERROR(__xludf.DUMMYFUNCTION("GOOGLETRANSLATE(B18,""en"",""fr"")"),"État primaire")</f>
        <v>État primaire</v>
      </c>
      <c r="G18" s="9" t="str">
        <f>IFERROR(__xludf.DUMMYFUNCTION("GOOGLETRANSLATE(B18,""en"",""es"")"),"Estado primario")</f>
        <v>Estado primario</v>
      </c>
      <c r="H18" s="9" t="str">
        <f>IFERROR(__xludf.DUMMYFUNCTION("GOOGLETRANSLATE($B18,""en"",""it"")"),"Stato primario")</f>
        <v>Stato primario</v>
      </c>
      <c r="I18" s="9" t="str">
        <f>IFERROR(__xludf.DUMMYFUNCTION("GOOGLETRANSLATE($B18,""en"",""zh-cn"")"),"主要状态")</f>
        <v>主要状态</v>
      </c>
      <c r="J18" s="9" t="str">
        <f>IFERROR(__xludf.DUMMYFUNCTION("GOOGLETRANSLATE($B18,""en"",""ja"")"),"プライマリ状態")</f>
        <v>プライマリ状態</v>
      </c>
      <c r="K18" s="9" t="str">
        <f>IFERROR(__xludf.DUMMYFUNCTION("GOOGLETRANSLATE($B18,""en"",""ko"")"),"기본 상태")</f>
        <v>기본 상태</v>
      </c>
      <c r="L18" s="9" t="str">
        <f>IFERROR(__xludf.DUMMYFUNCTION("GOOGLETRANSLATE($B18,""en"",""pt-BR"")"),"Estado Primário")</f>
        <v>Estado Primário</v>
      </c>
    </row>
    <row r="19">
      <c r="A19" s="9" t="str">
        <f>IFERROR(__xludf.DUMMYFUNCTION("""COMPUTED_VALUE"""),"hcp")</f>
        <v>hcp</v>
      </c>
      <c r="B19" s="9" t="str">
        <f>IFERROR(__xludf.DUMMYFUNCTION("""COMPUTED_VALUE"""),"Primary City")</f>
        <v>Primary City</v>
      </c>
      <c r="C19" s="9" t="str">
        <f>IFERROR(__xludf.DUMMYFUNCTION("""COMPUTED_VALUE"""),"Primary City")</f>
        <v>Primary City</v>
      </c>
      <c r="D19" s="2" t="s">
        <v>28</v>
      </c>
      <c r="E19" s="9" t="str">
        <f>IFERROR(__xludf.DUMMYFUNCTION("GOOGLETRANSLATE(B19,""en"",""de"")"),"Primäre Stadt")</f>
        <v>Primäre Stadt</v>
      </c>
      <c r="F19" s="9" t="str">
        <f>IFERROR(__xludf.DUMMYFUNCTION("GOOGLETRANSLATE(B19,""en"",""fr"")"),"Ville principale")</f>
        <v>Ville principale</v>
      </c>
      <c r="G19" s="9" t="str">
        <f>IFERROR(__xludf.DUMMYFUNCTION("GOOGLETRANSLATE(B19,""en"",""es"")"),"Ciudad Primaria")</f>
        <v>Ciudad Primaria</v>
      </c>
      <c r="H19" s="9" t="str">
        <f>IFERROR(__xludf.DUMMYFUNCTION("GOOGLETRANSLATE($B19,""en"",""it"")"),"Città primaria")</f>
        <v>Città primaria</v>
      </c>
      <c r="I19" s="9" t="str">
        <f>IFERROR(__xludf.DUMMYFUNCTION("GOOGLETRANSLATE($B19,""en"",""zh-cn"")"),"主要城市")</f>
        <v>主要城市</v>
      </c>
      <c r="J19" s="9" t="str">
        <f>IFERROR(__xludf.DUMMYFUNCTION("GOOGLETRANSLATE($B19,""en"",""ja"")"),"主要都市")</f>
        <v>主要都市</v>
      </c>
      <c r="K19" s="9" t="str">
        <f>IFERROR(__xludf.DUMMYFUNCTION("GOOGLETRANSLATE($B19,""en"",""ko"")"),"기본 도시")</f>
        <v>기본 도시</v>
      </c>
      <c r="L19" s="9" t="str">
        <f>IFERROR(__xludf.DUMMYFUNCTION("GOOGLETRANSLATE($B19,""en"",""pt-BR"")"),"Cidade Primária")</f>
        <v>Cidade Primária</v>
      </c>
    </row>
    <row r="20">
      <c r="A20" s="9" t="str">
        <f>IFERROR(__xludf.DUMMYFUNCTION("""COMPUTED_VALUE"""),"hcp")</f>
        <v>hcp</v>
      </c>
      <c r="B20" s="9" t="str">
        <f>IFERROR(__xludf.DUMMYFUNCTION("""COMPUTED_VALUE"""),"Primary Postal Code")</f>
        <v>Primary Postal Code</v>
      </c>
      <c r="C20" s="9" t="str">
        <f>IFERROR(__xludf.DUMMYFUNCTION("""COMPUTED_VALUE"""),"Primary Postal Code")</f>
        <v>Primary Postal Code</v>
      </c>
      <c r="D20" s="2" t="s">
        <v>28</v>
      </c>
      <c r="E20" s="9" t="str">
        <f>IFERROR(__xludf.DUMMYFUNCTION("GOOGLETRANSLATE(B20,""en"",""de"")"),"Primäre Postleitzahl")</f>
        <v>Primäre Postleitzahl</v>
      </c>
      <c r="F20" s="9" t="str">
        <f>IFERROR(__xludf.DUMMYFUNCTION("GOOGLETRANSLATE(B20,""en"",""fr"")"),"Code postal principal")</f>
        <v>Code postal principal</v>
      </c>
      <c r="G20" s="9" t="str">
        <f>IFERROR(__xludf.DUMMYFUNCTION("GOOGLETRANSLATE(B20,""en"",""es"")"),"Código postal primario")</f>
        <v>Código postal primario</v>
      </c>
      <c r="H20" s="9" t="str">
        <f>IFERROR(__xludf.DUMMYFUNCTION("GOOGLETRANSLATE($B20,""en"",""it"")"),"Codice postale principale")</f>
        <v>Codice postale principale</v>
      </c>
      <c r="I20" s="9" t="str">
        <f>IFERROR(__xludf.DUMMYFUNCTION("GOOGLETRANSLATE($B20,""en"",""zh-cn"")"),"主要邮政编码")</f>
        <v>主要邮政编码</v>
      </c>
      <c r="J20" s="9" t="str">
        <f>IFERROR(__xludf.DUMMYFUNCTION("GOOGLETRANSLATE($B20,""en"",""ja"")"),"主な郵便番号")</f>
        <v>主な郵便番号</v>
      </c>
      <c r="K20" s="9" t="str">
        <f>IFERROR(__xludf.DUMMYFUNCTION("GOOGLETRANSLATE($B20,""en"",""ko"")"),"기본 우편번호")</f>
        <v>기본 우편번호</v>
      </c>
      <c r="L20" s="9" t="str">
        <f>IFERROR(__xludf.DUMMYFUNCTION("GOOGLETRANSLATE($B20,""en"",""pt-BR"")"),"Código Postal Primário")</f>
        <v>Código Postal Primário</v>
      </c>
    </row>
    <row r="21">
      <c r="A21" s="9" t="str">
        <f>IFERROR(__xludf.DUMMYFUNCTION("""COMPUTED_VALUE"""),"hcp")</f>
        <v>hcp</v>
      </c>
      <c r="B21" s="9" t="str">
        <f>IFERROR(__xludf.DUMMYFUNCTION("""COMPUTED_VALUE"""),"HCP Type")</f>
        <v>HCP Type</v>
      </c>
      <c r="C21" s="9" t="str">
        <f>IFERROR(__xludf.DUMMYFUNCTION("""COMPUTED_VALUE"""),"HCP Type")</f>
        <v>HCP Type</v>
      </c>
      <c r="D21" s="13" t="s">
        <v>34</v>
      </c>
      <c r="E21" s="9" t="str">
        <f>IFERROR(__xludf.DUMMYFUNCTION("GOOGLETRANSLATE(B21,""en"",""de"")"),"HCP-Typ")</f>
        <v>HCP-Typ</v>
      </c>
      <c r="F21" s="9" t="str">
        <f>IFERROR(__xludf.DUMMYFUNCTION("GOOGLETRANSLATE(B21,""en"",""fr"")"),"Type de professionnel de la santé")</f>
        <v>Type de professionnel de la santé</v>
      </c>
      <c r="G21" s="9" t="str">
        <f>IFERROR(__xludf.DUMMYFUNCTION("GOOGLETRANSLATE(B21,""en"",""es"")"),"Tipo de profesional sanitario")</f>
        <v>Tipo de profesional sanitario</v>
      </c>
      <c r="H21" s="9" t="str">
        <f>IFERROR(__xludf.DUMMYFUNCTION("GOOGLETRANSLATE($B21,""en"",""it"")"),"Tipo di operatore sanitario")</f>
        <v>Tipo di operatore sanitario</v>
      </c>
      <c r="I21" s="9" t="str">
        <f>IFERROR(__xludf.DUMMYFUNCTION("GOOGLETRANSLATE($B21,""en"",""zh-cn"")"),"HCP型")</f>
        <v>HCP型</v>
      </c>
      <c r="J21" s="9" t="str">
        <f>IFERROR(__xludf.DUMMYFUNCTION("GOOGLETRANSLATE($B21,""en"",""ja"")"),"医療従事者タイプ")</f>
        <v>医療従事者タイプ</v>
      </c>
      <c r="K21" s="9" t="str">
        <f>IFERROR(__xludf.DUMMYFUNCTION("GOOGLETRANSLATE($B21,""en"",""ko"")"),"HCP 유형")</f>
        <v>HCP 유형</v>
      </c>
      <c r="L21" s="9" t="str">
        <f>IFERROR(__xludf.DUMMYFUNCTION("GOOGLETRANSLATE($B21,""en"",""pt-BR"")"),"Tipo de profissional de saúde")</f>
        <v>Tipo de profissional de saúde</v>
      </c>
    </row>
    <row r="22">
      <c r="A22" s="9" t="str">
        <f>IFERROR(__xludf.DUMMYFUNCTION("""COMPUTED_VALUE"""),"hcp")</f>
        <v>hcp</v>
      </c>
      <c r="B22" s="9" t="str">
        <f>IFERROR(__xludf.DUMMYFUNCTION("""COMPUTED_VALUE"""),"National Healthcare ID")</f>
        <v>National Healthcare ID</v>
      </c>
      <c r="C22" s="9" t="str">
        <f>IFERROR(__xludf.DUMMYFUNCTION("""COMPUTED_VALUE"""),"National Healthcare ID")</f>
        <v>National Healthcare ID</v>
      </c>
      <c r="D22" s="2" t="s">
        <v>28</v>
      </c>
      <c r="E22" s="9" t="str">
        <f>IFERROR(__xludf.DUMMYFUNCTION("GOOGLETRANSLATE(B22,""en"",""de"")"),"Nationaler Gesundheitsausweis")</f>
        <v>Nationaler Gesundheitsausweis</v>
      </c>
      <c r="F22" s="9" t="str">
        <f>IFERROR(__xludf.DUMMYFUNCTION("GOOGLETRANSLATE(B22,""en"",""fr"")"),"Carte d'identité nationale de santé")</f>
        <v>Carte d'identité nationale de santé</v>
      </c>
      <c r="G22" s="9" t="str">
        <f>IFERROR(__xludf.DUMMYFUNCTION("GOOGLETRANSLATE(B22,""en"",""es"")"),"Identificación Nacional de Salud")</f>
        <v>Identificación Nacional de Salud</v>
      </c>
      <c r="H22" s="9" t="str">
        <f>IFERROR(__xludf.DUMMYFUNCTION("GOOGLETRANSLATE($B22,""en"",""it"")"),"Tessera Sanitaria Nazionale")</f>
        <v>Tessera Sanitaria Nazionale</v>
      </c>
      <c r="I22" s="9" t="str">
        <f>IFERROR(__xludf.DUMMYFUNCTION("GOOGLETRANSLATE($B22,""en"",""zh-cn"")"),"国家医疗保健 ID")</f>
        <v>国家医疗保健 ID</v>
      </c>
      <c r="J22" s="9" t="str">
        <f>IFERROR(__xludf.DUMMYFUNCTION("GOOGLETRANSLATE($B22,""en"",""ja"")"),"国民健康保険ID")</f>
        <v>国民健康保険ID</v>
      </c>
      <c r="K22" s="9" t="str">
        <f>IFERROR(__xludf.DUMMYFUNCTION("GOOGLETRANSLATE($B22,""en"",""ko"")"),"국민건강보험 ID")</f>
        <v>국민건강보험 ID</v>
      </c>
      <c r="L22" s="9" t="str">
        <f>IFERROR(__xludf.DUMMYFUNCTION("GOOGLETRANSLATE($B22,""en"",""pt-BR"")"),"ID Nacional de Saúde")</f>
        <v>ID Nacional de Saúde</v>
      </c>
    </row>
    <row r="23">
      <c r="A23" s="9" t="str">
        <f>IFERROR(__xludf.DUMMYFUNCTION("""COMPUTED_VALUE"""),"hcp")</f>
        <v>hcp</v>
      </c>
      <c r="B23" s="9" t="str">
        <f>IFERROR(__xludf.DUMMYFUNCTION("""COMPUTED_VALUE"""),"Primary Specialty")</f>
        <v>Primary Specialty</v>
      </c>
      <c r="C23" s="9" t="str">
        <f>IFERROR(__xludf.DUMMYFUNCTION("""COMPUTED_VALUE"""),"Primary Specialty")</f>
        <v>Primary Specialty</v>
      </c>
      <c r="D23" s="13" t="s">
        <v>35</v>
      </c>
      <c r="E23" s="9" t="str">
        <f>IFERROR(__xludf.DUMMYFUNCTION("GOOGLETRANSLATE(B23,""en"",""de"")"),"Primäre Spezialität")</f>
        <v>Primäre Spezialität</v>
      </c>
      <c r="F23" s="9" t="str">
        <f>IFERROR(__xludf.DUMMYFUNCTION("GOOGLETRANSLATE(B23,""en"",""fr"")"),"Spécialité primaire")</f>
        <v>Spécialité primaire</v>
      </c>
      <c r="G23" s="9" t="str">
        <f>IFERROR(__xludf.DUMMYFUNCTION("GOOGLETRANSLATE(B23,""en"",""es"")"),"Especialidad Primaria")</f>
        <v>Especialidad Primaria</v>
      </c>
      <c r="H23" s="9" t="str">
        <f>IFERROR(__xludf.DUMMYFUNCTION("GOOGLETRANSLATE($B23,""en"",""it"")"),"Specialità primaria")</f>
        <v>Specialità primaria</v>
      </c>
      <c r="I23" s="9" t="str">
        <f>IFERROR(__xludf.DUMMYFUNCTION("GOOGLETRANSLATE($B23,""en"",""zh-cn"")"),"主要专业")</f>
        <v>主要专业</v>
      </c>
      <c r="J23" s="9" t="str">
        <f>IFERROR(__xludf.DUMMYFUNCTION("GOOGLETRANSLATE($B23,""en"",""ja"")"),"主な専門分野")</f>
        <v>主な専門分野</v>
      </c>
      <c r="K23" s="9" t="str">
        <f>IFERROR(__xludf.DUMMYFUNCTION("GOOGLETRANSLATE($B23,""en"",""ko"")"),"주요 전문 분야")</f>
        <v>주요 전문 분야</v>
      </c>
      <c r="L23" s="9" t="str">
        <f>IFERROR(__xludf.DUMMYFUNCTION("GOOGLETRANSLATE($B23,""en"",""pt-BR"")"),"Especialidade Primária")</f>
        <v>Especialidade Primária</v>
      </c>
    </row>
    <row r="24">
      <c r="A24" s="9" t="str">
        <f>IFERROR(__xludf.DUMMYFUNCTION("""COMPUTED_VALUE"""),"hcp")</f>
        <v>hcp</v>
      </c>
      <c r="B24" s="9" t="str">
        <f>IFERROR(__xludf.DUMMYFUNCTION("""COMPUTED_VALUE"""),"All Specialties")</f>
        <v>All Specialties</v>
      </c>
      <c r="C24" s="9" t="str">
        <f>IFERROR(__xludf.DUMMYFUNCTION("""COMPUTED_VALUE"""),"All Specialties")</f>
        <v>All Specialties</v>
      </c>
      <c r="D24" s="13" t="s">
        <v>35</v>
      </c>
      <c r="E24" s="9" t="str">
        <f>IFERROR(__xludf.DUMMYFUNCTION("GOOGLETRANSLATE(B24,""en"",""de"")"),"Alle Spezialitäten")</f>
        <v>Alle Spezialitäten</v>
      </c>
      <c r="F24" s="9" t="str">
        <f>IFERROR(__xludf.DUMMYFUNCTION("GOOGLETRANSLATE(B24,""en"",""fr"")"),"Toutes les spécialités")</f>
        <v>Toutes les spécialités</v>
      </c>
      <c r="G24" s="9" t="str">
        <f>IFERROR(__xludf.DUMMYFUNCTION("GOOGLETRANSLATE(B24,""en"",""es"")"),"Todas las especialidades")</f>
        <v>Todas las especialidades</v>
      </c>
      <c r="H24" s="9" t="str">
        <f>IFERROR(__xludf.DUMMYFUNCTION("GOOGLETRANSLATE($B24,""en"",""it"")"),"Tutte le specialità")</f>
        <v>Tutte le specialità</v>
      </c>
      <c r="I24" s="9" t="str">
        <f>IFERROR(__xludf.DUMMYFUNCTION("GOOGLETRANSLATE($B24,""en"",""zh-cn"")"),"所有专业")</f>
        <v>所有专业</v>
      </c>
      <c r="J24" s="9" t="str">
        <f>IFERROR(__xludf.DUMMYFUNCTION("GOOGLETRANSLATE($B24,""en"",""ja"")"),"すべての専門分野")</f>
        <v>すべての専門分野</v>
      </c>
      <c r="K24" s="9" t="str">
        <f>IFERROR(__xludf.DUMMYFUNCTION("GOOGLETRANSLATE($B24,""en"",""ko"")"),"모든 특산품")</f>
        <v>모든 특산품</v>
      </c>
      <c r="L24" s="9" t="str">
        <f>IFERROR(__xludf.DUMMYFUNCTION("GOOGLETRANSLATE($B24,""en"",""pt-BR"")"),"Todas as especialidades")</f>
        <v>Todas as especialidades</v>
      </c>
    </row>
    <row r="25">
      <c r="A25" s="9" t="str">
        <f>IFERROR(__xludf.DUMMYFUNCTION("""COMPUTED_VALUE"""),"hcp")</f>
        <v>hcp</v>
      </c>
      <c r="B25" s="9" t="str">
        <f>IFERROR(__xludf.DUMMYFUNCTION("""COMPUTED_VALUE"""),"Primary Specialty Group")</f>
        <v>Primary Specialty Group</v>
      </c>
      <c r="C25" s="9" t="str">
        <f>IFERROR(__xludf.DUMMYFUNCTION("""COMPUTED_VALUE"""),"Primary Specialty Group")</f>
        <v>Primary Specialty Group</v>
      </c>
      <c r="D25" s="13" t="s">
        <v>36</v>
      </c>
      <c r="E25" s="9" t="str">
        <f>IFERROR(__xludf.DUMMYFUNCTION("GOOGLETRANSLATE(B25,""en"",""de"")"),"Primäre Spezialgruppe")</f>
        <v>Primäre Spezialgruppe</v>
      </c>
      <c r="F25" s="9" t="str">
        <f>IFERROR(__xludf.DUMMYFUNCTION("GOOGLETRANSLATE(B25,""en"",""fr"")"),"Groupe de spécialité primaire")</f>
        <v>Groupe de spécialité primaire</v>
      </c>
      <c r="G25" s="9" t="str">
        <f>IFERROR(__xludf.DUMMYFUNCTION("GOOGLETRANSLATE(B25,""en"",""es"")"),"Grupo de especialidad primaria")</f>
        <v>Grupo de especialidad primaria</v>
      </c>
      <c r="H25" s="9" t="str">
        <f>IFERROR(__xludf.DUMMYFUNCTION("GOOGLETRANSLATE($B25,""en"",""it"")"),"Gruppo di specialità primaria")</f>
        <v>Gruppo di specialità primaria</v>
      </c>
      <c r="I25" s="9" t="str">
        <f>IFERROR(__xludf.DUMMYFUNCTION("GOOGLETRANSLATE($B25,""en"",""zh-cn"")"),"初级专业组")</f>
        <v>初级专业组</v>
      </c>
      <c r="J25" s="9" t="str">
        <f>IFERROR(__xludf.DUMMYFUNCTION("GOOGLETRANSLATE($B25,""en"",""ja"")"),"主な専門グループ")</f>
        <v>主な専門グループ</v>
      </c>
      <c r="K25" s="9" t="str">
        <f>IFERROR(__xludf.DUMMYFUNCTION("GOOGLETRANSLATE($B25,""en"",""ko"")"),"1차 전문 그룹")</f>
        <v>1차 전문 그룹</v>
      </c>
      <c r="L25" s="9" t="str">
        <f>IFERROR(__xludf.DUMMYFUNCTION("GOOGLETRANSLATE($B25,""en"",""pt-BR"")"),"Grupo de Especialidade Primária")</f>
        <v>Grupo de Especialidade Primária</v>
      </c>
    </row>
    <row r="26">
      <c r="A26" s="9" t="str">
        <f>IFERROR(__xludf.DUMMYFUNCTION("""COMPUTED_VALUE"""),"hcp")</f>
        <v>hcp</v>
      </c>
      <c r="B26" s="9" t="str">
        <f>IFERROR(__xludf.DUMMYFUNCTION("""COMPUTED_VALUE"""),"All Specialty Groups")</f>
        <v>All Specialty Groups</v>
      </c>
      <c r="C26" s="9" t="str">
        <f>IFERROR(__xludf.DUMMYFUNCTION("""COMPUTED_VALUE"""),"All Specialty Groups")</f>
        <v>All Specialty Groups</v>
      </c>
      <c r="D26" s="13" t="s">
        <v>36</v>
      </c>
      <c r="E26" s="9" t="str">
        <f>IFERROR(__xludf.DUMMYFUNCTION("GOOGLETRANSLATE(B26,""en"",""de"")"),"Alle Fachgruppen")</f>
        <v>Alle Fachgruppen</v>
      </c>
      <c r="F26" s="9" t="str">
        <f>IFERROR(__xludf.DUMMYFUNCTION("GOOGLETRANSLATE(B26,""en"",""fr"")"),"Tous les groupes spécialisés")</f>
        <v>Tous les groupes spécialisés</v>
      </c>
      <c r="G26" s="9" t="str">
        <f>IFERROR(__xludf.DUMMYFUNCTION("GOOGLETRANSLATE(B26,""en"",""es"")"),"Todos los grupos de especialidad")</f>
        <v>Todos los grupos de especialidad</v>
      </c>
      <c r="H26" s="9" t="str">
        <f>IFERROR(__xludf.DUMMYFUNCTION("GOOGLETRANSLATE($B26,""en"",""it"")"),"Tutti i gruppi di specialità")</f>
        <v>Tutti i gruppi di specialità</v>
      </c>
      <c r="I26" s="9" t="str">
        <f>IFERROR(__xludf.DUMMYFUNCTION("GOOGLETRANSLATE($B26,""en"",""zh-cn"")"),"所有专业组")</f>
        <v>所有专业组</v>
      </c>
      <c r="J26" s="9" t="str">
        <f>IFERROR(__xludf.DUMMYFUNCTION("GOOGLETRANSLATE($B26,""en"",""ja"")"),"すべての専門グループ")</f>
        <v>すべての専門グループ</v>
      </c>
      <c r="K26" s="9" t="str">
        <f>IFERROR(__xludf.DUMMYFUNCTION("GOOGLETRANSLATE($B26,""en"",""ko"")"),"모든 전문 그룹")</f>
        <v>모든 전문 그룹</v>
      </c>
      <c r="L26" s="9" t="str">
        <f>IFERROR(__xludf.DUMMYFUNCTION("GOOGLETRANSLATE($B26,""en"",""pt-BR"")"),"Todos os grupos especializados")</f>
        <v>Todos os grupos especializados</v>
      </c>
    </row>
    <row r="27">
      <c r="A27" s="9" t="str">
        <f>IFERROR(__xludf.DUMMYFUNCTION("""COMPUTED_VALUE"""),"hcp")</f>
        <v>hcp</v>
      </c>
      <c r="B27" s="9" t="str">
        <f>IFERROR(__xludf.DUMMYFUNCTION("""COMPUTED_VALUE"""),"Prescriber")</f>
        <v>Prescriber</v>
      </c>
      <c r="C27" s="9" t="str">
        <f>IFERROR(__xludf.DUMMYFUNCTION("""COMPUTED_VALUE"""),"Prescriber")</f>
        <v>Prescriber</v>
      </c>
      <c r="D27" s="2" t="s">
        <v>28</v>
      </c>
      <c r="E27" s="9" t="str">
        <f>IFERROR(__xludf.DUMMYFUNCTION("GOOGLETRANSLATE(B27,""en"",""de"")"),"Verschreibender")</f>
        <v>Verschreibender</v>
      </c>
      <c r="F27" s="9" t="str">
        <f>IFERROR(__xludf.DUMMYFUNCTION("GOOGLETRANSLATE(B27,""en"",""fr"")"),"Prescripteur")</f>
        <v>Prescripteur</v>
      </c>
      <c r="G27" s="9" t="str">
        <f>IFERROR(__xludf.DUMMYFUNCTION("GOOGLETRANSLATE(B27,""en"",""es"")"),"Prescriptor")</f>
        <v>Prescriptor</v>
      </c>
      <c r="H27" s="9" t="str">
        <f>IFERROR(__xludf.DUMMYFUNCTION("GOOGLETRANSLATE($B27,""en"",""it"")"),"Prescrittore")</f>
        <v>Prescrittore</v>
      </c>
      <c r="I27" s="9" t="str">
        <f>IFERROR(__xludf.DUMMYFUNCTION("GOOGLETRANSLATE($B27,""en"",""zh-cn"")"),"处方者")</f>
        <v>处方者</v>
      </c>
      <c r="J27" s="9" t="str">
        <f>IFERROR(__xludf.DUMMYFUNCTION("GOOGLETRANSLATE($B27,""en"",""ja"")"),"処方者")</f>
        <v>処方者</v>
      </c>
      <c r="K27" s="9" t="str">
        <f>IFERROR(__xludf.DUMMYFUNCTION("GOOGLETRANSLATE($B27,""en"",""ko"")"),"처방자")</f>
        <v>처방자</v>
      </c>
      <c r="L27" s="9" t="str">
        <f>IFERROR(__xludf.DUMMYFUNCTION("GOOGLETRANSLATE($B27,""en"",""pt-BR"")"),"Prescritor")</f>
        <v>Prescritor</v>
      </c>
    </row>
    <row r="28">
      <c r="A28" s="9" t="str">
        <f>IFERROR(__xludf.DUMMYFUNCTION("""COMPUTED_VALUE"""),"hcp")</f>
        <v>hcp</v>
      </c>
      <c r="B28" s="9" t="str">
        <f>IFERROR(__xludf.DUMMYFUNCTION("""COMPUTED_VALUE"""),"Clinical Researcher")</f>
        <v>Clinical Researcher</v>
      </c>
      <c r="C28" s="9" t="str">
        <f>IFERROR(__xludf.DUMMYFUNCTION("""COMPUTED_VALUE"""),"Clinical Researcher")</f>
        <v>Clinical Researcher</v>
      </c>
      <c r="D28" s="13" t="s">
        <v>37</v>
      </c>
      <c r="E28" s="9" t="str">
        <f>IFERROR(__xludf.DUMMYFUNCTION("GOOGLETRANSLATE(B28,""en"",""de"")"),"Klinischer Forscher")</f>
        <v>Klinischer Forscher</v>
      </c>
      <c r="F28" s="9" t="str">
        <f>IFERROR(__xludf.DUMMYFUNCTION("GOOGLETRANSLATE(B28,""en"",""fr"")"),"Chercheur clinicien")</f>
        <v>Chercheur clinicien</v>
      </c>
      <c r="G28" s="9" t="str">
        <f>IFERROR(__xludf.DUMMYFUNCTION("GOOGLETRANSLATE(B28,""en"",""es"")"),"Investigador Clínico")</f>
        <v>Investigador Clínico</v>
      </c>
      <c r="H28" s="9" t="str">
        <f>IFERROR(__xludf.DUMMYFUNCTION("GOOGLETRANSLATE($B28,""en"",""it"")"),"Ricercatore clinico")</f>
        <v>Ricercatore clinico</v>
      </c>
      <c r="I28" s="9" t="str">
        <f>IFERROR(__xludf.DUMMYFUNCTION("GOOGLETRANSLATE($B28,""en"",""zh-cn"")"),"临床研究员")</f>
        <v>临床研究员</v>
      </c>
      <c r="J28" s="9" t="str">
        <f>IFERROR(__xludf.DUMMYFUNCTION("GOOGLETRANSLATE($B28,""en"",""ja"")"),"臨床研究者")</f>
        <v>臨床研究者</v>
      </c>
      <c r="K28" s="9" t="str">
        <f>IFERROR(__xludf.DUMMYFUNCTION("GOOGLETRANSLATE($B28,""en"",""ko"")"),"임상연구원")</f>
        <v>임상연구원</v>
      </c>
      <c r="L28" s="9" t="str">
        <f>IFERROR(__xludf.DUMMYFUNCTION("GOOGLETRANSLATE($B28,""en"",""pt-BR"")"),"Pesquisador Clínico")</f>
        <v>Pesquisador Clínico</v>
      </c>
    </row>
    <row r="29">
      <c r="A29" s="9" t="str">
        <f>IFERROR(__xludf.DUMMYFUNCTION("""COMPUTED_VALUE"""),"hcp")</f>
        <v>hcp</v>
      </c>
      <c r="B29" s="9" t="str">
        <f>IFERROR(__xludf.DUMMYFUNCTION("""COMPUTED_VALUE"""),"Primary Medical Degree")</f>
        <v>Primary Medical Degree</v>
      </c>
      <c r="C29" s="9" t="str">
        <f>IFERROR(__xludf.DUMMYFUNCTION("""COMPUTED_VALUE"""),"Primary Medical Degree")</f>
        <v>Primary Medical Degree</v>
      </c>
      <c r="D29" s="13" t="s">
        <v>38</v>
      </c>
      <c r="E29" s="9" t="str">
        <f>IFERROR(__xludf.DUMMYFUNCTION("GOOGLETRANSLATE(B29,""en"",""de"")"),"Primärer medizinischer Abschluss")</f>
        <v>Primärer medizinischer Abschluss</v>
      </c>
      <c r="F29" s="9" t="str">
        <f>IFERROR(__xludf.DUMMYFUNCTION("GOOGLETRANSLATE(B29,""en"",""fr"")"),"Diplôme de médecine primaire")</f>
        <v>Diplôme de médecine primaire</v>
      </c>
      <c r="G29" s="9" t="str">
        <f>IFERROR(__xludf.DUMMYFUNCTION("GOOGLETRANSLATE(B29,""en"",""es"")"),"Licenciatura en Medicina Primaria")</f>
        <v>Licenciatura en Medicina Primaria</v>
      </c>
      <c r="H29" s="9" t="str">
        <f>IFERROR(__xludf.DUMMYFUNCTION("GOOGLETRANSLATE($B29,""en"",""it"")"),"Laurea in Medicina Primaria")</f>
        <v>Laurea in Medicina Primaria</v>
      </c>
      <c r="I29" s="9" t="str">
        <f>IFERROR(__xludf.DUMMYFUNCTION("GOOGLETRANSLATE($B29,""en"",""zh-cn"")"),"初级医学学位")</f>
        <v>初级医学学位</v>
      </c>
      <c r="J29" s="9" t="str">
        <f>IFERROR(__xludf.DUMMYFUNCTION("GOOGLETRANSLATE($B29,""en"",""ja"")"),"初等医学の学位")</f>
        <v>初等医学の学位</v>
      </c>
      <c r="K29" s="9" t="str">
        <f>IFERROR(__xludf.DUMMYFUNCTION("GOOGLETRANSLATE($B29,""en"",""ko"")"),"1차 의학 학위")</f>
        <v>1차 의학 학위</v>
      </c>
      <c r="L29" s="9" t="str">
        <f>IFERROR(__xludf.DUMMYFUNCTION("GOOGLETRANSLATE($B29,""en"",""pt-BR"")"),"Graduação Médica Primária")</f>
        <v>Graduação Médica Primária</v>
      </c>
    </row>
    <row r="30">
      <c r="A30" s="9" t="str">
        <f>IFERROR(__xludf.DUMMYFUNCTION("""COMPUTED_VALUE"""),"hcp")</f>
        <v>hcp</v>
      </c>
      <c r="B30" s="9" t="str">
        <f>IFERROR(__xludf.DUMMYFUNCTION("""COMPUTED_VALUE"""),"All Medical Degrees")</f>
        <v>All Medical Degrees</v>
      </c>
      <c r="C30" s="9" t="str">
        <f>IFERROR(__xludf.DUMMYFUNCTION("""COMPUTED_VALUE"""),"All Medical Degrees")</f>
        <v>All Medical Degrees</v>
      </c>
      <c r="D30" s="13" t="s">
        <v>38</v>
      </c>
      <c r="E30" s="9" t="str">
        <f>IFERROR(__xludf.DUMMYFUNCTION("GOOGLETRANSLATE(B30,""en"",""de"")"),"Alle medizinischen Abschlüsse")</f>
        <v>Alle medizinischen Abschlüsse</v>
      </c>
      <c r="F30" s="9" t="str">
        <f>IFERROR(__xludf.DUMMYFUNCTION("GOOGLETRANSLATE(B30,""en"",""fr"")"),"Tous les diplômes de médecine")</f>
        <v>Tous les diplômes de médecine</v>
      </c>
      <c r="G30" s="9" t="str">
        <f>IFERROR(__xludf.DUMMYFUNCTION("GOOGLETRANSLATE(B30,""en"",""es"")"),"Todos los títulos médicos")</f>
        <v>Todos los títulos médicos</v>
      </c>
      <c r="H30" s="9" t="str">
        <f>IFERROR(__xludf.DUMMYFUNCTION("GOOGLETRANSLATE($B30,""en"",""it"")"),"Tutte le lauree in medicina")</f>
        <v>Tutte le lauree in medicina</v>
      </c>
      <c r="I30" s="9" t="str">
        <f>IFERROR(__xludf.DUMMYFUNCTION("GOOGLETRANSLATE($B30,""en"",""zh-cn"")"),"所有医学学位")</f>
        <v>所有医学学位</v>
      </c>
      <c r="J30" s="9" t="str">
        <f>IFERROR(__xludf.DUMMYFUNCTION("GOOGLETRANSLATE($B30,""en"",""ja"")"),"すべての医学学位")</f>
        <v>すべての医学学位</v>
      </c>
      <c r="K30" s="9" t="str">
        <f>IFERROR(__xludf.DUMMYFUNCTION("GOOGLETRANSLATE($B30,""en"",""ko"")"),"모든 의학 학위")</f>
        <v>모든 의학 학위</v>
      </c>
      <c r="L30" s="9" t="str">
        <f>IFERROR(__xludf.DUMMYFUNCTION("GOOGLETRANSLATE($B30,""en"",""pt-BR"")"),"Todos os diplomas médicos")</f>
        <v>Todos os diplomas médicos</v>
      </c>
    </row>
    <row r="31">
      <c r="A31" s="9" t="str">
        <f>IFERROR(__xludf.DUMMYFUNCTION("""COMPUTED_VALUE"""),"hcp")</f>
        <v>hcp</v>
      </c>
      <c r="B31" s="9" t="str">
        <f>IFERROR(__xludf.DUMMYFUNCTION("""COMPUTED_VALUE"""),"Level")</f>
        <v>Level</v>
      </c>
      <c r="C31" s="9" t="str">
        <f>IFERROR(__xludf.DUMMYFUNCTION("""COMPUTED_VALUE"""),"Level")</f>
        <v>Level</v>
      </c>
      <c r="D31" s="13" t="s">
        <v>39</v>
      </c>
      <c r="E31" s="9" t="str">
        <f>IFERROR(__xludf.DUMMYFUNCTION("GOOGLETRANSLATE(B31,""en"",""de"")"),"Ebene")</f>
        <v>Ebene</v>
      </c>
      <c r="F31" s="9" t="str">
        <f>IFERROR(__xludf.DUMMYFUNCTION("GOOGLETRANSLATE(B31,""en"",""fr"")"),"Niveau")</f>
        <v>Niveau</v>
      </c>
      <c r="G31" s="9" t="str">
        <f>IFERROR(__xludf.DUMMYFUNCTION("GOOGLETRANSLATE(B31,""en"",""es"")"),"Nivel")</f>
        <v>Nivel</v>
      </c>
      <c r="H31" s="9" t="str">
        <f>IFERROR(__xludf.DUMMYFUNCTION("GOOGLETRANSLATE($B31,""en"",""it"")"),"Livello")</f>
        <v>Livello</v>
      </c>
      <c r="I31" s="9" t="str">
        <f>IFERROR(__xludf.DUMMYFUNCTION("GOOGLETRANSLATE($B31,""en"",""zh-cn"")"),"等级")</f>
        <v>等级</v>
      </c>
      <c r="J31" s="9" t="str">
        <f>IFERROR(__xludf.DUMMYFUNCTION("GOOGLETRANSLATE($B31,""en"",""ja"")"),"レベル")</f>
        <v>レベル</v>
      </c>
      <c r="K31" s="9" t="str">
        <f>IFERROR(__xludf.DUMMYFUNCTION("GOOGLETRANSLATE($B31,""en"",""ko"")"),"수준")</f>
        <v>수준</v>
      </c>
      <c r="L31" s="9" t="str">
        <f>IFERROR(__xludf.DUMMYFUNCTION("GOOGLETRANSLATE($B31,""en"",""pt-BR"")"),"Nível")</f>
        <v>Nível</v>
      </c>
    </row>
    <row r="32">
      <c r="A32" s="9" t="str">
        <f>IFERROR(__xludf.DUMMYFUNCTION("""COMPUTED_VALUE"""),"hcp")</f>
        <v>hcp</v>
      </c>
      <c r="B32" s="9" t="str">
        <f>IFERROR(__xludf.DUMMYFUNCTION("""COMPUTED_VALUE"""),"Adopter Type")</f>
        <v>Adopter Type</v>
      </c>
      <c r="C32" s="9" t="str">
        <f>IFERROR(__xludf.DUMMYFUNCTION("""COMPUTED_VALUE"""),"Adopter Type")</f>
        <v>Adopter Type</v>
      </c>
      <c r="D32" s="13" t="s">
        <v>40</v>
      </c>
      <c r="E32" s="9" t="str">
        <f>IFERROR(__xludf.DUMMYFUNCTION("GOOGLETRANSLATE(B32,""en"",""de"")"),"Adoptertyp")</f>
        <v>Adoptertyp</v>
      </c>
      <c r="F32" s="9" t="str">
        <f>IFERROR(__xludf.DUMMYFUNCTION("GOOGLETRANSLATE(B32,""en"",""fr"")"),"Type d'adoptant")</f>
        <v>Type d'adoptant</v>
      </c>
      <c r="G32" s="9" t="str">
        <f>IFERROR(__xludf.DUMMYFUNCTION("GOOGLETRANSLATE(B32,""en"",""es"")"),"Tipo de adoptante")</f>
        <v>Tipo de adoptante</v>
      </c>
      <c r="H32" s="9" t="str">
        <f>IFERROR(__xludf.DUMMYFUNCTION("GOOGLETRANSLATE($B32,""en"",""it"")"),"Tipo di adottante")</f>
        <v>Tipo di adottante</v>
      </c>
      <c r="I32" s="9" t="str">
        <f>IFERROR(__xludf.DUMMYFUNCTION("GOOGLETRANSLATE($B32,""en"",""zh-cn"")"),"采用器类型")</f>
        <v>采用器类型</v>
      </c>
      <c r="J32" s="9" t="str">
        <f>IFERROR(__xludf.DUMMYFUNCTION("GOOGLETRANSLATE($B32,""en"",""ja"")"),"アダプタータイプ")</f>
        <v>アダプタータイプ</v>
      </c>
      <c r="K32" s="9" t="str">
        <f>IFERROR(__xludf.DUMMYFUNCTION("GOOGLETRANSLATE($B32,""en"",""ko"")"),"어댑터 유형")</f>
        <v>어댑터 유형</v>
      </c>
      <c r="L32" s="9" t="str">
        <f>IFERROR(__xludf.DUMMYFUNCTION("GOOGLETRANSLATE($B32,""en"",""pt-BR"")"),"Tipo de adotante")</f>
        <v>Tipo de adotante</v>
      </c>
    </row>
    <row r="33">
      <c r="A33" s="9" t="str">
        <f>IFERROR(__xludf.DUMMYFUNCTION("""COMPUTED_VALUE"""),"hcp")</f>
        <v>hcp</v>
      </c>
      <c r="B33" s="9" t="str">
        <f>IFERROR(__xludf.DUMMYFUNCTION("""COMPUTED_VALUE"""),"Key Opinion Leader")</f>
        <v>Key Opinion Leader</v>
      </c>
      <c r="C33" s="9" t="str">
        <f>IFERROR(__xludf.DUMMYFUNCTION("""COMPUTED_VALUE"""),"Key Opinion Leader")</f>
        <v>Key Opinion Leader</v>
      </c>
      <c r="D33" s="13" t="s">
        <v>41</v>
      </c>
      <c r="E33" s="9" t="str">
        <f>IFERROR(__xludf.DUMMYFUNCTION("GOOGLETRANSLATE(B33,""en"",""de"")"),"Wichtiger Meinungsführer")</f>
        <v>Wichtiger Meinungsführer</v>
      </c>
      <c r="F33" s="9" t="str">
        <f>IFERROR(__xludf.DUMMYFUNCTION("GOOGLETRANSLATE(B33,""en"",""fr"")"),"Leader d’opinion clé")</f>
        <v>Leader d’opinion clé</v>
      </c>
      <c r="G33" s="9" t="str">
        <f>IFERROR(__xludf.DUMMYFUNCTION("GOOGLETRANSLATE(B33,""en"",""es"")"),"Líder de opinión clave")</f>
        <v>Líder de opinión clave</v>
      </c>
      <c r="H33" s="9" t="str">
        <f>IFERROR(__xludf.DUMMYFUNCTION("GOOGLETRANSLATE($B33,""en"",""it"")"),"Leader d'opinione chiave")</f>
        <v>Leader d'opinione chiave</v>
      </c>
      <c r="I33" s="9" t="str">
        <f>IFERROR(__xludf.DUMMYFUNCTION("GOOGLETRANSLATE($B33,""en"",""zh-cn"")"),"关键意见领袖")</f>
        <v>关键意见领袖</v>
      </c>
      <c r="J33" s="9" t="str">
        <f>IFERROR(__xludf.DUMMYFUNCTION("GOOGLETRANSLATE($B33,""en"",""ja"")"),"主要なオピニオンリーダー")</f>
        <v>主要なオピニオンリーダー</v>
      </c>
      <c r="K33" s="9" t="str">
        <f>IFERROR(__xludf.DUMMYFUNCTION("GOOGLETRANSLATE($B33,""en"",""ko"")"),"주요 오피니언 리더")</f>
        <v>주요 오피니언 리더</v>
      </c>
      <c r="L33" s="9" t="str">
        <f>IFERROR(__xludf.DUMMYFUNCTION("GOOGLETRANSLATE($B33,""en"",""pt-BR"")"),"Líder de opinião principal")</f>
        <v>Líder de opinião principal</v>
      </c>
    </row>
    <row r="34">
      <c r="A34" s="9" t="str">
        <f>IFERROR(__xludf.DUMMYFUNCTION("""COMPUTED_VALUE"""),"hcp")</f>
        <v>hcp</v>
      </c>
      <c r="B34" s="9" t="str">
        <f>IFERROR(__xludf.DUMMYFUNCTION("""COMPUTED_VALUE"""),"Investigator")</f>
        <v>Investigator</v>
      </c>
      <c r="C34" s="9" t="str">
        <f>IFERROR(__xludf.DUMMYFUNCTION("""COMPUTED_VALUE"""),"Investigator")</f>
        <v>Investigator</v>
      </c>
      <c r="D34" s="2" t="s">
        <v>28</v>
      </c>
      <c r="E34" s="9" t="str">
        <f>IFERROR(__xludf.DUMMYFUNCTION("GOOGLETRANSLATE(B34,""en"",""de"")"),"Ermittler")</f>
        <v>Ermittler</v>
      </c>
      <c r="F34" s="9" t="str">
        <f>IFERROR(__xludf.DUMMYFUNCTION("GOOGLETRANSLATE(B34,""en"",""fr"")"),"Enquêteur")</f>
        <v>Enquêteur</v>
      </c>
      <c r="G34" s="9" t="str">
        <f>IFERROR(__xludf.DUMMYFUNCTION("GOOGLETRANSLATE(B34,""en"",""es"")"),"Investigador")</f>
        <v>Investigador</v>
      </c>
      <c r="H34" s="9" t="str">
        <f>IFERROR(__xludf.DUMMYFUNCTION("GOOGLETRANSLATE($B34,""en"",""it"")"),"Investigatore")</f>
        <v>Investigatore</v>
      </c>
      <c r="I34" s="9" t="str">
        <f>IFERROR(__xludf.DUMMYFUNCTION("GOOGLETRANSLATE($B34,""en"",""zh-cn"")"),"研究者")</f>
        <v>研究者</v>
      </c>
      <c r="J34" s="9" t="str">
        <f>IFERROR(__xludf.DUMMYFUNCTION("GOOGLETRANSLATE($B34,""en"",""ja"")"),"捜査官")</f>
        <v>捜査官</v>
      </c>
      <c r="K34" s="9" t="str">
        <f>IFERROR(__xludf.DUMMYFUNCTION("GOOGLETRANSLATE($B34,""en"",""ko"")"),"조사자")</f>
        <v>조사자</v>
      </c>
      <c r="L34" s="9" t="str">
        <f>IFERROR(__xludf.DUMMYFUNCTION("GOOGLETRANSLATE($B34,""en"",""pt-BR"")"),"Investigador")</f>
        <v>Investigador</v>
      </c>
    </row>
    <row r="35">
      <c r="A35" s="9" t="str">
        <f>IFERROR(__xludf.DUMMYFUNCTION("""COMPUTED_VALUE"""),"hcp")</f>
        <v>hcp</v>
      </c>
      <c r="B35" s="9" t="str">
        <f>IFERROR(__xludf.DUMMYFUNCTION("""COMPUTED_VALUE"""),"Speaker")</f>
        <v>Speaker</v>
      </c>
      <c r="C35" s="9" t="str">
        <f>IFERROR(__xludf.DUMMYFUNCTION("""COMPUTED_VALUE"""),"Speaker")</f>
        <v>Speaker</v>
      </c>
      <c r="D35" s="2" t="s">
        <v>28</v>
      </c>
      <c r="E35" s="9" t="str">
        <f>IFERROR(__xludf.DUMMYFUNCTION("GOOGLETRANSLATE(B35,""en"",""de"")"),"Lautsprecher")</f>
        <v>Lautsprecher</v>
      </c>
      <c r="F35" s="9" t="str">
        <f>IFERROR(__xludf.DUMMYFUNCTION("GOOGLETRANSLATE(B35,""en"",""fr"")"),"Conférencier")</f>
        <v>Conférencier</v>
      </c>
      <c r="G35" s="9" t="str">
        <f>IFERROR(__xludf.DUMMYFUNCTION("GOOGLETRANSLATE(B35,""en"",""es"")"),"Vocero")</f>
        <v>Vocero</v>
      </c>
      <c r="H35" s="9" t="str">
        <f>IFERROR(__xludf.DUMMYFUNCTION("GOOGLETRANSLATE($B35,""en"",""it"")"),"Altoparlante")</f>
        <v>Altoparlante</v>
      </c>
      <c r="I35" s="9" t="str">
        <f>IFERROR(__xludf.DUMMYFUNCTION("GOOGLETRANSLATE($B35,""en"",""zh-cn"")"),"扬声器")</f>
        <v>扬声器</v>
      </c>
      <c r="J35" s="9" t="str">
        <f>IFERROR(__xludf.DUMMYFUNCTION("GOOGLETRANSLATE($B35,""en"",""ja"")"),"スピーカー")</f>
        <v>スピーカー</v>
      </c>
      <c r="K35" s="9" t="str">
        <f>IFERROR(__xludf.DUMMYFUNCTION("GOOGLETRANSLATE($B35,""en"",""ko"")"),"스피커")</f>
        <v>스피커</v>
      </c>
      <c r="L35" s="9" t="str">
        <f>IFERROR(__xludf.DUMMYFUNCTION("GOOGLETRANSLATE($B35,""en"",""pt-BR"")"),"Palestrante")</f>
        <v>Palestrante</v>
      </c>
    </row>
    <row r="36">
      <c r="A36" s="9" t="str">
        <f>IFERROR(__xludf.DUMMYFUNCTION("""COMPUTED_VALUE"""),"hcp")</f>
        <v>hcp</v>
      </c>
      <c r="B36" s="9" t="str">
        <f>IFERROR(__xludf.DUMMYFUNCTION("""COMPUTED_VALUE"""),"Target")</f>
        <v>Target</v>
      </c>
      <c r="C36" s="9" t="str">
        <f>IFERROR(__xludf.DUMMYFUNCTION("""COMPUTED_VALUE"""),"Target")</f>
        <v>Target</v>
      </c>
      <c r="D36" s="2" t="s">
        <v>28</v>
      </c>
      <c r="E36" s="9" t="str">
        <f>IFERROR(__xludf.DUMMYFUNCTION("GOOGLETRANSLATE(B36,""en"",""de"")"),"Ziel")</f>
        <v>Ziel</v>
      </c>
      <c r="F36" s="9" t="str">
        <f>IFERROR(__xludf.DUMMYFUNCTION("GOOGLETRANSLATE(B36,""en"",""fr"")"),"Cible")</f>
        <v>Cible</v>
      </c>
      <c r="G36" s="9" t="str">
        <f>IFERROR(__xludf.DUMMYFUNCTION("GOOGLETRANSLATE(B36,""en"",""es"")"),"Objetivo")</f>
        <v>Objetivo</v>
      </c>
      <c r="H36" s="9" t="str">
        <f>IFERROR(__xludf.DUMMYFUNCTION("GOOGLETRANSLATE($B36,""en"",""it"")"),"Bersaglio")</f>
        <v>Bersaglio</v>
      </c>
      <c r="I36" s="9" t="str">
        <f>IFERROR(__xludf.DUMMYFUNCTION("GOOGLETRANSLATE($B36,""en"",""zh-cn"")"),"目标")</f>
        <v>目标</v>
      </c>
      <c r="J36" s="9" t="str">
        <f>IFERROR(__xludf.DUMMYFUNCTION("GOOGLETRANSLATE($B36,""en"",""ja"")"),"ターゲット")</f>
        <v>ターゲット</v>
      </c>
      <c r="K36" s="9" t="str">
        <f>IFERROR(__xludf.DUMMYFUNCTION("GOOGLETRANSLATE($B36,""en"",""ko"")"),"목표")</f>
        <v>목표</v>
      </c>
      <c r="L36" s="9" t="str">
        <f>IFERROR(__xludf.DUMMYFUNCTION("GOOGLETRANSLATE($B36,""en"",""pt-BR"")"),"Alvo")</f>
        <v>Alvo</v>
      </c>
    </row>
    <row r="37">
      <c r="A37" s="9" t="str">
        <f>IFERROR(__xludf.DUMMYFUNCTION("""COMPUTED_VALUE"""),"hcp")</f>
        <v>hcp</v>
      </c>
      <c r="B37" s="9" t="str">
        <f>IFERROR(__xludf.DUMMYFUNCTION("""COMPUTED_VALUE"""),"Status")</f>
        <v>Status</v>
      </c>
      <c r="C37" s="9" t="str">
        <f>IFERROR(__xludf.DUMMYFUNCTION("""COMPUTED_VALUE"""),"Status")</f>
        <v>Status</v>
      </c>
      <c r="D37" s="13" t="s">
        <v>39</v>
      </c>
      <c r="E37" s="9" t="str">
        <f>IFERROR(__xludf.DUMMYFUNCTION("GOOGLETRANSLATE(B37,""en"",""de"")"),"Status")</f>
        <v>Status</v>
      </c>
      <c r="F37" s="9" t="str">
        <f>IFERROR(__xludf.DUMMYFUNCTION("GOOGLETRANSLATE(B37,""en"",""fr"")"),"Statut")</f>
        <v>Statut</v>
      </c>
      <c r="G37" s="9" t="str">
        <f>IFERROR(__xludf.DUMMYFUNCTION("GOOGLETRANSLATE(B37,""en"",""es"")"),"Estado")</f>
        <v>Estado</v>
      </c>
      <c r="H37" s="9" t="str">
        <f>IFERROR(__xludf.DUMMYFUNCTION("GOOGLETRANSLATE($B37,""en"",""it"")"),"Stato")</f>
        <v>Stato</v>
      </c>
      <c r="I37" s="9" t="str">
        <f>IFERROR(__xludf.DUMMYFUNCTION("GOOGLETRANSLATE($B37,""en"",""zh-cn"")"),"地位")</f>
        <v>地位</v>
      </c>
      <c r="J37" s="9" t="str">
        <f>IFERROR(__xludf.DUMMYFUNCTION("GOOGLETRANSLATE($B37,""en"",""ja"")"),"状態")</f>
        <v>状態</v>
      </c>
      <c r="K37" s="9" t="str">
        <f>IFERROR(__xludf.DUMMYFUNCTION("GOOGLETRANSLATE($B37,""en"",""ko"")"),"상태")</f>
        <v>상태</v>
      </c>
      <c r="L37" s="9" t="str">
        <f>IFERROR(__xludf.DUMMYFUNCTION("GOOGLETRANSLATE($B37,""en"",""pt-BR"")"),"Status")</f>
        <v>Status</v>
      </c>
    </row>
    <row r="38">
      <c r="A38" s="6" t="str">
        <f>IFERROR(__xludf.DUMMYFUNCTION("""COMPUTED_VALUE"""),"Entity")</f>
        <v>Entity</v>
      </c>
      <c r="B38" s="6" t="str">
        <f>IFERROR(__xludf.DUMMYFUNCTION("""COMPUTED_VALUE"""),"Label")</f>
        <v>Label</v>
      </c>
      <c r="C38" s="6" t="str">
        <f>IFERROR(__xludf.DUMMYFUNCTION("""COMPUTED_VALUE"""),"Label")</f>
        <v>Label</v>
      </c>
      <c r="D38" s="6" t="s">
        <v>28</v>
      </c>
      <c r="E38" s="6" t="str">
        <f>IFERROR(__xludf.DUMMYFUNCTION("GOOGLETRANSLATE(B38,""en"",""de"")"),"Etikett")</f>
        <v>Etikett</v>
      </c>
      <c r="F38" s="6" t="str">
        <f>IFERROR(__xludf.DUMMYFUNCTION("GOOGLETRANSLATE(B38,""en"",""fr"")"),"Étiquette")</f>
        <v>Étiquette</v>
      </c>
      <c r="G38" s="6" t="str">
        <f>IFERROR(__xludf.DUMMYFUNCTION("GOOGLETRANSLATE(B38,""en"",""es"")"),"Etiqueta")</f>
        <v>Etiqueta</v>
      </c>
      <c r="H38" s="6" t="str">
        <f>IFERROR(__xludf.DUMMYFUNCTION("GOOGLETRANSLATE($B38,""en"",""it"")"),"Etichetta")</f>
        <v>Etichetta</v>
      </c>
      <c r="I38" s="6" t="str">
        <f>IFERROR(__xludf.DUMMYFUNCTION("GOOGLETRANSLATE($B38,""en"",""zh-cn"")"),"标签")</f>
        <v>标签</v>
      </c>
      <c r="J38" s="6" t="str">
        <f>IFERROR(__xludf.DUMMYFUNCTION("GOOGLETRANSLATE($B38,""en"",""ja"")"),"ラベル")</f>
        <v>ラベル</v>
      </c>
      <c r="K38" s="6" t="str">
        <f>IFERROR(__xludf.DUMMYFUNCTION("GOOGLETRANSLATE($B38,""en"",""ko"")"),"상표")</f>
        <v>상표</v>
      </c>
      <c r="L38" s="6" t="str">
        <f>IFERROR(__xludf.DUMMYFUNCTION("GOOGLETRANSLATE($B38,""en"",""pt-BR"")"),"Rótulo")</f>
        <v>Rótulo</v>
      </c>
      <c r="M38" s="7"/>
      <c r="N38" s="7"/>
      <c r="O38" s="7"/>
      <c r="P38" s="7"/>
      <c r="Q38" s="7"/>
      <c r="R38" s="7"/>
    </row>
    <row r="39">
      <c r="A39" s="9" t="str">
        <f>IFERROR(__xludf.DUMMYFUNCTION("""COMPUTED_VALUE"""),"segment")</f>
        <v>segment</v>
      </c>
      <c r="B39" s="9" t="str">
        <f>IFERROR(__xludf.DUMMYFUNCTION("""COMPUTED_VALUE"""),"Name")</f>
        <v>Name</v>
      </c>
      <c r="C39" s="9" t="str">
        <f>IFERROR(__xludf.DUMMYFUNCTION("""COMPUTED_VALUE"""),"Name")</f>
        <v>Name</v>
      </c>
      <c r="D39" s="14" t="s">
        <v>28</v>
      </c>
      <c r="E39" s="9" t="str">
        <f>IFERROR(__xludf.DUMMYFUNCTION("GOOGLETRANSLATE(B39,""en"",""de"")"),"Name")</f>
        <v>Name</v>
      </c>
      <c r="F39" s="9" t="str">
        <f>IFERROR(__xludf.DUMMYFUNCTION("GOOGLETRANSLATE(B39,""en"",""fr"")"),"Nom")</f>
        <v>Nom</v>
      </c>
      <c r="G39" s="9" t="str">
        <f>IFERROR(__xludf.DUMMYFUNCTION("GOOGLETRANSLATE(B39,""en"",""es"")"),"Nombre")</f>
        <v>Nombre</v>
      </c>
      <c r="H39" s="9" t="str">
        <f>IFERROR(__xludf.DUMMYFUNCTION("GOOGLETRANSLATE($B39,""en"",""it"")"),"Nome")</f>
        <v>Nome</v>
      </c>
      <c r="I39" s="9" t="str">
        <f>IFERROR(__xludf.DUMMYFUNCTION("GOOGLETRANSLATE($B39,""en"",""zh-cn"")"),"姓名")</f>
        <v>姓名</v>
      </c>
      <c r="J39" s="9" t="str">
        <f>IFERROR(__xludf.DUMMYFUNCTION("GOOGLETRANSLATE($B39,""en"",""ja"")"),"名前")</f>
        <v>名前</v>
      </c>
      <c r="K39" s="9" t="str">
        <f>IFERROR(__xludf.DUMMYFUNCTION("GOOGLETRANSLATE($B39,""en"",""ko"")"),"이름")</f>
        <v>이름</v>
      </c>
      <c r="L39" s="9" t="str">
        <f>IFERROR(__xludf.DUMMYFUNCTION("GOOGLETRANSLATE($B39,""en"",""pt-BR"")"),"Nome")</f>
        <v>Nome</v>
      </c>
    </row>
    <row r="40">
      <c r="A40" s="9" t="str">
        <f>IFERROR(__xludf.DUMMYFUNCTION("""COMPUTED_VALUE"""),"segment")</f>
        <v>segment</v>
      </c>
      <c r="B40" s="9" t="str">
        <f>IFERROR(__xludf.DUMMYFUNCTION("""COMPUTED_VALUE"""),"Source")</f>
        <v>Source</v>
      </c>
      <c r="C40" s="9" t="str">
        <f>IFERROR(__xludf.DUMMYFUNCTION("""COMPUTED_VALUE"""),"Source")</f>
        <v>Source</v>
      </c>
      <c r="D40" s="15" t="s">
        <v>28</v>
      </c>
      <c r="E40" s="9" t="str">
        <f>IFERROR(__xludf.DUMMYFUNCTION("GOOGLETRANSLATE(B40,""en"",""de"")"),"Quelle")</f>
        <v>Quelle</v>
      </c>
      <c r="F40" s="9" t="str">
        <f>IFERROR(__xludf.DUMMYFUNCTION("GOOGLETRANSLATE(B40,""en"",""fr"")"),"Source")</f>
        <v>Source</v>
      </c>
      <c r="G40" s="9" t="str">
        <f>IFERROR(__xludf.DUMMYFUNCTION("GOOGLETRANSLATE(B40,""en"",""es"")"),"Fuente")</f>
        <v>Fuente</v>
      </c>
      <c r="H40" s="9" t="str">
        <f>IFERROR(__xludf.DUMMYFUNCTION("GOOGLETRANSLATE($B40,""en"",""it"")"),"Fonte")</f>
        <v>Fonte</v>
      </c>
      <c r="I40" s="9" t="str">
        <f>IFERROR(__xludf.DUMMYFUNCTION("GOOGLETRANSLATE($B40,""en"",""zh-cn"")"),"来源")</f>
        <v>来源</v>
      </c>
      <c r="J40" s="9" t="str">
        <f>IFERROR(__xludf.DUMMYFUNCTION("GOOGLETRANSLATE($B40,""en"",""ja"")"),"ソース")</f>
        <v>ソース</v>
      </c>
      <c r="K40" s="9" t="str">
        <f>IFERROR(__xludf.DUMMYFUNCTION("GOOGLETRANSLATE($B40,""en"",""ko"")"),"원천")</f>
        <v>원천</v>
      </c>
      <c r="L40" s="9" t="str">
        <f>IFERROR(__xludf.DUMMYFUNCTION("GOOGLETRANSLATE($B40,""en"",""pt-BR"")"),"Fonte")</f>
        <v>Fonte</v>
      </c>
    </row>
    <row r="41">
      <c r="A41" s="6" t="str">
        <f>IFERROR(__xludf.DUMMYFUNCTION("""COMPUTED_VALUE"""),"Entity")</f>
        <v>Entity</v>
      </c>
      <c r="B41" s="6" t="str">
        <f>IFERROR(__xludf.DUMMYFUNCTION("""COMPUTED_VALUE"""),"Label")</f>
        <v>Label</v>
      </c>
      <c r="C41" s="6" t="str">
        <f>IFERROR(__xludf.DUMMYFUNCTION("""COMPUTED_VALUE"""),"Label")</f>
        <v>Label</v>
      </c>
      <c r="D41" s="6" t="s">
        <v>28</v>
      </c>
      <c r="E41" s="6" t="str">
        <f>IFERROR(__xludf.DUMMYFUNCTION("GOOGLETRANSLATE(B41,""en"",""de"")"),"Etikett")</f>
        <v>Etikett</v>
      </c>
      <c r="F41" s="6" t="str">
        <f>IFERROR(__xludf.DUMMYFUNCTION("GOOGLETRANSLATE(B41,""en"",""fr"")"),"Étiquette")</f>
        <v>Étiquette</v>
      </c>
      <c r="G41" s="6" t="str">
        <f>IFERROR(__xludf.DUMMYFUNCTION("GOOGLETRANSLATE(B41,""en"",""es"")"),"Etiqueta")</f>
        <v>Etiqueta</v>
      </c>
      <c r="H41" s="6" t="str">
        <f>IFERROR(__xludf.DUMMYFUNCTION("GOOGLETRANSLATE($B41,""en"",""it"")"),"Etichetta")</f>
        <v>Etichetta</v>
      </c>
      <c r="I41" s="6" t="str">
        <f>IFERROR(__xludf.DUMMYFUNCTION("GOOGLETRANSLATE($B41,""en"",""zh-cn"")"),"标签")</f>
        <v>标签</v>
      </c>
      <c r="J41" s="6" t="str">
        <f>IFERROR(__xludf.DUMMYFUNCTION("GOOGLETRANSLATE($B41,""en"",""ja"")"),"ラベル")</f>
        <v>ラベル</v>
      </c>
      <c r="K41" s="6" t="str">
        <f>IFERROR(__xludf.DUMMYFUNCTION("GOOGLETRANSLATE($B41,""en"",""ko"")"),"상표")</f>
        <v>상표</v>
      </c>
      <c r="L41" s="6" t="str">
        <f>IFERROR(__xludf.DUMMYFUNCTION("GOOGLETRANSLATE($B41,""en"",""pt-BR"")"),"Rótulo")</f>
        <v>Rótulo</v>
      </c>
      <c r="M41" s="7"/>
      <c r="N41" s="7"/>
      <c r="O41" s="7"/>
      <c r="P41" s="7"/>
      <c r="Q41" s="7"/>
      <c r="R41" s="7"/>
    </row>
    <row r="42">
      <c r="A42" s="9" t="str">
        <f>IFERROR(__xludf.DUMMYFUNCTION("""COMPUTED_VALUE"""),"hcp_segment")</f>
        <v>hcp_segment</v>
      </c>
      <c r="B42" s="9" t="str">
        <f>IFERROR(__xludf.DUMMYFUNCTION("""COMPUTED_VALUE"""),"HCP")</f>
        <v>HCP</v>
      </c>
      <c r="C42" s="9" t="str">
        <f>IFERROR(__xludf.DUMMYFUNCTION("""COMPUTED_VALUE"""),"HCP")</f>
        <v>HCP</v>
      </c>
      <c r="D42" s="14" t="s">
        <v>28</v>
      </c>
      <c r="E42" s="9" t="str">
        <f>IFERROR(__xludf.DUMMYFUNCTION("GOOGLETRANSLATE(B42,""en"",""de"")"),"HCP")</f>
        <v>HCP</v>
      </c>
      <c r="F42" s="9" t="str">
        <f>IFERROR(__xludf.DUMMYFUNCTION("GOOGLETRANSLATE(B42,""en"",""fr"")"),"Professionnel de santé")</f>
        <v>Professionnel de santé</v>
      </c>
      <c r="G42" s="9" t="str">
        <f>IFERROR(__xludf.DUMMYFUNCTION("GOOGLETRANSLATE(B42,""en"",""es"")"),"profesional sanitario")</f>
        <v>profesional sanitario</v>
      </c>
      <c r="H42" s="9" t="str">
        <f>IFERROR(__xludf.DUMMYFUNCTION("GOOGLETRANSLATE($B42,""en"",""it"")"),"Operatore sanitario")</f>
        <v>Operatore sanitario</v>
      </c>
      <c r="I42" s="9" t="str">
        <f>IFERROR(__xludf.DUMMYFUNCTION("GOOGLETRANSLATE($B42,""en"",""zh-cn"")"),"羟基磷灰石")</f>
        <v>羟基磷灰石</v>
      </c>
      <c r="J42" s="9" t="str">
        <f>IFERROR(__xludf.DUMMYFUNCTION("GOOGLETRANSLATE($B42,""en"",""ja"")"),"医療従事者")</f>
        <v>医療従事者</v>
      </c>
      <c r="K42" s="9" t="str">
        <f>IFERROR(__xludf.DUMMYFUNCTION("GOOGLETRANSLATE($B42,""en"",""ko"")"),"HCP")</f>
        <v>HCP</v>
      </c>
      <c r="L42" s="9" t="str">
        <f>IFERROR(__xludf.DUMMYFUNCTION("GOOGLETRANSLATE($B42,""en"",""pt-BR"")"),"Profissional de saúde")</f>
        <v>Profissional de saúde</v>
      </c>
    </row>
    <row r="43">
      <c r="A43" s="9" t="str">
        <f>IFERROR(__xludf.DUMMYFUNCTION("""COMPUTED_VALUE"""),"hcp_segment")</f>
        <v>hcp_segment</v>
      </c>
      <c r="B43" s="9" t="str">
        <f>IFERROR(__xludf.DUMMYFUNCTION("""COMPUTED_VALUE"""),"Segment")</f>
        <v>Segment</v>
      </c>
      <c r="C43" s="9" t="str">
        <f>IFERROR(__xludf.DUMMYFUNCTION("""COMPUTED_VALUE"""),"Segment")</f>
        <v>Segment</v>
      </c>
      <c r="D43" s="2" t="s">
        <v>28</v>
      </c>
      <c r="E43" s="9" t="str">
        <f>IFERROR(__xludf.DUMMYFUNCTION("GOOGLETRANSLATE(B43,""en"",""de"")"),"Segment")</f>
        <v>Segment</v>
      </c>
      <c r="F43" s="9" t="str">
        <f>IFERROR(__xludf.DUMMYFUNCTION("GOOGLETRANSLATE(B43,""en"",""fr"")"),"Segment")</f>
        <v>Segment</v>
      </c>
      <c r="G43" s="9" t="str">
        <f>IFERROR(__xludf.DUMMYFUNCTION("GOOGLETRANSLATE(B43,""en"",""es"")"),"Segmento")</f>
        <v>Segmento</v>
      </c>
      <c r="H43" s="9" t="str">
        <f>IFERROR(__xludf.DUMMYFUNCTION("GOOGLETRANSLATE($B43,""en"",""it"")"),"Segmento")</f>
        <v>Segmento</v>
      </c>
      <c r="I43" s="9" t="str">
        <f>IFERROR(__xludf.DUMMYFUNCTION("GOOGLETRANSLATE($B43,""en"",""zh-cn"")"),"部分")</f>
        <v>部分</v>
      </c>
      <c r="J43" s="9" t="str">
        <f>IFERROR(__xludf.DUMMYFUNCTION("GOOGLETRANSLATE($B43,""en"",""ja"")"),"セグメント")</f>
        <v>セグメント</v>
      </c>
      <c r="K43" s="9" t="str">
        <f>IFERROR(__xludf.DUMMYFUNCTION("GOOGLETRANSLATE($B43,""en"",""ko"")"),"분절")</f>
        <v>분절</v>
      </c>
      <c r="L43" s="9" t="str">
        <f>IFERROR(__xludf.DUMMYFUNCTION("GOOGLETRANSLATE($B43,""en"",""pt-BR"")"),"Segmento")</f>
        <v>Segmento</v>
      </c>
    </row>
    <row r="44">
      <c r="A44" s="6" t="str">
        <f>IFERROR(__xludf.DUMMYFUNCTION("""COMPUTED_VALUE"""),"Entity")</f>
        <v>Entity</v>
      </c>
      <c r="B44" s="6" t="str">
        <f>IFERROR(__xludf.DUMMYFUNCTION("""COMPUTED_VALUE"""),"Label")</f>
        <v>Label</v>
      </c>
      <c r="C44" s="6" t="str">
        <f>IFERROR(__xludf.DUMMYFUNCTION("""COMPUTED_VALUE"""),"Label")</f>
        <v>Label</v>
      </c>
      <c r="D44" s="6" t="s">
        <v>28</v>
      </c>
      <c r="E44" s="6" t="str">
        <f>IFERROR(__xludf.DUMMYFUNCTION("GOOGLETRANSLATE(B44,""en"",""de"")"),"Etikett")</f>
        <v>Etikett</v>
      </c>
      <c r="F44" s="6" t="str">
        <f>IFERROR(__xludf.DUMMYFUNCTION("GOOGLETRANSLATE(B44,""en"",""fr"")"),"Étiquette")</f>
        <v>Étiquette</v>
      </c>
      <c r="G44" s="6" t="str">
        <f>IFERROR(__xludf.DUMMYFUNCTION("GOOGLETRANSLATE(B44,""en"",""es"")"),"Etiqueta")</f>
        <v>Etiqueta</v>
      </c>
      <c r="H44" s="6" t="str">
        <f>IFERROR(__xludf.DUMMYFUNCTION("GOOGLETRANSLATE($B44,""en"",""it"")"),"Etichetta")</f>
        <v>Etichetta</v>
      </c>
      <c r="I44" s="6" t="str">
        <f>IFERROR(__xludf.DUMMYFUNCTION("GOOGLETRANSLATE($B44,""en"",""zh-cn"")"),"标签")</f>
        <v>标签</v>
      </c>
      <c r="J44" s="6" t="str">
        <f>IFERROR(__xludf.DUMMYFUNCTION("GOOGLETRANSLATE($B44,""en"",""ja"")"),"ラベル")</f>
        <v>ラベル</v>
      </c>
      <c r="K44" s="6" t="str">
        <f>IFERROR(__xludf.DUMMYFUNCTION("GOOGLETRANSLATE($B44,""en"",""ko"")"),"상표")</f>
        <v>상표</v>
      </c>
      <c r="L44" s="6" t="str">
        <f>IFERROR(__xludf.DUMMYFUNCTION("GOOGLETRANSLATE($B44,""en"",""pt-BR"")"),"Rótulo")</f>
        <v>Rótulo</v>
      </c>
      <c r="M44" s="7"/>
      <c r="N44" s="7"/>
      <c r="O44" s="7"/>
      <c r="P44" s="7"/>
      <c r="Q44" s="7"/>
      <c r="R44" s="7"/>
    </row>
    <row r="45">
      <c r="A45" s="9" t="str">
        <f>IFERROR(__xludf.DUMMYFUNCTION("""COMPUTED_VALUE"""),"address")</f>
        <v>address</v>
      </c>
      <c r="B45" s="9" t="str">
        <f>IFERROR(__xludf.DUMMYFUNCTION("""COMPUTED_VALUE"""),"HCP")</f>
        <v>HCP</v>
      </c>
      <c r="C45" s="9" t="str">
        <f>IFERROR(__xludf.DUMMYFUNCTION("""COMPUTED_VALUE"""),"HCP")</f>
        <v>HCP</v>
      </c>
      <c r="D45" s="14" t="s">
        <v>28</v>
      </c>
      <c r="E45" s="9" t="str">
        <f>IFERROR(__xludf.DUMMYFUNCTION("GOOGLETRANSLATE(B45,""en"",""de"")"),"HCP")</f>
        <v>HCP</v>
      </c>
      <c r="F45" s="9" t="str">
        <f>IFERROR(__xludf.DUMMYFUNCTION("GOOGLETRANSLATE(B45,""en"",""fr"")"),"Professionnel de santé")</f>
        <v>Professionnel de santé</v>
      </c>
      <c r="G45" s="9" t="str">
        <f>IFERROR(__xludf.DUMMYFUNCTION("GOOGLETRANSLATE(B45,""en"",""es"")"),"profesional sanitario")</f>
        <v>profesional sanitario</v>
      </c>
      <c r="H45" s="9" t="str">
        <f>IFERROR(__xludf.DUMMYFUNCTION("GOOGLETRANSLATE($B45,""en"",""it"")"),"Operatore sanitario")</f>
        <v>Operatore sanitario</v>
      </c>
      <c r="I45" s="9" t="str">
        <f>IFERROR(__xludf.DUMMYFUNCTION("GOOGLETRANSLATE($B45,""en"",""zh-cn"")"),"羟基磷灰石")</f>
        <v>羟基磷灰石</v>
      </c>
      <c r="J45" s="9" t="str">
        <f>IFERROR(__xludf.DUMMYFUNCTION("GOOGLETRANSLATE($B45,""en"",""ja"")"),"医療従事者")</f>
        <v>医療従事者</v>
      </c>
      <c r="K45" s="9" t="str">
        <f>IFERROR(__xludf.DUMMYFUNCTION("GOOGLETRANSLATE($B45,""en"",""ko"")"),"HCP")</f>
        <v>HCP</v>
      </c>
      <c r="L45" s="9" t="str">
        <f>IFERROR(__xludf.DUMMYFUNCTION("GOOGLETRANSLATE($B45,""en"",""pt-BR"")"),"Profissional de saúde")</f>
        <v>Profissional de saúde</v>
      </c>
    </row>
    <row r="46">
      <c r="A46" s="9" t="str">
        <f>IFERROR(__xludf.DUMMYFUNCTION("""COMPUTED_VALUE"""),"address")</f>
        <v>address</v>
      </c>
      <c r="B46" s="9" t="str">
        <f>IFERROR(__xludf.DUMMYFUNCTION("""COMPUTED_VALUE"""),"Primary")</f>
        <v>Primary</v>
      </c>
      <c r="C46" s="9" t="str">
        <f>IFERROR(__xludf.DUMMYFUNCTION("""COMPUTED_VALUE"""),"Primary")</f>
        <v>Primary</v>
      </c>
      <c r="D46" s="14" t="s">
        <v>28</v>
      </c>
      <c r="E46" s="9" t="str">
        <f>IFERROR(__xludf.DUMMYFUNCTION("GOOGLETRANSLATE(B46,""en"",""de"")"),"Primär")</f>
        <v>Primär</v>
      </c>
      <c r="F46" s="9" t="str">
        <f>IFERROR(__xludf.DUMMYFUNCTION("GOOGLETRANSLATE(B46,""en"",""fr"")"),"Primaire")</f>
        <v>Primaire</v>
      </c>
      <c r="G46" s="9" t="str">
        <f>IFERROR(__xludf.DUMMYFUNCTION("GOOGLETRANSLATE(B46,""en"",""es"")"),"Primario")</f>
        <v>Primario</v>
      </c>
      <c r="H46" s="9" t="str">
        <f>IFERROR(__xludf.DUMMYFUNCTION("GOOGLETRANSLATE($B46,""en"",""it"")"),"Primario")</f>
        <v>Primario</v>
      </c>
      <c r="I46" s="9" t="str">
        <f>IFERROR(__xludf.DUMMYFUNCTION("GOOGLETRANSLATE($B46,""en"",""zh-cn"")"),"基本的")</f>
        <v>基本的</v>
      </c>
      <c r="J46" s="9" t="str">
        <f>IFERROR(__xludf.DUMMYFUNCTION("GOOGLETRANSLATE($B46,""en"",""ja"")"),"主要な")</f>
        <v>主要な</v>
      </c>
      <c r="K46" s="9" t="str">
        <f>IFERROR(__xludf.DUMMYFUNCTION("GOOGLETRANSLATE($B46,""en"",""ko"")"),"주요한")</f>
        <v>주요한</v>
      </c>
      <c r="L46" s="9" t="str">
        <f>IFERROR(__xludf.DUMMYFUNCTION("GOOGLETRANSLATE($B46,""en"",""pt-BR"")"),"Primário")</f>
        <v>Primário</v>
      </c>
    </row>
    <row r="47">
      <c r="A47" s="9" t="str">
        <f>IFERROR(__xludf.DUMMYFUNCTION("""COMPUTED_VALUE"""),"address")</f>
        <v>address</v>
      </c>
      <c r="B47" s="9" t="str">
        <f>IFERROR(__xludf.DUMMYFUNCTION("""COMPUTED_VALUE"""),"Street Address 1")</f>
        <v>Street Address 1</v>
      </c>
      <c r="C47" s="9" t="str">
        <f>IFERROR(__xludf.DUMMYFUNCTION("""COMPUTED_VALUE"""),"Street Address 1")</f>
        <v>Street Address 1</v>
      </c>
      <c r="D47" s="14" t="s">
        <v>28</v>
      </c>
      <c r="E47" s="9" t="str">
        <f>IFERROR(__xludf.DUMMYFUNCTION("GOOGLETRANSLATE(B47,""en"",""de"")"),"Straße Adresse 1")</f>
        <v>Straße Adresse 1</v>
      </c>
      <c r="F47" s="9" t="str">
        <f>IFERROR(__xludf.DUMMYFUNCTION("GOOGLETRANSLATE(B47,""en"",""fr"")"),"Adresse postale 1")</f>
        <v>Adresse postale 1</v>
      </c>
      <c r="G47" s="9" t="str">
        <f>IFERROR(__xludf.DUMMYFUNCTION("GOOGLETRANSLATE(B47,""en"",""es"")"),"Dirección 1")</f>
        <v>Dirección 1</v>
      </c>
      <c r="H47" s="9" t="str">
        <f>IFERROR(__xludf.DUMMYFUNCTION("GOOGLETRANSLATE($B47,""en"",""it"")"),"Indirizzo stradale 1")</f>
        <v>Indirizzo stradale 1</v>
      </c>
      <c r="I47" s="9" t="str">
        <f>IFERROR(__xludf.DUMMYFUNCTION("GOOGLETRANSLATE($B47,""en"",""zh-cn"")"),"街道地址 1")</f>
        <v>街道地址 1</v>
      </c>
      <c r="J47" s="9" t="str">
        <f>IFERROR(__xludf.DUMMYFUNCTION("GOOGLETRANSLATE($B47,""en"",""ja"")"),"住所 1")</f>
        <v>住所 1</v>
      </c>
      <c r="K47" s="9" t="str">
        <f>IFERROR(__xludf.DUMMYFUNCTION("GOOGLETRANSLATE($B47,""en"",""ko"")"),"거리 주소 1")</f>
        <v>거리 주소 1</v>
      </c>
      <c r="L47" s="9" t="str">
        <f>IFERROR(__xludf.DUMMYFUNCTION("GOOGLETRANSLATE($B47,""en"",""pt-BR"")"),"Endereço 1")</f>
        <v>Endereço 1</v>
      </c>
    </row>
    <row r="48">
      <c r="A48" s="9" t="str">
        <f>IFERROR(__xludf.DUMMYFUNCTION("""COMPUTED_VALUE"""),"address")</f>
        <v>address</v>
      </c>
      <c r="B48" s="9" t="str">
        <f>IFERROR(__xludf.DUMMYFUNCTION("""COMPUTED_VALUE"""),"Street Address 2")</f>
        <v>Street Address 2</v>
      </c>
      <c r="C48" s="9" t="str">
        <f>IFERROR(__xludf.DUMMYFUNCTION("""COMPUTED_VALUE"""),"Street Address 2")</f>
        <v>Street Address 2</v>
      </c>
      <c r="D48" s="2" t="s">
        <v>28</v>
      </c>
      <c r="E48" s="9" t="str">
        <f>IFERROR(__xludf.DUMMYFUNCTION("GOOGLETRANSLATE(B48,""en"",""de"")"),"Straße Adresse 2")</f>
        <v>Straße Adresse 2</v>
      </c>
      <c r="F48" s="9" t="str">
        <f>IFERROR(__xludf.DUMMYFUNCTION("GOOGLETRANSLATE(B48,""en"",""fr"")"),"Adresse postale 2")</f>
        <v>Adresse postale 2</v>
      </c>
      <c r="G48" s="9" t="str">
        <f>IFERROR(__xludf.DUMMYFUNCTION("GOOGLETRANSLATE(B48,""en"",""es"")"),"Dirección 2")</f>
        <v>Dirección 2</v>
      </c>
      <c r="H48" s="9" t="str">
        <f>IFERROR(__xludf.DUMMYFUNCTION("GOOGLETRANSLATE($B48,""en"",""it"")"),"Indirizzo stradale 2")</f>
        <v>Indirizzo stradale 2</v>
      </c>
      <c r="I48" s="9" t="str">
        <f>IFERROR(__xludf.DUMMYFUNCTION("GOOGLETRANSLATE($B48,""en"",""zh-cn"")"),"街道地址 2")</f>
        <v>街道地址 2</v>
      </c>
      <c r="J48" s="9" t="str">
        <f>IFERROR(__xludf.DUMMYFUNCTION("GOOGLETRANSLATE($B48,""en"",""ja"")"),"住所 2")</f>
        <v>住所 2</v>
      </c>
      <c r="K48" s="9" t="str">
        <f>IFERROR(__xludf.DUMMYFUNCTION("GOOGLETRANSLATE($B48,""en"",""ko"")"),"거리 주소 2")</f>
        <v>거리 주소 2</v>
      </c>
      <c r="L48" s="9" t="str">
        <f>IFERROR(__xludf.DUMMYFUNCTION("GOOGLETRANSLATE($B48,""en"",""pt-BR"")"),"Endereço 2")</f>
        <v>Endereço 2</v>
      </c>
    </row>
    <row r="49">
      <c r="A49" s="9" t="str">
        <f>IFERROR(__xludf.DUMMYFUNCTION("""COMPUTED_VALUE"""),"address")</f>
        <v>address</v>
      </c>
      <c r="B49" s="9" t="str">
        <f>IFERROR(__xludf.DUMMYFUNCTION("""COMPUTED_VALUE"""),"Country")</f>
        <v>Country</v>
      </c>
      <c r="C49" s="9" t="str">
        <f>IFERROR(__xludf.DUMMYFUNCTION("""COMPUTED_VALUE"""),"Country")</f>
        <v>Country</v>
      </c>
      <c r="D49" s="13" t="s">
        <v>32</v>
      </c>
      <c r="E49" s="9" t="str">
        <f>IFERROR(__xludf.DUMMYFUNCTION("GOOGLETRANSLATE(B49,""en"",""de"")"),"Land")</f>
        <v>Land</v>
      </c>
      <c r="F49" s="9" t="str">
        <f>IFERROR(__xludf.DUMMYFUNCTION("GOOGLETRANSLATE(B49,""en"",""fr"")"),"Pays")</f>
        <v>Pays</v>
      </c>
      <c r="G49" s="9" t="str">
        <f>IFERROR(__xludf.DUMMYFUNCTION("GOOGLETRANSLATE(B49,""en"",""es"")"),"País")</f>
        <v>País</v>
      </c>
      <c r="H49" s="9" t="str">
        <f>IFERROR(__xludf.DUMMYFUNCTION("GOOGLETRANSLATE($B49,""en"",""it"")"),"Paese")</f>
        <v>Paese</v>
      </c>
      <c r="I49" s="9" t="str">
        <f>IFERROR(__xludf.DUMMYFUNCTION("GOOGLETRANSLATE($B49,""en"",""zh-cn"")"),"国家")</f>
        <v>国家</v>
      </c>
      <c r="J49" s="9" t="str">
        <f>IFERROR(__xludf.DUMMYFUNCTION("GOOGLETRANSLATE($B49,""en"",""ja"")"),"国")</f>
        <v>国</v>
      </c>
      <c r="K49" s="9" t="str">
        <f>IFERROR(__xludf.DUMMYFUNCTION("GOOGLETRANSLATE($B49,""en"",""ko"")"),"국가")</f>
        <v>국가</v>
      </c>
      <c r="L49" s="9" t="str">
        <f>IFERROR(__xludf.DUMMYFUNCTION("GOOGLETRANSLATE($B49,""en"",""pt-BR"")"),"País")</f>
        <v>País</v>
      </c>
    </row>
    <row r="50">
      <c r="A50" s="9" t="str">
        <f>IFERROR(__xludf.DUMMYFUNCTION("""COMPUTED_VALUE"""),"address")</f>
        <v>address</v>
      </c>
      <c r="B50" s="9" t="str">
        <f>IFERROR(__xludf.DUMMYFUNCTION("""COMPUTED_VALUE"""),"State")</f>
        <v>State</v>
      </c>
      <c r="C50" s="9" t="str">
        <f>IFERROR(__xludf.DUMMYFUNCTION("""COMPUTED_VALUE"""),"State")</f>
        <v>State</v>
      </c>
      <c r="D50" s="13" t="s">
        <v>33</v>
      </c>
      <c r="E50" s="9" t="str">
        <f>IFERROR(__xludf.DUMMYFUNCTION("GOOGLETRANSLATE(B50,""en"",""de"")"),"Zustand")</f>
        <v>Zustand</v>
      </c>
      <c r="F50" s="9" t="str">
        <f>IFERROR(__xludf.DUMMYFUNCTION("GOOGLETRANSLATE(B50,""en"",""fr"")"),"État")</f>
        <v>État</v>
      </c>
      <c r="G50" s="9" t="str">
        <f>IFERROR(__xludf.DUMMYFUNCTION("GOOGLETRANSLATE(B50,""en"",""es"")"),"Estado")</f>
        <v>Estado</v>
      </c>
      <c r="H50" s="9" t="str">
        <f>IFERROR(__xludf.DUMMYFUNCTION("GOOGLETRANSLATE($B50,""en"",""it"")"),"Stato")</f>
        <v>Stato</v>
      </c>
      <c r="I50" s="9" t="str">
        <f>IFERROR(__xludf.DUMMYFUNCTION("GOOGLETRANSLATE($B50,""en"",""zh-cn"")"),"状态")</f>
        <v>状态</v>
      </c>
      <c r="J50" s="9" t="str">
        <f>IFERROR(__xludf.DUMMYFUNCTION("GOOGLETRANSLATE($B50,""en"",""ja"")"),"州")</f>
        <v>州</v>
      </c>
      <c r="K50" s="9" t="str">
        <f>IFERROR(__xludf.DUMMYFUNCTION("GOOGLETRANSLATE($B50,""en"",""ko"")"),"상태")</f>
        <v>상태</v>
      </c>
      <c r="L50" s="9" t="str">
        <f>IFERROR(__xludf.DUMMYFUNCTION("GOOGLETRANSLATE($B50,""en"",""pt-BR"")"),"Estado")</f>
        <v>Estado</v>
      </c>
    </row>
    <row r="51">
      <c r="A51" s="9" t="str">
        <f>IFERROR(__xludf.DUMMYFUNCTION("""COMPUTED_VALUE"""),"address")</f>
        <v>address</v>
      </c>
      <c r="B51" s="9" t="str">
        <f>IFERROR(__xludf.DUMMYFUNCTION("""COMPUTED_VALUE"""),"City")</f>
        <v>City</v>
      </c>
      <c r="C51" s="9" t="str">
        <f>IFERROR(__xludf.DUMMYFUNCTION("""COMPUTED_VALUE"""),"City")</f>
        <v>City</v>
      </c>
      <c r="D51" s="2" t="s">
        <v>28</v>
      </c>
      <c r="E51" s="9" t="str">
        <f>IFERROR(__xludf.DUMMYFUNCTION("GOOGLETRANSLATE(B51,""en"",""de"")"),"Stadt")</f>
        <v>Stadt</v>
      </c>
      <c r="F51" s="9" t="str">
        <f>IFERROR(__xludf.DUMMYFUNCTION("GOOGLETRANSLATE(B51,""en"",""fr"")"),"Ville")</f>
        <v>Ville</v>
      </c>
      <c r="G51" s="9" t="str">
        <f>IFERROR(__xludf.DUMMYFUNCTION("GOOGLETRANSLATE(B51,""en"",""es"")"),"Ciudad")</f>
        <v>Ciudad</v>
      </c>
      <c r="H51" s="9" t="str">
        <f>IFERROR(__xludf.DUMMYFUNCTION("GOOGLETRANSLATE($B51,""en"",""it"")"),"Città")</f>
        <v>Città</v>
      </c>
      <c r="I51" s="9" t="str">
        <f>IFERROR(__xludf.DUMMYFUNCTION("GOOGLETRANSLATE($B51,""en"",""zh-cn"")"),"城市")</f>
        <v>城市</v>
      </c>
      <c r="J51" s="9" t="str">
        <f>IFERROR(__xludf.DUMMYFUNCTION("GOOGLETRANSLATE($B51,""en"",""ja"")"),"市")</f>
        <v>市</v>
      </c>
      <c r="K51" s="9" t="str">
        <f>IFERROR(__xludf.DUMMYFUNCTION("GOOGLETRANSLATE($B51,""en"",""ko"")"),"도시")</f>
        <v>도시</v>
      </c>
      <c r="L51" s="9" t="str">
        <f>IFERROR(__xludf.DUMMYFUNCTION("GOOGLETRANSLATE($B51,""en"",""pt-BR"")"),"Cidade")</f>
        <v>Cidade</v>
      </c>
    </row>
    <row r="52">
      <c r="A52" s="9" t="str">
        <f>IFERROR(__xludf.DUMMYFUNCTION("""COMPUTED_VALUE"""),"address")</f>
        <v>address</v>
      </c>
      <c r="B52" s="9" t="str">
        <f>IFERROR(__xludf.DUMMYFUNCTION("""COMPUTED_VALUE"""),"Postal Code")</f>
        <v>Postal Code</v>
      </c>
      <c r="C52" s="9" t="str">
        <f>IFERROR(__xludf.DUMMYFUNCTION("""COMPUTED_VALUE"""),"Postal Code")</f>
        <v>Postal Code</v>
      </c>
      <c r="D52" s="2" t="s">
        <v>28</v>
      </c>
      <c r="E52" s="9" t="str">
        <f>IFERROR(__xludf.DUMMYFUNCTION("GOOGLETRANSLATE(B52,""en"",""de"")"),"Postleitzahl")</f>
        <v>Postleitzahl</v>
      </c>
      <c r="F52" s="9" t="str">
        <f>IFERROR(__xludf.DUMMYFUNCTION("GOOGLETRANSLATE(B52,""en"",""fr"")"),"Code Postal")</f>
        <v>Code Postal</v>
      </c>
      <c r="G52" s="9" t="str">
        <f>IFERROR(__xludf.DUMMYFUNCTION("GOOGLETRANSLATE(B52,""en"",""es"")"),"Código Postal")</f>
        <v>Código Postal</v>
      </c>
      <c r="H52" s="9" t="str">
        <f>IFERROR(__xludf.DUMMYFUNCTION("GOOGLETRANSLATE($B52,""en"",""it"")"),"Codice Postale")</f>
        <v>Codice Postale</v>
      </c>
      <c r="I52" s="9" t="str">
        <f>IFERROR(__xludf.DUMMYFUNCTION("GOOGLETRANSLATE($B52,""en"",""zh-cn"")"),"邮政编码")</f>
        <v>邮政编码</v>
      </c>
      <c r="J52" s="9" t="str">
        <f>IFERROR(__xludf.DUMMYFUNCTION("GOOGLETRANSLATE($B52,""en"",""ja"")"),"郵便番号")</f>
        <v>郵便番号</v>
      </c>
      <c r="K52" s="9" t="str">
        <f>IFERROR(__xludf.DUMMYFUNCTION("GOOGLETRANSLATE($B52,""en"",""ko"")"),"우편번호")</f>
        <v>우편번호</v>
      </c>
      <c r="L52" s="9" t="str">
        <f>IFERROR(__xludf.DUMMYFUNCTION("GOOGLETRANSLATE($B52,""en"",""pt-BR"")"),"Código postal")</f>
        <v>Código postal</v>
      </c>
    </row>
    <row r="53">
      <c r="A53" s="9" t="str">
        <f>IFERROR(__xludf.DUMMYFUNCTION("""COMPUTED_VALUE"""),"address")</f>
        <v>address</v>
      </c>
      <c r="B53" s="9" t="str">
        <f>IFERROR(__xludf.DUMMYFUNCTION("""COMPUTED_VALUE"""),"Latitude")</f>
        <v>Latitude</v>
      </c>
      <c r="C53" s="9" t="str">
        <f>IFERROR(__xludf.DUMMYFUNCTION("""COMPUTED_VALUE"""),"Latitude")</f>
        <v>Latitude</v>
      </c>
      <c r="D53" s="2" t="s">
        <v>28</v>
      </c>
      <c r="E53" s="9" t="str">
        <f>IFERROR(__xludf.DUMMYFUNCTION("GOOGLETRANSLATE(B53,""en"",""de"")"),"Breite")</f>
        <v>Breite</v>
      </c>
      <c r="F53" s="9" t="str">
        <f>IFERROR(__xludf.DUMMYFUNCTION("GOOGLETRANSLATE(B53,""en"",""fr"")"),"Latitude")</f>
        <v>Latitude</v>
      </c>
      <c r="G53" s="9" t="str">
        <f>IFERROR(__xludf.DUMMYFUNCTION("GOOGLETRANSLATE(B53,""en"",""es"")"),"Latitud")</f>
        <v>Latitud</v>
      </c>
      <c r="H53" s="9" t="str">
        <f>IFERROR(__xludf.DUMMYFUNCTION("GOOGLETRANSLATE($B53,""en"",""it"")"),"Latitudine")</f>
        <v>Latitudine</v>
      </c>
      <c r="I53" s="9" t="str">
        <f>IFERROR(__xludf.DUMMYFUNCTION("GOOGLETRANSLATE($B53,""en"",""zh-cn"")"),"纬度")</f>
        <v>纬度</v>
      </c>
      <c r="J53" s="9" t="str">
        <f>IFERROR(__xludf.DUMMYFUNCTION("GOOGLETRANSLATE($B53,""en"",""ja"")"),"緯度")</f>
        <v>緯度</v>
      </c>
      <c r="K53" s="9" t="str">
        <f>IFERROR(__xludf.DUMMYFUNCTION("GOOGLETRANSLATE($B53,""en"",""ko"")"),"위도")</f>
        <v>위도</v>
      </c>
      <c r="L53" s="9" t="str">
        <f>IFERROR(__xludf.DUMMYFUNCTION("GOOGLETRANSLATE($B53,""en"",""pt-BR"")"),"Latitude")</f>
        <v>Latitude</v>
      </c>
    </row>
    <row r="54">
      <c r="A54" s="9" t="str">
        <f>IFERROR(__xludf.DUMMYFUNCTION("""COMPUTED_VALUE"""),"address")</f>
        <v>address</v>
      </c>
      <c r="B54" s="9" t="str">
        <f>IFERROR(__xludf.DUMMYFUNCTION("""COMPUTED_VALUE"""),"Longitude")</f>
        <v>Longitude</v>
      </c>
      <c r="C54" s="9" t="str">
        <f>IFERROR(__xludf.DUMMYFUNCTION("""COMPUTED_VALUE"""),"Longitude")</f>
        <v>Longitude</v>
      </c>
      <c r="D54" s="2" t="s">
        <v>28</v>
      </c>
      <c r="E54" s="9" t="str">
        <f>IFERROR(__xludf.DUMMYFUNCTION("GOOGLETRANSLATE(B54,""en"",""de"")"),"Länge")</f>
        <v>Länge</v>
      </c>
      <c r="F54" s="9" t="str">
        <f>IFERROR(__xludf.DUMMYFUNCTION("GOOGLETRANSLATE(B54,""en"",""fr"")"),"Longitude")</f>
        <v>Longitude</v>
      </c>
      <c r="G54" s="9" t="str">
        <f>IFERROR(__xludf.DUMMYFUNCTION("GOOGLETRANSLATE(B54,""en"",""es"")"),"Longitud")</f>
        <v>Longitud</v>
      </c>
      <c r="H54" s="9" t="str">
        <f>IFERROR(__xludf.DUMMYFUNCTION("GOOGLETRANSLATE($B54,""en"",""it"")"),"Longitudine")</f>
        <v>Longitudine</v>
      </c>
      <c r="I54" s="9" t="str">
        <f>IFERROR(__xludf.DUMMYFUNCTION("GOOGLETRANSLATE($B54,""en"",""zh-cn"")"),"经度")</f>
        <v>经度</v>
      </c>
      <c r="J54" s="9" t="str">
        <f>IFERROR(__xludf.DUMMYFUNCTION("GOOGLETRANSLATE($B54,""en"",""ja"")"),"経度")</f>
        <v>経度</v>
      </c>
      <c r="K54" s="9" t="str">
        <f>IFERROR(__xludf.DUMMYFUNCTION("GOOGLETRANSLATE($B54,""en"",""ko"")"),"경도")</f>
        <v>경도</v>
      </c>
      <c r="L54" s="9" t="str">
        <f>IFERROR(__xludf.DUMMYFUNCTION("GOOGLETRANSLATE($B54,""en"",""pt-BR"")"),"Longitude")</f>
        <v>Longitude</v>
      </c>
    </row>
    <row r="55">
      <c r="A55" s="9" t="str">
        <f>IFERROR(__xludf.DUMMYFUNCTION("""COMPUTED_VALUE"""),"address")</f>
        <v>address</v>
      </c>
      <c r="B55" s="9" t="str">
        <f>IFERROR(__xludf.DUMMYFUNCTION("""COMPUTED_VALUE"""),"Phone")</f>
        <v>Phone</v>
      </c>
      <c r="C55" s="9" t="str">
        <f>IFERROR(__xludf.DUMMYFUNCTION("""COMPUTED_VALUE"""),"Phone")</f>
        <v>Phone</v>
      </c>
      <c r="D55" s="15" t="s">
        <v>28</v>
      </c>
      <c r="E55" s="9" t="str">
        <f>IFERROR(__xludf.DUMMYFUNCTION("GOOGLETRANSLATE(B55,""en"",""de"")"),"Telefon")</f>
        <v>Telefon</v>
      </c>
      <c r="F55" s="9" t="str">
        <f>IFERROR(__xludf.DUMMYFUNCTION("GOOGLETRANSLATE(B55,""en"",""fr"")"),"Téléphone")</f>
        <v>Téléphone</v>
      </c>
      <c r="G55" s="9" t="str">
        <f>IFERROR(__xludf.DUMMYFUNCTION("GOOGLETRANSLATE(B55,""en"",""es"")"),"Teléfono")</f>
        <v>Teléfono</v>
      </c>
      <c r="H55" s="9" t="str">
        <f>IFERROR(__xludf.DUMMYFUNCTION("GOOGLETRANSLATE($B55,""en"",""it"")"),"Telefono")</f>
        <v>Telefono</v>
      </c>
      <c r="I55" s="9" t="str">
        <f>IFERROR(__xludf.DUMMYFUNCTION("GOOGLETRANSLATE($B55,""en"",""zh-cn"")"),"电话")</f>
        <v>电话</v>
      </c>
      <c r="J55" s="9" t="str">
        <f>IFERROR(__xludf.DUMMYFUNCTION("GOOGLETRANSLATE($B55,""en"",""ja"")"),"電話")</f>
        <v>電話</v>
      </c>
      <c r="K55" s="9" t="str">
        <f>IFERROR(__xludf.DUMMYFUNCTION("GOOGLETRANSLATE($B55,""en"",""ko"")"),"핸드폰")</f>
        <v>핸드폰</v>
      </c>
      <c r="L55" s="9" t="str">
        <f>IFERROR(__xludf.DUMMYFUNCTION("GOOGLETRANSLATE($B55,""en"",""pt-BR"")"),"Telefone")</f>
        <v>Telefone</v>
      </c>
    </row>
    <row r="56">
      <c r="A56" s="9" t="str">
        <f>IFERROR(__xludf.DUMMYFUNCTION("""COMPUTED_VALUE"""),"address")</f>
        <v>address</v>
      </c>
      <c r="B56" s="9" t="str">
        <f>IFERROR(__xludf.DUMMYFUNCTION("""COMPUTED_VALUE"""),"Fax")</f>
        <v>Fax</v>
      </c>
      <c r="C56" s="9" t="str">
        <f>IFERROR(__xludf.DUMMYFUNCTION("""COMPUTED_VALUE"""),"Fax")</f>
        <v>Fax</v>
      </c>
      <c r="D56" s="15" t="s">
        <v>28</v>
      </c>
      <c r="E56" s="9" t="str">
        <f>IFERROR(__xludf.DUMMYFUNCTION("GOOGLETRANSLATE(B56,""en"",""de"")"),"Fax")</f>
        <v>Fax</v>
      </c>
      <c r="F56" s="9" t="str">
        <f>IFERROR(__xludf.DUMMYFUNCTION("GOOGLETRANSLATE(B56,""en"",""fr"")"),"Fax")</f>
        <v>Fax</v>
      </c>
      <c r="G56" s="9" t="str">
        <f>IFERROR(__xludf.DUMMYFUNCTION("GOOGLETRANSLATE(B56,""en"",""es"")"),"Fax")</f>
        <v>Fax</v>
      </c>
      <c r="H56" s="9" t="str">
        <f>IFERROR(__xludf.DUMMYFUNCTION("GOOGLETRANSLATE($B56,""en"",""it"")"),"Fax")</f>
        <v>Fax</v>
      </c>
      <c r="I56" s="9" t="str">
        <f>IFERROR(__xludf.DUMMYFUNCTION("GOOGLETRANSLATE($B56,""en"",""zh-cn"")"),"传真")</f>
        <v>传真</v>
      </c>
      <c r="J56" s="9" t="str">
        <f>IFERROR(__xludf.DUMMYFUNCTION("GOOGLETRANSLATE($B56,""en"",""ja"")"),"ファックス")</f>
        <v>ファックス</v>
      </c>
      <c r="K56" s="9" t="str">
        <f>IFERROR(__xludf.DUMMYFUNCTION("GOOGLETRANSLATE($B56,""en"",""ko"")"),"팩스")</f>
        <v>팩스</v>
      </c>
      <c r="L56" s="9" t="str">
        <f>IFERROR(__xludf.DUMMYFUNCTION("GOOGLETRANSLATE($B56,""en"",""pt-BR"")"),"Fax")</f>
        <v>Fax</v>
      </c>
    </row>
    <row r="57">
      <c r="A57" s="9" t="str">
        <f>IFERROR(__xludf.DUMMYFUNCTION("""COMPUTED_VALUE"""),"address")</f>
        <v>address</v>
      </c>
      <c r="B57" s="9" t="str">
        <f>IFERROR(__xludf.DUMMYFUNCTION("""COMPUTED_VALUE"""),"Home")</f>
        <v>Home</v>
      </c>
      <c r="C57" s="9" t="str">
        <f>IFERROR(__xludf.DUMMYFUNCTION("""COMPUTED_VALUE"""),"Home")</f>
        <v>Home</v>
      </c>
      <c r="D57" s="2" t="s">
        <v>28</v>
      </c>
      <c r="E57" s="9" t="str">
        <f>IFERROR(__xludf.DUMMYFUNCTION("GOOGLETRANSLATE(B57,""en"",""de"")"),"Heim")</f>
        <v>Heim</v>
      </c>
      <c r="F57" s="9" t="str">
        <f>IFERROR(__xludf.DUMMYFUNCTION("GOOGLETRANSLATE(B57,""en"",""fr"")"),"Maison")</f>
        <v>Maison</v>
      </c>
      <c r="G57" s="9" t="str">
        <f>IFERROR(__xludf.DUMMYFUNCTION("GOOGLETRANSLATE(B57,""en"",""es"")"),"Hogar")</f>
        <v>Hogar</v>
      </c>
      <c r="H57" s="9" t="str">
        <f>IFERROR(__xludf.DUMMYFUNCTION("GOOGLETRANSLATE($B57,""en"",""it"")"),"Casa")</f>
        <v>Casa</v>
      </c>
      <c r="I57" s="9" t="str">
        <f>IFERROR(__xludf.DUMMYFUNCTION("GOOGLETRANSLATE($B57,""en"",""zh-cn"")"),"家")</f>
        <v>家</v>
      </c>
      <c r="J57" s="9" t="str">
        <f>IFERROR(__xludf.DUMMYFUNCTION("GOOGLETRANSLATE($B57,""en"",""ja"")"),"家")</f>
        <v>家</v>
      </c>
      <c r="K57" s="9" t="str">
        <f>IFERROR(__xludf.DUMMYFUNCTION("GOOGLETRANSLATE($B57,""en"",""ko"")"),"집")</f>
        <v>집</v>
      </c>
      <c r="L57" s="9" t="str">
        <f>IFERROR(__xludf.DUMMYFUNCTION("GOOGLETRANSLATE($B57,""en"",""pt-BR"")"),"Lar")</f>
        <v>Lar</v>
      </c>
    </row>
    <row r="58">
      <c r="A58" s="9" t="str">
        <f>IFERROR(__xludf.DUMMYFUNCTION("""COMPUTED_VALUE"""),"address")</f>
        <v>address</v>
      </c>
      <c r="B58" s="9" t="str">
        <f>IFERROR(__xludf.DUMMYFUNCTION("""COMPUTED_VALUE"""),"Business")</f>
        <v>Business</v>
      </c>
      <c r="C58" s="9" t="str">
        <f>IFERROR(__xludf.DUMMYFUNCTION("""COMPUTED_VALUE"""),"Business")</f>
        <v>Business</v>
      </c>
      <c r="D58" s="13" t="s">
        <v>42</v>
      </c>
      <c r="E58" s="9" t="str">
        <f>IFERROR(__xludf.DUMMYFUNCTION("GOOGLETRANSLATE(B58,""en"",""de"")"),"Geschäft")</f>
        <v>Geschäft</v>
      </c>
      <c r="F58" s="9" t="str">
        <f>IFERROR(__xludf.DUMMYFUNCTION("GOOGLETRANSLATE(B58,""en"",""fr"")"),"Entreprise")</f>
        <v>Entreprise</v>
      </c>
      <c r="G58" s="9" t="str">
        <f>IFERROR(__xludf.DUMMYFUNCTION("GOOGLETRANSLATE(B58,""en"",""es"")"),"Negocio")</f>
        <v>Negocio</v>
      </c>
      <c r="H58" s="9" t="str">
        <f>IFERROR(__xludf.DUMMYFUNCTION("GOOGLETRANSLATE($B58,""en"",""it"")"),"Attività commerciale")</f>
        <v>Attività commerciale</v>
      </c>
      <c r="I58" s="9" t="str">
        <f>IFERROR(__xludf.DUMMYFUNCTION("GOOGLETRANSLATE($B58,""en"",""zh-cn"")"),"商业")</f>
        <v>商业</v>
      </c>
      <c r="J58" s="9" t="str">
        <f>IFERROR(__xludf.DUMMYFUNCTION("GOOGLETRANSLATE($B58,""en"",""ja"")"),"仕事")</f>
        <v>仕事</v>
      </c>
      <c r="K58" s="9" t="str">
        <f>IFERROR(__xludf.DUMMYFUNCTION("GOOGLETRANSLATE($B58,""en"",""ko"")"),"사업")</f>
        <v>사업</v>
      </c>
      <c r="L58" s="9" t="str">
        <f>IFERROR(__xludf.DUMMYFUNCTION("GOOGLETRANSLATE($B58,""en"",""pt-BR"")"),"Negócios")</f>
        <v>Negócios</v>
      </c>
    </row>
    <row r="59">
      <c r="A59" s="9" t="str">
        <f>IFERROR(__xludf.DUMMYFUNCTION("""COMPUTED_VALUE"""),"address")</f>
        <v>address</v>
      </c>
      <c r="B59" s="9" t="str">
        <f>IFERROR(__xludf.DUMMYFUNCTION("""COMPUTED_VALUE"""),"Billing")</f>
        <v>Billing</v>
      </c>
      <c r="C59" s="9" t="str">
        <f>IFERROR(__xludf.DUMMYFUNCTION("""COMPUTED_VALUE"""),"Billing")</f>
        <v>Billing</v>
      </c>
      <c r="D59" s="2" t="s">
        <v>28</v>
      </c>
      <c r="E59" s="9" t="str">
        <f>IFERROR(__xludf.DUMMYFUNCTION("GOOGLETRANSLATE(B59,""en"",""de"")"),"Abrechnung")</f>
        <v>Abrechnung</v>
      </c>
      <c r="F59" s="9" t="str">
        <f>IFERROR(__xludf.DUMMYFUNCTION("GOOGLETRANSLATE(B59,""en"",""fr"")"),"Facturation")</f>
        <v>Facturation</v>
      </c>
      <c r="G59" s="9" t="str">
        <f>IFERROR(__xludf.DUMMYFUNCTION("GOOGLETRANSLATE(B59,""en"",""es"")"),"Facturación")</f>
        <v>Facturación</v>
      </c>
      <c r="H59" s="9" t="str">
        <f>IFERROR(__xludf.DUMMYFUNCTION("GOOGLETRANSLATE($B59,""en"",""it"")"),"Fatturazione")</f>
        <v>Fatturazione</v>
      </c>
      <c r="I59" s="9" t="str">
        <f>IFERROR(__xludf.DUMMYFUNCTION("GOOGLETRANSLATE($B59,""en"",""zh-cn"")"),"计费")</f>
        <v>计费</v>
      </c>
      <c r="J59" s="9" t="str">
        <f>IFERROR(__xludf.DUMMYFUNCTION("GOOGLETRANSLATE($B59,""en"",""ja"")"),"請求する")</f>
        <v>請求する</v>
      </c>
      <c r="K59" s="9" t="str">
        <f>IFERROR(__xludf.DUMMYFUNCTION("GOOGLETRANSLATE($B59,""en"",""ko"")"),"청구")</f>
        <v>청구</v>
      </c>
      <c r="L59" s="9" t="str">
        <f>IFERROR(__xludf.DUMMYFUNCTION("GOOGLETRANSLATE($B59,""en"",""pt-BR"")"),"Cobrança")</f>
        <v>Cobrança</v>
      </c>
    </row>
    <row r="60">
      <c r="A60" s="9" t="str">
        <f>IFERROR(__xludf.DUMMYFUNCTION("""COMPUTED_VALUE"""),"address")</f>
        <v>address</v>
      </c>
      <c r="B60" s="9" t="str">
        <f>IFERROR(__xludf.DUMMYFUNCTION("""COMPUTED_VALUE"""),"Shipping")</f>
        <v>Shipping</v>
      </c>
      <c r="C60" s="9" t="str">
        <f>IFERROR(__xludf.DUMMYFUNCTION("""COMPUTED_VALUE"""),"Shipping")</f>
        <v>Shipping</v>
      </c>
      <c r="D60" s="2" t="s">
        <v>28</v>
      </c>
      <c r="E60" s="9" t="str">
        <f>IFERROR(__xludf.DUMMYFUNCTION("GOOGLETRANSLATE(B60,""en"",""de"")"),"Versand")</f>
        <v>Versand</v>
      </c>
      <c r="F60" s="9" t="str">
        <f>IFERROR(__xludf.DUMMYFUNCTION("GOOGLETRANSLATE(B60,""en"",""fr"")"),"Expédition")</f>
        <v>Expédition</v>
      </c>
      <c r="G60" s="9" t="str">
        <f>IFERROR(__xludf.DUMMYFUNCTION("GOOGLETRANSLATE(B60,""en"",""es"")"),"Envío")</f>
        <v>Envío</v>
      </c>
      <c r="H60" s="9" t="str">
        <f>IFERROR(__xludf.DUMMYFUNCTION("GOOGLETRANSLATE($B60,""en"",""it"")"),"Spedizione")</f>
        <v>Spedizione</v>
      </c>
      <c r="I60" s="9" t="str">
        <f>IFERROR(__xludf.DUMMYFUNCTION("GOOGLETRANSLATE($B60,""en"",""zh-cn"")"),"船运")</f>
        <v>船运</v>
      </c>
      <c r="J60" s="9" t="str">
        <f>IFERROR(__xludf.DUMMYFUNCTION("GOOGLETRANSLATE($B60,""en"",""ja"")"),"配送")</f>
        <v>配送</v>
      </c>
      <c r="K60" s="9" t="str">
        <f>IFERROR(__xludf.DUMMYFUNCTION("GOOGLETRANSLATE($B60,""en"",""ko"")"),"해운")</f>
        <v>해운</v>
      </c>
      <c r="L60" s="9" t="str">
        <f>IFERROR(__xludf.DUMMYFUNCTION("GOOGLETRANSLATE($B60,""en"",""pt-BR"")"),"Envio")</f>
        <v>Envio</v>
      </c>
    </row>
    <row r="61">
      <c r="A61" s="9" t="str">
        <f>IFERROR(__xludf.DUMMYFUNCTION("""COMPUTED_VALUE"""),"address")</f>
        <v>address</v>
      </c>
      <c r="B61" s="9" t="str">
        <f>IFERROR(__xludf.DUMMYFUNCTION("""COMPUTED_VALUE"""),"Sample Shipping")</f>
        <v>Sample Shipping</v>
      </c>
      <c r="C61" s="9" t="str">
        <f>IFERROR(__xludf.DUMMYFUNCTION("""COMPUTED_VALUE"""),"Sample Shipping")</f>
        <v>Sample Shipping</v>
      </c>
      <c r="D61" s="2" t="s">
        <v>28</v>
      </c>
      <c r="E61" s="9" t="str">
        <f>IFERROR(__xludf.DUMMYFUNCTION("GOOGLETRANSLATE(B61,""en"",""de"")"),"Musterversand")</f>
        <v>Musterversand</v>
      </c>
      <c r="F61" s="9" t="str">
        <f>IFERROR(__xludf.DUMMYFUNCTION("GOOGLETRANSLATE(B61,""en"",""fr"")"),"Exemple d'expédition")</f>
        <v>Exemple d'expédition</v>
      </c>
      <c r="G61" s="9" t="str">
        <f>IFERROR(__xludf.DUMMYFUNCTION("GOOGLETRANSLATE(B61,""en"",""es"")"),"Envío de muestra")</f>
        <v>Envío de muestra</v>
      </c>
      <c r="H61" s="9" t="str">
        <f>IFERROR(__xludf.DUMMYFUNCTION("GOOGLETRANSLATE($B61,""en"",""it"")"),"Spedizione del campione")</f>
        <v>Spedizione del campione</v>
      </c>
      <c r="I61" s="9" t="str">
        <f>IFERROR(__xludf.DUMMYFUNCTION("GOOGLETRANSLATE($B61,""en"",""zh-cn"")"),"样品运输")</f>
        <v>样品运输</v>
      </c>
      <c r="J61" s="9" t="str">
        <f>IFERROR(__xludf.DUMMYFUNCTION("GOOGLETRANSLATE($B61,""en"",""ja"")"),"サンプルの発送")</f>
        <v>サンプルの発送</v>
      </c>
      <c r="K61" s="9" t="str">
        <f>IFERROR(__xludf.DUMMYFUNCTION("GOOGLETRANSLATE($B61,""en"",""ko"")"),"샘플 배송")</f>
        <v>샘플 배송</v>
      </c>
      <c r="L61" s="9" t="str">
        <f>IFERROR(__xludf.DUMMYFUNCTION("GOOGLETRANSLATE($B61,""en"",""pt-BR"")"),"Envio de amostra")</f>
        <v>Envio de amostra</v>
      </c>
    </row>
    <row r="62">
      <c r="A62" s="9" t="str">
        <f>IFERROR(__xludf.DUMMYFUNCTION("""COMPUTED_VALUE"""),"address")</f>
        <v>address</v>
      </c>
      <c r="B62" s="9" t="str">
        <f>IFERROR(__xludf.DUMMYFUNCTION("""COMPUTED_VALUE"""),"Status")</f>
        <v>Status</v>
      </c>
      <c r="C62" s="9" t="str">
        <f>IFERROR(__xludf.DUMMYFUNCTION("""COMPUTED_VALUE"""),"Status")</f>
        <v>Status</v>
      </c>
      <c r="D62" s="2" t="s">
        <v>28</v>
      </c>
      <c r="E62" s="9" t="str">
        <f>IFERROR(__xludf.DUMMYFUNCTION("GOOGLETRANSLATE(B62,""en"",""de"")"),"Status")</f>
        <v>Status</v>
      </c>
      <c r="F62" s="9" t="str">
        <f>IFERROR(__xludf.DUMMYFUNCTION("GOOGLETRANSLATE(B62,""en"",""fr"")"),"Statut")</f>
        <v>Statut</v>
      </c>
      <c r="G62" s="9" t="str">
        <f>IFERROR(__xludf.DUMMYFUNCTION("GOOGLETRANSLATE(B62,""en"",""es"")"),"Estado")</f>
        <v>Estado</v>
      </c>
      <c r="H62" s="9" t="str">
        <f>IFERROR(__xludf.DUMMYFUNCTION("GOOGLETRANSLATE($B62,""en"",""it"")"),"Stato")</f>
        <v>Stato</v>
      </c>
      <c r="I62" s="9" t="str">
        <f>IFERROR(__xludf.DUMMYFUNCTION("GOOGLETRANSLATE($B62,""en"",""zh-cn"")"),"地位")</f>
        <v>地位</v>
      </c>
      <c r="J62" s="9" t="str">
        <f>IFERROR(__xludf.DUMMYFUNCTION("GOOGLETRANSLATE($B62,""en"",""ja"")"),"状態")</f>
        <v>状態</v>
      </c>
      <c r="K62" s="9" t="str">
        <f>IFERROR(__xludf.DUMMYFUNCTION("GOOGLETRANSLATE($B62,""en"",""ko"")"),"상태")</f>
        <v>상태</v>
      </c>
      <c r="L62" s="9" t="str">
        <f>IFERROR(__xludf.DUMMYFUNCTION("GOOGLETRANSLATE($B62,""en"",""pt-BR"")"),"Status")</f>
        <v>Status</v>
      </c>
    </row>
    <row r="63">
      <c r="A63" s="9"/>
      <c r="B63" s="9"/>
      <c r="C63" s="9"/>
    </row>
    <row r="64">
      <c r="A64" s="9"/>
      <c r="B64" s="9"/>
      <c r="C64" s="9"/>
    </row>
    <row r="65">
      <c r="A65" s="9"/>
      <c r="B65" s="9"/>
      <c r="C65" s="9"/>
    </row>
    <row r="66">
      <c r="A66" s="9"/>
      <c r="B66" s="9"/>
      <c r="C66" s="9"/>
    </row>
    <row r="67">
      <c r="A67" s="9"/>
      <c r="B67" s="9"/>
      <c r="C67" s="9"/>
    </row>
    <row r="68">
      <c r="A68" s="9"/>
      <c r="B68" s="9"/>
      <c r="C68" s="9"/>
    </row>
    <row r="69">
      <c r="A69" s="9"/>
      <c r="B69" s="9"/>
      <c r="C69" s="9"/>
    </row>
    <row r="70">
      <c r="A70" s="9"/>
      <c r="B70" s="9"/>
      <c r="C70" s="9"/>
    </row>
    <row r="71">
      <c r="A71" s="9"/>
      <c r="B71" s="9"/>
      <c r="C71" s="9"/>
    </row>
    <row r="72">
      <c r="A72" s="9"/>
      <c r="B72" s="9"/>
      <c r="C72" s="9"/>
    </row>
    <row r="73">
      <c r="A73" s="9"/>
      <c r="B73" s="9"/>
      <c r="C73" s="9"/>
    </row>
    <row r="74">
      <c r="A74" s="9"/>
      <c r="B74" s="9"/>
      <c r="C74" s="9"/>
    </row>
    <row r="75">
      <c r="A75" s="9"/>
      <c r="B75" s="9"/>
      <c r="C75" s="9"/>
    </row>
    <row r="76">
      <c r="A76" s="9"/>
      <c r="B76" s="9"/>
      <c r="C76" s="9"/>
    </row>
    <row r="77">
      <c r="A77" s="9"/>
      <c r="B77" s="9"/>
      <c r="C77" s="9"/>
    </row>
    <row r="78">
      <c r="A78" s="9"/>
      <c r="B78" s="9"/>
      <c r="C78" s="9"/>
    </row>
    <row r="79">
      <c r="A79" s="9"/>
      <c r="B79" s="9"/>
      <c r="C79" s="9"/>
    </row>
    <row r="80">
      <c r="A80" s="9"/>
      <c r="B80" s="9"/>
      <c r="C80" s="9"/>
    </row>
    <row r="81">
      <c r="A81" s="9"/>
      <c r="B81" s="9"/>
      <c r="C81" s="9"/>
    </row>
    <row r="82">
      <c r="A82" s="9"/>
      <c r="B82" s="9"/>
      <c r="C82" s="9"/>
    </row>
    <row r="83">
      <c r="A83" s="9"/>
      <c r="B83" s="9"/>
      <c r="C83" s="9"/>
    </row>
    <row r="84">
      <c r="A84" s="9"/>
      <c r="B84" s="9"/>
      <c r="C84" s="9"/>
    </row>
    <row r="85">
      <c r="A85" s="9"/>
      <c r="B85" s="9"/>
      <c r="C85" s="9"/>
    </row>
    <row r="86">
      <c r="A86" s="9"/>
      <c r="B86" s="9"/>
      <c r="C86" s="9"/>
    </row>
    <row r="87">
      <c r="A87" s="9"/>
      <c r="B87" s="9"/>
      <c r="C87" s="9"/>
    </row>
    <row r="88">
      <c r="A88" s="9"/>
      <c r="B88" s="9"/>
      <c r="C88" s="9"/>
    </row>
    <row r="89">
      <c r="A89" s="9"/>
      <c r="B89" s="9"/>
      <c r="C89" s="9"/>
    </row>
    <row r="90">
      <c r="A90" s="9"/>
      <c r="B90" s="9"/>
      <c r="C90" s="9"/>
    </row>
    <row r="91">
      <c r="A91" s="9"/>
      <c r="B91" s="9"/>
      <c r="C91" s="9"/>
    </row>
    <row r="92">
      <c r="A92" s="9"/>
      <c r="B92" s="9"/>
      <c r="C92" s="9"/>
    </row>
    <row r="93">
      <c r="A93" s="9"/>
      <c r="B93" s="9"/>
      <c r="C93" s="9"/>
    </row>
    <row r="94">
      <c r="A94" s="9"/>
      <c r="B94" s="9"/>
      <c r="C94" s="9"/>
    </row>
    <row r="95">
      <c r="A95" s="9"/>
      <c r="B95" s="9"/>
      <c r="C95" s="9"/>
    </row>
    <row r="96">
      <c r="A96" s="9"/>
      <c r="B96" s="9"/>
      <c r="C96" s="9"/>
    </row>
    <row r="97">
      <c r="A97" s="9"/>
      <c r="B97" s="9"/>
      <c r="C97" s="9"/>
    </row>
    <row r="98">
      <c r="A98" s="9"/>
      <c r="B98" s="9"/>
      <c r="C98" s="9"/>
    </row>
    <row r="99">
      <c r="A99" s="9"/>
      <c r="B99" s="9"/>
      <c r="C99" s="9"/>
    </row>
    <row r="100">
      <c r="A100" s="9"/>
      <c r="B100" s="9"/>
      <c r="C100" s="9"/>
    </row>
    <row r="101">
      <c r="A101" s="9"/>
      <c r="B101" s="9"/>
      <c r="C101" s="9"/>
    </row>
    <row r="102">
      <c r="A102" s="9"/>
      <c r="B102" s="9"/>
      <c r="C102" s="9"/>
    </row>
    <row r="103">
      <c r="A103" s="9"/>
      <c r="B103" s="9"/>
      <c r="C103" s="9"/>
    </row>
    <row r="104">
      <c r="A104" s="9"/>
      <c r="B104" s="9"/>
      <c r="C104" s="9"/>
    </row>
    <row r="105">
      <c r="A105" s="9"/>
      <c r="B105" s="9"/>
      <c r="C105" s="9"/>
    </row>
    <row r="106">
      <c r="A106" s="9"/>
      <c r="B106" s="9"/>
      <c r="C106" s="9"/>
    </row>
    <row r="107">
      <c r="A107" s="9"/>
      <c r="B107" s="9"/>
      <c r="C107" s="9"/>
    </row>
    <row r="108">
      <c r="A108" s="9"/>
      <c r="B108" s="9"/>
      <c r="C108" s="9"/>
    </row>
    <row r="109">
      <c r="A109" s="9"/>
      <c r="B109" s="9"/>
      <c r="C109" s="9"/>
    </row>
    <row r="110">
      <c r="A110" s="9"/>
      <c r="B110" s="9"/>
      <c r="C110" s="9"/>
    </row>
    <row r="111">
      <c r="A111" s="9"/>
      <c r="B111" s="9"/>
      <c r="C111" s="9"/>
    </row>
    <row r="112">
      <c r="A112" s="9"/>
      <c r="B112" s="9"/>
      <c r="C112" s="9"/>
    </row>
    <row r="113">
      <c r="A113" s="9"/>
      <c r="B113" s="9"/>
      <c r="C113" s="9"/>
    </row>
    <row r="114">
      <c r="A114" s="9"/>
      <c r="B114" s="9"/>
      <c r="C114" s="9"/>
    </row>
    <row r="115">
      <c r="A115" s="9"/>
      <c r="B115" s="9"/>
      <c r="C115" s="9"/>
    </row>
    <row r="116">
      <c r="A116" s="9"/>
      <c r="B116" s="9"/>
      <c r="C116" s="9"/>
    </row>
    <row r="117">
      <c r="A117" s="9"/>
      <c r="B117" s="9"/>
      <c r="C117" s="9"/>
    </row>
    <row r="118">
      <c r="A118" s="9"/>
      <c r="B118" s="9"/>
      <c r="C118" s="9"/>
    </row>
    <row r="119">
      <c r="A119" s="9"/>
      <c r="B119" s="9"/>
      <c r="C119" s="9"/>
    </row>
    <row r="120">
      <c r="A120" s="9"/>
      <c r="B120" s="9"/>
      <c r="C120" s="9"/>
    </row>
    <row r="121">
      <c r="A121" s="9"/>
      <c r="B121" s="9"/>
      <c r="C121" s="9"/>
    </row>
    <row r="122">
      <c r="A122" s="9"/>
      <c r="B122" s="9"/>
      <c r="C122" s="9"/>
    </row>
    <row r="123">
      <c r="A123" s="9"/>
      <c r="B123" s="9"/>
      <c r="C123" s="9"/>
    </row>
    <row r="124">
      <c r="A124" s="9"/>
      <c r="B124" s="9"/>
      <c r="C124" s="9"/>
    </row>
    <row r="125">
      <c r="A125" s="9"/>
      <c r="B125" s="9"/>
      <c r="C125" s="9"/>
    </row>
    <row r="126">
      <c r="A126" s="9"/>
      <c r="B126" s="9"/>
      <c r="C126" s="9"/>
    </row>
    <row r="127">
      <c r="A127" s="9"/>
      <c r="B127" s="9"/>
      <c r="C127" s="9"/>
    </row>
    <row r="128">
      <c r="A128" s="9"/>
      <c r="B128" s="9"/>
      <c r="C128" s="9"/>
    </row>
    <row r="129">
      <c r="A129" s="9"/>
      <c r="B129" s="9"/>
      <c r="C129" s="9"/>
    </row>
    <row r="130">
      <c r="A130" s="9"/>
      <c r="B130" s="9"/>
      <c r="C130" s="9"/>
    </row>
    <row r="131">
      <c r="A131" s="9"/>
      <c r="B131" s="9"/>
      <c r="C131" s="9"/>
    </row>
    <row r="132">
      <c r="A132" s="9"/>
      <c r="B132" s="9"/>
      <c r="C132" s="9"/>
    </row>
    <row r="133">
      <c r="A133" s="9"/>
      <c r="B133" s="9"/>
      <c r="C133" s="9"/>
    </row>
    <row r="134">
      <c r="A134" s="9"/>
      <c r="B134" s="9"/>
      <c r="C134" s="9"/>
    </row>
    <row r="135">
      <c r="A135" s="9"/>
      <c r="B135" s="9"/>
      <c r="C135" s="9"/>
    </row>
    <row r="136">
      <c r="A136" s="9"/>
      <c r="B136" s="9"/>
      <c r="C136" s="9"/>
    </row>
    <row r="137">
      <c r="A137" s="9"/>
      <c r="B137" s="9"/>
      <c r="C137" s="9"/>
    </row>
    <row r="138">
      <c r="A138" s="9"/>
      <c r="B138" s="9"/>
      <c r="C138" s="9"/>
    </row>
    <row r="139">
      <c r="A139" s="9"/>
      <c r="B139" s="9"/>
      <c r="C139" s="9"/>
    </row>
    <row r="140">
      <c r="A140" s="9"/>
      <c r="B140" s="9"/>
      <c r="C140" s="9"/>
    </row>
    <row r="141">
      <c r="A141" s="9"/>
      <c r="B141" s="9"/>
      <c r="C141" s="9"/>
    </row>
    <row r="142">
      <c r="A142" s="9"/>
      <c r="B142" s="9"/>
      <c r="C142" s="9"/>
    </row>
    <row r="143">
      <c r="A143" s="9"/>
      <c r="B143" s="9"/>
      <c r="C143" s="9"/>
    </row>
    <row r="144">
      <c r="A144" s="9"/>
      <c r="B144" s="9"/>
      <c r="C144" s="9"/>
    </row>
    <row r="145">
      <c r="A145" s="9"/>
      <c r="B145" s="9"/>
      <c r="C145" s="9"/>
    </row>
    <row r="146">
      <c r="A146" s="9"/>
      <c r="B146" s="9"/>
      <c r="C146" s="9"/>
    </row>
    <row r="147">
      <c r="A147" s="9"/>
      <c r="B147" s="9"/>
      <c r="C147" s="9"/>
    </row>
    <row r="148">
      <c r="A148" s="9"/>
      <c r="B148" s="9"/>
      <c r="C148" s="9"/>
    </row>
    <row r="149">
      <c r="A149" s="9"/>
      <c r="B149" s="9"/>
      <c r="C149" s="9"/>
    </row>
    <row r="150">
      <c r="A150" s="9"/>
      <c r="B150" s="9"/>
      <c r="C150" s="9"/>
    </row>
    <row r="151">
      <c r="A151" s="9"/>
      <c r="B151" s="9"/>
      <c r="C151" s="9"/>
    </row>
    <row r="152">
      <c r="A152" s="9"/>
      <c r="B152" s="9"/>
      <c r="C152" s="9"/>
    </row>
    <row r="153">
      <c r="A153" s="9"/>
      <c r="B153" s="9"/>
      <c r="C153" s="9"/>
    </row>
    <row r="154">
      <c r="A154" s="9"/>
      <c r="B154" s="9"/>
      <c r="C154" s="9"/>
    </row>
    <row r="155">
      <c r="A155" s="9"/>
      <c r="B155" s="9"/>
      <c r="C155" s="9"/>
    </row>
    <row r="156">
      <c r="A156" s="9"/>
      <c r="B156" s="9"/>
      <c r="C156" s="9"/>
    </row>
    <row r="157">
      <c r="A157" s="9"/>
      <c r="B157" s="9"/>
      <c r="C157" s="9"/>
    </row>
    <row r="158">
      <c r="A158" s="9"/>
      <c r="B158" s="9"/>
      <c r="C158" s="9"/>
    </row>
    <row r="159">
      <c r="A159" s="9"/>
      <c r="B159" s="9"/>
      <c r="C159" s="9"/>
    </row>
    <row r="160">
      <c r="A160" s="9"/>
      <c r="B160" s="9"/>
      <c r="C160" s="9"/>
    </row>
    <row r="161">
      <c r="A161" s="9"/>
      <c r="B161" s="9"/>
      <c r="C161" s="9"/>
    </row>
    <row r="162">
      <c r="A162" s="9"/>
      <c r="B162" s="9"/>
      <c r="C162" s="9"/>
    </row>
    <row r="163">
      <c r="A163" s="9"/>
      <c r="B163" s="9"/>
      <c r="C163" s="9"/>
    </row>
    <row r="164">
      <c r="A164" s="9"/>
      <c r="B164" s="9"/>
      <c r="C164" s="9"/>
    </row>
    <row r="165">
      <c r="A165" s="9"/>
      <c r="B165" s="9"/>
      <c r="C165" s="9"/>
    </row>
    <row r="166">
      <c r="A166" s="9"/>
      <c r="B166" s="9"/>
      <c r="C166" s="9"/>
    </row>
    <row r="167">
      <c r="A167" s="9"/>
      <c r="B167" s="9"/>
      <c r="C167" s="9"/>
    </row>
    <row r="168">
      <c r="A168" s="9"/>
      <c r="B168" s="9"/>
      <c r="C168" s="9"/>
    </row>
    <row r="169">
      <c r="A169" s="9"/>
      <c r="B169" s="9"/>
      <c r="C169" s="9"/>
    </row>
    <row r="170">
      <c r="A170" s="9"/>
      <c r="B170" s="9"/>
      <c r="C170" s="9"/>
    </row>
    <row r="171">
      <c r="A171" s="9"/>
      <c r="B171" s="9"/>
      <c r="C171" s="9"/>
    </row>
    <row r="172">
      <c r="A172" s="9"/>
      <c r="B172" s="9"/>
      <c r="C172" s="9"/>
    </row>
    <row r="173">
      <c r="A173" s="9"/>
      <c r="B173" s="9"/>
      <c r="C173" s="9"/>
    </row>
    <row r="174">
      <c r="A174" s="9"/>
      <c r="B174" s="9"/>
      <c r="C174" s="9"/>
    </row>
    <row r="175">
      <c r="A175" s="9"/>
      <c r="B175" s="9"/>
      <c r="C175" s="9"/>
    </row>
    <row r="176">
      <c r="A176" s="9"/>
      <c r="B176" s="9"/>
      <c r="C176" s="9"/>
    </row>
    <row r="177">
      <c r="A177" s="9"/>
      <c r="B177" s="9"/>
      <c r="C177" s="9"/>
    </row>
    <row r="178">
      <c r="A178" s="9"/>
      <c r="B178" s="9"/>
      <c r="C178" s="9"/>
    </row>
    <row r="179">
      <c r="A179" s="9"/>
      <c r="B179" s="9"/>
      <c r="C179" s="9"/>
    </row>
    <row r="180">
      <c r="A180" s="9"/>
      <c r="B180" s="9"/>
      <c r="C180" s="9"/>
    </row>
    <row r="181">
      <c r="A181" s="9"/>
      <c r="B181" s="9"/>
      <c r="C181" s="9"/>
    </row>
    <row r="182">
      <c r="A182" s="9"/>
      <c r="B182" s="9"/>
      <c r="C182" s="9"/>
    </row>
    <row r="183">
      <c r="A183" s="9"/>
      <c r="B183" s="9"/>
      <c r="C183" s="9"/>
    </row>
    <row r="184">
      <c r="A184" s="9"/>
      <c r="B184" s="9"/>
      <c r="C184" s="9"/>
    </row>
    <row r="185">
      <c r="A185" s="9"/>
      <c r="B185" s="9"/>
      <c r="C185" s="9"/>
    </row>
    <row r="186">
      <c r="A186" s="9"/>
      <c r="B186" s="9"/>
      <c r="C186" s="9"/>
    </row>
    <row r="187">
      <c r="A187" s="9"/>
      <c r="B187" s="9"/>
      <c r="C187" s="9"/>
    </row>
    <row r="188">
      <c r="A188" s="9"/>
      <c r="B188" s="9"/>
      <c r="C188" s="9"/>
    </row>
    <row r="189">
      <c r="A189" s="9"/>
      <c r="B189" s="9"/>
      <c r="C189" s="9"/>
    </row>
    <row r="190">
      <c r="A190" s="9"/>
      <c r="B190" s="9"/>
      <c r="C190" s="9"/>
    </row>
    <row r="191">
      <c r="A191" s="9"/>
      <c r="B191" s="9"/>
      <c r="C191" s="9"/>
    </row>
    <row r="192">
      <c r="A192" s="9"/>
      <c r="B192" s="9"/>
      <c r="C192" s="9"/>
    </row>
    <row r="193">
      <c r="A193" s="9"/>
      <c r="B193" s="9"/>
      <c r="C193" s="9"/>
    </row>
    <row r="194">
      <c r="A194" s="9"/>
      <c r="B194" s="9"/>
      <c r="C194" s="9"/>
    </row>
    <row r="195">
      <c r="A195" s="9"/>
      <c r="B195" s="9"/>
      <c r="C195" s="9"/>
    </row>
    <row r="196">
      <c r="A196" s="9"/>
      <c r="B196" s="9"/>
      <c r="C196" s="9"/>
    </row>
    <row r="197">
      <c r="A197" s="9"/>
      <c r="B197" s="9"/>
      <c r="C197" s="9"/>
    </row>
    <row r="198">
      <c r="A198" s="9"/>
      <c r="B198" s="9"/>
      <c r="C198" s="9"/>
    </row>
    <row r="199">
      <c r="A199" s="9"/>
      <c r="B199" s="9"/>
      <c r="C199" s="9"/>
    </row>
    <row r="200">
      <c r="A200" s="9"/>
      <c r="B200" s="9"/>
      <c r="C200" s="9"/>
    </row>
    <row r="201">
      <c r="A201" s="9"/>
      <c r="B201" s="9"/>
      <c r="C201" s="9"/>
    </row>
    <row r="202">
      <c r="A202" s="9"/>
      <c r="B202" s="9"/>
      <c r="C202" s="9"/>
    </row>
    <row r="203">
      <c r="A203" s="9"/>
      <c r="B203" s="9"/>
      <c r="C203" s="9"/>
    </row>
    <row r="204">
      <c r="A204" s="9"/>
      <c r="B204" s="9"/>
      <c r="C204" s="9"/>
    </row>
    <row r="205">
      <c r="A205" s="9"/>
      <c r="B205" s="9"/>
      <c r="C205" s="9"/>
    </row>
    <row r="206">
      <c r="A206" s="9"/>
      <c r="B206" s="9"/>
      <c r="C206" s="9"/>
    </row>
    <row r="207">
      <c r="A207" s="9"/>
      <c r="B207" s="9"/>
      <c r="C207" s="9"/>
    </row>
    <row r="208">
      <c r="A208" s="9"/>
      <c r="B208" s="9"/>
      <c r="C208" s="9"/>
    </row>
    <row r="209">
      <c r="A209" s="9"/>
      <c r="B209" s="9"/>
      <c r="C209" s="9"/>
    </row>
    <row r="210">
      <c r="A210" s="9"/>
      <c r="B210" s="9"/>
      <c r="C210" s="9"/>
    </row>
    <row r="211">
      <c r="A211" s="9"/>
      <c r="B211" s="9"/>
      <c r="C211" s="9"/>
    </row>
    <row r="212">
      <c r="A212" s="9"/>
      <c r="B212" s="9"/>
      <c r="C212" s="9"/>
    </row>
    <row r="213">
      <c r="A213" s="9"/>
      <c r="B213" s="9"/>
      <c r="C213" s="9"/>
    </row>
    <row r="214">
      <c r="A214" s="9"/>
      <c r="B214" s="9"/>
      <c r="C214" s="9"/>
    </row>
    <row r="215">
      <c r="A215" s="9"/>
      <c r="B215" s="9"/>
      <c r="C215" s="9"/>
    </row>
    <row r="216">
      <c r="A216" s="9"/>
      <c r="B216" s="9"/>
      <c r="C216" s="9"/>
    </row>
    <row r="217">
      <c r="A217" s="9"/>
      <c r="B217" s="9"/>
      <c r="C217" s="9"/>
    </row>
    <row r="218">
      <c r="A218" s="9"/>
      <c r="B218" s="9"/>
      <c r="C218" s="9"/>
    </row>
    <row r="219">
      <c r="A219" s="9"/>
      <c r="B219" s="9"/>
      <c r="C219" s="9"/>
    </row>
    <row r="220">
      <c r="A220" s="9"/>
      <c r="B220" s="9"/>
      <c r="C220" s="9"/>
    </row>
    <row r="221">
      <c r="A221" s="9"/>
      <c r="B221" s="9"/>
      <c r="C221" s="9"/>
    </row>
    <row r="222">
      <c r="A222" s="9"/>
      <c r="B222" s="9"/>
      <c r="C222" s="9"/>
    </row>
    <row r="223">
      <c r="A223" s="9"/>
      <c r="B223" s="9"/>
      <c r="C223" s="9"/>
    </row>
    <row r="224">
      <c r="A224" s="9"/>
      <c r="B224" s="9"/>
      <c r="C224" s="9"/>
    </row>
    <row r="225">
      <c r="A225" s="9"/>
      <c r="B225" s="9"/>
      <c r="C225" s="9"/>
    </row>
    <row r="226">
      <c r="A226" s="9"/>
      <c r="B226" s="9"/>
      <c r="C226" s="9"/>
    </row>
    <row r="227">
      <c r="A227" s="9"/>
      <c r="B227" s="9"/>
      <c r="C227" s="9"/>
    </row>
    <row r="228">
      <c r="A228" s="9"/>
      <c r="B228" s="9"/>
      <c r="C228" s="9"/>
    </row>
    <row r="229">
      <c r="A229" s="9"/>
      <c r="B229" s="9"/>
      <c r="C229" s="9"/>
    </row>
    <row r="230">
      <c r="A230" s="9"/>
      <c r="B230" s="9"/>
      <c r="C230" s="9"/>
    </row>
    <row r="231">
      <c r="A231" s="9"/>
      <c r="B231" s="9"/>
      <c r="C231" s="9"/>
    </row>
    <row r="232">
      <c r="A232" s="9"/>
      <c r="B232" s="9"/>
      <c r="C232" s="9"/>
    </row>
    <row r="233">
      <c r="A233" s="9"/>
      <c r="B233" s="9"/>
      <c r="C233" s="9"/>
    </row>
    <row r="234">
      <c r="A234" s="9"/>
      <c r="B234" s="9"/>
      <c r="C234" s="9"/>
    </row>
    <row r="235">
      <c r="A235" s="9"/>
      <c r="B235" s="9"/>
      <c r="C235" s="9"/>
    </row>
    <row r="236">
      <c r="A236" s="9"/>
      <c r="B236" s="9"/>
      <c r="C236" s="9"/>
    </row>
    <row r="237">
      <c r="A237" s="9"/>
      <c r="B237" s="9"/>
      <c r="C237" s="9"/>
    </row>
    <row r="238">
      <c r="A238" s="9"/>
      <c r="B238" s="9"/>
      <c r="C238" s="9"/>
    </row>
    <row r="239">
      <c r="A239" s="9"/>
      <c r="B239" s="9"/>
      <c r="C239" s="9"/>
    </row>
    <row r="240">
      <c r="A240" s="9"/>
      <c r="B240" s="9"/>
      <c r="C240" s="9"/>
    </row>
    <row r="241">
      <c r="A241" s="9"/>
      <c r="B241" s="9"/>
      <c r="C241" s="9"/>
    </row>
    <row r="242">
      <c r="A242" s="9"/>
      <c r="B242" s="9"/>
      <c r="C242" s="9"/>
    </row>
    <row r="243">
      <c r="A243" s="9"/>
      <c r="B243" s="9"/>
      <c r="C243" s="9"/>
    </row>
    <row r="244">
      <c r="A244" s="9"/>
      <c r="B244" s="9"/>
      <c r="C244" s="9"/>
    </row>
    <row r="245">
      <c r="A245" s="9"/>
      <c r="B245" s="9"/>
      <c r="C245" s="9"/>
    </row>
    <row r="246">
      <c r="A246" s="9"/>
      <c r="B246" s="9"/>
      <c r="C246" s="9"/>
    </row>
    <row r="247">
      <c r="A247" s="9"/>
      <c r="B247" s="9"/>
      <c r="C247" s="9"/>
    </row>
    <row r="248">
      <c r="A248" s="9"/>
      <c r="B248" s="9"/>
      <c r="C248" s="9"/>
    </row>
    <row r="249">
      <c r="A249" s="9"/>
      <c r="B249" s="9"/>
      <c r="C249" s="9"/>
    </row>
    <row r="250">
      <c r="A250" s="9"/>
      <c r="B250" s="9"/>
      <c r="C250" s="9"/>
    </row>
    <row r="251">
      <c r="A251" s="9"/>
      <c r="B251" s="9"/>
      <c r="C251" s="9"/>
    </row>
    <row r="252">
      <c r="A252" s="9"/>
      <c r="B252" s="9"/>
      <c r="C252" s="9"/>
    </row>
    <row r="253">
      <c r="A253" s="9"/>
      <c r="B253" s="9"/>
      <c r="C253" s="9"/>
    </row>
    <row r="254">
      <c r="A254" s="9"/>
      <c r="B254" s="9"/>
      <c r="C254" s="9"/>
    </row>
    <row r="255">
      <c r="A255" s="9"/>
      <c r="B255" s="9"/>
      <c r="C255" s="9"/>
    </row>
    <row r="256">
      <c r="A256" s="9"/>
      <c r="B256" s="9"/>
      <c r="C256" s="9"/>
    </row>
    <row r="257">
      <c r="A257" s="9"/>
      <c r="B257" s="9"/>
      <c r="C257" s="9"/>
    </row>
    <row r="258">
      <c r="A258" s="9"/>
      <c r="B258" s="9"/>
      <c r="C258" s="9"/>
    </row>
    <row r="259">
      <c r="A259" s="9"/>
      <c r="B259" s="9"/>
      <c r="C259" s="9"/>
    </row>
    <row r="260">
      <c r="A260" s="9"/>
      <c r="B260" s="9"/>
      <c r="C260" s="9"/>
    </row>
    <row r="261">
      <c r="A261" s="9"/>
      <c r="B261" s="9"/>
      <c r="C261" s="9"/>
    </row>
    <row r="262">
      <c r="A262" s="9"/>
      <c r="B262" s="9"/>
      <c r="C262" s="9"/>
    </row>
    <row r="263">
      <c r="A263" s="9"/>
      <c r="B263" s="9"/>
      <c r="C263" s="9"/>
    </row>
    <row r="264">
      <c r="A264" s="9"/>
      <c r="B264" s="9"/>
      <c r="C264" s="9"/>
    </row>
    <row r="265">
      <c r="A265" s="9"/>
      <c r="B265" s="9"/>
      <c r="C265" s="9"/>
    </row>
    <row r="266">
      <c r="A266" s="9"/>
      <c r="B266" s="9"/>
      <c r="C266" s="9"/>
    </row>
    <row r="267">
      <c r="A267" s="9"/>
      <c r="B267" s="9"/>
      <c r="C267" s="9"/>
    </row>
    <row r="268">
      <c r="A268" s="9"/>
      <c r="B268" s="9"/>
      <c r="C268" s="9"/>
    </row>
    <row r="269">
      <c r="A269" s="9"/>
      <c r="B269" s="9"/>
      <c r="C269" s="9"/>
    </row>
    <row r="270">
      <c r="A270" s="9"/>
      <c r="B270" s="9"/>
      <c r="C270" s="9"/>
    </row>
    <row r="271">
      <c r="A271" s="9"/>
      <c r="B271" s="9"/>
      <c r="C271" s="9"/>
    </row>
    <row r="272">
      <c r="A272" s="9"/>
      <c r="B272" s="9"/>
      <c r="C272" s="9"/>
    </row>
    <row r="273">
      <c r="A273" s="9"/>
      <c r="B273" s="9"/>
      <c r="C273" s="9"/>
    </row>
    <row r="274">
      <c r="A274" s="9"/>
      <c r="B274" s="9"/>
      <c r="C274" s="9"/>
    </row>
    <row r="275">
      <c r="A275" s="9"/>
      <c r="B275" s="9"/>
      <c r="C275" s="9"/>
    </row>
    <row r="276">
      <c r="A276" s="9"/>
      <c r="B276" s="9"/>
      <c r="C276" s="9"/>
    </row>
    <row r="277">
      <c r="A277" s="9"/>
      <c r="B277" s="9"/>
      <c r="C277" s="9"/>
    </row>
    <row r="278">
      <c r="A278" s="9"/>
      <c r="B278" s="9"/>
      <c r="C278" s="9"/>
    </row>
    <row r="279">
      <c r="A279" s="9"/>
      <c r="B279" s="9"/>
      <c r="C279" s="9"/>
    </row>
    <row r="280">
      <c r="A280" s="9"/>
      <c r="B280" s="9"/>
      <c r="C280" s="9"/>
    </row>
    <row r="281">
      <c r="A281" s="9"/>
      <c r="B281" s="9"/>
      <c r="C281" s="9"/>
    </row>
    <row r="282">
      <c r="A282" s="9"/>
      <c r="B282" s="9"/>
      <c r="C282" s="9"/>
    </row>
    <row r="283">
      <c r="A283" s="9"/>
      <c r="B283" s="9"/>
      <c r="C283" s="9"/>
    </row>
    <row r="284">
      <c r="A284" s="9"/>
      <c r="B284" s="9"/>
      <c r="C284" s="9"/>
    </row>
    <row r="285">
      <c r="A285" s="9"/>
      <c r="B285" s="9"/>
      <c r="C285" s="9"/>
    </row>
    <row r="286">
      <c r="A286" s="9"/>
      <c r="B286" s="9"/>
      <c r="C286" s="9"/>
    </row>
    <row r="287">
      <c r="A287" s="9"/>
      <c r="B287" s="9"/>
      <c r="C287" s="9"/>
    </row>
    <row r="288">
      <c r="A288" s="9"/>
      <c r="B288" s="9"/>
      <c r="C288" s="9"/>
    </row>
    <row r="289">
      <c r="A289" s="9"/>
      <c r="B289" s="9"/>
      <c r="C289" s="9"/>
    </row>
    <row r="290">
      <c r="A290" s="9"/>
      <c r="B290" s="9"/>
      <c r="C290" s="9"/>
    </row>
    <row r="291">
      <c r="A291" s="9"/>
      <c r="B291" s="9"/>
      <c r="C291" s="9"/>
    </row>
    <row r="292">
      <c r="A292" s="9"/>
      <c r="B292" s="9"/>
      <c r="C292" s="9"/>
    </row>
    <row r="293">
      <c r="A293" s="9"/>
      <c r="B293" s="9"/>
      <c r="C293" s="9"/>
    </row>
    <row r="294">
      <c r="A294" s="9"/>
      <c r="B294" s="9"/>
      <c r="C294" s="9"/>
    </row>
    <row r="295">
      <c r="A295" s="9"/>
      <c r="B295" s="9"/>
      <c r="C295" s="9"/>
    </row>
    <row r="296">
      <c r="A296" s="9"/>
      <c r="B296" s="9"/>
      <c r="C296" s="9"/>
    </row>
    <row r="297">
      <c r="A297" s="9"/>
      <c r="B297" s="9"/>
      <c r="C297" s="9"/>
    </row>
    <row r="298">
      <c r="A298" s="9"/>
      <c r="B298" s="9"/>
      <c r="C298" s="9"/>
    </row>
    <row r="299">
      <c r="A299" s="9"/>
      <c r="B299" s="9"/>
      <c r="C299" s="9"/>
    </row>
    <row r="300">
      <c r="A300" s="9"/>
      <c r="B300" s="9"/>
      <c r="C300" s="9"/>
    </row>
    <row r="301">
      <c r="A301" s="9"/>
      <c r="B301" s="9"/>
      <c r="C301" s="9"/>
    </row>
    <row r="302">
      <c r="A302" s="9"/>
      <c r="B302" s="9"/>
      <c r="C302" s="9"/>
    </row>
    <row r="303">
      <c r="A303" s="9"/>
      <c r="B303" s="9"/>
      <c r="C303" s="9"/>
    </row>
    <row r="304">
      <c r="A304" s="9"/>
      <c r="B304" s="9"/>
      <c r="C304" s="9"/>
    </row>
    <row r="305">
      <c r="A305" s="9"/>
      <c r="B305" s="9"/>
      <c r="C305" s="9"/>
    </row>
    <row r="306">
      <c r="A306" s="9"/>
      <c r="B306" s="9"/>
      <c r="C306" s="9"/>
    </row>
    <row r="307">
      <c r="A307" s="9"/>
      <c r="B307" s="9"/>
      <c r="C307" s="9"/>
    </row>
    <row r="308">
      <c r="A308" s="9"/>
      <c r="B308" s="9"/>
      <c r="C308" s="9"/>
    </row>
    <row r="309">
      <c r="A309" s="9"/>
      <c r="B309" s="9"/>
      <c r="C309" s="9"/>
    </row>
    <row r="310">
      <c r="A310" s="9"/>
      <c r="B310" s="9"/>
      <c r="C310" s="9"/>
    </row>
    <row r="311">
      <c r="A311" s="9"/>
      <c r="B311" s="9"/>
      <c r="C311" s="9"/>
    </row>
    <row r="312">
      <c r="A312" s="9"/>
      <c r="B312" s="9"/>
      <c r="C312" s="9"/>
    </row>
    <row r="313">
      <c r="A313" s="9"/>
      <c r="B313" s="9"/>
      <c r="C313" s="9"/>
    </row>
    <row r="314">
      <c r="A314" s="9"/>
      <c r="B314" s="9"/>
      <c r="C314" s="9"/>
    </row>
    <row r="315">
      <c r="A315" s="9"/>
      <c r="B315" s="9"/>
      <c r="C315" s="9"/>
    </row>
    <row r="316">
      <c r="A316" s="9"/>
      <c r="B316" s="9"/>
      <c r="C316" s="9"/>
    </row>
    <row r="317">
      <c r="A317" s="9"/>
      <c r="B317" s="9"/>
      <c r="C317" s="9"/>
    </row>
    <row r="318">
      <c r="A318" s="9"/>
      <c r="B318" s="9"/>
      <c r="C318" s="9"/>
    </row>
    <row r="319">
      <c r="A319" s="9"/>
      <c r="B319" s="9"/>
      <c r="C319" s="9"/>
    </row>
    <row r="320">
      <c r="A320" s="9"/>
      <c r="B320" s="9"/>
      <c r="C320" s="9"/>
    </row>
    <row r="321">
      <c r="A321" s="9"/>
      <c r="B321" s="9"/>
      <c r="C321" s="9"/>
    </row>
    <row r="322">
      <c r="A322" s="9"/>
      <c r="B322" s="9"/>
      <c r="C322" s="9"/>
    </row>
    <row r="323">
      <c r="A323" s="9"/>
      <c r="B323" s="9"/>
      <c r="C323" s="9"/>
    </row>
    <row r="324">
      <c r="A324" s="9"/>
      <c r="B324" s="9"/>
      <c r="C324" s="9"/>
    </row>
    <row r="325">
      <c r="A325" s="9"/>
      <c r="B325" s="9"/>
      <c r="C325" s="9"/>
    </row>
    <row r="326">
      <c r="A326" s="9"/>
      <c r="B326" s="9"/>
      <c r="C326" s="9"/>
    </row>
    <row r="327">
      <c r="A327" s="9"/>
      <c r="B327" s="9"/>
      <c r="C327" s="9"/>
    </row>
    <row r="328">
      <c r="A328" s="9"/>
      <c r="B328" s="9"/>
      <c r="C328" s="9"/>
    </row>
    <row r="329">
      <c r="A329" s="9"/>
      <c r="B329" s="9"/>
      <c r="C329" s="9"/>
    </row>
    <row r="330">
      <c r="A330" s="9"/>
      <c r="B330" s="9"/>
      <c r="C330" s="9"/>
    </row>
    <row r="331">
      <c r="A331" s="9"/>
      <c r="B331" s="9"/>
      <c r="C331" s="9"/>
    </row>
    <row r="332">
      <c r="A332" s="9"/>
      <c r="B332" s="9"/>
      <c r="C332" s="9"/>
    </row>
    <row r="333">
      <c r="A333" s="9"/>
      <c r="B333" s="9"/>
      <c r="C333" s="9"/>
    </row>
    <row r="334">
      <c r="A334" s="9"/>
      <c r="B334" s="9"/>
      <c r="C334" s="9"/>
    </row>
    <row r="335">
      <c r="A335" s="9"/>
      <c r="B335" s="9"/>
      <c r="C335" s="9"/>
    </row>
    <row r="336">
      <c r="A336" s="9"/>
      <c r="B336" s="9"/>
      <c r="C336" s="9"/>
    </row>
    <row r="337">
      <c r="A337" s="9"/>
      <c r="B337" s="9"/>
      <c r="C337" s="9"/>
    </row>
    <row r="338">
      <c r="A338" s="9"/>
      <c r="B338" s="9"/>
      <c r="C338" s="9"/>
    </row>
    <row r="339">
      <c r="A339" s="9"/>
      <c r="B339" s="9"/>
      <c r="C339" s="9"/>
    </row>
    <row r="340">
      <c r="A340" s="9"/>
      <c r="B340" s="9"/>
      <c r="C340" s="9"/>
    </row>
    <row r="341">
      <c r="A341" s="9"/>
      <c r="B341" s="9"/>
      <c r="C341" s="9"/>
    </row>
    <row r="342">
      <c r="A342" s="9"/>
      <c r="B342" s="9"/>
      <c r="C342" s="9"/>
    </row>
    <row r="343">
      <c r="A343" s="9"/>
      <c r="B343" s="9"/>
      <c r="C343" s="9"/>
    </row>
    <row r="344">
      <c r="A344" s="9"/>
      <c r="B344" s="9"/>
      <c r="C344" s="9"/>
    </row>
    <row r="345">
      <c r="A345" s="9"/>
      <c r="B345" s="9"/>
      <c r="C345" s="9"/>
    </row>
    <row r="346">
      <c r="A346" s="9"/>
      <c r="B346" s="9"/>
      <c r="C346" s="9"/>
    </row>
    <row r="347">
      <c r="A347" s="9"/>
      <c r="B347" s="9"/>
      <c r="C347" s="9"/>
    </row>
    <row r="348">
      <c r="A348" s="9"/>
      <c r="B348" s="9"/>
      <c r="C348" s="9"/>
    </row>
    <row r="349">
      <c r="A349" s="9"/>
      <c r="B349" s="9"/>
      <c r="C349" s="9"/>
    </row>
    <row r="350">
      <c r="A350" s="9"/>
      <c r="B350" s="9"/>
      <c r="C350" s="9"/>
    </row>
    <row r="351">
      <c r="A351" s="9"/>
      <c r="B351" s="9"/>
      <c r="C351" s="9"/>
    </row>
    <row r="352">
      <c r="A352" s="9"/>
      <c r="B352" s="9"/>
      <c r="C352" s="9"/>
    </row>
    <row r="353">
      <c r="A353" s="9"/>
      <c r="B353" s="9"/>
      <c r="C353" s="9"/>
    </row>
    <row r="354">
      <c r="A354" s="9"/>
      <c r="B354" s="9"/>
      <c r="C354" s="9"/>
    </row>
    <row r="355">
      <c r="A355" s="9"/>
      <c r="B355" s="9"/>
      <c r="C355" s="9"/>
    </row>
    <row r="356">
      <c r="A356" s="9"/>
      <c r="B356" s="9"/>
      <c r="C356" s="9"/>
    </row>
    <row r="357">
      <c r="A357" s="9"/>
      <c r="B357" s="9"/>
      <c r="C357" s="9"/>
    </row>
    <row r="358">
      <c r="A358" s="9"/>
      <c r="B358" s="9"/>
      <c r="C358" s="9"/>
    </row>
    <row r="359">
      <c r="A359" s="9"/>
      <c r="B359" s="9"/>
      <c r="C359" s="9"/>
    </row>
    <row r="360">
      <c r="A360" s="9"/>
      <c r="B360" s="9"/>
      <c r="C360" s="9"/>
    </row>
    <row r="361">
      <c r="A361" s="9"/>
      <c r="B361" s="9"/>
      <c r="C361" s="9"/>
    </row>
    <row r="362">
      <c r="A362" s="9"/>
      <c r="B362" s="9"/>
      <c r="C362" s="9"/>
    </row>
    <row r="363">
      <c r="A363" s="9"/>
      <c r="B363" s="9"/>
      <c r="C363" s="9"/>
    </row>
    <row r="364">
      <c r="A364" s="9"/>
      <c r="B364" s="9"/>
      <c r="C364" s="9"/>
    </row>
    <row r="365">
      <c r="A365" s="9"/>
      <c r="B365" s="9"/>
      <c r="C365" s="9"/>
    </row>
    <row r="366">
      <c r="A366" s="9"/>
      <c r="B366" s="9"/>
      <c r="C366" s="9"/>
    </row>
    <row r="367">
      <c r="A367" s="9"/>
      <c r="B367" s="9"/>
      <c r="C367" s="9"/>
    </row>
    <row r="368">
      <c r="A368" s="9"/>
      <c r="B368" s="9"/>
      <c r="C368" s="9"/>
    </row>
    <row r="369">
      <c r="A369" s="9"/>
      <c r="B369" s="9"/>
      <c r="C369" s="9"/>
    </row>
    <row r="370">
      <c r="A370" s="9"/>
      <c r="B370" s="9"/>
      <c r="C370" s="9"/>
    </row>
    <row r="371">
      <c r="A371" s="9"/>
      <c r="B371" s="9"/>
      <c r="C371" s="9"/>
    </row>
    <row r="372">
      <c r="A372" s="9"/>
      <c r="B372" s="9"/>
      <c r="C372" s="9"/>
    </row>
    <row r="373">
      <c r="A373" s="9"/>
      <c r="B373" s="9"/>
      <c r="C373" s="9"/>
    </row>
    <row r="374">
      <c r="A374" s="9"/>
      <c r="B374" s="9"/>
      <c r="C374" s="9"/>
    </row>
    <row r="375">
      <c r="A375" s="9"/>
      <c r="B375" s="9"/>
      <c r="C375" s="9"/>
    </row>
    <row r="376">
      <c r="A376" s="9"/>
      <c r="B376" s="9"/>
      <c r="C376" s="9"/>
    </row>
    <row r="377">
      <c r="A377" s="9"/>
      <c r="B377" s="9"/>
      <c r="C377" s="9"/>
    </row>
    <row r="378">
      <c r="A378" s="9"/>
      <c r="B378" s="9"/>
      <c r="C378" s="9"/>
    </row>
    <row r="379">
      <c r="A379" s="9"/>
      <c r="B379" s="9"/>
      <c r="C379" s="9"/>
    </row>
    <row r="380">
      <c r="A380" s="9"/>
      <c r="B380" s="9"/>
      <c r="C380" s="9"/>
    </row>
    <row r="381">
      <c r="A381" s="9"/>
      <c r="B381" s="9"/>
      <c r="C381" s="9"/>
    </row>
    <row r="382">
      <c r="A382" s="9"/>
      <c r="B382" s="9"/>
      <c r="C382" s="9"/>
    </row>
    <row r="383">
      <c r="A383" s="9"/>
      <c r="B383" s="9"/>
      <c r="C383" s="9"/>
    </row>
    <row r="384">
      <c r="A384" s="9"/>
      <c r="B384" s="9"/>
      <c r="C384" s="9"/>
    </row>
    <row r="385">
      <c r="A385" s="9"/>
      <c r="B385" s="9"/>
      <c r="C385" s="9"/>
    </row>
    <row r="386">
      <c r="A386" s="9"/>
      <c r="B386" s="9"/>
      <c r="C386" s="9"/>
    </row>
    <row r="387">
      <c r="A387" s="9"/>
      <c r="B387" s="9"/>
      <c r="C387" s="9"/>
    </row>
    <row r="388">
      <c r="A388" s="9"/>
      <c r="B388" s="9"/>
      <c r="C388" s="9"/>
    </row>
    <row r="389">
      <c r="A389" s="9"/>
      <c r="B389" s="9"/>
      <c r="C389" s="9"/>
    </row>
    <row r="390">
      <c r="A390" s="9"/>
      <c r="B390" s="9"/>
      <c r="C390" s="9"/>
    </row>
    <row r="391">
      <c r="A391" s="9"/>
      <c r="B391" s="9"/>
      <c r="C391" s="9"/>
    </row>
    <row r="392">
      <c r="A392" s="9"/>
      <c r="B392" s="9"/>
      <c r="C392" s="9"/>
    </row>
    <row r="393">
      <c r="A393" s="9"/>
      <c r="B393" s="9"/>
      <c r="C393" s="9"/>
    </row>
    <row r="394">
      <c r="A394" s="9"/>
      <c r="B394" s="9"/>
      <c r="C394" s="9"/>
    </row>
    <row r="395">
      <c r="A395" s="9"/>
      <c r="B395" s="9"/>
      <c r="C395" s="9"/>
    </row>
    <row r="396">
      <c r="A396" s="9"/>
      <c r="B396" s="9"/>
      <c r="C396" s="9"/>
    </row>
    <row r="397">
      <c r="A397" s="9"/>
      <c r="B397" s="9"/>
      <c r="C397" s="9"/>
    </row>
    <row r="398">
      <c r="A398" s="9"/>
      <c r="B398" s="9"/>
      <c r="C398" s="9"/>
    </row>
    <row r="399">
      <c r="A399" s="9"/>
      <c r="B399" s="9"/>
      <c r="C399" s="9"/>
    </row>
    <row r="400">
      <c r="A400" s="9"/>
      <c r="B400" s="9"/>
      <c r="C400" s="9"/>
    </row>
    <row r="401">
      <c r="A401" s="9"/>
      <c r="B401" s="9"/>
      <c r="C401" s="9"/>
    </row>
    <row r="402">
      <c r="A402" s="9"/>
      <c r="B402" s="9"/>
      <c r="C402" s="9"/>
    </row>
    <row r="403">
      <c r="A403" s="9"/>
      <c r="B403" s="9"/>
      <c r="C403" s="9"/>
    </row>
    <row r="404">
      <c r="A404" s="9"/>
      <c r="B404" s="9"/>
      <c r="C404" s="9"/>
    </row>
    <row r="405">
      <c r="A405" s="9"/>
      <c r="B405" s="9"/>
      <c r="C405" s="9"/>
    </row>
    <row r="406">
      <c r="A406" s="9"/>
      <c r="B406" s="9"/>
      <c r="C406" s="9"/>
    </row>
    <row r="407">
      <c r="A407" s="9"/>
      <c r="B407" s="9"/>
      <c r="C407" s="9"/>
    </row>
    <row r="408">
      <c r="A408" s="9"/>
      <c r="B408" s="9"/>
      <c r="C408" s="9"/>
    </row>
    <row r="409">
      <c r="A409" s="9"/>
      <c r="B409" s="9"/>
      <c r="C409" s="9"/>
    </row>
    <row r="410">
      <c r="A410" s="9"/>
      <c r="B410" s="9"/>
      <c r="C410" s="9"/>
    </row>
    <row r="411">
      <c r="A411" s="9"/>
      <c r="B411" s="9"/>
      <c r="C411" s="9"/>
    </row>
    <row r="412">
      <c r="A412" s="9"/>
      <c r="B412" s="9"/>
      <c r="C412" s="9"/>
    </row>
    <row r="413">
      <c r="A413" s="9"/>
      <c r="B413" s="9"/>
      <c r="C413" s="9"/>
    </row>
    <row r="414">
      <c r="A414" s="9"/>
      <c r="B414" s="9"/>
      <c r="C414" s="9"/>
    </row>
    <row r="415">
      <c r="A415" s="9"/>
      <c r="B415" s="9"/>
      <c r="C415" s="9"/>
    </row>
    <row r="416">
      <c r="A416" s="9"/>
      <c r="B416" s="9"/>
      <c r="C416" s="9"/>
    </row>
    <row r="417">
      <c r="A417" s="9"/>
      <c r="B417" s="9"/>
      <c r="C417" s="9"/>
    </row>
    <row r="418">
      <c r="A418" s="9"/>
      <c r="B418" s="9"/>
      <c r="C418" s="9"/>
    </row>
    <row r="419">
      <c r="A419" s="9"/>
      <c r="B419" s="9"/>
      <c r="C419" s="9"/>
    </row>
    <row r="420">
      <c r="A420" s="9"/>
      <c r="B420" s="9"/>
      <c r="C420" s="9"/>
    </row>
    <row r="421">
      <c r="A421" s="9"/>
      <c r="B421" s="9"/>
      <c r="C421" s="9"/>
    </row>
    <row r="422">
      <c r="A422" s="9"/>
      <c r="B422" s="9"/>
      <c r="C422" s="9"/>
    </row>
    <row r="423">
      <c r="A423" s="9"/>
      <c r="B423" s="9"/>
      <c r="C423" s="9"/>
    </row>
    <row r="424">
      <c r="A424" s="9"/>
      <c r="B424" s="9"/>
      <c r="C424" s="9"/>
    </row>
    <row r="425">
      <c r="A425" s="9"/>
      <c r="B425" s="9"/>
      <c r="C425" s="9"/>
    </row>
    <row r="426">
      <c r="A426" s="9"/>
      <c r="B426" s="9"/>
      <c r="C426" s="9"/>
    </row>
    <row r="427">
      <c r="A427" s="9"/>
      <c r="B427" s="9"/>
      <c r="C427" s="9"/>
    </row>
    <row r="428">
      <c r="A428" s="9"/>
      <c r="B428" s="9"/>
      <c r="C428" s="9"/>
    </row>
    <row r="429">
      <c r="A429" s="9"/>
      <c r="B429" s="9"/>
      <c r="C429" s="9"/>
    </row>
    <row r="430">
      <c r="A430" s="9"/>
      <c r="B430" s="9"/>
      <c r="C430" s="9"/>
    </row>
    <row r="431">
      <c r="A431" s="9"/>
      <c r="B431" s="9"/>
      <c r="C431" s="9"/>
    </row>
    <row r="432">
      <c r="A432" s="9"/>
      <c r="B432" s="9"/>
      <c r="C432" s="9"/>
    </row>
    <row r="433">
      <c r="A433" s="9"/>
      <c r="B433" s="9"/>
      <c r="C433" s="9"/>
    </row>
    <row r="434">
      <c r="A434" s="9"/>
      <c r="B434" s="9"/>
      <c r="C434" s="9"/>
    </row>
    <row r="435">
      <c r="A435" s="9"/>
      <c r="B435" s="9"/>
      <c r="C435" s="9"/>
    </row>
    <row r="436">
      <c r="A436" s="9"/>
      <c r="B436" s="9"/>
      <c r="C436" s="9"/>
    </row>
    <row r="437">
      <c r="A437" s="9"/>
      <c r="B437" s="9"/>
      <c r="C437" s="9"/>
    </row>
    <row r="438">
      <c r="A438" s="9"/>
      <c r="B438" s="9"/>
      <c r="C438" s="9"/>
    </row>
    <row r="439">
      <c r="A439" s="9"/>
      <c r="B439" s="9"/>
      <c r="C439" s="9"/>
    </row>
    <row r="440">
      <c r="A440" s="9"/>
      <c r="B440" s="9"/>
      <c r="C440" s="9"/>
    </row>
    <row r="441">
      <c r="A441" s="9"/>
      <c r="B441" s="9"/>
      <c r="C441" s="9"/>
    </row>
    <row r="442">
      <c r="A442" s="9"/>
      <c r="B442" s="9"/>
      <c r="C442" s="9"/>
    </row>
    <row r="443">
      <c r="A443" s="9"/>
      <c r="B443" s="9"/>
      <c r="C443" s="9"/>
    </row>
    <row r="444">
      <c r="A444" s="9"/>
      <c r="B444" s="9"/>
      <c r="C444" s="9"/>
    </row>
    <row r="445">
      <c r="A445" s="9"/>
      <c r="B445" s="9"/>
      <c r="C445" s="9"/>
    </row>
    <row r="446">
      <c r="A446" s="9"/>
      <c r="B446" s="9"/>
      <c r="C446" s="9"/>
    </row>
    <row r="447">
      <c r="A447" s="9"/>
      <c r="B447" s="9"/>
      <c r="C447" s="9"/>
    </row>
    <row r="448">
      <c r="A448" s="9"/>
      <c r="B448" s="9"/>
      <c r="C448" s="9"/>
    </row>
    <row r="449">
      <c r="A449" s="9"/>
      <c r="B449" s="9"/>
      <c r="C449" s="9"/>
    </row>
    <row r="450">
      <c r="A450" s="9"/>
      <c r="B450" s="9"/>
      <c r="C450" s="9"/>
    </row>
    <row r="451">
      <c r="A451" s="9"/>
      <c r="B451" s="9"/>
      <c r="C451" s="9"/>
    </row>
    <row r="452">
      <c r="A452" s="9"/>
      <c r="B452" s="9"/>
      <c r="C452" s="9"/>
    </row>
    <row r="453">
      <c r="A453" s="9"/>
      <c r="B453" s="9"/>
      <c r="C453" s="9"/>
    </row>
    <row r="454">
      <c r="A454" s="9"/>
      <c r="B454" s="9"/>
      <c r="C454" s="9"/>
    </row>
    <row r="455">
      <c r="A455" s="9"/>
      <c r="B455" s="9"/>
      <c r="C455" s="9"/>
    </row>
    <row r="456">
      <c r="A456" s="9"/>
      <c r="B456" s="9"/>
      <c r="C456" s="9"/>
    </row>
    <row r="457">
      <c r="A457" s="9"/>
      <c r="B457" s="9"/>
      <c r="C457" s="9"/>
    </row>
    <row r="458">
      <c r="A458" s="9"/>
      <c r="B458" s="9"/>
      <c r="C458" s="9"/>
    </row>
    <row r="459">
      <c r="A459" s="9"/>
      <c r="B459" s="9"/>
      <c r="C459" s="9"/>
    </row>
    <row r="460">
      <c r="A460" s="9"/>
      <c r="B460" s="9"/>
      <c r="C460" s="9"/>
    </row>
    <row r="461">
      <c r="A461" s="9"/>
      <c r="B461" s="9"/>
      <c r="C461" s="9"/>
    </row>
    <row r="462">
      <c r="A462" s="9"/>
      <c r="B462" s="9"/>
      <c r="C462" s="9"/>
    </row>
    <row r="463">
      <c r="A463" s="9"/>
      <c r="B463" s="9"/>
      <c r="C463" s="9"/>
    </row>
    <row r="464">
      <c r="A464" s="9"/>
      <c r="B464" s="9"/>
      <c r="C464" s="9"/>
    </row>
    <row r="465">
      <c r="A465" s="9"/>
      <c r="B465" s="9"/>
      <c r="C465" s="9"/>
    </row>
    <row r="466">
      <c r="A466" s="9"/>
      <c r="B466" s="9"/>
      <c r="C466" s="9"/>
    </row>
    <row r="467">
      <c r="A467" s="9"/>
      <c r="B467" s="9"/>
      <c r="C467" s="9"/>
    </row>
    <row r="468">
      <c r="A468" s="9"/>
      <c r="B468" s="9"/>
      <c r="C468" s="9"/>
    </row>
    <row r="469">
      <c r="A469" s="9"/>
      <c r="B469" s="9"/>
      <c r="C469" s="9"/>
    </row>
    <row r="470">
      <c r="A470" s="9"/>
      <c r="B470" s="9"/>
      <c r="C470" s="9"/>
    </row>
    <row r="471">
      <c r="A471" s="9"/>
      <c r="B471" s="9"/>
      <c r="C471" s="9"/>
    </row>
    <row r="472">
      <c r="A472" s="9"/>
      <c r="B472" s="9"/>
      <c r="C472" s="9"/>
    </row>
    <row r="473">
      <c r="A473" s="9"/>
      <c r="B473" s="9"/>
      <c r="C473" s="9"/>
    </row>
    <row r="474">
      <c r="A474" s="9"/>
      <c r="B474" s="9"/>
      <c r="C474" s="9"/>
    </row>
    <row r="475">
      <c r="A475" s="9"/>
      <c r="B475" s="9"/>
      <c r="C475" s="9"/>
    </row>
    <row r="476">
      <c r="A476" s="9"/>
      <c r="B476" s="9"/>
      <c r="C476" s="9"/>
    </row>
    <row r="477">
      <c r="A477" s="9"/>
      <c r="B477" s="9"/>
      <c r="C477" s="9"/>
    </row>
    <row r="478">
      <c r="A478" s="9"/>
      <c r="B478" s="9"/>
      <c r="C478" s="9"/>
    </row>
    <row r="479">
      <c r="A479" s="9"/>
      <c r="B479" s="9"/>
      <c r="C479" s="9"/>
    </row>
    <row r="480">
      <c r="A480" s="9"/>
      <c r="B480" s="9"/>
      <c r="C480" s="9"/>
    </row>
    <row r="481">
      <c r="A481" s="9"/>
      <c r="B481" s="9"/>
      <c r="C481" s="9"/>
    </row>
    <row r="482">
      <c r="A482" s="9"/>
      <c r="B482" s="9"/>
      <c r="C482" s="9"/>
    </row>
    <row r="483">
      <c r="A483" s="9"/>
      <c r="B483" s="9"/>
      <c r="C483" s="9"/>
    </row>
    <row r="484">
      <c r="A484" s="9"/>
      <c r="B484" s="9"/>
      <c r="C484" s="9"/>
    </row>
    <row r="485">
      <c r="A485" s="9"/>
      <c r="B485" s="9"/>
      <c r="C485" s="9"/>
    </row>
    <row r="486">
      <c r="A486" s="9"/>
      <c r="B486" s="9"/>
      <c r="C486" s="9"/>
    </row>
    <row r="487">
      <c r="A487" s="9"/>
      <c r="B487" s="9"/>
      <c r="C487" s="9"/>
    </row>
    <row r="488">
      <c r="A488" s="9"/>
      <c r="B488" s="9"/>
      <c r="C488" s="9"/>
    </row>
    <row r="489">
      <c r="A489" s="9"/>
      <c r="B489" s="9"/>
      <c r="C489" s="9"/>
    </row>
    <row r="490">
      <c r="A490" s="9"/>
      <c r="B490" s="9"/>
      <c r="C490" s="9"/>
    </row>
    <row r="491">
      <c r="A491" s="9"/>
      <c r="B491" s="9"/>
      <c r="C491" s="9"/>
    </row>
    <row r="492">
      <c r="A492" s="9"/>
      <c r="B492" s="9"/>
      <c r="C492" s="9"/>
    </row>
    <row r="493">
      <c r="A493" s="9"/>
      <c r="B493" s="9"/>
      <c r="C493" s="9"/>
    </row>
    <row r="494">
      <c r="A494" s="9"/>
      <c r="B494" s="9"/>
      <c r="C494" s="9"/>
    </row>
    <row r="495">
      <c r="A495" s="9"/>
      <c r="B495" s="9"/>
      <c r="C495" s="9"/>
    </row>
    <row r="496">
      <c r="A496" s="9"/>
      <c r="B496" s="9"/>
      <c r="C496" s="9"/>
    </row>
    <row r="497">
      <c r="A497" s="9"/>
      <c r="B497" s="9"/>
      <c r="C497" s="9"/>
    </row>
    <row r="498">
      <c r="A498" s="9"/>
      <c r="B498" s="9"/>
      <c r="C498" s="9"/>
    </row>
    <row r="499">
      <c r="A499" s="9"/>
      <c r="B499" s="9"/>
      <c r="C499" s="9"/>
    </row>
    <row r="500">
      <c r="A500" s="9"/>
      <c r="B500" s="9"/>
      <c r="C500" s="9"/>
    </row>
    <row r="501">
      <c r="A501" s="9"/>
      <c r="B501" s="9"/>
      <c r="C501" s="9"/>
    </row>
    <row r="502">
      <c r="A502" s="9"/>
      <c r="B502" s="9"/>
      <c r="C502" s="9"/>
    </row>
    <row r="503">
      <c r="A503" s="9"/>
      <c r="B503" s="9"/>
      <c r="C503" s="9"/>
    </row>
    <row r="504">
      <c r="A504" s="9"/>
      <c r="B504" s="9"/>
      <c r="C504" s="9"/>
    </row>
    <row r="505">
      <c r="A505" s="9"/>
      <c r="B505" s="9"/>
      <c r="C505" s="9"/>
    </row>
    <row r="506">
      <c r="A506" s="9"/>
      <c r="B506" s="9"/>
      <c r="C506" s="9"/>
    </row>
    <row r="507">
      <c r="A507" s="9"/>
      <c r="B507" s="9"/>
      <c r="C507" s="9"/>
    </row>
    <row r="508">
      <c r="A508" s="9"/>
      <c r="B508" s="9"/>
      <c r="C508" s="9"/>
    </row>
    <row r="509">
      <c r="A509" s="9"/>
      <c r="B509" s="9"/>
      <c r="C509" s="9"/>
    </row>
    <row r="510">
      <c r="A510" s="9"/>
      <c r="B510" s="9"/>
      <c r="C510" s="9"/>
    </row>
    <row r="511">
      <c r="A511" s="9"/>
      <c r="B511" s="9"/>
      <c r="C511" s="9"/>
    </row>
    <row r="512">
      <c r="A512" s="9"/>
      <c r="B512" s="9"/>
      <c r="C512" s="9"/>
    </row>
    <row r="513">
      <c r="A513" s="9"/>
      <c r="B513" s="9"/>
      <c r="C513" s="9"/>
    </row>
    <row r="514">
      <c r="A514" s="9"/>
      <c r="B514" s="9"/>
      <c r="C514" s="9"/>
    </row>
    <row r="515">
      <c r="A515" s="9"/>
      <c r="B515" s="9"/>
      <c r="C515" s="9"/>
    </row>
    <row r="516">
      <c r="A516" s="9"/>
      <c r="B516" s="9"/>
      <c r="C516" s="9"/>
    </row>
    <row r="517">
      <c r="A517" s="9"/>
      <c r="B517" s="9"/>
      <c r="C517" s="9"/>
    </row>
    <row r="518">
      <c r="A518" s="9"/>
      <c r="B518" s="9"/>
      <c r="C518" s="9"/>
    </row>
    <row r="519">
      <c r="A519" s="9"/>
      <c r="B519" s="9"/>
      <c r="C519" s="9"/>
    </row>
    <row r="520">
      <c r="A520" s="9"/>
      <c r="B520" s="9"/>
      <c r="C520" s="9"/>
    </row>
    <row r="521">
      <c r="A521" s="9"/>
      <c r="B521" s="9"/>
      <c r="C521" s="9"/>
    </row>
    <row r="522">
      <c r="A522" s="9"/>
      <c r="B522" s="9"/>
      <c r="C522" s="9"/>
    </row>
    <row r="523">
      <c r="A523" s="9"/>
      <c r="B523" s="9"/>
      <c r="C523" s="9"/>
    </row>
    <row r="524">
      <c r="A524" s="9"/>
      <c r="B524" s="9"/>
      <c r="C524" s="9"/>
    </row>
    <row r="525">
      <c r="A525" s="9"/>
      <c r="B525" s="9"/>
      <c r="C525" s="9"/>
    </row>
    <row r="526">
      <c r="A526" s="9"/>
      <c r="B526" s="9"/>
      <c r="C526" s="9"/>
    </row>
    <row r="527">
      <c r="A527" s="9"/>
      <c r="B527" s="9"/>
      <c r="C527" s="9"/>
    </row>
    <row r="528">
      <c r="A528" s="9"/>
      <c r="B528" s="9"/>
      <c r="C528" s="9"/>
    </row>
    <row r="529">
      <c r="A529" s="9"/>
      <c r="B529" s="9"/>
      <c r="C529" s="9"/>
    </row>
    <row r="530">
      <c r="A530" s="9"/>
      <c r="B530" s="9"/>
      <c r="C530" s="9"/>
    </row>
    <row r="531">
      <c r="A531" s="9"/>
      <c r="B531" s="9"/>
      <c r="C531" s="9"/>
    </row>
    <row r="532">
      <c r="A532" s="9"/>
      <c r="B532" s="9"/>
      <c r="C532" s="9"/>
    </row>
    <row r="533">
      <c r="A533" s="9"/>
      <c r="B533" s="9"/>
      <c r="C533" s="9"/>
    </row>
    <row r="534">
      <c r="A534" s="9"/>
      <c r="B534" s="9"/>
      <c r="C534" s="9"/>
    </row>
    <row r="535">
      <c r="A535" s="9"/>
      <c r="B535" s="9"/>
      <c r="C535" s="9"/>
    </row>
    <row r="536">
      <c r="A536" s="9"/>
      <c r="B536" s="9"/>
      <c r="C536" s="9"/>
    </row>
    <row r="537">
      <c r="A537" s="9"/>
      <c r="B537" s="9"/>
      <c r="C537" s="9"/>
    </row>
    <row r="538">
      <c r="A538" s="9"/>
      <c r="B538" s="9"/>
      <c r="C538" s="9"/>
    </row>
    <row r="539">
      <c r="A539" s="9"/>
      <c r="B539" s="9"/>
      <c r="C539" s="9"/>
    </row>
    <row r="540">
      <c r="A540" s="9"/>
      <c r="B540" s="9"/>
      <c r="C540" s="9"/>
    </row>
    <row r="541">
      <c r="A541" s="9"/>
      <c r="B541" s="9"/>
      <c r="C541" s="9"/>
    </row>
    <row r="542">
      <c r="A542" s="9"/>
      <c r="B542" s="9"/>
      <c r="C542" s="9"/>
    </row>
    <row r="543">
      <c r="A543" s="9"/>
      <c r="B543" s="9"/>
      <c r="C543" s="9"/>
    </row>
    <row r="544">
      <c r="A544" s="9"/>
      <c r="B544" s="9"/>
      <c r="C544" s="9"/>
    </row>
    <row r="545">
      <c r="A545" s="9"/>
      <c r="B545" s="9"/>
      <c r="C545" s="9"/>
    </row>
    <row r="546">
      <c r="A546" s="9"/>
      <c r="B546" s="9"/>
      <c r="C546" s="9"/>
    </row>
    <row r="547">
      <c r="A547" s="9"/>
      <c r="B547" s="9"/>
      <c r="C547" s="9"/>
    </row>
    <row r="548">
      <c r="A548" s="9"/>
      <c r="B548" s="9"/>
      <c r="C548" s="9"/>
    </row>
    <row r="549">
      <c r="A549" s="9"/>
      <c r="B549" s="9"/>
      <c r="C549" s="9"/>
    </row>
    <row r="550">
      <c r="A550" s="9"/>
      <c r="B550" s="9"/>
      <c r="C550" s="9"/>
    </row>
    <row r="551">
      <c r="A551" s="9"/>
      <c r="B551" s="9"/>
      <c r="C551" s="9"/>
    </row>
    <row r="552">
      <c r="A552" s="9"/>
      <c r="B552" s="9"/>
      <c r="C552" s="9"/>
    </row>
    <row r="553">
      <c r="A553" s="9"/>
      <c r="B553" s="9"/>
      <c r="C553" s="9"/>
    </row>
    <row r="554">
      <c r="A554" s="9"/>
      <c r="B554" s="9"/>
      <c r="C554" s="9"/>
    </row>
    <row r="555">
      <c r="A555" s="9"/>
      <c r="B555" s="9"/>
      <c r="C555" s="9"/>
    </row>
    <row r="556">
      <c r="A556" s="9"/>
      <c r="B556" s="9"/>
      <c r="C556" s="9"/>
    </row>
    <row r="557">
      <c r="A557" s="9"/>
      <c r="B557" s="9"/>
      <c r="C557" s="9"/>
    </row>
    <row r="558">
      <c r="A558" s="9"/>
      <c r="B558" s="9"/>
      <c r="C558" s="9"/>
    </row>
    <row r="559">
      <c r="A559" s="9"/>
      <c r="B559" s="9"/>
      <c r="C559" s="9"/>
    </row>
    <row r="560">
      <c r="A560" s="9"/>
      <c r="B560" s="9"/>
      <c r="C560" s="9"/>
    </row>
    <row r="561">
      <c r="A561" s="9"/>
      <c r="B561" s="9"/>
      <c r="C561" s="9"/>
    </row>
    <row r="562">
      <c r="A562" s="9"/>
      <c r="B562" s="9"/>
      <c r="C562" s="9"/>
    </row>
    <row r="563">
      <c r="A563" s="9"/>
      <c r="B563" s="9"/>
      <c r="C563" s="9"/>
    </row>
    <row r="564">
      <c r="A564" s="9"/>
      <c r="B564" s="9"/>
      <c r="C564" s="9"/>
    </row>
    <row r="565">
      <c r="A565" s="9"/>
      <c r="B565" s="9"/>
      <c r="C565" s="9"/>
    </row>
    <row r="566">
      <c r="A566" s="9"/>
      <c r="B566" s="9"/>
      <c r="C566" s="9"/>
    </row>
    <row r="567">
      <c r="A567" s="9"/>
      <c r="B567" s="9"/>
      <c r="C567" s="9"/>
    </row>
    <row r="568">
      <c r="A568" s="9"/>
      <c r="B568" s="9"/>
      <c r="C568" s="9"/>
    </row>
    <row r="569">
      <c r="A569" s="9"/>
      <c r="B569" s="9"/>
      <c r="C569" s="9"/>
    </row>
    <row r="570">
      <c r="A570" s="9"/>
      <c r="B570" s="9"/>
      <c r="C570" s="9"/>
    </row>
    <row r="571">
      <c r="A571" s="9"/>
      <c r="B571" s="9"/>
      <c r="C571" s="9"/>
    </row>
    <row r="572">
      <c r="A572" s="9"/>
      <c r="B572" s="9"/>
      <c r="C572" s="9"/>
    </row>
    <row r="573">
      <c r="A573" s="9"/>
      <c r="B573" s="9"/>
      <c r="C573" s="9"/>
    </row>
    <row r="574">
      <c r="A574" s="9"/>
      <c r="B574" s="9"/>
      <c r="C574" s="9"/>
    </row>
    <row r="575">
      <c r="A575" s="9"/>
      <c r="B575" s="9"/>
      <c r="C575" s="9"/>
    </row>
    <row r="576">
      <c r="A576" s="9"/>
      <c r="B576" s="9"/>
      <c r="C576" s="9"/>
    </row>
    <row r="577">
      <c r="A577" s="9"/>
      <c r="B577" s="9"/>
      <c r="C577" s="9"/>
    </row>
    <row r="578">
      <c r="A578" s="9"/>
      <c r="B578" s="9"/>
      <c r="C578" s="9"/>
    </row>
    <row r="579">
      <c r="A579" s="9"/>
      <c r="B579" s="9"/>
      <c r="C579" s="9"/>
    </row>
    <row r="580">
      <c r="A580" s="9"/>
      <c r="B580" s="9"/>
      <c r="C580" s="9"/>
    </row>
    <row r="581">
      <c r="A581" s="9"/>
      <c r="B581" s="9"/>
      <c r="C581" s="9"/>
    </row>
    <row r="582">
      <c r="A582" s="9"/>
      <c r="B582" s="9"/>
      <c r="C582" s="9"/>
    </row>
    <row r="583">
      <c r="A583" s="9"/>
      <c r="B583" s="9"/>
      <c r="C583" s="9"/>
    </row>
    <row r="584">
      <c r="A584" s="9"/>
      <c r="B584" s="9"/>
      <c r="C584" s="9"/>
    </row>
    <row r="585">
      <c r="A585" s="9"/>
      <c r="B585" s="9"/>
      <c r="C585" s="9"/>
    </row>
    <row r="586">
      <c r="A586" s="9"/>
      <c r="B586" s="9"/>
      <c r="C586" s="9"/>
    </row>
    <row r="587">
      <c r="A587" s="9"/>
      <c r="B587" s="9"/>
      <c r="C587" s="9"/>
    </row>
    <row r="588">
      <c r="A588" s="9"/>
      <c r="B588" s="9"/>
      <c r="C588" s="9"/>
    </row>
    <row r="589">
      <c r="A589" s="9"/>
      <c r="B589" s="9"/>
      <c r="C589" s="9"/>
    </row>
    <row r="590">
      <c r="A590" s="9"/>
      <c r="B590" s="9"/>
      <c r="C590" s="9"/>
    </row>
    <row r="591">
      <c r="A591" s="9"/>
      <c r="B591" s="9"/>
      <c r="C591" s="9"/>
    </row>
    <row r="592">
      <c r="A592" s="9"/>
      <c r="B592" s="9"/>
      <c r="C592" s="9"/>
    </row>
    <row r="593">
      <c r="A593" s="9"/>
      <c r="B593" s="9"/>
      <c r="C593" s="9"/>
    </row>
    <row r="594">
      <c r="A594" s="9"/>
      <c r="B594" s="9"/>
      <c r="C594" s="9"/>
    </row>
    <row r="595">
      <c r="A595" s="9"/>
      <c r="B595" s="9"/>
      <c r="C595" s="9"/>
    </row>
    <row r="596">
      <c r="A596" s="9"/>
      <c r="B596" s="9"/>
      <c r="C596" s="9"/>
    </row>
    <row r="597">
      <c r="A597" s="9"/>
      <c r="B597" s="9"/>
      <c r="C597" s="9"/>
    </row>
    <row r="598">
      <c r="A598" s="9"/>
      <c r="B598" s="9"/>
      <c r="C598" s="9"/>
    </row>
    <row r="599">
      <c r="A599" s="9"/>
      <c r="B599" s="9"/>
      <c r="C599" s="9"/>
    </row>
    <row r="600">
      <c r="A600" s="9"/>
      <c r="B600" s="9"/>
      <c r="C600" s="9"/>
    </row>
    <row r="601">
      <c r="A601" s="9"/>
      <c r="B601" s="9"/>
      <c r="C601" s="9"/>
    </row>
    <row r="602">
      <c r="A602" s="9"/>
      <c r="B602" s="9"/>
      <c r="C602" s="9"/>
    </row>
    <row r="603">
      <c r="A603" s="9"/>
      <c r="B603" s="9"/>
      <c r="C603" s="9"/>
    </row>
    <row r="604">
      <c r="A604" s="9"/>
      <c r="B604" s="9"/>
      <c r="C604" s="9"/>
    </row>
    <row r="605">
      <c r="A605" s="9"/>
      <c r="B605" s="9"/>
      <c r="C605" s="9"/>
    </row>
    <row r="606">
      <c r="A606" s="9"/>
      <c r="B606" s="9"/>
      <c r="C606" s="9"/>
    </row>
    <row r="607">
      <c r="A607" s="9"/>
      <c r="B607" s="9"/>
      <c r="C607" s="9"/>
    </row>
    <row r="608">
      <c r="A608" s="9"/>
      <c r="B608" s="9"/>
      <c r="C608" s="9"/>
    </row>
    <row r="609">
      <c r="A609" s="9"/>
      <c r="B609" s="9"/>
      <c r="C609" s="9"/>
    </row>
    <row r="610">
      <c r="A610" s="9"/>
      <c r="B610" s="9"/>
      <c r="C610" s="9"/>
    </row>
    <row r="611">
      <c r="A611" s="9"/>
      <c r="B611" s="9"/>
      <c r="C611" s="9"/>
    </row>
    <row r="612">
      <c r="A612" s="9"/>
      <c r="B612" s="9"/>
      <c r="C612" s="9"/>
    </row>
    <row r="613">
      <c r="A613" s="9"/>
      <c r="B613" s="9"/>
      <c r="C613" s="9"/>
    </row>
    <row r="614">
      <c r="A614" s="9"/>
      <c r="B614" s="9"/>
      <c r="C614" s="9"/>
    </row>
    <row r="615">
      <c r="A615" s="9"/>
      <c r="B615" s="9"/>
      <c r="C615" s="9"/>
    </row>
    <row r="616">
      <c r="A616" s="9"/>
      <c r="B616" s="9"/>
      <c r="C616" s="9"/>
    </row>
    <row r="617">
      <c r="A617" s="9"/>
      <c r="B617" s="9"/>
      <c r="C617" s="9"/>
    </row>
    <row r="618">
      <c r="A618" s="9"/>
      <c r="B618" s="9"/>
      <c r="C618" s="9"/>
    </row>
    <row r="619">
      <c r="A619" s="9"/>
      <c r="B619" s="9"/>
      <c r="C619" s="9"/>
    </row>
    <row r="620">
      <c r="A620" s="9"/>
      <c r="B620" s="9"/>
      <c r="C620" s="9"/>
    </row>
    <row r="621">
      <c r="A621" s="9"/>
      <c r="B621" s="9"/>
      <c r="C621" s="9"/>
    </row>
    <row r="622">
      <c r="A622" s="9"/>
      <c r="B622" s="9"/>
      <c r="C622" s="9"/>
    </row>
    <row r="623">
      <c r="A623" s="9"/>
      <c r="B623" s="9"/>
      <c r="C623" s="9"/>
    </row>
    <row r="624">
      <c r="A624" s="9"/>
      <c r="B624" s="9"/>
      <c r="C624" s="9"/>
    </row>
    <row r="625">
      <c r="A625" s="9"/>
      <c r="B625" s="9"/>
      <c r="C625" s="9"/>
    </row>
    <row r="626">
      <c r="A626" s="9"/>
      <c r="B626" s="9"/>
      <c r="C626" s="9"/>
    </row>
    <row r="627">
      <c r="A627" s="9"/>
      <c r="B627" s="9"/>
      <c r="C627" s="9"/>
    </row>
    <row r="628">
      <c r="A628" s="9"/>
      <c r="B628" s="9"/>
      <c r="C628" s="9"/>
    </row>
    <row r="629">
      <c r="A629" s="9"/>
      <c r="B629" s="9"/>
      <c r="C629" s="9"/>
    </row>
    <row r="630">
      <c r="A630" s="9"/>
      <c r="B630" s="9"/>
      <c r="C630" s="9"/>
    </row>
    <row r="631">
      <c r="A631" s="9"/>
      <c r="B631" s="9"/>
      <c r="C631" s="9"/>
    </row>
    <row r="632">
      <c r="A632" s="9"/>
      <c r="B632" s="9"/>
      <c r="C632" s="9"/>
    </row>
    <row r="633">
      <c r="A633" s="9"/>
      <c r="B633" s="9"/>
      <c r="C633" s="9"/>
    </row>
    <row r="634">
      <c r="A634" s="9"/>
      <c r="B634" s="9"/>
      <c r="C634" s="9"/>
    </row>
    <row r="635">
      <c r="A635" s="9"/>
      <c r="B635" s="9"/>
      <c r="C635" s="9"/>
    </row>
    <row r="636">
      <c r="A636" s="9"/>
      <c r="B636" s="9"/>
      <c r="C636" s="9"/>
    </row>
    <row r="637">
      <c r="A637" s="9"/>
      <c r="B637" s="9"/>
      <c r="C637" s="9"/>
    </row>
    <row r="638">
      <c r="A638" s="9"/>
      <c r="B638" s="9"/>
      <c r="C638" s="9"/>
    </row>
    <row r="639">
      <c r="A639" s="9"/>
      <c r="B639" s="9"/>
      <c r="C639" s="9"/>
    </row>
    <row r="640">
      <c r="A640" s="9"/>
      <c r="B640" s="9"/>
      <c r="C640" s="9"/>
    </row>
    <row r="641">
      <c r="A641" s="9"/>
      <c r="B641" s="9"/>
      <c r="C641" s="9"/>
    </row>
    <row r="642">
      <c r="A642" s="9"/>
      <c r="B642" s="9"/>
      <c r="C642" s="9"/>
    </row>
    <row r="643">
      <c r="A643" s="9"/>
      <c r="B643" s="9"/>
      <c r="C643" s="9"/>
    </row>
    <row r="644">
      <c r="A644" s="9"/>
      <c r="B644" s="9"/>
      <c r="C644" s="9"/>
    </row>
    <row r="645">
      <c r="A645" s="9"/>
      <c r="B645" s="9"/>
      <c r="C645" s="9"/>
    </row>
    <row r="646">
      <c r="A646" s="9"/>
      <c r="B646" s="9"/>
      <c r="C646" s="9"/>
    </row>
    <row r="647">
      <c r="A647" s="9"/>
      <c r="B647" s="9"/>
      <c r="C647" s="9"/>
    </row>
    <row r="648">
      <c r="A648" s="9"/>
      <c r="B648" s="9"/>
      <c r="C648" s="9"/>
    </row>
    <row r="649">
      <c r="A649" s="9"/>
      <c r="B649" s="9"/>
      <c r="C649" s="9"/>
    </row>
    <row r="650">
      <c r="A650" s="9"/>
      <c r="B650" s="9"/>
      <c r="C650" s="9"/>
    </row>
    <row r="651">
      <c r="A651" s="9"/>
      <c r="B651" s="9"/>
      <c r="C651" s="9"/>
    </row>
    <row r="652">
      <c r="A652" s="9"/>
      <c r="B652" s="9"/>
      <c r="C652" s="9"/>
    </row>
    <row r="653">
      <c r="A653" s="9"/>
      <c r="B653" s="9"/>
      <c r="C653" s="9"/>
    </row>
    <row r="654">
      <c r="A654" s="9"/>
      <c r="B654" s="9"/>
      <c r="C654" s="9"/>
    </row>
    <row r="655">
      <c r="A655" s="9"/>
      <c r="B655" s="9"/>
      <c r="C655" s="9"/>
    </row>
    <row r="656">
      <c r="A656" s="9"/>
      <c r="B656" s="9"/>
      <c r="C656" s="9"/>
    </row>
    <row r="657">
      <c r="A657" s="9"/>
      <c r="B657" s="9"/>
      <c r="C657" s="9"/>
    </row>
    <row r="658">
      <c r="A658" s="9"/>
      <c r="B658" s="9"/>
      <c r="C658" s="9"/>
    </row>
    <row r="659">
      <c r="A659" s="9"/>
      <c r="B659" s="9"/>
      <c r="C659" s="9"/>
    </row>
    <row r="660">
      <c r="A660" s="9"/>
      <c r="B660" s="9"/>
      <c r="C660" s="9"/>
    </row>
    <row r="661">
      <c r="A661" s="9"/>
      <c r="B661" s="9"/>
      <c r="C661" s="9"/>
    </row>
    <row r="662">
      <c r="A662" s="9"/>
      <c r="B662" s="9"/>
      <c r="C662" s="9"/>
    </row>
    <row r="663">
      <c r="A663" s="9"/>
      <c r="B663" s="9"/>
      <c r="C663" s="9"/>
    </row>
    <row r="664">
      <c r="A664" s="9"/>
      <c r="B664" s="9"/>
      <c r="C664" s="9"/>
    </row>
    <row r="665">
      <c r="A665" s="9"/>
      <c r="B665" s="9"/>
      <c r="C665" s="9"/>
    </row>
    <row r="666">
      <c r="A666" s="9"/>
      <c r="B666" s="9"/>
      <c r="C666" s="9"/>
    </row>
    <row r="667">
      <c r="A667" s="9"/>
      <c r="B667" s="9"/>
      <c r="C667" s="9"/>
    </row>
    <row r="668">
      <c r="A668" s="9"/>
      <c r="B668" s="9"/>
      <c r="C668" s="9"/>
    </row>
    <row r="669">
      <c r="A669" s="9"/>
      <c r="B669" s="9"/>
      <c r="C669" s="9"/>
    </row>
    <row r="670">
      <c r="A670" s="9"/>
      <c r="B670" s="9"/>
      <c r="C670" s="9"/>
    </row>
    <row r="671">
      <c r="A671" s="9"/>
      <c r="B671" s="9"/>
      <c r="C671" s="9"/>
    </row>
    <row r="672">
      <c r="A672" s="9"/>
      <c r="B672" s="9"/>
      <c r="C672" s="9"/>
    </row>
    <row r="673">
      <c r="A673" s="9"/>
      <c r="B673" s="9"/>
      <c r="C673" s="9"/>
    </row>
    <row r="674">
      <c r="A674" s="9"/>
      <c r="B674" s="9"/>
      <c r="C674" s="9"/>
    </row>
    <row r="675">
      <c r="A675" s="9"/>
      <c r="B675" s="9"/>
      <c r="C675" s="9"/>
    </row>
    <row r="676">
      <c r="A676" s="9"/>
      <c r="B676" s="9"/>
      <c r="C676" s="9"/>
    </row>
    <row r="677">
      <c r="A677" s="9"/>
      <c r="B677" s="9"/>
      <c r="C677" s="9"/>
    </row>
    <row r="678">
      <c r="A678" s="9"/>
      <c r="B678" s="9"/>
      <c r="C678" s="9"/>
    </row>
    <row r="679">
      <c r="A679" s="9"/>
      <c r="B679" s="9"/>
      <c r="C679" s="9"/>
    </row>
    <row r="680">
      <c r="A680" s="9"/>
      <c r="B680" s="9"/>
      <c r="C680" s="9"/>
    </row>
    <row r="681">
      <c r="A681" s="9"/>
      <c r="B681" s="9"/>
      <c r="C681" s="9"/>
    </row>
    <row r="682">
      <c r="A682" s="9"/>
      <c r="B682" s="9"/>
      <c r="C682" s="9"/>
    </row>
    <row r="683">
      <c r="A683" s="9"/>
      <c r="B683" s="9"/>
      <c r="C683" s="9"/>
    </row>
    <row r="684">
      <c r="A684" s="9"/>
      <c r="B684" s="9"/>
      <c r="C684" s="9"/>
    </row>
    <row r="685">
      <c r="A685" s="9"/>
      <c r="B685" s="9"/>
      <c r="C685" s="9"/>
    </row>
    <row r="686">
      <c r="A686" s="9"/>
      <c r="B686" s="9"/>
      <c r="C686" s="9"/>
    </row>
    <row r="687">
      <c r="A687" s="9"/>
      <c r="B687" s="9"/>
      <c r="C687" s="9"/>
    </row>
    <row r="688">
      <c r="A688" s="9"/>
      <c r="B688" s="9"/>
      <c r="C688" s="9"/>
    </row>
    <row r="689">
      <c r="A689" s="9"/>
      <c r="B689" s="9"/>
      <c r="C689" s="9"/>
    </row>
    <row r="690">
      <c r="A690" s="9"/>
      <c r="B690" s="9"/>
      <c r="C690" s="9"/>
    </row>
    <row r="691">
      <c r="A691" s="9"/>
      <c r="B691" s="9"/>
      <c r="C691" s="9"/>
    </row>
    <row r="692">
      <c r="A692" s="9"/>
      <c r="B692" s="9"/>
      <c r="C692" s="9"/>
    </row>
    <row r="693">
      <c r="A693" s="9"/>
      <c r="B693" s="9"/>
      <c r="C693" s="9"/>
    </row>
    <row r="694">
      <c r="A694" s="9"/>
      <c r="B694" s="9"/>
      <c r="C694" s="9"/>
    </row>
    <row r="695">
      <c r="A695" s="9"/>
      <c r="B695" s="9"/>
      <c r="C695" s="9"/>
    </row>
    <row r="696">
      <c r="A696" s="9"/>
      <c r="B696" s="9"/>
      <c r="C696" s="9"/>
    </row>
    <row r="697">
      <c r="A697" s="9"/>
      <c r="B697" s="9"/>
      <c r="C697" s="9"/>
    </row>
    <row r="698">
      <c r="A698" s="9"/>
      <c r="B698" s="9"/>
      <c r="C698" s="9"/>
    </row>
    <row r="699">
      <c r="A699" s="9"/>
      <c r="B699" s="9"/>
      <c r="C699" s="9"/>
    </row>
    <row r="700">
      <c r="A700" s="9"/>
      <c r="B700" s="9"/>
      <c r="C700" s="9"/>
    </row>
    <row r="701">
      <c r="A701" s="9"/>
      <c r="B701" s="9"/>
      <c r="C701" s="9"/>
    </row>
    <row r="702">
      <c r="A702" s="9"/>
      <c r="B702" s="9"/>
      <c r="C702" s="9"/>
    </row>
    <row r="703">
      <c r="A703" s="9"/>
      <c r="B703" s="9"/>
      <c r="C703" s="9"/>
    </row>
    <row r="704">
      <c r="A704" s="9"/>
      <c r="B704" s="9"/>
      <c r="C704" s="9"/>
    </row>
    <row r="705">
      <c r="A705" s="9"/>
      <c r="B705" s="9"/>
      <c r="C705" s="9"/>
    </row>
    <row r="706">
      <c r="A706" s="9"/>
      <c r="B706" s="9"/>
      <c r="C706" s="9"/>
    </row>
    <row r="707">
      <c r="A707" s="9"/>
      <c r="B707" s="9"/>
      <c r="C707" s="9"/>
    </row>
    <row r="708">
      <c r="A708" s="9"/>
      <c r="B708" s="9"/>
      <c r="C708" s="9"/>
    </row>
    <row r="709">
      <c r="A709" s="9"/>
      <c r="B709" s="9"/>
      <c r="C709" s="9"/>
    </row>
    <row r="710">
      <c r="A710" s="9"/>
      <c r="B710" s="9"/>
      <c r="C710" s="9"/>
    </row>
    <row r="711">
      <c r="A711" s="9"/>
      <c r="B711" s="9"/>
      <c r="C711" s="9"/>
    </row>
    <row r="712">
      <c r="A712" s="9"/>
      <c r="B712" s="9"/>
      <c r="C712" s="9"/>
    </row>
    <row r="713">
      <c r="A713" s="9"/>
      <c r="B713" s="9"/>
      <c r="C713" s="9"/>
    </row>
    <row r="714">
      <c r="A714" s="9"/>
      <c r="B714" s="9"/>
      <c r="C714" s="9"/>
    </row>
    <row r="715">
      <c r="A715" s="9"/>
      <c r="B715" s="9"/>
      <c r="C715" s="9"/>
    </row>
    <row r="716">
      <c r="A716" s="9"/>
      <c r="B716" s="9"/>
      <c r="C716" s="9"/>
    </row>
    <row r="717">
      <c r="A717" s="9"/>
      <c r="B717" s="9"/>
      <c r="C717" s="9"/>
    </row>
    <row r="718">
      <c r="A718" s="9"/>
      <c r="B718" s="9"/>
      <c r="C718" s="9"/>
    </row>
    <row r="719">
      <c r="A719" s="9"/>
      <c r="B719" s="9"/>
      <c r="C719" s="9"/>
    </row>
    <row r="720">
      <c r="A720" s="9"/>
      <c r="B720" s="9"/>
      <c r="C720" s="9"/>
    </row>
    <row r="721">
      <c r="A721" s="9"/>
      <c r="B721" s="9"/>
      <c r="C721" s="9"/>
    </row>
    <row r="722">
      <c r="A722" s="9"/>
      <c r="B722" s="9"/>
      <c r="C722" s="9"/>
    </row>
    <row r="723">
      <c r="A723" s="9"/>
      <c r="B723" s="9"/>
      <c r="C723" s="9"/>
    </row>
    <row r="724">
      <c r="A724" s="9"/>
      <c r="B724" s="9"/>
      <c r="C724" s="9"/>
    </row>
    <row r="725">
      <c r="A725" s="9"/>
      <c r="B725" s="9"/>
      <c r="C725" s="9"/>
    </row>
    <row r="726">
      <c r="A726" s="9"/>
      <c r="B726" s="9"/>
      <c r="C726" s="9"/>
    </row>
    <row r="727">
      <c r="A727" s="9"/>
      <c r="B727" s="9"/>
      <c r="C727" s="9"/>
    </row>
    <row r="728">
      <c r="A728" s="9"/>
      <c r="B728" s="9"/>
      <c r="C728" s="9"/>
    </row>
    <row r="729">
      <c r="A729" s="9"/>
      <c r="B729" s="9"/>
      <c r="C729" s="9"/>
    </row>
    <row r="730">
      <c r="A730" s="9"/>
      <c r="B730" s="9"/>
      <c r="C730" s="9"/>
    </row>
    <row r="731">
      <c r="A731" s="9"/>
      <c r="B731" s="9"/>
      <c r="C731" s="9"/>
    </row>
    <row r="732">
      <c r="A732" s="9"/>
      <c r="B732" s="9"/>
      <c r="C732" s="9"/>
    </row>
    <row r="733">
      <c r="A733" s="9"/>
      <c r="B733" s="9"/>
      <c r="C733" s="9"/>
    </row>
    <row r="734">
      <c r="A734" s="9"/>
      <c r="B734" s="9"/>
      <c r="C734" s="9"/>
    </row>
    <row r="735">
      <c r="A735" s="9"/>
      <c r="B735" s="9"/>
      <c r="C735" s="9"/>
    </row>
    <row r="736">
      <c r="A736" s="9"/>
      <c r="B736" s="9"/>
      <c r="C736" s="9"/>
    </row>
    <row r="737">
      <c r="A737" s="9"/>
      <c r="B737" s="9"/>
      <c r="C737" s="9"/>
    </row>
    <row r="738">
      <c r="A738" s="9"/>
      <c r="B738" s="9"/>
      <c r="C738" s="9"/>
    </row>
    <row r="739">
      <c r="A739" s="9"/>
      <c r="B739" s="9"/>
      <c r="C739" s="9"/>
    </row>
    <row r="740">
      <c r="A740" s="9"/>
      <c r="B740" s="9"/>
      <c r="C740" s="9"/>
    </row>
    <row r="741">
      <c r="A741" s="9"/>
      <c r="B741" s="9"/>
      <c r="C741" s="9"/>
    </row>
    <row r="742">
      <c r="A742" s="9"/>
      <c r="B742" s="9"/>
      <c r="C742" s="9"/>
    </row>
    <row r="743">
      <c r="A743" s="9"/>
      <c r="B743" s="9"/>
      <c r="C743" s="9"/>
    </row>
    <row r="744">
      <c r="A744" s="9"/>
      <c r="B744" s="9"/>
      <c r="C744" s="9"/>
    </row>
    <row r="745">
      <c r="A745" s="9"/>
      <c r="B745" s="9"/>
      <c r="C745" s="9"/>
    </row>
    <row r="746">
      <c r="A746" s="9"/>
      <c r="B746" s="9"/>
      <c r="C746" s="9"/>
    </row>
    <row r="747">
      <c r="A747" s="9"/>
      <c r="B747" s="9"/>
      <c r="C747" s="9"/>
    </row>
    <row r="748">
      <c r="A748" s="9"/>
      <c r="B748" s="9"/>
      <c r="C748" s="9"/>
    </row>
    <row r="749">
      <c r="A749" s="9"/>
      <c r="B749" s="9"/>
      <c r="C749" s="9"/>
    </row>
    <row r="750">
      <c r="A750" s="9"/>
      <c r="B750" s="9"/>
      <c r="C750" s="9"/>
    </row>
    <row r="751">
      <c r="A751" s="9"/>
      <c r="B751" s="9"/>
      <c r="C751" s="9"/>
    </row>
    <row r="752">
      <c r="A752" s="9"/>
      <c r="B752" s="9"/>
      <c r="C752" s="9"/>
    </row>
    <row r="753">
      <c r="A753" s="9"/>
      <c r="B753" s="9"/>
      <c r="C753" s="9"/>
    </row>
    <row r="754">
      <c r="A754" s="9"/>
      <c r="B754" s="9"/>
      <c r="C754" s="9"/>
    </row>
    <row r="755">
      <c r="A755" s="9"/>
      <c r="B755" s="9"/>
      <c r="C755" s="9"/>
    </row>
    <row r="756">
      <c r="A756" s="9"/>
      <c r="B756" s="9"/>
      <c r="C756" s="9"/>
    </row>
    <row r="757">
      <c r="A757" s="9"/>
      <c r="B757" s="9"/>
      <c r="C757" s="9"/>
    </row>
    <row r="758">
      <c r="A758" s="9"/>
      <c r="B758" s="9"/>
      <c r="C758" s="9"/>
    </row>
    <row r="759">
      <c r="A759" s="9"/>
      <c r="B759" s="9"/>
      <c r="C759" s="9"/>
    </row>
    <row r="760">
      <c r="A760" s="9"/>
      <c r="B760" s="9"/>
      <c r="C760" s="9"/>
    </row>
    <row r="761">
      <c r="A761" s="9"/>
      <c r="B761" s="9"/>
      <c r="C761" s="9"/>
    </row>
    <row r="762">
      <c r="A762" s="9"/>
      <c r="B762" s="9"/>
      <c r="C762" s="9"/>
    </row>
    <row r="763">
      <c r="A763" s="9"/>
      <c r="B763" s="9"/>
      <c r="C763" s="9"/>
    </row>
    <row r="764">
      <c r="A764" s="9"/>
      <c r="B764" s="9"/>
      <c r="C764" s="9"/>
    </row>
    <row r="765">
      <c r="A765" s="9"/>
      <c r="B765" s="9"/>
      <c r="C765" s="9"/>
    </row>
    <row r="766">
      <c r="A766" s="9"/>
      <c r="B766" s="9"/>
      <c r="C766" s="9"/>
    </row>
    <row r="767">
      <c r="A767" s="9"/>
      <c r="B767" s="9"/>
      <c r="C767" s="9"/>
    </row>
    <row r="768">
      <c r="A768" s="9"/>
      <c r="B768" s="9"/>
      <c r="C768" s="9"/>
    </row>
    <row r="769">
      <c r="A769" s="9"/>
      <c r="B769" s="9"/>
      <c r="C769" s="9"/>
    </row>
    <row r="770">
      <c r="A770" s="9"/>
      <c r="B770" s="9"/>
      <c r="C770" s="9"/>
    </row>
    <row r="771">
      <c r="A771" s="9"/>
      <c r="B771" s="9"/>
      <c r="C771" s="9"/>
    </row>
    <row r="772">
      <c r="A772" s="9"/>
      <c r="B772" s="9"/>
      <c r="C772" s="9"/>
    </row>
    <row r="773">
      <c r="A773" s="9"/>
      <c r="B773" s="9"/>
      <c r="C773" s="9"/>
    </row>
    <row r="774">
      <c r="A774" s="9"/>
      <c r="B774" s="9"/>
      <c r="C774" s="9"/>
    </row>
    <row r="775">
      <c r="A775" s="9"/>
      <c r="B775" s="9"/>
      <c r="C775" s="9"/>
    </row>
    <row r="776">
      <c r="A776" s="9"/>
      <c r="B776" s="9"/>
      <c r="C776" s="9"/>
    </row>
    <row r="777">
      <c r="A777" s="9"/>
      <c r="B777" s="9"/>
      <c r="C777" s="9"/>
    </row>
    <row r="778">
      <c r="A778" s="9"/>
      <c r="B778" s="9"/>
      <c r="C778" s="9"/>
    </row>
    <row r="779">
      <c r="A779" s="9"/>
      <c r="B779" s="9"/>
      <c r="C779" s="9"/>
    </row>
    <row r="780">
      <c r="A780" s="9"/>
      <c r="B780" s="9"/>
      <c r="C780" s="9"/>
    </row>
    <row r="781">
      <c r="A781" s="9"/>
      <c r="B781" s="9"/>
      <c r="C781" s="9"/>
    </row>
    <row r="782">
      <c r="A782" s="9"/>
      <c r="B782" s="9"/>
      <c r="C782" s="9"/>
    </row>
    <row r="783">
      <c r="A783" s="9"/>
      <c r="B783" s="9"/>
      <c r="C783" s="9"/>
    </row>
    <row r="784">
      <c r="A784" s="9"/>
      <c r="B784" s="9"/>
      <c r="C784" s="9"/>
    </row>
    <row r="785">
      <c r="A785" s="9"/>
      <c r="B785" s="9"/>
      <c r="C785" s="9"/>
    </row>
    <row r="786">
      <c r="A786" s="9"/>
      <c r="B786" s="9"/>
      <c r="C786" s="9"/>
    </row>
    <row r="787">
      <c r="A787" s="9"/>
      <c r="B787" s="9"/>
      <c r="C787" s="9"/>
    </row>
    <row r="788">
      <c r="A788" s="9"/>
      <c r="B788" s="9"/>
      <c r="C788" s="9"/>
    </row>
    <row r="789">
      <c r="A789" s="9"/>
      <c r="B789" s="9"/>
      <c r="C789" s="9"/>
    </row>
    <row r="790">
      <c r="A790" s="9"/>
      <c r="B790" s="9"/>
      <c r="C790" s="9"/>
    </row>
    <row r="791">
      <c r="A791" s="9"/>
      <c r="B791" s="9"/>
      <c r="C791" s="9"/>
    </row>
    <row r="792">
      <c r="A792" s="9"/>
      <c r="B792" s="9"/>
      <c r="C792" s="9"/>
    </row>
    <row r="793">
      <c r="A793" s="9"/>
      <c r="B793" s="9"/>
      <c r="C793" s="9"/>
    </row>
    <row r="794">
      <c r="A794" s="9"/>
      <c r="B794" s="9"/>
      <c r="C794" s="9"/>
    </row>
    <row r="795">
      <c r="A795" s="9"/>
      <c r="B795" s="9"/>
      <c r="C795" s="9"/>
    </row>
    <row r="796">
      <c r="A796" s="9"/>
      <c r="B796" s="9"/>
      <c r="C796" s="9"/>
    </row>
    <row r="797">
      <c r="A797" s="9"/>
      <c r="B797" s="9"/>
      <c r="C797" s="9"/>
    </row>
    <row r="798">
      <c r="A798" s="9"/>
      <c r="B798" s="9"/>
      <c r="C798" s="9"/>
    </row>
    <row r="799">
      <c r="A799" s="9"/>
      <c r="B799" s="9"/>
      <c r="C799" s="9"/>
    </row>
    <row r="800">
      <c r="A800" s="9"/>
      <c r="B800" s="9"/>
      <c r="C800" s="9"/>
    </row>
    <row r="801">
      <c r="A801" s="9"/>
      <c r="B801" s="9"/>
      <c r="C801" s="9"/>
    </row>
    <row r="802">
      <c r="A802" s="9"/>
      <c r="B802" s="9"/>
      <c r="C802" s="9"/>
    </row>
    <row r="803">
      <c r="A803" s="9"/>
      <c r="B803" s="9"/>
      <c r="C803" s="9"/>
    </row>
    <row r="804">
      <c r="A804" s="9"/>
      <c r="B804" s="9"/>
      <c r="C804" s="9"/>
    </row>
    <row r="805">
      <c r="A805" s="9"/>
      <c r="B805" s="9"/>
      <c r="C805" s="9"/>
    </row>
    <row r="806">
      <c r="A806" s="9"/>
      <c r="B806" s="9"/>
      <c r="C806" s="9"/>
    </row>
    <row r="807">
      <c r="A807" s="9"/>
      <c r="B807" s="9"/>
      <c r="C807" s="9"/>
    </row>
    <row r="808">
      <c r="A808" s="9"/>
      <c r="B808" s="9"/>
      <c r="C808" s="9"/>
    </row>
    <row r="809">
      <c r="A809" s="9"/>
      <c r="B809" s="9"/>
      <c r="C809" s="9"/>
    </row>
    <row r="810">
      <c r="A810" s="9"/>
      <c r="B810" s="9"/>
      <c r="C810" s="9"/>
    </row>
    <row r="811">
      <c r="A811" s="9"/>
      <c r="B811" s="9"/>
      <c r="C811" s="9"/>
    </row>
    <row r="812">
      <c r="A812" s="9"/>
      <c r="B812" s="9"/>
      <c r="C812" s="9"/>
    </row>
    <row r="813">
      <c r="A813" s="9"/>
      <c r="B813" s="9"/>
      <c r="C813" s="9"/>
    </row>
    <row r="814">
      <c r="A814" s="9"/>
      <c r="B814" s="9"/>
      <c r="C814" s="9"/>
    </row>
    <row r="815">
      <c r="A815" s="9"/>
      <c r="B815" s="9"/>
      <c r="C815" s="9"/>
    </row>
    <row r="816">
      <c r="A816" s="9"/>
      <c r="B816" s="9"/>
      <c r="C816" s="9"/>
    </row>
    <row r="817">
      <c r="A817" s="9"/>
      <c r="B817" s="9"/>
      <c r="C817" s="9"/>
    </row>
    <row r="818">
      <c r="A818" s="9"/>
      <c r="B818" s="9"/>
      <c r="C818" s="9"/>
    </row>
    <row r="819">
      <c r="A819" s="9"/>
      <c r="B819" s="9"/>
      <c r="C819" s="9"/>
    </row>
    <row r="820">
      <c r="A820" s="9"/>
      <c r="B820" s="9"/>
      <c r="C820" s="9"/>
    </row>
    <row r="821">
      <c r="A821" s="9"/>
      <c r="B821" s="9"/>
      <c r="C821" s="9"/>
    </row>
    <row r="822">
      <c r="A822" s="9"/>
      <c r="B822" s="9"/>
      <c r="C822" s="9"/>
    </row>
    <row r="823">
      <c r="A823" s="9"/>
      <c r="B823" s="9"/>
      <c r="C823" s="9"/>
    </row>
    <row r="824">
      <c r="A824" s="9"/>
      <c r="B824" s="9"/>
      <c r="C824" s="9"/>
    </row>
    <row r="825">
      <c r="A825" s="9"/>
      <c r="B825" s="9"/>
      <c r="C825" s="9"/>
    </row>
    <row r="826">
      <c r="A826" s="9"/>
      <c r="B826" s="9"/>
      <c r="C826" s="9"/>
    </row>
    <row r="827">
      <c r="A827" s="9"/>
      <c r="B827" s="9"/>
      <c r="C827" s="9"/>
    </row>
    <row r="828">
      <c r="A828" s="9"/>
      <c r="B828" s="9"/>
      <c r="C828" s="9"/>
    </row>
    <row r="829">
      <c r="A829" s="9"/>
      <c r="B829" s="9"/>
      <c r="C829" s="9"/>
    </row>
    <row r="830">
      <c r="A830" s="9"/>
      <c r="B830" s="9"/>
      <c r="C830" s="9"/>
    </row>
    <row r="831">
      <c r="A831" s="9"/>
      <c r="B831" s="9"/>
      <c r="C831" s="9"/>
    </row>
    <row r="832">
      <c r="A832" s="9"/>
      <c r="B832" s="9"/>
      <c r="C832" s="9"/>
    </row>
    <row r="833">
      <c r="A833" s="9"/>
      <c r="B833" s="9"/>
      <c r="C833" s="9"/>
    </row>
    <row r="834">
      <c r="A834" s="9"/>
      <c r="B834" s="9"/>
      <c r="C834" s="9"/>
    </row>
    <row r="835">
      <c r="A835" s="9"/>
      <c r="B835" s="9"/>
      <c r="C835" s="9"/>
    </row>
    <row r="836">
      <c r="A836" s="9"/>
      <c r="B836" s="9"/>
      <c r="C836" s="9"/>
    </row>
    <row r="837">
      <c r="A837" s="9"/>
      <c r="B837" s="9"/>
      <c r="C837" s="9"/>
    </row>
    <row r="838">
      <c r="A838" s="9"/>
      <c r="B838" s="9"/>
      <c r="C838" s="9"/>
    </row>
    <row r="839">
      <c r="A839" s="9"/>
      <c r="B839" s="9"/>
      <c r="C839" s="9"/>
    </row>
    <row r="840">
      <c r="A840" s="9"/>
      <c r="B840" s="9"/>
      <c r="C840" s="9"/>
    </row>
    <row r="841">
      <c r="A841" s="9"/>
      <c r="B841" s="9"/>
      <c r="C841" s="9"/>
    </row>
    <row r="842">
      <c r="A842" s="9"/>
      <c r="B842" s="9"/>
      <c r="C842" s="9"/>
    </row>
    <row r="843">
      <c r="A843" s="9"/>
      <c r="B843" s="9"/>
      <c r="C843" s="9"/>
    </row>
    <row r="844">
      <c r="A844" s="9"/>
      <c r="B844" s="9"/>
      <c r="C844" s="9"/>
    </row>
    <row r="845">
      <c r="A845" s="9"/>
      <c r="B845" s="9"/>
      <c r="C845" s="9"/>
    </row>
    <row r="846">
      <c r="A846" s="9"/>
      <c r="B846" s="9"/>
      <c r="C846" s="9"/>
    </row>
    <row r="847">
      <c r="A847" s="9"/>
      <c r="B847" s="9"/>
      <c r="C847" s="9"/>
    </row>
    <row r="848">
      <c r="A848" s="9"/>
      <c r="B848" s="9"/>
      <c r="C848" s="9"/>
    </row>
    <row r="849">
      <c r="A849" s="9"/>
      <c r="B849" s="9"/>
      <c r="C849" s="9"/>
    </row>
    <row r="850">
      <c r="A850" s="9"/>
      <c r="B850" s="9"/>
      <c r="C850" s="9"/>
    </row>
    <row r="851">
      <c r="A851" s="9"/>
      <c r="B851" s="9"/>
      <c r="C851" s="9"/>
    </row>
    <row r="852">
      <c r="A852" s="9"/>
      <c r="B852" s="9"/>
      <c r="C852" s="9"/>
    </row>
    <row r="853">
      <c r="A853" s="9"/>
      <c r="B853" s="9"/>
      <c r="C853" s="9"/>
    </row>
    <row r="854">
      <c r="A854" s="9"/>
      <c r="B854" s="9"/>
      <c r="C854" s="9"/>
    </row>
    <row r="855">
      <c r="A855" s="9"/>
      <c r="B855" s="9"/>
      <c r="C855" s="9"/>
    </row>
    <row r="856">
      <c r="A856" s="9"/>
      <c r="B856" s="9"/>
      <c r="C856" s="9"/>
    </row>
    <row r="857">
      <c r="A857" s="9"/>
      <c r="B857" s="9"/>
      <c r="C857" s="9"/>
    </row>
    <row r="858">
      <c r="A858" s="9"/>
      <c r="B858" s="9"/>
      <c r="C858" s="9"/>
    </row>
    <row r="859">
      <c r="A859" s="9"/>
      <c r="B859" s="9"/>
      <c r="C859" s="9"/>
    </row>
    <row r="860">
      <c r="A860" s="9"/>
      <c r="B860" s="9"/>
      <c r="C860" s="9"/>
    </row>
    <row r="861">
      <c r="A861" s="9"/>
      <c r="B861" s="9"/>
      <c r="C861" s="9"/>
    </row>
    <row r="862">
      <c r="A862" s="9"/>
      <c r="B862" s="9"/>
      <c r="C862" s="9"/>
    </row>
    <row r="863">
      <c r="A863" s="9"/>
      <c r="B863" s="9"/>
      <c r="C863" s="9"/>
    </row>
    <row r="864">
      <c r="A864" s="9"/>
      <c r="B864" s="9"/>
      <c r="C864" s="9"/>
    </row>
    <row r="865">
      <c r="A865" s="9"/>
      <c r="B865" s="9"/>
      <c r="C865" s="9"/>
    </row>
    <row r="866">
      <c r="A866" s="9"/>
      <c r="B866" s="9"/>
      <c r="C866" s="9"/>
    </row>
    <row r="867">
      <c r="A867" s="9"/>
      <c r="B867" s="9"/>
      <c r="C867" s="9"/>
    </row>
    <row r="868">
      <c r="A868" s="9"/>
      <c r="B868" s="9"/>
      <c r="C868" s="9"/>
    </row>
    <row r="869">
      <c r="A869" s="9"/>
      <c r="B869" s="9"/>
      <c r="C869" s="9"/>
    </row>
    <row r="870">
      <c r="A870" s="9"/>
      <c r="B870" s="9"/>
      <c r="C870" s="9"/>
    </row>
    <row r="871">
      <c r="A871" s="9"/>
      <c r="B871" s="9"/>
      <c r="C871" s="9"/>
    </row>
    <row r="872">
      <c r="A872" s="9"/>
      <c r="B872" s="9"/>
      <c r="C872" s="9"/>
    </row>
    <row r="873">
      <c r="A873" s="9"/>
      <c r="B873" s="9"/>
      <c r="C873" s="9"/>
    </row>
    <row r="874">
      <c r="A874" s="9"/>
      <c r="B874" s="9"/>
      <c r="C874" s="9"/>
    </row>
    <row r="875">
      <c r="A875" s="9"/>
      <c r="B875" s="9"/>
      <c r="C875" s="9"/>
    </row>
    <row r="876">
      <c r="A876" s="9"/>
      <c r="B876" s="9"/>
      <c r="C876" s="9"/>
    </row>
    <row r="877">
      <c r="A877" s="9"/>
      <c r="B877" s="9"/>
      <c r="C877" s="9"/>
    </row>
    <row r="878">
      <c r="A878" s="9"/>
      <c r="B878" s="9"/>
      <c r="C878" s="9"/>
    </row>
    <row r="879">
      <c r="A879" s="9"/>
      <c r="B879" s="9"/>
      <c r="C879" s="9"/>
    </row>
    <row r="880">
      <c r="A880" s="9"/>
      <c r="B880" s="9"/>
      <c r="C880" s="9"/>
    </row>
    <row r="881">
      <c r="A881" s="9"/>
      <c r="B881" s="9"/>
      <c r="C881" s="9"/>
    </row>
    <row r="882">
      <c r="A882" s="9"/>
      <c r="B882" s="9"/>
      <c r="C882" s="9"/>
    </row>
    <row r="883">
      <c r="A883" s="9"/>
      <c r="B883" s="9"/>
      <c r="C883" s="9"/>
    </row>
    <row r="884">
      <c r="A884" s="9"/>
      <c r="B884" s="9"/>
      <c r="C884" s="9"/>
    </row>
    <row r="885">
      <c r="A885" s="9"/>
      <c r="B885" s="9"/>
      <c r="C885" s="9"/>
    </row>
    <row r="886">
      <c r="A886" s="9"/>
      <c r="B886" s="9"/>
      <c r="C886" s="9"/>
    </row>
    <row r="887">
      <c r="A887" s="9"/>
      <c r="B887" s="9"/>
      <c r="C887" s="9"/>
    </row>
    <row r="888">
      <c r="A888" s="9"/>
      <c r="B888" s="9"/>
      <c r="C888" s="9"/>
    </row>
    <row r="889">
      <c r="A889" s="9"/>
      <c r="B889" s="9"/>
      <c r="C889" s="9"/>
    </row>
    <row r="890">
      <c r="A890" s="9"/>
      <c r="B890" s="9"/>
      <c r="C890" s="9"/>
    </row>
    <row r="891">
      <c r="A891" s="9"/>
      <c r="B891" s="9"/>
      <c r="C891" s="9"/>
    </row>
    <row r="892">
      <c r="A892" s="9"/>
      <c r="B892" s="9"/>
      <c r="C892" s="9"/>
    </row>
    <row r="893">
      <c r="A893" s="9"/>
      <c r="B893" s="9"/>
      <c r="C893" s="9"/>
    </row>
    <row r="894">
      <c r="A894" s="9"/>
      <c r="B894" s="9"/>
      <c r="C894" s="9"/>
    </row>
    <row r="895">
      <c r="A895" s="9"/>
      <c r="B895" s="9"/>
      <c r="C895" s="9"/>
    </row>
    <row r="896">
      <c r="A896" s="9"/>
      <c r="B896" s="9"/>
      <c r="C896" s="9"/>
    </row>
    <row r="897">
      <c r="A897" s="9"/>
      <c r="B897" s="9"/>
      <c r="C897" s="9"/>
    </row>
    <row r="898">
      <c r="A898" s="9"/>
      <c r="B898" s="9"/>
      <c r="C898" s="9"/>
    </row>
    <row r="899">
      <c r="A899" s="9"/>
      <c r="B899" s="9"/>
      <c r="C899" s="9"/>
    </row>
    <row r="900">
      <c r="A900" s="9"/>
      <c r="B900" s="9"/>
      <c r="C900" s="9"/>
    </row>
    <row r="901">
      <c r="A901" s="9"/>
      <c r="B901" s="9"/>
      <c r="C901" s="9"/>
    </row>
    <row r="902">
      <c r="A902" s="9"/>
      <c r="B902" s="9"/>
      <c r="C902" s="9"/>
    </row>
    <row r="903">
      <c r="A903" s="9"/>
      <c r="B903" s="9"/>
      <c r="C903" s="9"/>
    </row>
    <row r="904">
      <c r="A904" s="9"/>
      <c r="B904" s="9"/>
      <c r="C904" s="9"/>
    </row>
    <row r="905">
      <c r="A905" s="9"/>
      <c r="B905" s="9"/>
      <c r="C905" s="9"/>
    </row>
    <row r="906">
      <c r="A906" s="9"/>
      <c r="B906" s="9"/>
      <c r="C906" s="9"/>
    </row>
    <row r="907">
      <c r="A907" s="9"/>
      <c r="B907" s="9"/>
      <c r="C907" s="9"/>
    </row>
    <row r="908">
      <c r="A908" s="9"/>
      <c r="B908" s="9"/>
      <c r="C908" s="9"/>
    </row>
    <row r="909">
      <c r="A909" s="9"/>
      <c r="B909" s="9"/>
      <c r="C909" s="9"/>
    </row>
    <row r="910">
      <c r="A910" s="9"/>
      <c r="B910" s="9"/>
      <c r="C910" s="9"/>
    </row>
    <row r="911">
      <c r="A911" s="9"/>
      <c r="B911" s="9"/>
      <c r="C911" s="9"/>
    </row>
    <row r="912">
      <c r="A912" s="9"/>
      <c r="B912" s="9"/>
      <c r="C912" s="9"/>
    </row>
    <row r="913">
      <c r="A913" s="9"/>
      <c r="B913" s="9"/>
      <c r="C913" s="9"/>
    </row>
    <row r="914">
      <c r="A914" s="9"/>
      <c r="B914" s="9"/>
      <c r="C914" s="9"/>
    </row>
    <row r="915">
      <c r="A915" s="9"/>
      <c r="B915" s="9"/>
      <c r="C915" s="9"/>
    </row>
    <row r="916">
      <c r="A916" s="9"/>
      <c r="B916" s="9"/>
      <c r="C916" s="9"/>
    </row>
    <row r="917">
      <c r="A917" s="9"/>
      <c r="B917" s="9"/>
      <c r="C917" s="9"/>
    </row>
    <row r="918">
      <c r="A918" s="9"/>
      <c r="B918" s="9"/>
      <c r="C918" s="9"/>
    </row>
    <row r="919">
      <c r="A919" s="9"/>
      <c r="B919" s="9"/>
      <c r="C919" s="9"/>
    </row>
    <row r="920">
      <c r="A920" s="9"/>
      <c r="B920" s="9"/>
      <c r="C920" s="9"/>
    </row>
    <row r="921">
      <c r="A921" s="9"/>
      <c r="B921" s="9"/>
      <c r="C921" s="9"/>
    </row>
    <row r="922">
      <c r="A922" s="9"/>
      <c r="B922" s="9"/>
      <c r="C922" s="9"/>
    </row>
    <row r="923">
      <c r="A923" s="9"/>
      <c r="B923" s="9"/>
      <c r="C923" s="9"/>
    </row>
    <row r="924">
      <c r="A924" s="9"/>
      <c r="B924" s="9"/>
      <c r="C924" s="9"/>
    </row>
    <row r="925">
      <c r="A925" s="9"/>
      <c r="B925" s="9"/>
      <c r="C925" s="9"/>
    </row>
    <row r="926">
      <c r="A926" s="9"/>
      <c r="B926" s="9"/>
      <c r="C926" s="9"/>
    </row>
    <row r="927">
      <c r="A927" s="9"/>
      <c r="B927" s="9"/>
      <c r="C927" s="9"/>
    </row>
    <row r="928">
      <c r="A928" s="9"/>
      <c r="B928" s="9"/>
      <c r="C928" s="9"/>
    </row>
    <row r="929">
      <c r="A929" s="9"/>
      <c r="B929" s="9"/>
      <c r="C929" s="9"/>
    </row>
    <row r="930">
      <c r="A930" s="9"/>
      <c r="B930" s="9"/>
      <c r="C930" s="9"/>
    </row>
    <row r="931">
      <c r="A931" s="9"/>
      <c r="B931" s="9"/>
      <c r="C931" s="9"/>
    </row>
    <row r="932">
      <c r="A932" s="9"/>
      <c r="B932" s="9"/>
      <c r="C932" s="9"/>
    </row>
    <row r="933">
      <c r="A933" s="9"/>
      <c r="B933" s="9"/>
      <c r="C933" s="9"/>
    </row>
    <row r="934">
      <c r="A934" s="9"/>
      <c r="B934" s="9"/>
      <c r="C934" s="9"/>
    </row>
    <row r="935">
      <c r="A935" s="9"/>
      <c r="B935" s="9"/>
      <c r="C935" s="9"/>
    </row>
    <row r="936">
      <c r="A936" s="9"/>
      <c r="B936" s="9"/>
      <c r="C936" s="9"/>
    </row>
    <row r="937">
      <c r="A937" s="9"/>
      <c r="B937" s="9"/>
      <c r="C937" s="9"/>
    </row>
    <row r="938">
      <c r="A938" s="9"/>
      <c r="B938" s="9"/>
      <c r="C938" s="9"/>
    </row>
    <row r="939">
      <c r="A939" s="9"/>
      <c r="B939" s="9"/>
      <c r="C939" s="9"/>
    </row>
    <row r="940">
      <c r="A940" s="9"/>
      <c r="B940" s="9"/>
      <c r="C940" s="9"/>
    </row>
    <row r="941">
      <c r="A941" s="9"/>
      <c r="B941" s="9"/>
      <c r="C941" s="9"/>
    </row>
    <row r="942">
      <c r="A942" s="9"/>
      <c r="B942" s="9"/>
      <c r="C942" s="9"/>
    </row>
    <row r="943">
      <c r="A943" s="9"/>
      <c r="B943" s="9"/>
      <c r="C943" s="9"/>
    </row>
    <row r="944">
      <c r="A944" s="9"/>
      <c r="B944" s="9"/>
      <c r="C944" s="9"/>
    </row>
    <row r="945">
      <c r="A945" s="9"/>
      <c r="B945" s="9"/>
      <c r="C945" s="9"/>
    </row>
    <row r="946">
      <c r="A946" s="9"/>
      <c r="B946" s="9"/>
      <c r="C946" s="9"/>
    </row>
    <row r="947">
      <c r="A947" s="9"/>
      <c r="B947" s="9"/>
      <c r="C947" s="9"/>
    </row>
    <row r="948">
      <c r="A948" s="9"/>
      <c r="B948" s="9"/>
      <c r="C948" s="9"/>
    </row>
    <row r="949">
      <c r="A949" s="9"/>
      <c r="B949" s="9"/>
      <c r="C949" s="9"/>
    </row>
    <row r="950">
      <c r="A950" s="9"/>
      <c r="B950" s="9"/>
      <c r="C950" s="9"/>
    </row>
    <row r="951">
      <c r="A951" s="9"/>
      <c r="B951" s="9"/>
      <c r="C951" s="9"/>
    </row>
    <row r="952">
      <c r="A952" s="9"/>
      <c r="B952" s="9"/>
      <c r="C952" s="9"/>
    </row>
    <row r="953">
      <c r="A953" s="9"/>
      <c r="B953" s="9"/>
      <c r="C953" s="9"/>
    </row>
    <row r="954">
      <c r="A954" s="9"/>
      <c r="B954" s="9"/>
      <c r="C954" s="9"/>
    </row>
    <row r="955">
      <c r="A955" s="9"/>
      <c r="B955" s="9"/>
      <c r="C955" s="9"/>
    </row>
    <row r="956">
      <c r="A956" s="9"/>
      <c r="B956" s="9"/>
      <c r="C956" s="9"/>
    </row>
    <row r="957">
      <c r="A957" s="9"/>
      <c r="B957" s="9"/>
      <c r="C957" s="9"/>
    </row>
    <row r="958">
      <c r="A958" s="9"/>
      <c r="B958" s="9"/>
      <c r="C958" s="9"/>
    </row>
    <row r="959">
      <c r="A959" s="9"/>
      <c r="B959" s="9"/>
      <c r="C959" s="9"/>
    </row>
    <row r="960">
      <c r="A960" s="9"/>
      <c r="B960" s="9"/>
      <c r="C960" s="9"/>
    </row>
    <row r="961">
      <c r="A961" s="9"/>
      <c r="B961" s="9"/>
      <c r="C961" s="9"/>
    </row>
    <row r="962">
      <c r="A962" s="9"/>
      <c r="B962" s="9"/>
      <c r="C962" s="9"/>
    </row>
    <row r="963">
      <c r="A963" s="9"/>
      <c r="B963" s="9"/>
      <c r="C963" s="9"/>
    </row>
    <row r="964">
      <c r="A964" s="9"/>
      <c r="B964" s="9"/>
      <c r="C964" s="9"/>
    </row>
    <row r="965">
      <c r="A965" s="9"/>
      <c r="B965" s="9"/>
      <c r="C965" s="9"/>
    </row>
    <row r="966">
      <c r="A966" s="9"/>
      <c r="B966" s="9"/>
      <c r="C966" s="9"/>
    </row>
    <row r="967">
      <c r="A967" s="9"/>
      <c r="B967" s="9"/>
      <c r="C967" s="9"/>
    </row>
    <row r="968">
      <c r="A968" s="9"/>
      <c r="B968" s="9"/>
      <c r="C968" s="9"/>
    </row>
    <row r="969">
      <c r="A969" s="9"/>
      <c r="B969" s="9"/>
      <c r="C969" s="9"/>
    </row>
    <row r="970">
      <c r="A970" s="9"/>
      <c r="B970" s="9"/>
      <c r="C970" s="9"/>
    </row>
    <row r="971">
      <c r="A971" s="9"/>
      <c r="B971" s="9"/>
      <c r="C971" s="9"/>
    </row>
    <row r="972">
      <c r="A972" s="9"/>
      <c r="B972" s="9"/>
      <c r="C972" s="9"/>
    </row>
    <row r="973">
      <c r="A973" s="9"/>
      <c r="B973" s="9"/>
      <c r="C973" s="9"/>
    </row>
    <row r="974">
      <c r="A974" s="9"/>
      <c r="B974" s="9"/>
      <c r="C974" s="9"/>
    </row>
    <row r="975">
      <c r="A975" s="9"/>
      <c r="B975" s="9"/>
      <c r="C975" s="9"/>
    </row>
    <row r="976">
      <c r="A976" s="9"/>
      <c r="B976" s="9"/>
      <c r="C976" s="9"/>
    </row>
    <row r="977">
      <c r="A977" s="9"/>
      <c r="B977" s="9"/>
      <c r="C977" s="9"/>
    </row>
    <row r="978">
      <c r="A978" s="9"/>
      <c r="B978" s="9"/>
      <c r="C978" s="9"/>
    </row>
    <row r="979">
      <c r="A979" s="9"/>
      <c r="B979" s="9"/>
      <c r="C979" s="9"/>
    </row>
    <row r="980">
      <c r="A980" s="9"/>
      <c r="B980" s="9"/>
      <c r="C980" s="9"/>
    </row>
    <row r="981">
      <c r="A981" s="9"/>
      <c r="B981" s="9"/>
      <c r="C981" s="9"/>
    </row>
    <row r="982">
      <c r="A982" s="9"/>
      <c r="B982" s="9"/>
      <c r="C982" s="9"/>
    </row>
    <row r="983">
      <c r="A983" s="9"/>
      <c r="B983" s="9"/>
      <c r="C983" s="9"/>
    </row>
    <row r="984">
      <c r="A984" s="9"/>
      <c r="B984" s="9"/>
      <c r="C984" s="9"/>
    </row>
    <row r="985">
      <c r="A985" s="9"/>
      <c r="B985" s="9"/>
      <c r="C985" s="9"/>
    </row>
    <row r="986">
      <c r="A986" s="9"/>
      <c r="B986" s="9"/>
      <c r="C986" s="9"/>
    </row>
    <row r="987">
      <c r="A987" s="9"/>
      <c r="B987" s="9"/>
      <c r="C987" s="9"/>
    </row>
    <row r="988">
      <c r="A988" s="9"/>
      <c r="B988" s="9"/>
      <c r="C988" s="9"/>
    </row>
    <row r="989">
      <c r="A989" s="9"/>
      <c r="B989" s="9"/>
      <c r="C989" s="9"/>
    </row>
    <row r="990">
      <c r="A990" s="9"/>
      <c r="B990" s="9"/>
      <c r="C990" s="9"/>
    </row>
    <row r="991">
      <c r="A991" s="9"/>
      <c r="B991" s="9"/>
      <c r="C991" s="9"/>
    </row>
    <row r="992">
      <c r="A992" s="9"/>
      <c r="B992" s="9"/>
      <c r="C992" s="9"/>
    </row>
    <row r="993">
      <c r="A993" s="9"/>
      <c r="B993" s="9"/>
      <c r="C993" s="9"/>
    </row>
    <row r="994">
      <c r="A994" s="9"/>
      <c r="B994" s="9"/>
      <c r="C994" s="9"/>
    </row>
    <row r="995">
      <c r="A995" s="9"/>
      <c r="B995" s="9"/>
      <c r="C995" s="9"/>
    </row>
    <row r="996">
      <c r="A996" s="9"/>
      <c r="B996" s="9"/>
      <c r="C996" s="9"/>
    </row>
    <row r="997">
      <c r="A997" s="9"/>
      <c r="B997" s="9"/>
      <c r="C997" s="9"/>
    </row>
    <row r="998">
      <c r="A998" s="9"/>
      <c r="B998" s="9"/>
      <c r="C998" s="9"/>
    </row>
    <row r="999">
      <c r="A999" s="9"/>
      <c r="B999" s="9"/>
      <c r="C999" s="9"/>
    </row>
    <row r="1000">
      <c r="A1000" s="9"/>
      <c r="B1000" s="9"/>
      <c r="C1000" s="9"/>
    </row>
    <row r="1001">
      <c r="A1001" s="9"/>
      <c r="B1001" s="9"/>
      <c r="C1001" s="9"/>
    </row>
    <row r="1002">
      <c r="A1002" s="9"/>
      <c r="B1002" s="9"/>
      <c r="C1002" s="9"/>
    </row>
    <row r="1003">
      <c r="A1003" s="9"/>
      <c r="B1003" s="9"/>
      <c r="C1003" s="9"/>
    </row>
    <row r="1004">
      <c r="A1004" s="9"/>
      <c r="B1004" s="9"/>
      <c r="C1004" s="9"/>
    </row>
    <row r="1005">
      <c r="A1005" s="9"/>
      <c r="B1005" s="9"/>
      <c r="C1005" s="9"/>
    </row>
    <row r="1006">
      <c r="A1006" s="9"/>
      <c r="B1006" s="9"/>
      <c r="C1006" s="9"/>
    </row>
    <row r="1007">
      <c r="A1007" s="9"/>
      <c r="B1007" s="9"/>
      <c r="C1007" s="9"/>
    </row>
    <row r="1008">
      <c r="A1008" s="9"/>
      <c r="B1008" s="9"/>
      <c r="C1008" s="9"/>
    </row>
    <row r="1009">
      <c r="A1009" s="9"/>
      <c r="B1009" s="9"/>
      <c r="C1009" s="9"/>
    </row>
    <row r="1010">
      <c r="A1010" s="9"/>
      <c r="B1010" s="9"/>
      <c r="C1010" s="9"/>
    </row>
    <row r="1011">
      <c r="A1011" s="9"/>
      <c r="B1011" s="9"/>
      <c r="C1011" s="9"/>
    </row>
    <row r="1012">
      <c r="A1012" s="9"/>
      <c r="B1012" s="9"/>
      <c r="C1012" s="9"/>
    </row>
    <row r="1013">
      <c r="A1013" s="9"/>
      <c r="B1013" s="9"/>
      <c r="C1013" s="9"/>
    </row>
    <row r="1014">
      <c r="A1014" s="9"/>
      <c r="B1014" s="9"/>
      <c r="C1014" s="9"/>
    </row>
    <row r="1015">
      <c r="A1015" s="9"/>
      <c r="B1015" s="9"/>
      <c r="C1015" s="9"/>
    </row>
    <row r="1016">
      <c r="A1016" s="9"/>
      <c r="B1016" s="9"/>
      <c r="C1016" s="9"/>
    </row>
    <row r="1017">
      <c r="A1017" s="9"/>
      <c r="B1017" s="9"/>
      <c r="C1017" s="9"/>
    </row>
    <row r="1018">
      <c r="A1018" s="9"/>
      <c r="B1018" s="9"/>
      <c r="C1018" s="9"/>
    </row>
    <row r="1019">
      <c r="A1019" s="9"/>
      <c r="B1019" s="9"/>
      <c r="C1019" s="9"/>
    </row>
    <row r="1020">
      <c r="A1020" s="9"/>
      <c r="B1020" s="9"/>
      <c r="C1020" s="9"/>
    </row>
    <row r="1021">
      <c r="A1021" s="9"/>
      <c r="B1021" s="9"/>
      <c r="C1021" s="9"/>
    </row>
    <row r="1022">
      <c r="A1022" s="9"/>
      <c r="B1022" s="9"/>
      <c r="C1022" s="9"/>
    </row>
    <row r="1023">
      <c r="A1023" s="9"/>
      <c r="B1023" s="9"/>
      <c r="C1023" s="9"/>
    </row>
    <row r="1024">
      <c r="A1024" s="9"/>
      <c r="B1024" s="9"/>
      <c r="C1024" s="9"/>
    </row>
  </sheetData>
  <hyperlinks>
    <hyperlink display="Language Items" location="'Language Items'!A1" ref="D10"/>
    <hyperlink display="Age Range Items" location="'Age Range Items'!A1" ref="D12"/>
    <hyperlink display="Country Items" location="'Country Items'!A1" ref="D17"/>
    <hyperlink display="State Items" location="'State Items'!A1" ref="D18"/>
    <hyperlink display="HCP Type Items" location="'HCP Type Items'!A1" ref="D21"/>
    <hyperlink display="Specialty Items" location="'Specialty Items'!A1" ref="D23"/>
    <hyperlink display="Specialty Items" location="'Specialty Items'!A1" ref="D24"/>
    <hyperlink display="Specialty Group Items" location="'Specialty Group Items'!A1" ref="D25"/>
    <hyperlink display="Specialty Group Items" location="'Specialty Group Items'!A1" ref="D26"/>
    <hyperlink display="Clinical Researcher Items" location="'Clinical Researcher Items'!A1" ref="D28"/>
    <hyperlink display="Medical Degree Items" location="'Medical Degree Items'!A1" ref="D29"/>
    <hyperlink display="Medical Degree Items" location="'Medical Degree Items'!A1" ref="D30"/>
    <hyperlink display="HCP Status Items" location="'HCP Status Items'!A1" ref="D31"/>
    <hyperlink display="Level Items" location="'Level Items'!A1" ref="D32"/>
    <hyperlink display="Adopter Type Items" location="'Adopter Type Items'!A1" ref="D33"/>
    <hyperlink display="HCP Status Items" location="'HCP Status Items'!A1" ref="D37"/>
    <hyperlink display="Country Items" location="'Country Items'!A1" ref="D49"/>
    <hyperlink display="State Items" location="'State Items'!A1" ref="D50"/>
    <hyperlink display="Address Status Items" location="'Address Status Items'!A1" ref="D58"/>
  </hyperlink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2.25"/>
    <col customWidth="1" min="2" max="2" width="20.75"/>
    <col customWidth="1" min="3" max="3" width="24.88"/>
    <col customWidth="1" min="4" max="11" width="23.88"/>
  </cols>
  <sheetData>
    <row r="1">
      <c r="A1" s="12" t="str">
        <f>Entities!A1</f>
        <v>CDA.LS.HCP Kernel Translations, Version 24.8, August 30, 2024</v>
      </c>
      <c r="B1" s="3"/>
      <c r="C1" s="3"/>
      <c r="D1" s="2"/>
      <c r="E1" s="2"/>
      <c r="F1" s="3"/>
      <c r="G1" s="3"/>
      <c r="H1" s="4"/>
      <c r="I1" s="4"/>
      <c r="J1" s="4"/>
      <c r="K1" s="4"/>
      <c r="L1" s="4"/>
      <c r="M1" s="4"/>
      <c r="N1" s="4"/>
      <c r="O1" s="4"/>
      <c r="P1" s="4"/>
      <c r="Q1" s="4"/>
      <c r="R1" s="4"/>
      <c r="S1" s="4"/>
      <c r="T1" s="4"/>
      <c r="U1" s="4"/>
      <c r="V1" s="4"/>
      <c r="W1" s="4"/>
      <c r="X1" s="4"/>
      <c r="Y1" s="4"/>
    </row>
    <row r="2">
      <c r="A2" s="5" t="s">
        <v>43</v>
      </c>
      <c r="B2" s="3"/>
      <c r="C2" s="3"/>
      <c r="D2" s="2"/>
      <c r="E2" s="2"/>
      <c r="F2" s="3"/>
      <c r="G2" s="3"/>
      <c r="H2" s="4"/>
      <c r="I2" s="4"/>
      <c r="J2" s="4"/>
      <c r="K2" s="4"/>
      <c r="L2" s="4"/>
      <c r="M2" s="4"/>
      <c r="N2" s="4"/>
      <c r="O2" s="4"/>
      <c r="P2" s="4"/>
      <c r="Q2" s="4"/>
      <c r="R2" s="4"/>
      <c r="S2" s="4"/>
      <c r="T2" s="4"/>
      <c r="U2" s="4"/>
      <c r="V2" s="4"/>
      <c r="W2" s="4"/>
      <c r="X2" s="4"/>
      <c r="Y2" s="4"/>
    </row>
    <row r="3">
      <c r="A3" s="16" t="s">
        <v>44</v>
      </c>
      <c r="B3" s="8"/>
      <c r="K3" s="17"/>
      <c r="L3" s="8"/>
      <c r="M3" s="8"/>
      <c r="N3" s="17"/>
      <c r="O3" s="8"/>
      <c r="P3" s="8"/>
      <c r="Q3" s="17"/>
      <c r="R3" s="8"/>
      <c r="S3" s="8"/>
      <c r="T3" s="17"/>
      <c r="U3" s="8"/>
      <c r="V3" s="8"/>
      <c r="W3" s="17"/>
    </row>
    <row r="4">
      <c r="A4" s="6" t="s">
        <v>26</v>
      </c>
      <c r="B4" s="6" t="s">
        <v>3</v>
      </c>
      <c r="C4" s="6" t="s">
        <v>4</v>
      </c>
      <c r="D4" s="6" t="s">
        <v>5</v>
      </c>
      <c r="E4" s="6" t="s">
        <v>6</v>
      </c>
      <c r="F4" s="6" t="s">
        <v>7</v>
      </c>
      <c r="G4" s="6" t="s">
        <v>8</v>
      </c>
      <c r="H4" s="6" t="s">
        <v>9</v>
      </c>
      <c r="I4" s="6" t="s">
        <v>10</v>
      </c>
      <c r="J4" s="6" t="s">
        <v>11</v>
      </c>
      <c r="K4" s="6"/>
      <c r="L4" s="6"/>
      <c r="M4" s="6"/>
      <c r="N4" s="6"/>
      <c r="O4" s="6"/>
      <c r="P4" s="6"/>
      <c r="Q4" s="6"/>
      <c r="R4" s="6"/>
      <c r="S4" s="6"/>
      <c r="T4" s="6"/>
      <c r="U4" s="6"/>
      <c r="V4" s="6"/>
      <c r="W4" s="6"/>
      <c r="X4" s="18"/>
      <c r="Y4" s="18"/>
      <c r="Z4" s="18"/>
    </row>
    <row r="5">
      <c r="A5" s="8" t="str">
        <f>IFERROR(__xludf.DUMMYFUNCTION("IMPORTRANGE(""https://docs.google.com/spreadsheets/d/1ZIx3-wJv76bPGccT5CZZ4g3Sy52i_iEnaWf6C0L_ST0/edit#gid=1869488518"",""Language Items!A5:A"")"),"Albanian")</f>
        <v>Albanian</v>
      </c>
      <c r="B5" s="8" t="str">
        <f>IFERROR(__xludf.DUMMYFUNCTION("IMPORTRANGE(""https://docs.google.com/spreadsheets/d/1ZIx3-wJv76bPGccT5CZZ4g3Sy52i_iEnaWf6C0L_ST0/edit#gid=1869488518"",""Language Items!B5:B"")"),"sq")</f>
        <v>sq</v>
      </c>
      <c r="C5" s="9" t="str">
        <f>IFERROR(__xludf.DUMMYFUNCTION("GOOGLETRANSLATE($A5,""en"",""de"")"),"albanisch")</f>
        <v>albanisch</v>
      </c>
      <c r="D5" s="9" t="str">
        <f>IFERROR(__xludf.DUMMYFUNCTION("GOOGLETRANSLATE($A5,""en"",""fr"")"),"albanais")</f>
        <v>albanais</v>
      </c>
      <c r="E5" s="9" t="str">
        <f>IFERROR(__xludf.DUMMYFUNCTION("GOOGLETRANSLATE($A5,""en"",""es"")"),"albanés")</f>
        <v>albanés</v>
      </c>
      <c r="F5" s="9" t="str">
        <f>IFERROR(__xludf.DUMMYFUNCTION("GOOGLETRANSLATE($A5,""en"",""it"")"),"albanese")</f>
        <v>albanese</v>
      </c>
      <c r="G5" s="9" t="str">
        <f>IFERROR(__xludf.DUMMYFUNCTION("GOOGLETRANSLATE($A5,""en"",""zh-cn"")"),"阿尔巴尼亚语")</f>
        <v>阿尔巴尼亚语</v>
      </c>
      <c r="H5" s="9" t="str">
        <f>IFERROR(__xludf.DUMMYFUNCTION("GOOGLETRANSLATE($A5,""en"",""ja"")"),"アルバニア人")</f>
        <v>アルバニア人</v>
      </c>
      <c r="I5" s="9" t="str">
        <f>IFERROR(__xludf.DUMMYFUNCTION("GOOGLETRANSLATE($A5,""en"",""ko"")"),"알바니아")</f>
        <v>알바니아</v>
      </c>
      <c r="J5" s="9" t="str">
        <f>IFERROR(__xludf.DUMMYFUNCTION("GOOGLETRANSLATE($A5,""en"",""pt-BR"")"),"albanês")</f>
        <v>albanês</v>
      </c>
      <c r="K5" s="17"/>
      <c r="L5" s="8"/>
      <c r="M5" s="8"/>
      <c r="N5" s="17"/>
      <c r="O5" s="8"/>
      <c r="P5" s="8"/>
      <c r="Q5" s="17"/>
      <c r="R5" s="8"/>
      <c r="S5" s="8"/>
      <c r="T5" s="17"/>
      <c r="U5" s="8"/>
      <c r="V5" s="8"/>
      <c r="W5" s="17"/>
    </row>
    <row r="6">
      <c r="A6" s="19" t="str">
        <f>IFERROR(__xludf.DUMMYFUNCTION("""COMPUTED_VALUE"""),"Amharic")</f>
        <v>Amharic</v>
      </c>
      <c r="B6" s="19" t="str">
        <f>IFERROR(__xludf.DUMMYFUNCTION("""COMPUTED_VALUE"""),"am")</f>
        <v>am</v>
      </c>
      <c r="C6" s="9" t="str">
        <f>IFERROR(__xludf.DUMMYFUNCTION("GOOGLETRANSLATE($A6,""en"",""de"")"),"Amharisch")</f>
        <v>Amharisch</v>
      </c>
      <c r="D6" s="9" t="str">
        <f>IFERROR(__xludf.DUMMYFUNCTION("GOOGLETRANSLATE($A6,""en"",""fr"")"),"Amharique")</f>
        <v>Amharique</v>
      </c>
      <c r="E6" s="9" t="str">
        <f>IFERROR(__xludf.DUMMYFUNCTION("GOOGLETRANSLATE($A6,""en"",""es"")"),"amárico")</f>
        <v>amárico</v>
      </c>
      <c r="F6" s="9" t="str">
        <f>IFERROR(__xludf.DUMMYFUNCTION("GOOGLETRANSLATE($A6,""en"",""it"")"),"Amarico")</f>
        <v>Amarico</v>
      </c>
      <c r="G6" s="9" t="str">
        <f>IFERROR(__xludf.DUMMYFUNCTION("GOOGLETRANSLATE($A6,""en"",""zh-cn"")"),"阿姆哈拉语")</f>
        <v>阿姆哈拉语</v>
      </c>
      <c r="H6" s="9" t="str">
        <f>IFERROR(__xludf.DUMMYFUNCTION("GOOGLETRANSLATE($A6,""en"",""ja"")"),"アムハラ語")</f>
        <v>アムハラ語</v>
      </c>
      <c r="I6" s="9" t="str">
        <f>IFERROR(__xludf.DUMMYFUNCTION("GOOGLETRANSLATE($A6,""en"",""ko"")"),"암하라어")</f>
        <v>암하라어</v>
      </c>
      <c r="J6" s="9" t="str">
        <f>IFERROR(__xludf.DUMMYFUNCTION("GOOGLETRANSLATE($A6,""en"",""pt-BR"")"),"amárico")</f>
        <v>amárico</v>
      </c>
    </row>
    <row r="7">
      <c r="A7" s="19" t="str">
        <f>IFERROR(__xludf.DUMMYFUNCTION("""COMPUTED_VALUE"""),"Arabic")</f>
        <v>Arabic</v>
      </c>
      <c r="B7" s="19" t="str">
        <f>IFERROR(__xludf.DUMMYFUNCTION("""COMPUTED_VALUE"""),"ar")</f>
        <v>ar</v>
      </c>
      <c r="C7" s="9" t="str">
        <f>IFERROR(__xludf.DUMMYFUNCTION("GOOGLETRANSLATE($A7,""en"",""de"")"),"Arabisch")</f>
        <v>Arabisch</v>
      </c>
      <c r="D7" s="9" t="str">
        <f>IFERROR(__xludf.DUMMYFUNCTION("GOOGLETRANSLATE($A7,""en"",""fr"")"),"arabe")</f>
        <v>arabe</v>
      </c>
      <c r="E7" s="9" t="str">
        <f>IFERROR(__xludf.DUMMYFUNCTION("GOOGLETRANSLATE($A7,""en"",""es"")"),"árabe")</f>
        <v>árabe</v>
      </c>
      <c r="F7" s="9" t="str">
        <f>IFERROR(__xludf.DUMMYFUNCTION("GOOGLETRANSLATE($A7,""en"",""it"")"),"arabo")</f>
        <v>arabo</v>
      </c>
      <c r="G7" s="9" t="str">
        <f>IFERROR(__xludf.DUMMYFUNCTION("GOOGLETRANSLATE($A7,""en"",""zh-cn"")"),"阿拉伯")</f>
        <v>阿拉伯</v>
      </c>
      <c r="H7" s="9" t="str">
        <f>IFERROR(__xludf.DUMMYFUNCTION("GOOGLETRANSLATE($A7,""en"",""ja"")"),"アラビア語")</f>
        <v>アラビア語</v>
      </c>
      <c r="I7" s="9" t="str">
        <f>IFERROR(__xludf.DUMMYFUNCTION("GOOGLETRANSLATE($A7,""en"",""ko"")"),"아라비아 말")</f>
        <v>아라비아 말</v>
      </c>
      <c r="J7" s="9" t="str">
        <f>IFERROR(__xludf.DUMMYFUNCTION("GOOGLETRANSLATE($A7,""en"",""pt-BR"")"),"árabe")</f>
        <v>árabe</v>
      </c>
    </row>
    <row r="8">
      <c r="A8" s="19" t="str">
        <f>IFERROR(__xludf.DUMMYFUNCTION("""COMPUTED_VALUE"""),"Azerbaijani")</f>
        <v>Azerbaijani</v>
      </c>
      <c r="B8" s="19" t="str">
        <f>IFERROR(__xludf.DUMMYFUNCTION("""COMPUTED_VALUE"""),"az")</f>
        <v>az</v>
      </c>
      <c r="C8" s="9" t="str">
        <f>IFERROR(__xludf.DUMMYFUNCTION("GOOGLETRANSLATE($A8,""en"",""de"")"),"Aserbaidschanisch")</f>
        <v>Aserbaidschanisch</v>
      </c>
      <c r="D8" s="9" t="str">
        <f>IFERROR(__xludf.DUMMYFUNCTION("GOOGLETRANSLATE($A8,""en"",""fr"")"),"azerbaïdjanais")</f>
        <v>azerbaïdjanais</v>
      </c>
      <c r="E8" s="9" t="str">
        <f>IFERROR(__xludf.DUMMYFUNCTION("GOOGLETRANSLATE($A8,""en"",""es"")"),"azerbaiyano")</f>
        <v>azerbaiyano</v>
      </c>
      <c r="F8" s="9" t="str">
        <f>IFERROR(__xludf.DUMMYFUNCTION("GOOGLETRANSLATE($A8,""en"",""it"")"),"Azero")</f>
        <v>Azero</v>
      </c>
      <c r="G8" s="9" t="str">
        <f>IFERROR(__xludf.DUMMYFUNCTION("GOOGLETRANSLATE($A8,""en"",""zh-cn"")"),"阿塞拜疆语")</f>
        <v>阿塞拜疆语</v>
      </c>
      <c r="H8" s="9" t="str">
        <f>IFERROR(__xludf.DUMMYFUNCTION("GOOGLETRANSLATE($A8,""en"",""ja"")"),"アゼルバイジャン語")</f>
        <v>アゼルバイジャン語</v>
      </c>
      <c r="I8" s="9" t="str">
        <f>IFERROR(__xludf.DUMMYFUNCTION("GOOGLETRANSLATE($A8,""en"",""ko"")"),"아제르바이잔")</f>
        <v>아제르바이잔</v>
      </c>
      <c r="J8" s="9" t="str">
        <f>IFERROR(__xludf.DUMMYFUNCTION("GOOGLETRANSLATE($A8,""en"",""pt-BR"")"),"Azerbaijano")</f>
        <v>Azerbaijano</v>
      </c>
    </row>
    <row r="9">
      <c r="A9" s="19" t="str">
        <f>IFERROR(__xludf.DUMMYFUNCTION("""COMPUTED_VALUE"""),"Belarusian")</f>
        <v>Belarusian</v>
      </c>
      <c r="B9" s="19" t="str">
        <f>IFERROR(__xludf.DUMMYFUNCTION("""COMPUTED_VALUE"""),"be")</f>
        <v>be</v>
      </c>
      <c r="C9" s="9" t="str">
        <f>IFERROR(__xludf.DUMMYFUNCTION("GOOGLETRANSLATE($A9,""en"",""de"")"),"Weißrussisch")</f>
        <v>Weißrussisch</v>
      </c>
      <c r="D9" s="9" t="str">
        <f>IFERROR(__xludf.DUMMYFUNCTION("GOOGLETRANSLATE($A9,""en"",""fr"")"),"Biélorusse")</f>
        <v>Biélorusse</v>
      </c>
      <c r="E9" s="9" t="str">
        <f>IFERROR(__xludf.DUMMYFUNCTION("GOOGLETRANSLATE($A9,""en"",""es"")"),"bielorruso")</f>
        <v>bielorruso</v>
      </c>
      <c r="F9" s="9" t="str">
        <f>IFERROR(__xludf.DUMMYFUNCTION("GOOGLETRANSLATE($A9,""en"",""it"")"),"bielorusso")</f>
        <v>bielorusso</v>
      </c>
      <c r="G9" s="9" t="str">
        <f>IFERROR(__xludf.DUMMYFUNCTION("GOOGLETRANSLATE($A9,""en"",""zh-cn"")"),"白俄罗斯语")</f>
        <v>白俄罗斯语</v>
      </c>
      <c r="H9" s="9" t="str">
        <f>IFERROR(__xludf.DUMMYFUNCTION("GOOGLETRANSLATE($A9,""en"",""ja"")"),"ベラルーシ語")</f>
        <v>ベラルーシ語</v>
      </c>
      <c r="I9" s="9" t="str">
        <f>IFERROR(__xludf.DUMMYFUNCTION("GOOGLETRANSLATE($A9,""en"",""ko"")"),"벨로루시어")</f>
        <v>벨로루시어</v>
      </c>
      <c r="J9" s="9" t="str">
        <f>IFERROR(__xludf.DUMMYFUNCTION("GOOGLETRANSLATE($A9,""en"",""pt-BR"")"),"Bielorrusso")</f>
        <v>Bielorrusso</v>
      </c>
    </row>
    <row r="10">
      <c r="A10" s="20" t="str">
        <f>IFERROR(__xludf.DUMMYFUNCTION("""COMPUTED_VALUE"""),"Bengali")</f>
        <v>Bengali</v>
      </c>
      <c r="B10" s="19" t="str">
        <f>IFERROR(__xludf.DUMMYFUNCTION("""COMPUTED_VALUE"""),"bn")</f>
        <v>bn</v>
      </c>
      <c r="C10" s="9" t="str">
        <f>IFERROR(__xludf.DUMMYFUNCTION("GOOGLETRANSLATE($A10,""en"",""de"")"),"Bengali")</f>
        <v>Bengali</v>
      </c>
      <c r="D10" s="9" t="str">
        <f>IFERROR(__xludf.DUMMYFUNCTION("GOOGLETRANSLATE($A10,""en"",""fr"")"),"bengali")</f>
        <v>bengali</v>
      </c>
      <c r="E10" s="9" t="str">
        <f>IFERROR(__xludf.DUMMYFUNCTION("GOOGLETRANSLATE($A10,""en"",""es"")"),"bengalí")</f>
        <v>bengalí</v>
      </c>
      <c r="F10" s="9" t="str">
        <f>IFERROR(__xludf.DUMMYFUNCTION("GOOGLETRANSLATE($A10,""en"",""it"")"),"bengalese")</f>
        <v>bengalese</v>
      </c>
      <c r="G10" s="9" t="str">
        <f>IFERROR(__xludf.DUMMYFUNCTION("GOOGLETRANSLATE($A10,""en"",""zh-cn"")"),"孟加拉")</f>
        <v>孟加拉</v>
      </c>
      <c r="H10" s="9" t="str">
        <f>IFERROR(__xludf.DUMMYFUNCTION("GOOGLETRANSLATE($A10,""en"",""ja"")"),"ベンガル語")</f>
        <v>ベンガル語</v>
      </c>
      <c r="I10" s="9" t="str">
        <f>IFERROR(__xludf.DUMMYFUNCTION("GOOGLETRANSLATE($A10,""en"",""ko"")"),"벵골 사람")</f>
        <v>벵골 사람</v>
      </c>
      <c r="J10" s="9" t="str">
        <f>IFERROR(__xludf.DUMMYFUNCTION("GOOGLETRANSLATE($A10,""en"",""pt-BR"")"),"bengali")</f>
        <v>bengali</v>
      </c>
    </row>
    <row r="11">
      <c r="A11" s="19" t="str">
        <f>IFERROR(__xludf.DUMMYFUNCTION("""COMPUTED_VALUE"""),"Bosnian")</f>
        <v>Bosnian</v>
      </c>
      <c r="B11" s="20" t="str">
        <f>IFERROR(__xludf.DUMMYFUNCTION("""COMPUTED_VALUE"""),"bs")</f>
        <v>bs</v>
      </c>
      <c r="C11" s="9" t="str">
        <f>IFERROR(__xludf.DUMMYFUNCTION("GOOGLETRANSLATE($A11,""en"",""de"")"),"bosnisch")</f>
        <v>bosnisch</v>
      </c>
      <c r="D11" s="9" t="str">
        <f>IFERROR(__xludf.DUMMYFUNCTION("GOOGLETRANSLATE($A11,""en"",""fr"")"),"bosniaque")</f>
        <v>bosniaque</v>
      </c>
      <c r="E11" s="9" t="str">
        <f>IFERROR(__xludf.DUMMYFUNCTION("GOOGLETRANSLATE($A11,""en"",""es"")"),"bosnio")</f>
        <v>bosnio</v>
      </c>
      <c r="F11" s="9" t="str">
        <f>IFERROR(__xludf.DUMMYFUNCTION("GOOGLETRANSLATE($A11,""en"",""it"")"),"Bosniaco")</f>
        <v>Bosniaco</v>
      </c>
      <c r="G11" s="9" t="str">
        <f>IFERROR(__xludf.DUMMYFUNCTION("GOOGLETRANSLATE($A11,""en"",""zh-cn"")"),"波斯尼亚语")</f>
        <v>波斯尼亚语</v>
      </c>
      <c r="H11" s="9" t="str">
        <f>IFERROR(__xludf.DUMMYFUNCTION("GOOGLETRANSLATE($A11,""en"",""ja"")"),"ボスニア語")</f>
        <v>ボスニア語</v>
      </c>
      <c r="I11" s="9" t="str">
        <f>IFERROR(__xludf.DUMMYFUNCTION("GOOGLETRANSLATE($A11,""en"",""ko"")"),"보스니아어")</f>
        <v>보스니아어</v>
      </c>
      <c r="J11" s="9" t="str">
        <f>IFERROR(__xludf.DUMMYFUNCTION("GOOGLETRANSLATE($A11,""en"",""pt-BR"")"),"Bósnio")</f>
        <v>Bósnio</v>
      </c>
    </row>
    <row r="12">
      <c r="A12" s="9" t="str">
        <f>IFERROR(__xludf.DUMMYFUNCTION("""COMPUTED_VALUE"""),"Bulgarian")</f>
        <v>Bulgarian</v>
      </c>
      <c r="B12" s="9" t="str">
        <f>IFERROR(__xludf.DUMMYFUNCTION("""COMPUTED_VALUE"""),"bg")</f>
        <v>bg</v>
      </c>
      <c r="C12" s="9" t="str">
        <f>IFERROR(__xludf.DUMMYFUNCTION("GOOGLETRANSLATE($A12,""en"",""de"")"),"bulgarisch")</f>
        <v>bulgarisch</v>
      </c>
      <c r="D12" s="9" t="str">
        <f>IFERROR(__xludf.DUMMYFUNCTION("GOOGLETRANSLATE($A12,""en"",""fr"")"),"bulgare")</f>
        <v>bulgare</v>
      </c>
      <c r="E12" s="9" t="str">
        <f>IFERROR(__xludf.DUMMYFUNCTION("GOOGLETRANSLATE($A12,""en"",""es"")"),"búlgaro")</f>
        <v>búlgaro</v>
      </c>
      <c r="F12" s="9" t="str">
        <f>IFERROR(__xludf.DUMMYFUNCTION("GOOGLETRANSLATE($A12,""en"",""it"")"),"bulgaro")</f>
        <v>bulgaro</v>
      </c>
      <c r="G12" s="9" t="str">
        <f>IFERROR(__xludf.DUMMYFUNCTION("GOOGLETRANSLATE($A12,""en"",""zh-cn"")"),"保加利亚语")</f>
        <v>保加利亚语</v>
      </c>
      <c r="H12" s="9" t="str">
        <f>IFERROR(__xludf.DUMMYFUNCTION("GOOGLETRANSLATE($A12,""en"",""ja"")"),"ブルガリア語")</f>
        <v>ブルガリア語</v>
      </c>
      <c r="I12" s="9" t="str">
        <f>IFERROR(__xludf.DUMMYFUNCTION("GOOGLETRANSLATE($A12,""en"",""ko"")"),"불가리아 사람")</f>
        <v>불가리아 사람</v>
      </c>
      <c r="J12" s="9" t="str">
        <f>IFERROR(__xludf.DUMMYFUNCTION("GOOGLETRANSLATE($A12,""en"",""pt-BR"")"),"búlgaro")</f>
        <v>búlgaro</v>
      </c>
    </row>
    <row r="13">
      <c r="A13" s="9" t="str">
        <f>IFERROR(__xludf.DUMMYFUNCTION("""COMPUTED_VALUE"""),"Burmese")</f>
        <v>Burmese</v>
      </c>
      <c r="B13" s="9" t="str">
        <f>IFERROR(__xludf.DUMMYFUNCTION("""COMPUTED_VALUE"""),"my")</f>
        <v>my</v>
      </c>
      <c r="C13" s="9" t="str">
        <f>IFERROR(__xludf.DUMMYFUNCTION("GOOGLETRANSLATE($A13,""en"",""de"")"),"birmanisch")</f>
        <v>birmanisch</v>
      </c>
      <c r="D13" s="9" t="str">
        <f>IFERROR(__xludf.DUMMYFUNCTION("GOOGLETRANSLATE($A13,""en"",""fr"")"),"birman")</f>
        <v>birman</v>
      </c>
      <c r="E13" s="9" t="str">
        <f>IFERROR(__xludf.DUMMYFUNCTION("GOOGLETRANSLATE($A13,""en"",""es"")"),"birmano")</f>
        <v>birmano</v>
      </c>
      <c r="F13" s="9" t="str">
        <f>IFERROR(__xludf.DUMMYFUNCTION("GOOGLETRANSLATE($A13,""en"",""it"")"),"birmano")</f>
        <v>birmano</v>
      </c>
      <c r="G13" s="9" t="str">
        <f>IFERROR(__xludf.DUMMYFUNCTION("GOOGLETRANSLATE($A13,""en"",""zh-cn"")"),"缅甸语")</f>
        <v>缅甸语</v>
      </c>
      <c r="H13" s="9" t="str">
        <f>IFERROR(__xludf.DUMMYFUNCTION("GOOGLETRANSLATE($A13,""en"",""ja"")"),"ビルマ語")</f>
        <v>ビルマ語</v>
      </c>
      <c r="I13" s="9" t="str">
        <f>IFERROR(__xludf.DUMMYFUNCTION("GOOGLETRANSLATE($A13,""en"",""ko"")"),"버마 사람")</f>
        <v>버마 사람</v>
      </c>
      <c r="J13" s="9" t="str">
        <f>IFERROR(__xludf.DUMMYFUNCTION("GOOGLETRANSLATE($A13,""en"",""pt-BR"")"),"birmanês")</f>
        <v>birmanês</v>
      </c>
    </row>
    <row r="14">
      <c r="A14" s="9" t="str">
        <f>IFERROR(__xludf.DUMMYFUNCTION("""COMPUTED_VALUE"""),"Catalan")</f>
        <v>Catalan</v>
      </c>
      <c r="B14" s="9" t="str">
        <f>IFERROR(__xludf.DUMMYFUNCTION("""COMPUTED_VALUE"""),"ca")</f>
        <v>ca</v>
      </c>
      <c r="C14" s="9" t="str">
        <f>IFERROR(__xludf.DUMMYFUNCTION("GOOGLETRANSLATE($A14,""en"",""de"")"),"katalanisch")</f>
        <v>katalanisch</v>
      </c>
      <c r="D14" s="9" t="str">
        <f>IFERROR(__xludf.DUMMYFUNCTION("GOOGLETRANSLATE($A14,""en"",""fr"")"),"catalan")</f>
        <v>catalan</v>
      </c>
      <c r="E14" s="9" t="str">
        <f>IFERROR(__xludf.DUMMYFUNCTION("GOOGLETRANSLATE($A14,""en"",""es"")"),"catalán")</f>
        <v>catalán</v>
      </c>
      <c r="F14" s="9" t="str">
        <f>IFERROR(__xludf.DUMMYFUNCTION("GOOGLETRANSLATE($A14,""en"",""it"")"),"catalano")</f>
        <v>catalano</v>
      </c>
      <c r="G14" s="9" t="str">
        <f>IFERROR(__xludf.DUMMYFUNCTION("GOOGLETRANSLATE($A14,""en"",""zh-cn"")"),"加泰罗尼亚语")</f>
        <v>加泰罗尼亚语</v>
      </c>
      <c r="H14" s="9" t="str">
        <f>IFERROR(__xludf.DUMMYFUNCTION("GOOGLETRANSLATE($A14,""en"",""ja"")"),"カタルーニャ語")</f>
        <v>カタルーニャ語</v>
      </c>
      <c r="I14" s="9" t="str">
        <f>IFERROR(__xludf.DUMMYFUNCTION("GOOGLETRANSLATE($A14,""en"",""ko"")"),"카탈로니아 사람")</f>
        <v>카탈로니아 사람</v>
      </c>
      <c r="J14" s="9" t="str">
        <f>IFERROR(__xludf.DUMMYFUNCTION("GOOGLETRANSLATE($A14,""en"",""pt-BR"")"),"catalão")</f>
        <v>catalão</v>
      </c>
    </row>
    <row r="15">
      <c r="A15" s="9" t="str">
        <f>IFERROR(__xludf.DUMMYFUNCTION("""COMPUTED_VALUE"""),"Chinese")</f>
        <v>Chinese</v>
      </c>
      <c r="B15" s="9" t="str">
        <f>IFERROR(__xludf.DUMMYFUNCTION("""COMPUTED_VALUE"""),"zh")</f>
        <v>zh</v>
      </c>
      <c r="C15" s="9" t="str">
        <f>IFERROR(__xludf.DUMMYFUNCTION("GOOGLETRANSLATE($A15,""en"",""de"")"),"chinesisch")</f>
        <v>chinesisch</v>
      </c>
      <c r="D15" s="9" t="str">
        <f>IFERROR(__xludf.DUMMYFUNCTION("GOOGLETRANSLATE($A15,""en"",""fr"")"),"Chinois")</f>
        <v>Chinois</v>
      </c>
      <c r="E15" s="9" t="str">
        <f>IFERROR(__xludf.DUMMYFUNCTION("GOOGLETRANSLATE($A15,""en"",""es"")"),"Chino")</f>
        <v>Chino</v>
      </c>
      <c r="F15" s="9" t="str">
        <f>IFERROR(__xludf.DUMMYFUNCTION("GOOGLETRANSLATE($A15,""en"",""it"")"),"cinese")</f>
        <v>cinese</v>
      </c>
      <c r="G15" s="9" t="str">
        <f>IFERROR(__xludf.DUMMYFUNCTION("GOOGLETRANSLATE($A15,""en"",""zh-cn"")"),"中国人")</f>
        <v>中国人</v>
      </c>
      <c r="H15" s="9" t="str">
        <f>IFERROR(__xludf.DUMMYFUNCTION("GOOGLETRANSLATE($A15,""en"",""ja"")"),"中国語")</f>
        <v>中国語</v>
      </c>
      <c r="I15" s="9" t="str">
        <f>IFERROR(__xludf.DUMMYFUNCTION("GOOGLETRANSLATE($A15,""en"",""ko"")"),"중국인")</f>
        <v>중국인</v>
      </c>
      <c r="J15" s="9" t="str">
        <f>IFERROR(__xludf.DUMMYFUNCTION("GOOGLETRANSLATE($A15,""en"",""pt-BR"")"),"chinês")</f>
        <v>chinês</v>
      </c>
    </row>
    <row r="16">
      <c r="A16" s="9" t="str">
        <f>IFERROR(__xludf.DUMMYFUNCTION("""COMPUTED_VALUE"""),"Croatian")</f>
        <v>Croatian</v>
      </c>
      <c r="B16" s="9" t="str">
        <f>IFERROR(__xludf.DUMMYFUNCTION("""COMPUTED_VALUE"""),"hr")</f>
        <v>hr</v>
      </c>
      <c r="C16" s="9" t="str">
        <f>IFERROR(__xludf.DUMMYFUNCTION("GOOGLETRANSLATE($A16,""en"",""de"")"),"kroatisch")</f>
        <v>kroatisch</v>
      </c>
      <c r="D16" s="9" t="str">
        <f>IFERROR(__xludf.DUMMYFUNCTION("GOOGLETRANSLATE($A16,""en"",""fr"")"),"croate")</f>
        <v>croate</v>
      </c>
      <c r="E16" s="9" t="str">
        <f>IFERROR(__xludf.DUMMYFUNCTION("GOOGLETRANSLATE($A16,""en"",""es"")"),"croata")</f>
        <v>croata</v>
      </c>
      <c r="F16" s="9" t="str">
        <f>IFERROR(__xludf.DUMMYFUNCTION("GOOGLETRANSLATE($A16,""en"",""it"")"),"croato")</f>
        <v>croato</v>
      </c>
      <c r="G16" s="9" t="str">
        <f>IFERROR(__xludf.DUMMYFUNCTION("GOOGLETRANSLATE($A16,""en"",""zh-cn"")"),"克罗地亚语")</f>
        <v>克罗地亚语</v>
      </c>
      <c r="H16" s="9" t="str">
        <f>IFERROR(__xludf.DUMMYFUNCTION("GOOGLETRANSLATE($A16,""en"",""ja"")"),"クロアチア語")</f>
        <v>クロアチア語</v>
      </c>
      <c r="I16" s="9" t="str">
        <f>IFERROR(__xludf.DUMMYFUNCTION("GOOGLETRANSLATE($A16,""en"",""ko"")"),"크로아티아어")</f>
        <v>크로아티아어</v>
      </c>
      <c r="J16" s="9" t="str">
        <f>IFERROR(__xludf.DUMMYFUNCTION("GOOGLETRANSLATE($A16,""en"",""pt-BR"")"),"croata")</f>
        <v>croata</v>
      </c>
    </row>
    <row r="17">
      <c r="A17" s="9" t="str">
        <f>IFERROR(__xludf.DUMMYFUNCTION("""COMPUTED_VALUE"""),"Czech")</f>
        <v>Czech</v>
      </c>
      <c r="B17" s="9" t="str">
        <f>IFERROR(__xludf.DUMMYFUNCTION("""COMPUTED_VALUE"""),"cs")</f>
        <v>cs</v>
      </c>
      <c r="C17" s="9" t="str">
        <f>IFERROR(__xludf.DUMMYFUNCTION("GOOGLETRANSLATE($A17,""en"",""de"")"),"tschechisch")</f>
        <v>tschechisch</v>
      </c>
      <c r="D17" s="9" t="str">
        <f>IFERROR(__xludf.DUMMYFUNCTION("GOOGLETRANSLATE($A17,""en"",""fr"")"),"tchèque")</f>
        <v>tchèque</v>
      </c>
      <c r="E17" s="9" t="str">
        <f>IFERROR(__xludf.DUMMYFUNCTION("GOOGLETRANSLATE($A17,""en"",""es"")"),"checo")</f>
        <v>checo</v>
      </c>
      <c r="F17" s="9" t="str">
        <f>IFERROR(__xludf.DUMMYFUNCTION("GOOGLETRANSLATE($A17,""en"",""it"")"),"ceco")</f>
        <v>ceco</v>
      </c>
      <c r="G17" s="9" t="str">
        <f>IFERROR(__xludf.DUMMYFUNCTION("GOOGLETRANSLATE($A17,""en"",""zh-cn"")"),"捷克语")</f>
        <v>捷克语</v>
      </c>
      <c r="H17" s="9" t="str">
        <f>IFERROR(__xludf.DUMMYFUNCTION("GOOGLETRANSLATE($A17,""en"",""ja"")"),"チェコ語")</f>
        <v>チェコ語</v>
      </c>
      <c r="I17" s="9" t="str">
        <f>IFERROR(__xludf.DUMMYFUNCTION("GOOGLETRANSLATE($A17,""en"",""ko"")"),"체코 사람")</f>
        <v>체코 사람</v>
      </c>
      <c r="J17" s="9" t="str">
        <f>IFERROR(__xludf.DUMMYFUNCTION("GOOGLETRANSLATE($A17,""en"",""pt-BR"")"),"Tcheco")</f>
        <v>Tcheco</v>
      </c>
    </row>
    <row r="18">
      <c r="A18" s="9" t="str">
        <f>IFERROR(__xludf.DUMMYFUNCTION("""COMPUTED_VALUE"""),"Danish")</f>
        <v>Danish</v>
      </c>
      <c r="B18" s="9" t="str">
        <f>IFERROR(__xludf.DUMMYFUNCTION("""COMPUTED_VALUE"""),"da")</f>
        <v>da</v>
      </c>
      <c r="C18" s="9" t="str">
        <f>IFERROR(__xludf.DUMMYFUNCTION("GOOGLETRANSLATE($A18,""en"",""de"")"),"dänisch")</f>
        <v>dänisch</v>
      </c>
      <c r="D18" s="9" t="str">
        <f>IFERROR(__xludf.DUMMYFUNCTION("GOOGLETRANSLATE($A18,""en"",""fr"")"),"danois")</f>
        <v>danois</v>
      </c>
      <c r="E18" s="9" t="str">
        <f>IFERROR(__xludf.DUMMYFUNCTION("GOOGLETRANSLATE($A18,""en"",""es"")"),"danés")</f>
        <v>danés</v>
      </c>
      <c r="F18" s="9" t="str">
        <f>IFERROR(__xludf.DUMMYFUNCTION("GOOGLETRANSLATE($A18,""en"",""it"")"),"danese")</f>
        <v>danese</v>
      </c>
      <c r="G18" s="9" t="str">
        <f>IFERROR(__xludf.DUMMYFUNCTION("GOOGLETRANSLATE($A18,""en"",""zh-cn"")"),"丹麦语")</f>
        <v>丹麦语</v>
      </c>
      <c r="H18" s="9" t="str">
        <f>IFERROR(__xludf.DUMMYFUNCTION("GOOGLETRANSLATE($A18,""en"",""ja"")"),"デンマーク語")</f>
        <v>デンマーク語</v>
      </c>
      <c r="I18" s="9" t="str">
        <f>IFERROR(__xludf.DUMMYFUNCTION("GOOGLETRANSLATE($A18,""en"",""ko"")"),"덴마크 말")</f>
        <v>덴마크 말</v>
      </c>
      <c r="J18" s="9" t="str">
        <f>IFERROR(__xludf.DUMMYFUNCTION("GOOGLETRANSLATE($A18,""en"",""pt-BR"")"),"dinamarquês")</f>
        <v>dinamarquês</v>
      </c>
    </row>
    <row r="19">
      <c r="A19" s="9" t="str">
        <f>IFERROR(__xludf.DUMMYFUNCTION("""COMPUTED_VALUE"""),"Dutch")</f>
        <v>Dutch</v>
      </c>
      <c r="B19" s="9" t="str">
        <f>IFERROR(__xludf.DUMMYFUNCTION("""COMPUTED_VALUE"""),"nl")</f>
        <v>nl</v>
      </c>
      <c r="C19" s="9" t="str">
        <f>IFERROR(__xludf.DUMMYFUNCTION("GOOGLETRANSLATE($A19,""en"",""de"")"),"Niederländisch")</f>
        <v>Niederländisch</v>
      </c>
      <c r="D19" s="9" t="str">
        <f>IFERROR(__xludf.DUMMYFUNCTION("GOOGLETRANSLATE($A19,""en"",""fr"")"),"Néerlandais")</f>
        <v>Néerlandais</v>
      </c>
      <c r="E19" s="9" t="str">
        <f>IFERROR(__xludf.DUMMYFUNCTION("GOOGLETRANSLATE($A19,""en"",""es"")"),"Holandés")</f>
        <v>Holandés</v>
      </c>
      <c r="F19" s="9" t="str">
        <f>IFERROR(__xludf.DUMMYFUNCTION("GOOGLETRANSLATE($A19,""en"",""it"")"),"Olandese")</f>
        <v>Olandese</v>
      </c>
      <c r="G19" s="9" t="str">
        <f>IFERROR(__xludf.DUMMYFUNCTION("GOOGLETRANSLATE($A19,""en"",""zh-cn"")"),"荷兰语")</f>
        <v>荷兰语</v>
      </c>
      <c r="H19" s="9" t="str">
        <f>IFERROR(__xludf.DUMMYFUNCTION("GOOGLETRANSLATE($A19,""en"",""ja"")"),"オランダ語")</f>
        <v>オランダ語</v>
      </c>
      <c r="I19" s="9" t="str">
        <f>IFERROR(__xludf.DUMMYFUNCTION("GOOGLETRANSLATE($A19,""en"",""ko"")"),"네덜란드 사람")</f>
        <v>네덜란드 사람</v>
      </c>
      <c r="J19" s="9" t="str">
        <f>IFERROR(__xludf.DUMMYFUNCTION("GOOGLETRANSLATE($A19,""en"",""pt-BR"")"),"Holandês")</f>
        <v>Holandês</v>
      </c>
    </row>
    <row r="20">
      <c r="A20" s="9" t="str">
        <f>IFERROR(__xludf.DUMMYFUNCTION("""COMPUTED_VALUE"""),"English")</f>
        <v>English</v>
      </c>
      <c r="B20" s="9" t="str">
        <f>IFERROR(__xludf.DUMMYFUNCTION("""COMPUTED_VALUE"""),"en")</f>
        <v>en</v>
      </c>
      <c r="C20" s="9" t="str">
        <f>IFERROR(__xludf.DUMMYFUNCTION("GOOGLETRANSLATE($A20,""en"",""de"")"),"Englisch")</f>
        <v>Englisch</v>
      </c>
      <c r="D20" s="9" t="str">
        <f>IFERROR(__xludf.DUMMYFUNCTION("GOOGLETRANSLATE($A20,""en"",""fr"")"),"Anglais")</f>
        <v>Anglais</v>
      </c>
      <c r="E20" s="9" t="str">
        <f>IFERROR(__xludf.DUMMYFUNCTION("GOOGLETRANSLATE($A20,""en"",""es"")"),"Inglés")</f>
        <v>Inglés</v>
      </c>
      <c r="F20" s="9" t="str">
        <f>IFERROR(__xludf.DUMMYFUNCTION("GOOGLETRANSLATE($A20,""en"",""it"")"),"Inglese")</f>
        <v>Inglese</v>
      </c>
      <c r="G20" s="9" t="str">
        <f>IFERROR(__xludf.DUMMYFUNCTION("GOOGLETRANSLATE($A20,""en"",""zh-cn"")"),"英语")</f>
        <v>英语</v>
      </c>
      <c r="H20" s="9" t="str">
        <f>IFERROR(__xludf.DUMMYFUNCTION("GOOGLETRANSLATE($A20,""en"",""ja"")"),"英語")</f>
        <v>英語</v>
      </c>
      <c r="I20" s="9" t="str">
        <f>IFERROR(__xludf.DUMMYFUNCTION("GOOGLETRANSLATE($A20,""en"",""ko"")"),"영어")</f>
        <v>영어</v>
      </c>
      <c r="J20" s="9" t="str">
        <f>IFERROR(__xludf.DUMMYFUNCTION("GOOGLETRANSLATE($A20,""en"",""pt-BR"")"),"Inglês")</f>
        <v>Inglês</v>
      </c>
    </row>
    <row r="21">
      <c r="A21" s="9" t="str">
        <f>IFERROR(__xludf.DUMMYFUNCTION("""COMPUTED_VALUE"""),"Estonian")</f>
        <v>Estonian</v>
      </c>
      <c r="B21" s="9" t="str">
        <f>IFERROR(__xludf.DUMMYFUNCTION("""COMPUTED_VALUE"""),"et")</f>
        <v>et</v>
      </c>
      <c r="C21" s="9" t="str">
        <f>IFERROR(__xludf.DUMMYFUNCTION("GOOGLETRANSLATE($A21,""en"",""de"")"),"estnisch")</f>
        <v>estnisch</v>
      </c>
      <c r="D21" s="9" t="str">
        <f>IFERROR(__xludf.DUMMYFUNCTION("GOOGLETRANSLATE($A21,""en"",""fr"")"),"estonien")</f>
        <v>estonien</v>
      </c>
      <c r="E21" s="9" t="str">
        <f>IFERROR(__xludf.DUMMYFUNCTION("GOOGLETRANSLATE($A21,""en"",""es"")"),"estonio")</f>
        <v>estonio</v>
      </c>
      <c r="F21" s="9" t="str">
        <f>IFERROR(__xludf.DUMMYFUNCTION("GOOGLETRANSLATE($A21,""en"",""it"")"),"Estone")</f>
        <v>Estone</v>
      </c>
      <c r="G21" s="9" t="str">
        <f>IFERROR(__xludf.DUMMYFUNCTION("GOOGLETRANSLATE($A21,""en"",""zh-cn"")"),"爱沙尼亚语")</f>
        <v>爱沙尼亚语</v>
      </c>
      <c r="H21" s="9" t="str">
        <f>IFERROR(__xludf.DUMMYFUNCTION("GOOGLETRANSLATE($A21,""en"",""ja"")"),"エストニア語")</f>
        <v>エストニア語</v>
      </c>
      <c r="I21" s="9" t="str">
        <f>IFERROR(__xludf.DUMMYFUNCTION("GOOGLETRANSLATE($A21,""en"",""ko"")"),"에스토니아 사람")</f>
        <v>에스토니아 사람</v>
      </c>
      <c r="J21" s="9" t="str">
        <f>IFERROR(__xludf.DUMMYFUNCTION("GOOGLETRANSLATE($A21,""en"",""pt-BR"")"),"estoniano")</f>
        <v>estoniano</v>
      </c>
    </row>
    <row r="22">
      <c r="A22" s="9" t="str">
        <f>IFERROR(__xludf.DUMMYFUNCTION("""COMPUTED_VALUE"""),"Filipino")</f>
        <v>Filipino</v>
      </c>
      <c r="B22" s="9" t="str">
        <f>IFERROR(__xludf.DUMMYFUNCTION("""COMPUTED_VALUE"""),"tl")</f>
        <v>tl</v>
      </c>
      <c r="C22" s="9" t="str">
        <f>IFERROR(__xludf.DUMMYFUNCTION("GOOGLETRANSLATE($A22,""en"",""de"")"),"Philippinisch")</f>
        <v>Philippinisch</v>
      </c>
      <c r="D22" s="9" t="str">
        <f>IFERROR(__xludf.DUMMYFUNCTION("GOOGLETRANSLATE($A22,""en"",""fr"")"),"Philippin")</f>
        <v>Philippin</v>
      </c>
      <c r="E22" s="9" t="str">
        <f>IFERROR(__xludf.DUMMYFUNCTION("GOOGLETRANSLATE($A22,""en"",""es"")"),"filipino")</f>
        <v>filipino</v>
      </c>
      <c r="F22" s="9" t="str">
        <f>IFERROR(__xludf.DUMMYFUNCTION("GOOGLETRANSLATE($A22,""en"",""it"")"),"filippino")</f>
        <v>filippino</v>
      </c>
      <c r="G22" s="9" t="str">
        <f>IFERROR(__xludf.DUMMYFUNCTION("GOOGLETRANSLATE($A22,""en"",""zh-cn"")"),"菲律宾人")</f>
        <v>菲律宾人</v>
      </c>
      <c r="H22" s="9" t="str">
        <f>IFERROR(__xludf.DUMMYFUNCTION("GOOGLETRANSLATE($A22,""en"",""ja"")"),"フィリピン人")</f>
        <v>フィリピン人</v>
      </c>
      <c r="I22" s="9" t="str">
        <f>IFERROR(__xludf.DUMMYFUNCTION("GOOGLETRANSLATE($A22,""en"",""ko"")"),"필리핀 사람")</f>
        <v>필리핀 사람</v>
      </c>
      <c r="J22" s="9" t="str">
        <f>IFERROR(__xludf.DUMMYFUNCTION("GOOGLETRANSLATE($A22,""en"",""pt-BR"")"),"filipino")</f>
        <v>filipino</v>
      </c>
    </row>
    <row r="23">
      <c r="A23" s="9" t="str">
        <f>IFERROR(__xludf.DUMMYFUNCTION("""COMPUTED_VALUE"""),"Finnish")</f>
        <v>Finnish</v>
      </c>
      <c r="B23" s="9" t="str">
        <f>IFERROR(__xludf.DUMMYFUNCTION("""COMPUTED_VALUE"""),"fi")</f>
        <v>fi</v>
      </c>
      <c r="C23" s="9" t="str">
        <f>IFERROR(__xludf.DUMMYFUNCTION("GOOGLETRANSLATE($A23,""en"",""de"")"),"finnisch")</f>
        <v>finnisch</v>
      </c>
      <c r="D23" s="9" t="str">
        <f>IFERROR(__xludf.DUMMYFUNCTION("GOOGLETRANSLATE($A23,""en"",""fr"")"),"finlandais")</f>
        <v>finlandais</v>
      </c>
      <c r="E23" s="9" t="str">
        <f>IFERROR(__xludf.DUMMYFUNCTION("GOOGLETRANSLATE($A23,""en"",""es"")"),"finlandés")</f>
        <v>finlandés</v>
      </c>
      <c r="F23" s="9" t="str">
        <f>IFERROR(__xludf.DUMMYFUNCTION("GOOGLETRANSLATE($A23,""en"",""it"")"),"finlandese")</f>
        <v>finlandese</v>
      </c>
      <c r="G23" s="9" t="str">
        <f>IFERROR(__xludf.DUMMYFUNCTION("GOOGLETRANSLATE($A23,""en"",""zh-cn"")"),"芬兰")</f>
        <v>芬兰</v>
      </c>
      <c r="H23" s="9" t="str">
        <f>IFERROR(__xludf.DUMMYFUNCTION("GOOGLETRANSLATE($A23,""en"",""ja"")"),"フィンランド語")</f>
        <v>フィンランド語</v>
      </c>
      <c r="I23" s="9" t="str">
        <f>IFERROR(__xludf.DUMMYFUNCTION("GOOGLETRANSLATE($A23,""en"",""ko"")"),"핀란드어")</f>
        <v>핀란드어</v>
      </c>
      <c r="J23" s="9" t="str">
        <f>IFERROR(__xludf.DUMMYFUNCTION("GOOGLETRANSLATE($A23,""en"",""pt-BR"")"),"finlandês")</f>
        <v>finlandês</v>
      </c>
    </row>
    <row r="24">
      <c r="A24" s="9" t="str">
        <f>IFERROR(__xludf.DUMMYFUNCTION("""COMPUTED_VALUE"""),"French")</f>
        <v>French</v>
      </c>
      <c r="B24" s="9" t="str">
        <f>IFERROR(__xludf.DUMMYFUNCTION("""COMPUTED_VALUE"""),"fr")</f>
        <v>fr</v>
      </c>
      <c r="C24" s="9" t="str">
        <f>IFERROR(__xludf.DUMMYFUNCTION("GOOGLETRANSLATE($A24,""en"",""de"")"),"Französisch")</f>
        <v>Französisch</v>
      </c>
      <c r="D24" s="9" t="str">
        <f>IFERROR(__xludf.DUMMYFUNCTION("GOOGLETRANSLATE($A24,""en"",""fr"")"),"Français")</f>
        <v>Français</v>
      </c>
      <c r="E24" s="9" t="str">
        <f>IFERROR(__xludf.DUMMYFUNCTION("GOOGLETRANSLATE($A24,""en"",""es"")"),"Francés")</f>
        <v>Francés</v>
      </c>
      <c r="F24" s="9" t="str">
        <f>IFERROR(__xludf.DUMMYFUNCTION("GOOGLETRANSLATE($A24,""en"",""it"")"),"francese")</f>
        <v>francese</v>
      </c>
      <c r="G24" s="9" t="str">
        <f>IFERROR(__xludf.DUMMYFUNCTION("GOOGLETRANSLATE($A24,""en"",""zh-cn"")"),"法语")</f>
        <v>法语</v>
      </c>
      <c r="H24" s="9" t="str">
        <f>IFERROR(__xludf.DUMMYFUNCTION("GOOGLETRANSLATE($A24,""en"",""ja"")"),"フランス語")</f>
        <v>フランス語</v>
      </c>
      <c r="I24" s="9" t="str">
        <f>IFERROR(__xludf.DUMMYFUNCTION("GOOGLETRANSLATE($A24,""en"",""ko"")"),"프랑스 국민")</f>
        <v>프랑스 국민</v>
      </c>
      <c r="J24" s="9" t="str">
        <f>IFERROR(__xludf.DUMMYFUNCTION("GOOGLETRANSLATE($A24,""en"",""pt-BR"")"),"Francês")</f>
        <v>Francês</v>
      </c>
    </row>
    <row r="25">
      <c r="A25" s="9" t="str">
        <f>IFERROR(__xludf.DUMMYFUNCTION("""COMPUTED_VALUE"""),"Georgian")</f>
        <v>Georgian</v>
      </c>
      <c r="B25" s="9" t="str">
        <f>IFERROR(__xludf.DUMMYFUNCTION("""COMPUTED_VALUE"""),"ka")</f>
        <v>ka</v>
      </c>
      <c r="C25" s="9" t="str">
        <f>IFERROR(__xludf.DUMMYFUNCTION("GOOGLETRANSLATE($A25,""en"",""de"")"),"georgisch")</f>
        <v>georgisch</v>
      </c>
      <c r="D25" s="9" t="str">
        <f>IFERROR(__xludf.DUMMYFUNCTION("GOOGLETRANSLATE($A25,""en"",""fr"")"),"géorgien")</f>
        <v>géorgien</v>
      </c>
      <c r="E25" s="9" t="str">
        <f>IFERROR(__xludf.DUMMYFUNCTION("GOOGLETRANSLATE($A25,""en"",""es"")"),"georgiano")</f>
        <v>georgiano</v>
      </c>
      <c r="F25" s="9" t="str">
        <f>IFERROR(__xludf.DUMMYFUNCTION("GOOGLETRANSLATE($A25,""en"",""it"")"),"georgiano")</f>
        <v>georgiano</v>
      </c>
      <c r="G25" s="9" t="str">
        <f>IFERROR(__xludf.DUMMYFUNCTION("GOOGLETRANSLATE($A25,""en"",""zh-cn"")"),"格鲁吉亚语")</f>
        <v>格鲁吉亚语</v>
      </c>
      <c r="H25" s="9" t="str">
        <f>IFERROR(__xludf.DUMMYFUNCTION("GOOGLETRANSLATE($A25,""en"",""ja"")"),"グルジア語")</f>
        <v>グルジア語</v>
      </c>
      <c r="I25" s="9" t="str">
        <f>IFERROR(__xludf.DUMMYFUNCTION("GOOGLETRANSLATE($A25,""en"",""ko"")"),"그루지야 사람")</f>
        <v>그루지야 사람</v>
      </c>
      <c r="J25" s="9" t="str">
        <f>IFERROR(__xludf.DUMMYFUNCTION("GOOGLETRANSLATE($A25,""en"",""pt-BR"")"),"Georgiano")</f>
        <v>Georgiano</v>
      </c>
    </row>
    <row r="26">
      <c r="A26" s="9" t="str">
        <f>IFERROR(__xludf.DUMMYFUNCTION("""COMPUTED_VALUE"""),"German")</f>
        <v>German</v>
      </c>
      <c r="B26" s="9" t="str">
        <f>IFERROR(__xludf.DUMMYFUNCTION("""COMPUTED_VALUE"""),"de")</f>
        <v>de</v>
      </c>
      <c r="C26" s="9" t="str">
        <f>IFERROR(__xludf.DUMMYFUNCTION("GOOGLETRANSLATE($A26,""en"",""de"")"),"Deutsch")</f>
        <v>Deutsch</v>
      </c>
      <c r="D26" s="9" t="str">
        <f>IFERROR(__xludf.DUMMYFUNCTION("GOOGLETRANSLATE($A26,""en"",""fr"")"),"Allemand")</f>
        <v>Allemand</v>
      </c>
      <c r="E26" s="9" t="str">
        <f>IFERROR(__xludf.DUMMYFUNCTION("GOOGLETRANSLATE($A26,""en"",""es"")"),"Alemán")</f>
        <v>Alemán</v>
      </c>
      <c r="F26" s="9" t="str">
        <f>IFERROR(__xludf.DUMMYFUNCTION("GOOGLETRANSLATE($A26,""en"",""it"")"),"tedesco")</f>
        <v>tedesco</v>
      </c>
      <c r="G26" s="9" t="str">
        <f>IFERROR(__xludf.DUMMYFUNCTION("GOOGLETRANSLATE($A26,""en"",""zh-cn"")"),"德语")</f>
        <v>德语</v>
      </c>
      <c r="H26" s="9" t="str">
        <f>IFERROR(__xludf.DUMMYFUNCTION("GOOGLETRANSLATE($A26,""en"",""ja"")"),"ドイツ語")</f>
        <v>ドイツ語</v>
      </c>
      <c r="I26" s="9" t="str">
        <f>IFERROR(__xludf.DUMMYFUNCTION("GOOGLETRANSLATE($A26,""en"",""ko"")"),"독일 사람")</f>
        <v>독일 사람</v>
      </c>
      <c r="J26" s="9" t="str">
        <f>IFERROR(__xludf.DUMMYFUNCTION("GOOGLETRANSLATE($A26,""en"",""pt-BR"")"),"Alemão")</f>
        <v>Alemão</v>
      </c>
    </row>
    <row r="27">
      <c r="A27" s="9" t="str">
        <f>IFERROR(__xludf.DUMMYFUNCTION("""COMPUTED_VALUE"""),"Greek")</f>
        <v>Greek</v>
      </c>
      <c r="B27" s="9" t="str">
        <f>IFERROR(__xludf.DUMMYFUNCTION("""COMPUTED_VALUE"""),"el")</f>
        <v>el</v>
      </c>
      <c r="C27" s="9" t="str">
        <f>IFERROR(__xludf.DUMMYFUNCTION("GOOGLETRANSLATE($A27,""en"",""de"")"),"griechisch")</f>
        <v>griechisch</v>
      </c>
      <c r="D27" s="9" t="str">
        <f>IFERROR(__xludf.DUMMYFUNCTION("GOOGLETRANSLATE($A27,""en"",""fr"")"),"grec")</f>
        <v>grec</v>
      </c>
      <c r="E27" s="9" t="str">
        <f>IFERROR(__xludf.DUMMYFUNCTION("GOOGLETRANSLATE($A27,""en"",""es"")"),"Griego")</f>
        <v>Griego</v>
      </c>
      <c r="F27" s="9" t="str">
        <f>IFERROR(__xludf.DUMMYFUNCTION("GOOGLETRANSLATE($A27,""en"",""it"")"),"greco")</f>
        <v>greco</v>
      </c>
      <c r="G27" s="9" t="str">
        <f>IFERROR(__xludf.DUMMYFUNCTION("GOOGLETRANSLATE($A27,""en"",""zh-cn"")"),"希腊语")</f>
        <v>希腊语</v>
      </c>
      <c r="H27" s="9" t="str">
        <f>IFERROR(__xludf.DUMMYFUNCTION("GOOGLETRANSLATE($A27,""en"",""ja"")"),"ギリシャ語")</f>
        <v>ギリシャ語</v>
      </c>
      <c r="I27" s="9" t="str">
        <f>IFERROR(__xludf.DUMMYFUNCTION("GOOGLETRANSLATE($A27,""en"",""ko"")"),"그리스 사람")</f>
        <v>그리스 사람</v>
      </c>
      <c r="J27" s="9" t="str">
        <f>IFERROR(__xludf.DUMMYFUNCTION("GOOGLETRANSLATE($A27,""en"",""pt-BR"")"),"grego")</f>
        <v>grego</v>
      </c>
    </row>
    <row r="28">
      <c r="A28" s="9" t="str">
        <f>IFERROR(__xludf.DUMMYFUNCTION("""COMPUTED_VALUE"""),"Hebrew")</f>
        <v>Hebrew</v>
      </c>
      <c r="B28" s="9" t="str">
        <f>IFERROR(__xludf.DUMMYFUNCTION("""COMPUTED_VALUE"""),"he")</f>
        <v>he</v>
      </c>
      <c r="C28" s="9" t="str">
        <f>IFERROR(__xludf.DUMMYFUNCTION("GOOGLETRANSLATE($A28,""en"",""de"")"),"hebräisch")</f>
        <v>hebräisch</v>
      </c>
      <c r="D28" s="9" t="str">
        <f>IFERROR(__xludf.DUMMYFUNCTION("GOOGLETRANSLATE($A28,""en"",""fr"")"),"hébreu")</f>
        <v>hébreu</v>
      </c>
      <c r="E28" s="9" t="str">
        <f>IFERROR(__xludf.DUMMYFUNCTION("GOOGLETRANSLATE($A28,""en"",""es"")"),"hebreo")</f>
        <v>hebreo</v>
      </c>
      <c r="F28" s="9" t="str">
        <f>IFERROR(__xludf.DUMMYFUNCTION("GOOGLETRANSLATE($A28,""en"",""it"")"),"ebraico")</f>
        <v>ebraico</v>
      </c>
      <c r="G28" s="9" t="str">
        <f>IFERROR(__xludf.DUMMYFUNCTION("GOOGLETRANSLATE($A28,""en"",""zh-cn"")"),"希伯来语")</f>
        <v>希伯来语</v>
      </c>
      <c r="H28" s="9" t="str">
        <f>IFERROR(__xludf.DUMMYFUNCTION("GOOGLETRANSLATE($A28,""en"",""ja"")"),"ヘブライ語")</f>
        <v>ヘブライ語</v>
      </c>
      <c r="I28" s="9" t="str">
        <f>IFERROR(__xludf.DUMMYFUNCTION("GOOGLETRANSLATE($A28,""en"",""ko"")"),"헤브라이 사람")</f>
        <v>헤브라이 사람</v>
      </c>
      <c r="J28" s="9" t="str">
        <f>IFERROR(__xludf.DUMMYFUNCTION("GOOGLETRANSLATE($A28,""en"",""pt-BR"")"),"hebraico")</f>
        <v>hebraico</v>
      </c>
    </row>
    <row r="29">
      <c r="A29" s="9" t="str">
        <f>IFERROR(__xludf.DUMMYFUNCTION("""COMPUTED_VALUE"""),"Hindi")</f>
        <v>Hindi</v>
      </c>
      <c r="B29" s="9" t="str">
        <f>IFERROR(__xludf.DUMMYFUNCTION("""COMPUTED_VALUE"""),"hi")</f>
        <v>hi</v>
      </c>
      <c r="C29" s="9" t="str">
        <f>IFERROR(__xludf.DUMMYFUNCTION("GOOGLETRANSLATE($A29,""en"",""de"")"),"Hindi")</f>
        <v>Hindi</v>
      </c>
      <c r="D29" s="9" t="str">
        <f>IFERROR(__xludf.DUMMYFUNCTION("GOOGLETRANSLATE($A29,""en"",""fr"")"),"hindi")</f>
        <v>hindi</v>
      </c>
      <c r="E29" s="9" t="str">
        <f>IFERROR(__xludf.DUMMYFUNCTION("GOOGLETRANSLATE($A29,""en"",""es"")"),"hindi")</f>
        <v>hindi</v>
      </c>
      <c r="F29" s="9" t="str">
        <f>IFERROR(__xludf.DUMMYFUNCTION("GOOGLETRANSLATE($A29,""en"",""it"")"),"hindi")</f>
        <v>hindi</v>
      </c>
      <c r="G29" s="9" t="str">
        <f>IFERROR(__xludf.DUMMYFUNCTION("GOOGLETRANSLATE($A29,""en"",""zh-cn"")"),"印地语")</f>
        <v>印地语</v>
      </c>
      <c r="H29" s="9" t="str">
        <f>IFERROR(__xludf.DUMMYFUNCTION("GOOGLETRANSLATE($A29,""en"",""ja"")"),"ヒンディー語")</f>
        <v>ヒンディー語</v>
      </c>
      <c r="I29" s="9" t="str">
        <f>IFERROR(__xludf.DUMMYFUNCTION("GOOGLETRANSLATE($A29,""en"",""ko"")"),"힌디 어")</f>
        <v>힌디 어</v>
      </c>
      <c r="J29" s="9" t="str">
        <f>IFERROR(__xludf.DUMMYFUNCTION("GOOGLETRANSLATE($A29,""en"",""pt-BR"")"),"hindi")</f>
        <v>hindi</v>
      </c>
    </row>
    <row r="30">
      <c r="A30" s="9" t="str">
        <f>IFERROR(__xludf.DUMMYFUNCTION("""COMPUTED_VALUE"""),"Hungarian")</f>
        <v>Hungarian</v>
      </c>
      <c r="B30" s="9" t="str">
        <f>IFERROR(__xludf.DUMMYFUNCTION("""COMPUTED_VALUE"""),"hu")</f>
        <v>hu</v>
      </c>
      <c r="C30" s="9" t="str">
        <f>IFERROR(__xludf.DUMMYFUNCTION("GOOGLETRANSLATE($A30,""en"",""de"")"),"ungarisch")</f>
        <v>ungarisch</v>
      </c>
      <c r="D30" s="9" t="str">
        <f>IFERROR(__xludf.DUMMYFUNCTION("GOOGLETRANSLATE($A30,""en"",""fr"")"),"hongrois")</f>
        <v>hongrois</v>
      </c>
      <c r="E30" s="9" t="str">
        <f>IFERROR(__xludf.DUMMYFUNCTION("GOOGLETRANSLATE($A30,""en"",""es"")"),"húngaro")</f>
        <v>húngaro</v>
      </c>
      <c r="F30" s="9" t="str">
        <f>IFERROR(__xludf.DUMMYFUNCTION("GOOGLETRANSLATE($A30,""en"",""it"")"),"ungherese")</f>
        <v>ungherese</v>
      </c>
      <c r="G30" s="9" t="str">
        <f>IFERROR(__xludf.DUMMYFUNCTION("GOOGLETRANSLATE($A30,""en"",""zh-cn"")"),"匈牙利")</f>
        <v>匈牙利</v>
      </c>
      <c r="H30" s="9" t="str">
        <f>IFERROR(__xludf.DUMMYFUNCTION("GOOGLETRANSLATE($A30,""en"",""ja"")"),"ハンガリー語")</f>
        <v>ハンガリー語</v>
      </c>
      <c r="I30" s="9" t="str">
        <f>IFERROR(__xludf.DUMMYFUNCTION("GOOGLETRANSLATE($A30,""en"",""ko"")"),"헝가리 인")</f>
        <v>헝가리 인</v>
      </c>
      <c r="J30" s="9" t="str">
        <f>IFERROR(__xludf.DUMMYFUNCTION("GOOGLETRANSLATE($A30,""en"",""pt-BR"")"),"húngaro")</f>
        <v>húngaro</v>
      </c>
    </row>
    <row r="31">
      <c r="A31" s="9" t="str">
        <f>IFERROR(__xludf.DUMMYFUNCTION("""COMPUTED_VALUE"""),"Icelandic")</f>
        <v>Icelandic</v>
      </c>
      <c r="B31" s="9" t="str">
        <f>IFERROR(__xludf.DUMMYFUNCTION("""COMPUTED_VALUE"""),"is")</f>
        <v>is</v>
      </c>
      <c r="C31" s="9" t="str">
        <f>IFERROR(__xludf.DUMMYFUNCTION("GOOGLETRANSLATE($A31,""en"",""de"")"),"isländisch")</f>
        <v>isländisch</v>
      </c>
      <c r="D31" s="9" t="str">
        <f>IFERROR(__xludf.DUMMYFUNCTION("GOOGLETRANSLATE($A31,""en"",""fr"")"),"islandais")</f>
        <v>islandais</v>
      </c>
      <c r="E31" s="9" t="str">
        <f>IFERROR(__xludf.DUMMYFUNCTION("GOOGLETRANSLATE($A31,""en"",""es"")"),"islandés")</f>
        <v>islandés</v>
      </c>
      <c r="F31" s="9" t="str">
        <f>IFERROR(__xludf.DUMMYFUNCTION("GOOGLETRANSLATE($A31,""en"",""it"")"),"islandese")</f>
        <v>islandese</v>
      </c>
      <c r="G31" s="9" t="str">
        <f>IFERROR(__xludf.DUMMYFUNCTION("GOOGLETRANSLATE($A31,""en"",""zh-cn"")"),"冰岛语")</f>
        <v>冰岛语</v>
      </c>
      <c r="H31" s="9" t="str">
        <f>IFERROR(__xludf.DUMMYFUNCTION("GOOGLETRANSLATE($A31,""en"",""ja"")"),"アイスランド語")</f>
        <v>アイスランド語</v>
      </c>
      <c r="I31" s="9" t="str">
        <f>IFERROR(__xludf.DUMMYFUNCTION("GOOGLETRANSLATE($A31,""en"",""ko"")"),"아이슬란드어")</f>
        <v>아이슬란드어</v>
      </c>
      <c r="J31" s="9" t="str">
        <f>IFERROR(__xludf.DUMMYFUNCTION("GOOGLETRANSLATE($A31,""en"",""pt-BR"")"),"islandês")</f>
        <v>islandês</v>
      </c>
    </row>
    <row r="32">
      <c r="A32" s="9" t="str">
        <f>IFERROR(__xludf.DUMMYFUNCTION("""COMPUTED_VALUE"""),"Irish")</f>
        <v>Irish</v>
      </c>
      <c r="B32" s="9" t="str">
        <f>IFERROR(__xludf.DUMMYFUNCTION("""COMPUTED_VALUE"""),"ga")</f>
        <v>ga</v>
      </c>
      <c r="C32" s="9" t="str">
        <f>IFERROR(__xludf.DUMMYFUNCTION("GOOGLETRANSLATE($A32,""en"",""de"")"),"irisch")</f>
        <v>irisch</v>
      </c>
      <c r="D32" s="9" t="str">
        <f>IFERROR(__xludf.DUMMYFUNCTION("GOOGLETRANSLATE($A32,""en"",""fr"")"),"irlandais")</f>
        <v>irlandais</v>
      </c>
      <c r="E32" s="9" t="str">
        <f>IFERROR(__xludf.DUMMYFUNCTION("GOOGLETRANSLATE($A32,""en"",""es"")"),"irlandés")</f>
        <v>irlandés</v>
      </c>
      <c r="F32" s="9" t="str">
        <f>IFERROR(__xludf.DUMMYFUNCTION("GOOGLETRANSLATE($A32,""en"",""it"")"),"irlandese")</f>
        <v>irlandese</v>
      </c>
      <c r="G32" s="9" t="str">
        <f>IFERROR(__xludf.DUMMYFUNCTION("GOOGLETRANSLATE($A32,""en"",""zh-cn"")"),"爱尔兰语")</f>
        <v>爱尔兰语</v>
      </c>
      <c r="H32" s="9" t="str">
        <f>IFERROR(__xludf.DUMMYFUNCTION("GOOGLETRANSLATE($A32,""en"",""ja"")"),"アイルランド人")</f>
        <v>アイルランド人</v>
      </c>
      <c r="I32" s="9" t="str">
        <f>IFERROR(__xludf.DUMMYFUNCTION("GOOGLETRANSLATE($A32,""en"",""ko"")"),"아일랜드")</f>
        <v>아일랜드</v>
      </c>
      <c r="J32" s="9" t="str">
        <f>IFERROR(__xludf.DUMMYFUNCTION("GOOGLETRANSLATE($A32,""en"",""pt-BR"")"),"irlandês")</f>
        <v>irlandês</v>
      </c>
    </row>
    <row r="33">
      <c r="A33" s="9" t="str">
        <f>IFERROR(__xludf.DUMMYFUNCTION("""COMPUTED_VALUE"""),"Italian")</f>
        <v>Italian</v>
      </c>
      <c r="B33" s="9" t="str">
        <f>IFERROR(__xludf.DUMMYFUNCTION("""COMPUTED_VALUE"""),"it")</f>
        <v>it</v>
      </c>
      <c r="C33" s="9" t="str">
        <f>IFERROR(__xludf.DUMMYFUNCTION("GOOGLETRANSLATE($A33,""en"",""de"")"),"Italienisch")</f>
        <v>Italienisch</v>
      </c>
      <c r="D33" s="9" t="str">
        <f>IFERROR(__xludf.DUMMYFUNCTION("GOOGLETRANSLATE($A33,""en"",""fr"")"),"italien")</f>
        <v>italien</v>
      </c>
      <c r="E33" s="9" t="str">
        <f>IFERROR(__xludf.DUMMYFUNCTION("GOOGLETRANSLATE($A33,""en"",""es"")"),"italiano")</f>
        <v>italiano</v>
      </c>
      <c r="F33" s="9" t="str">
        <f>IFERROR(__xludf.DUMMYFUNCTION("GOOGLETRANSLATE($A33,""en"",""it"")"),"Italiano")</f>
        <v>Italiano</v>
      </c>
      <c r="G33" s="9" t="str">
        <f>IFERROR(__xludf.DUMMYFUNCTION("GOOGLETRANSLATE($A33,""en"",""zh-cn"")"),"意大利语")</f>
        <v>意大利语</v>
      </c>
      <c r="H33" s="9" t="str">
        <f>IFERROR(__xludf.DUMMYFUNCTION("GOOGLETRANSLATE($A33,""en"",""ja"")"),"イタリア語")</f>
        <v>イタリア語</v>
      </c>
      <c r="I33" s="9" t="str">
        <f>IFERROR(__xludf.DUMMYFUNCTION("GOOGLETRANSLATE($A33,""en"",""ko"")"),"이탈리아 사람")</f>
        <v>이탈리아 사람</v>
      </c>
      <c r="J33" s="9" t="str">
        <f>IFERROR(__xludf.DUMMYFUNCTION("GOOGLETRANSLATE($A33,""en"",""pt-BR"")"),"italiano")</f>
        <v>italiano</v>
      </c>
    </row>
    <row r="34">
      <c r="A34" s="9" t="str">
        <f>IFERROR(__xludf.DUMMYFUNCTION("""COMPUTED_VALUE"""),"Japanese")</f>
        <v>Japanese</v>
      </c>
      <c r="B34" s="9" t="str">
        <f>IFERROR(__xludf.DUMMYFUNCTION("""COMPUTED_VALUE"""),"ja")</f>
        <v>ja</v>
      </c>
      <c r="C34" s="9" t="str">
        <f>IFERROR(__xludf.DUMMYFUNCTION("GOOGLETRANSLATE($A34,""en"",""de"")"),"japanisch")</f>
        <v>japanisch</v>
      </c>
      <c r="D34" s="9" t="str">
        <f>IFERROR(__xludf.DUMMYFUNCTION("GOOGLETRANSLATE($A34,""en"",""fr"")"),"japonais")</f>
        <v>japonais</v>
      </c>
      <c r="E34" s="9" t="str">
        <f>IFERROR(__xludf.DUMMYFUNCTION("GOOGLETRANSLATE($A34,""en"",""es"")"),"japonés")</f>
        <v>japonés</v>
      </c>
      <c r="F34" s="9" t="str">
        <f>IFERROR(__xludf.DUMMYFUNCTION("GOOGLETRANSLATE($A34,""en"",""it"")"),"giapponese")</f>
        <v>giapponese</v>
      </c>
      <c r="G34" s="9" t="str">
        <f>IFERROR(__xludf.DUMMYFUNCTION("GOOGLETRANSLATE($A34,""en"",""zh-cn"")"),"日本人")</f>
        <v>日本人</v>
      </c>
      <c r="H34" s="9" t="str">
        <f>IFERROR(__xludf.DUMMYFUNCTION("GOOGLETRANSLATE($A34,""en"",""ja"")"),"日本語")</f>
        <v>日本語</v>
      </c>
      <c r="I34" s="9" t="str">
        <f>IFERROR(__xludf.DUMMYFUNCTION("GOOGLETRANSLATE($A34,""en"",""ko"")"),"일본어")</f>
        <v>일본어</v>
      </c>
      <c r="J34" s="9" t="str">
        <f>IFERROR(__xludf.DUMMYFUNCTION("GOOGLETRANSLATE($A34,""en"",""pt-BR"")"),"japonês")</f>
        <v>japonês</v>
      </c>
    </row>
    <row r="35">
      <c r="A35" s="9" t="str">
        <f>IFERROR(__xludf.DUMMYFUNCTION("""COMPUTED_VALUE"""),"Kannada")</f>
        <v>Kannada</v>
      </c>
      <c r="B35" s="9" t="str">
        <f>IFERROR(__xludf.DUMMYFUNCTION("""COMPUTED_VALUE"""),"kn")</f>
        <v>kn</v>
      </c>
      <c r="C35" s="9" t="str">
        <f>IFERROR(__xludf.DUMMYFUNCTION("GOOGLETRANSLATE($A35,""en"",""de"")"),"Kannada")</f>
        <v>Kannada</v>
      </c>
      <c r="D35" s="9" t="str">
        <f>IFERROR(__xludf.DUMMYFUNCTION("GOOGLETRANSLATE($A35,""en"",""fr"")"),"Kannada")</f>
        <v>Kannada</v>
      </c>
      <c r="E35" s="9" t="str">
        <f>IFERROR(__xludf.DUMMYFUNCTION("GOOGLETRANSLATE($A35,""en"",""es"")"),"canarés")</f>
        <v>canarés</v>
      </c>
      <c r="F35" s="9" t="str">
        <f>IFERROR(__xludf.DUMMYFUNCTION("GOOGLETRANSLATE($A35,""en"",""it"")"),"Kannada")</f>
        <v>Kannada</v>
      </c>
      <c r="G35" s="9" t="str">
        <f>IFERROR(__xludf.DUMMYFUNCTION("GOOGLETRANSLATE($A35,""en"",""zh-cn"")"),"卡纳达语")</f>
        <v>卡纳达语</v>
      </c>
      <c r="H35" s="9" t="str">
        <f>IFERROR(__xludf.DUMMYFUNCTION("GOOGLETRANSLATE($A35,""en"",""ja"")"),"カンナダ語")</f>
        <v>カンナダ語</v>
      </c>
      <c r="I35" s="9" t="str">
        <f>IFERROR(__xludf.DUMMYFUNCTION("GOOGLETRANSLATE($A35,""en"",""ko"")"),"칸나다어")</f>
        <v>칸나다어</v>
      </c>
      <c r="J35" s="9" t="str">
        <f>IFERROR(__xludf.DUMMYFUNCTION("GOOGLETRANSLATE($A35,""en"",""pt-BR"")"),"Kannada")</f>
        <v>Kannada</v>
      </c>
    </row>
    <row r="36">
      <c r="A36" s="9" t="str">
        <f>IFERROR(__xludf.DUMMYFUNCTION("""COMPUTED_VALUE"""),"Kazakh")</f>
        <v>Kazakh</v>
      </c>
      <c r="B36" s="9" t="str">
        <f>IFERROR(__xludf.DUMMYFUNCTION("""COMPUTED_VALUE"""),"kk")</f>
        <v>kk</v>
      </c>
      <c r="C36" s="9" t="str">
        <f>IFERROR(__xludf.DUMMYFUNCTION("GOOGLETRANSLATE($A36,""en"",""de"")"),"Kasachisch")</f>
        <v>Kasachisch</v>
      </c>
      <c r="D36" s="9" t="str">
        <f>IFERROR(__xludf.DUMMYFUNCTION("GOOGLETRANSLATE($A36,""en"",""fr"")"),"Kazakh")</f>
        <v>Kazakh</v>
      </c>
      <c r="E36" s="9" t="str">
        <f>IFERROR(__xludf.DUMMYFUNCTION("GOOGLETRANSLATE($A36,""en"",""es"")"),"kazajo")</f>
        <v>kazajo</v>
      </c>
      <c r="F36" s="9" t="str">
        <f>IFERROR(__xludf.DUMMYFUNCTION("GOOGLETRANSLATE($A36,""en"",""it"")"),"Kazakistan")</f>
        <v>Kazakistan</v>
      </c>
      <c r="G36" s="9" t="str">
        <f>IFERROR(__xludf.DUMMYFUNCTION("GOOGLETRANSLATE($A36,""en"",""zh-cn"")"),"哈萨克语")</f>
        <v>哈萨克语</v>
      </c>
      <c r="H36" s="9" t="str">
        <f>IFERROR(__xludf.DUMMYFUNCTION("GOOGLETRANSLATE($A36,""en"",""ja"")"),"カザフ語")</f>
        <v>カザフ語</v>
      </c>
      <c r="I36" s="9" t="str">
        <f>IFERROR(__xludf.DUMMYFUNCTION("GOOGLETRANSLATE($A36,""en"",""ko"")"),"카자흐어")</f>
        <v>카자흐어</v>
      </c>
      <c r="J36" s="9" t="str">
        <f>IFERROR(__xludf.DUMMYFUNCTION("GOOGLETRANSLATE($A36,""en"",""pt-BR"")"),"Cazaque")</f>
        <v>Cazaque</v>
      </c>
    </row>
    <row r="37">
      <c r="A37" s="9" t="str">
        <f>IFERROR(__xludf.DUMMYFUNCTION("""COMPUTED_VALUE"""),"Korean")</f>
        <v>Korean</v>
      </c>
      <c r="B37" s="9" t="str">
        <f>IFERROR(__xludf.DUMMYFUNCTION("""COMPUTED_VALUE"""),"ko")</f>
        <v>ko</v>
      </c>
      <c r="C37" s="9" t="str">
        <f>IFERROR(__xludf.DUMMYFUNCTION("GOOGLETRANSLATE($A37,""en"",""de"")"),"Koreanisch")</f>
        <v>Koreanisch</v>
      </c>
      <c r="D37" s="9" t="str">
        <f>IFERROR(__xludf.DUMMYFUNCTION("GOOGLETRANSLATE($A37,""en"",""fr"")"),"coréen")</f>
        <v>coréen</v>
      </c>
      <c r="E37" s="9" t="str">
        <f>IFERROR(__xludf.DUMMYFUNCTION("GOOGLETRANSLATE($A37,""en"",""es"")"),"coreano")</f>
        <v>coreano</v>
      </c>
      <c r="F37" s="9" t="str">
        <f>IFERROR(__xludf.DUMMYFUNCTION("GOOGLETRANSLATE($A37,""en"",""it"")"),"coreano")</f>
        <v>coreano</v>
      </c>
      <c r="G37" s="9" t="str">
        <f>IFERROR(__xludf.DUMMYFUNCTION("GOOGLETRANSLATE($A37,""en"",""zh-cn"")"),"韩国人")</f>
        <v>韩国人</v>
      </c>
      <c r="H37" s="9" t="str">
        <f>IFERROR(__xludf.DUMMYFUNCTION("GOOGLETRANSLATE($A37,""en"",""ja"")"),"韓国人")</f>
        <v>韓国人</v>
      </c>
      <c r="I37" s="9" t="str">
        <f>IFERROR(__xludf.DUMMYFUNCTION("GOOGLETRANSLATE($A37,""en"",""ko"")"),"한국인")</f>
        <v>한국인</v>
      </c>
      <c r="J37" s="9" t="str">
        <f>IFERROR(__xludf.DUMMYFUNCTION("GOOGLETRANSLATE($A37,""en"",""pt-BR"")"),"coreano")</f>
        <v>coreano</v>
      </c>
    </row>
    <row r="38">
      <c r="A38" s="9" t="str">
        <f>IFERROR(__xludf.DUMMYFUNCTION("""COMPUTED_VALUE"""),"Latvian")</f>
        <v>Latvian</v>
      </c>
      <c r="B38" s="9" t="str">
        <f>IFERROR(__xludf.DUMMYFUNCTION("""COMPUTED_VALUE"""),"lv")</f>
        <v>lv</v>
      </c>
      <c r="C38" s="9" t="str">
        <f>IFERROR(__xludf.DUMMYFUNCTION("GOOGLETRANSLATE($A38,""en"",""de"")"),"lettisch")</f>
        <v>lettisch</v>
      </c>
      <c r="D38" s="9" t="str">
        <f>IFERROR(__xludf.DUMMYFUNCTION("GOOGLETRANSLATE($A38,""en"",""fr"")"),"letton")</f>
        <v>letton</v>
      </c>
      <c r="E38" s="9" t="str">
        <f>IFERROR(__xludf.DUMMYFUNCTION("GOOGLETRANSLATE($A38,""en"",""es"")"),"letón")</f>
        <v>letón</v>
      </c>
      <c r="F38" s="9" t="str">
        <f>IFERROR(__xludf.DUMMYFUNCTION("GOOGLETRANSLATE($A38,""en"",""it"")"),"lettone")</f>
        <v>lettone</v>
      </c>
      <c r="G38" s="9" t="str">
        <f>IFERROR(__xludf.DUMMYFUNCTION("GOOGLETRANSLATE($A38,""en"",""zh-cn"")"),"拉脱维亚语")</f>
        <v>拉脱维亚语</v>
      </c>
      <c r="H38" s="9" t="str">
        <f>IFERROR(__xludf.DUMMYFUNCTION("GOOGLETRANSLATE($A38,""en"",""ja"")"),"ラトビア語")</f>
        <v>ラトビア語</v>
      </c>
      <c r="I38" s="9" t="str">
        <f>IFERROR(__xludf.DUMMYFUNCTION("GOOGLETRANSLATE($A38,""en"",""ko"")"),"라트비아 사람")</f>
        <v>라트비아 사람</v>
      </c>
      <c r="J38" s="9" t="str">
        <f>IFERROR(__xludf.DUMMYFUNCTION("GOOGLETRANSLATE($A38,""en"",""pt-BR"")"),"letão")</f>
        <v>letão</v>
      </c>
    </row>
    <row r="39">
      <c r="A39" s="9" t="str">
        <f>IFERROR(__xludf.DUMMYFUNCTION("""COMPUTED_VALUE"""),"Lithuanian")</f>
        <v>Lithuanian</v>
      </c>
      <c r="B39" s="9" t="str">
        <f>IFERROR(__xludf.DUMMYFUNCTION("""COMPUTED_VALUE"""),"lt")</f>
        <v>lt</v>
      </c>
      <c r="C39" s="9" t="str">
        <f>IFERROR(__xludf.DUMMYFUNCTION("GOOGLETRANSLATE($A39,""en"",""de"")"),"litauisch")</f>
        <v>litauisch</v>
      </c>
      <c r="D39" s="9" t="str">
        <f>IFERROR(__xludf.DUMMYFUNCTION("GOOGLETRANSLATE($A39,""en"",""fr"")"),"lituanien")</f>
        <v>lituanien</v>
      </c>
      <c r="E39" s="9" t="str">
        <f>IFERROR(__xludf.DUMMYFUNCTION("GOOGLETRANSLATE($A39,""en"",""es"")"),"lituano")</f>
        <v>lituano</v>
      </c>
      <c r="F39" s="9" t="str">
        <f>IFERROR(__xludf.DUMMYFUNCTION("GOOGLETRANSLATE($A39,""en"",""it"")"),"lituano")</f>
        <v>lituano</v>
      </c>
      <c r="G39" s="9" t="str">
        <f>IFERROR(__xludf.DUMMYFUNCTION("GOOGLETRANSLATE($A39,""en"",""zh-cn"")"),"立陶宛语")</f>
        <v>立陶宛语</v>
      </c>
      <c r="H39" s="9" t="str">
        <f>IFERROR(__xludf.DUMMYFUNCTION("GOOGLETRANSLATE($A39,""en"",""ja"")"),"リトアニア語")</f>
        <v>リトアニア語</v>
      </c>
      <c r="I39" s="9" t="str">
        <f>IFERROR(__xludf.DUMMYFUNCTION("GOOGLETRANSLATE($A39,""en"",""ko"")"),"리투아니아 사람")</f>
        <v>리투아니아 사람</v>
      </c>
      <c r="J39" s="9" t="str">
        <f>IFERROR(__xludf.DUMMYFUNCTION("GOOGLETRANSLATE($A39,""en"",""pt-BR"")"),"lituano")</f>
        <v>lituano</v>
      </c>
    </row>
    <row r="40">
      <c r="A40" s="9" t="str">
        <f>IFERROR(__xludf.DUMMYFUNCTION("""COMPUTED_VALUE"""),"Macedonian")</f>
        <v>Macedonian</v>
      </c>
      <c r="B40" s="9" t="str">
        <f>IFERROR(__xludf.DUMMYFUNCTION("""COMPUTED_VALUE"""),"mk")</f>
        <v>mk</v>
      </c>
      <c r="C40" s="9" t="str">
        <f>IFERROR(__xludf.DUMMYFUNCTION("GOOGLETRANSLATE($A40,""en"",""de"")"),"mazedonisch")</f>
        <v>mazedonisch</v>
      </c>
      <c r="D40" s="9" t="str">
        <f>IFERROR(__xludf.DUMMYFUNCTION("GOOGLETRANSLATE($A40,""en"",""fr"")"),"Macédonien")</f>
        <v>Macédonien</v>
      </c>
      <c r="E40" s="9" t="str">
        <f>IFERROR(__xludf.DUMMYFUNCTION("GOOGLETRANSLATE($A40,""en"",""es"")"),"macedónio")</f>
        <v>macedónio</v>
      </c>
      <c r="F40" s="9" t="str">
        <f>IFERROR(__xludf.DUMMYFUNCTION("GOOGLETRANSLATE($A40,""en"",""it"")"),"macedone")</f>
        <v>macedone</v>
      </c>
      <c r="G40" s="9" t="str">
        <f>IFERROR(__xludf.DUMMYFUNCTION("GOOGLETRANSLATE($A40,""en"",""zh-cn"")"),"马其顿语")</f>
        <v>马其顿语</v>
      </c>
      <c r="H40" s="9" t="str">
        <f>IFERROR(__xludf.DUMMYFUNCTION("GOOGLETRANSLATE($A40,""en"",""ja"")"),"マケドニア語")</f>
        <v>マケドニア語</v>
      </c>
      <c r="I40" s="9" t="str">
        <f>IFERROR(__xludf.DUMMYFUNCTION("GOOGLETRANSLATE($A40,""en"",""ko"")"),"마케도니아 어")</f>
        <v>마케도니아 어</v>
      </c>
      <c r="J40" s="9" t="str">
        <f>IFERROR(__xludf.DUMMYFUNCTION("GOOGLETRANSLATE($A40,""en"",""pt-BR"")"),"Macedônio")</f>
        <v>Macedônio</v>
      </c>
    </row>
    <row r="41">
      <c r="A41" s="9" t="str">
        <f>IFERROR(__xludf.DUMMYFUNCTION("""COMPUTED_VALUE"""),"Malay")</f>
        <v>Malay</v>
      </c>
      <c r="B41" s="9" t="str">
        <f>IFERROR(__xludf.DUMMYFUNCTION("""COMPUTED_VALUE"""),"ms")</f>
        <v>ms</v>
      </c>
      <c r="C41" s="9" t="str">
        <f>IFERROR(__xludf.DUMMYFUNCTION("GOOGLETRANSLATE($A41,""en"",""de"")"),"malaiisch")</f>
        <v>malaiisch</v>
      </c>
      <c r="D41" s="9" t="str">
        <f>IFERROR(__xludf.DUMMYFUNCTION("GOOGLETRANSLATE($A41,""en"",""fr"")"),"malais")</f>
        <v>malais</v>
      </c>
      <c r="E41" s="9" t="str">
        <f>IFERROR(__xludf.DUMMYFUNCTION("GOOGLETRANSLATE($A41,""en"",""es"")"),"malayo")</f>
        <v>malayo</v>
      </c>
      <c r="F41" s="9" t="str">
        <f>IFERROR(__xludf.DUMMYFUNCTION("GOOGLETRANSLATE($A41,""en"",""it"")"),"malese")</f>
        <v>malese</v>
      </c>
      <c r="G41" s="9" t="str">
        <f>IFERROR(__xludf.DUMMYFUNCTION("GOOGLETRANSLATE($A41,""en"",""zh-cn"")"),"马来语")</f>
        <v>马来语</v>
      </c>
      <c r="H41" s="9" t="str">
        <f>IFERROR(__xludf.DUMMYFUNCTION("GOOGLETRANSLATE($A41,""en"",""ja"")"),"マレー語")</f>
        <v>マレー語</v>
      </c>
      <c r="I41" s="9" t="str">
        <f>IFERROR(__xludf.DUMMYFUNCTION("GOOGLETRANSLATE($A41,""en"",""ko"")"),"말레이 사람")</f>
        <v>말레이 사람</v>
      </c>
      <c r="J41" s="9" t="str">
        <f>IFERROR(__xludf.DUMMYFUNCTION("GOOGLETRANSLATE($A41,""en"",""pt-BR"")"),"malaio")</f>
        <v>malaio</v>
      </c>
    </row>
    <row r="42">
      <c r="A42" s="9" t="str">
        <f>IFERROR(__xludf.DUMMYFUNCTION("""COMPUTED_VALUE"""),"Malayalam")</f>
        <v>Malayalam</v>
      </c>
      <c r="B42" s="9" t="str">
        <f>IFERROR(__xludf.DUMMYFUNCTION("""COMPUTED_VALUE"""),"ml")</f>
        <v>ml</v>
      </c>
      <c r="C42" s="9" t="str">
        <f>IFERROR(__xludf.DUMMYFUNCTION("GOOGLETRANSLATE($A42,""en"",""de"")"),"Malayalam")</f>
        <v>Malayalam</v>
      </c>
      <c r="D42" s="9" t="str">
        <f>IFERROR(__xludf.DUMMYFUNCTION("GOOGLETRANSLATE($A42,""en"",""fr"")"),"Malayalam")</f>
        <v>Malayalam</v>
      </c>
      <c r="E42" s="9" t="str">
        <f>IFERROR(__xludf.DUMMYFUNCTION("GOOGLETRANSLATE($A42,""en"",""es"")"),"malayalam")</f>
        <v>malayalam</v>
      </c>
      <c r="F42" s="9" t="str">
        <f>IFERROR(__xludf.DUMMYFUNCTION("GOOGLETRANSLATE($A42,""en"",""it"")"),"Malayalam")</f>
        <v>Malayalam</v>
      </c>
      <c r="G42" s="9" t="str">
        <f>IFERROR(__xludf.DUMMYFUNCTION("GOOGLETRANSLATE($A42,""en"",""zh-cn"")"),"马拉雅拉姆语")</f>
        <v>马拉雅拉姆语</v>
      </c>
      <c r="H42" s="9" t="str">
        <f>IFERROR(__xludf.DUMMYFUNCTION("GOOGLETRANSLATE($A42,""en"",""ja"")"),"マラヤーラム語")</f>
        <v>マラヤーラム語</v>
      </c>
      <c r="I42" s="9" t="str">
        <f>IFERROR(__xludf.DUMMYFUNCTION("GOOGLETRANSLATE($A42,""en"",""ko"")"),"말라얄람어")</f>
        <v>말라얄람어</v>
      </c>
      <c r="J42" s="9" t="str">
        <f>IFERROR(__xludf.DUMMYFUNCTION("GOOGLETRANSLATE($A42,""en"",""pt-BR"")"),"Malaiala")</f>
        <v>Malaiala</v>
      </c>
    </row>
    <row r="43">
      <c r="A43" s="9" t="str">
        <f>IFERROR(__xludf.DUMMYFUNCTION("""COMPUTED_VALUE"""),"Mongolian")</f>
        <v>Mongolian</v>
      </c>
      <c r="B43" s="9" t="str">
        <f>IFERROR(__xludf.DUMMYFUNCTION("""COMPUTED_VALUE"""),"mn")</f>
        <v>mn</v>
      </c>
      <c r="C43" s="9" t="str">
        <f>IFERROR(__xludf.DUMMYFUNCTION("GOOGLETRANSLATE($A43,""en"",""de"")"),"mongolisch")</f>
        <v>mongolisch</v>
      </c>
      <c r="D43" s="9" t="str">
        <f>IFERROR(__xludf.DUMMYFUNCTION("GOOGLETRANSLATE($A43,""en"",""fr"")"),"mongol")</f>
        <v>mongol</v>
      </c>
      <c r="E43" s="9" t="str">
        <f>IFERROR(__xludf.DUMMYFUNCTION("GOOGLETRANSLATE($A43,""en"",""es"")"),"mongol")</f>
        <v>mongol</v>
      </c>
      <c r="F43" s="9" t="str">
        <f>IFERROR(__xludf.DUMMYFUNCTION("GOOGLETRANSLATE($A43,""en"",""it"")"),"mongolo")</f>
        <v>mongolo</v>
      </c>
      <c r="G43" s="9" t="str">
        <f>IFERROR(__xludf.DUMMYFUNCTION("GOOGLETRANSLATE($A43,""en"",""zh-cn"")"),"蒙")</f>
        <v>蒙</v>
      </c>
      <c r="H43" s="9" t="str">
        <f>IFERROR(__xludf.DUMMYFUNCTION("GOOGLETRANSLATE($A43,""en"",""ja"")"),"モンゴル語")</f>
        <v>モンゴル語</v>
      </c>
      <c r="I43" s="9" t="str">
        <f>IFERROR(__xludf.DUMMYFUNCTION("GOOGLETRANSLATE($A43,""en"",""ko"")"),"몽고 어")</f>
        <v>몽고 어</v>
      </c>
      <c r="J43" s="9" t="str">
        <f>IFERROR(__xludf.DUMMYFUNCTION("GOOGLETRANSLATE($A43,""en"",""pt-BR"")"),"mongol")</f>
        <v>mongol</v>
      </c>
    </row>
    <row r="44">
      <c r="A44" s="9" t="str">
        <f>IFERROR(__xludf.DUMMYFUNCTION("""COMPUTED_VALUE"""),"Nepali")</f>
        <v>Nepali</v>
      </c>
      <c r="B44" s="9" t="str">
        <f>IFERROR(__xludf.DUMMYFUNCTION("""COMPUTED_VALUE"""),"ne")</f>
        <v>ne</v>
      </c>
      <c r="C44" s="9" t="str">
        <f>IFERROR(__xludf.DUMMYFUNCTION("GOOGLETRANSLATE($A44,""en"",""de"")"),"Nepalesisch")</f>
        <v>Nepalesisch</v>
      </c>
      <c r="D44" s="9" t="str">
        <f>IFERROR(__xludf.DUMMYFUNCTION("GOOGLETRANSLATE($A44,""en"",""fr"")"),"Népalais")</f>
        <v>Népalais</v>
      </c>
      <c r="E44" s="9" t="str">
        <f>IFERROR(__xludf.DUMMYFUNCTION("GOOGLETRANSLATE($A44,""en"",""es"")"),"nepalí")</f>
        <v>nepalí</v>
      </c>
      <c r="F44" s="9" t="str">
        <f>IFERROR(__xludf.DUMMYFUNCTION("GOOGLETRANSLATE($A44,""en"",""it"")"),"nepalese")</f>
        <v>nepalese</v>
      </c>
      <c r="G44" s="9" t="str">
        <f>IFERROR(__xludf.DUMMYFUNCTION("GOOGLETRANSLATE($A44,""en"",""zh-cn"")"),"尼泊尔语")</f>
        <v>尼泊尔语</v>
      </c>
      <c r="H44" s="9" t="str">
        <f>IFERROR(__xludf.DUMMYFUNCTION("GOOGLETRANSLATE($A44,""en"",""ja"")"),"ネパール語")</f>
        <v>ネパール語</v>
      </c>
      <c r="I44" s="9" t="str">
        <f>IFERROR(__xludf.DUMMYFUNCTION("GOOGLETRANSLATE($A44,""en"",""ko"")"),"네팔어")</f>
        <v>네팔어</v>
      </c>
      <c r="J44" s="9" t="str">
        <f>IFERROR(__xludf.DUMMYFUNCTION("GOOGLETRANSLATE($A44,""en"",""pt-BR"")"),"nepalês")</f>
        <v>nepalês</v>
      </c>
    </row>
    <row r="45">
      <c r="A45" s="9" t="str">
        <f>IFERROR(__xludf.DUMMYFUNCTION("""COMPUTED_VALUE"""),"Norwegian")</f>
        <v>Norwegian</v>
      </c>
      <c r="B45" s="9" t="str">
        <f>IFERROR(__xludf.DUMMYFUNCTION("""COMPUTED_VALUE"""),"no")</f>
        <v>no</v>
      </c>
      <c r="C45" s="9" t="str">
        <f>IFERROR(__xludf.DUMMYFUNCTION("GOOGLETRANSLATE($A45,""en"",""de"")"),"norwegisch")</f>
        <v>norwegisch</v>
      </c>
      <c r="D45" s="9" t="str">
        <f>IFERROR(__xludf.DUMMYFUNCTION("GOOGLETRANSLATE($A45,""en"",""fr"")"),"norvégien")</f>
        <v>norvégien</v>
      </c>
      <c r="E45" s="9" t="str">
        <f>IFERROR(__xludf.DUMMYFUNCTION("GOOGLETRANSLATE($A45,""en"",""es"")"),"noruego")</f>
        <v>noruego</v>
      </c>
      <c r="F45" s="9" t="str">
        <f>IFERROR(__xludf.DUMMYFUNCTION("GOOGLETRANSLATE($A45,""en"",""it"")"),"norvegese")</f>
        <v>norvegese</v>
      </c>
      <c r="G45" s="9" t="str">
        <f>IFERROR(__xludf.DUMMYFUNCTION("GOOGLETRANSLATE($A45,""en"",""zh-cn"")"),"挪威")</f>
        <v>挪威</v>
      </c>
      <c r="H45" s="9" t="str">
        <f>IFERROR(__xludf.DUMMYFUNCTION("GOOGLETRANSLATE($A45,""en"",""ja"")"),"ノルウェー語")</f>
        <v>ノルウェー語</v>
      </c>
      <c r="I45" s="9" t="str">
        <f>IFERROR(__xludf.DUMMYFUNCTION("GOOGLETRANSLATE($A45,""en"",""ko"")"),"노르웨이 인")</f>
        <v>노르웨이 인</v>
      </c>
      <c r="J45" s="9" t="str">
        <f>IFERROR(__xludf.DUMMYFUNCTION("GOOGLETRANSLATE($A45,""en"",""pt-BR"")"),"norueguês")</f>
        <v>norueguês</v>
      </c>
    </row>
    <row r="46">
      <c r="A46" s="9" t="str">
        <f>IFERROR(__xludf.DUMMYFUNCTION("""COMPUTED_VALUE"""),"Oromo")</f>
        <v>Oromo</v>
      </c>
      <c r="B46" s="9" t="str">
        <f>IFERROR(__xludf.DUMMYFUNCTION("""COMPUTED_VALUE"""),"om")</f>
        <v>om</v>
      </c>
      <c r="C46" s="9" t="str">
        <f>IFERROR(__xludf.DUMMYFUNCTION("GOOGLETRANSLATE($A46,""en"",""de"")"),"Oromo")</f>
        <v>Oromo</v>
      </c>
      <c r="D46" s="9" t="str">
        <f>IFERROR(__xludf.DUMMYFUNCTION("GOOGLETRANSLATE($A46,""en"",""fr"")"),"Oromo")</f>
        <v>Oromo</v>
      </c>
      <c r="E46" s="9" t="str">
        <f>IFERROR(__xludf.DUMMYFUNCTION("GOOGLETRANSLATE($A46,""en"",""es"")"),"Oromo")</f>
        <v>Oromo</v>
      </c>
      <c r="F46" s="9" t="str">
        <f>IFERROR(__xludf.DUMMYFUNCTION("GOOGLETRANSLATE($A46,""en"",""it"")"),"Oromo")</f>
        <v>Oromo</v>
      </c>
      <c r="G46" s="9" t="str">
        <f>IFERROR(__xludf.DUMMYFUNCTION("GOOGLETRANSLATE($A46,""en"",""zh-cn"")"),"奥罗莫")</f>
        <v>奥罗莫</v>
      </c>
      <c r="H46" s="9" t="str">
        <f>IFERROR(__xludf.DUMMYFUNCTION("GOOGLETRANSLATE($A46,""en"",""ja"")"),"オロモ")</f>
        <v>オロモ</v>
      </c>
      <c r="I46" s="9" t="str">
        <f>IFERROR(__xludf.DUMMYFUNCTION("GOOGLETRANSLATE($A46,""en"",""ko"")"),"오로모어")</f>
        <v>오로모어</v>
      </c>
      <c r="J46" s="9" t="str">
        <f>IFERROR(__xludf.DUMMYFUNCTION("GOOGLETRANSLATE($A46,""en"",""pt-BR"")"),"Oromo")</f>
        <v>Oromo</v>
      </c>
    </row>
    <row r="47">
      <c r="A47" s="9" t="str">
        <f>IFERROR(__xludf.DUMMYFUNCTION("""COMPUTED_VALUE"""),"Pashto")</f>
        <v>Pashto</v>
      </c>
      <c r="B47" s="9" t="str">
        <f>IFERROR(__xludf.DUMMYFUNCTION("""COMPUTED_VALUE"""),"ps")</f>
        <v>ps</v>
      </c>
      <c r="C47" s="9" t="str">
        <f>IFERROR(__xludf.DUMMYFUNCTION("GOOGLETRANSLATE($A47,""en"",""de"")"),"Paschtu")</f>
        <v>Paschtu</v>
      </c>
      <c r="D47" s="9" t="str">
        <f>IFERROR(__xludf.DUMMYFUNCTION("GOOGLETRANSLATE($A47,""en"",""fr"")"),"pachtou")</f>
        <v>pachtou</v>
      </c>
      <c r="E47" s="9" t="str">
        <f>IFERROR(__xludf.DUMMYFUNCTION("GOOGLETRANSLATE($A47,""en"",""es"")"),"pastún")</f>
        <v>pastún</v>
      </c>
      <c r="F47" s="9" t="str">
        <f>IFERROR(__xludf.DUMMYFUNCTION("GOOGLETRANSLATE($A47,""en"",""it"")"),"Pashtu")</f>
        <v>Pashtu</v>
      </c>
      <c r="G47" s="9" t="str">
        <f>IFERROR(__xludf.DUMMYFUNCTION("GOOGLETRANSLATE($A47,""en"",""zh-cn"")"),"普什图语")</f>
        <v>普什图语</v>
      </c>
      <c r="H47" s="9" t="str">
        <f>IFERROR(__xludf.DUMMYFUNCTION("GOOGLETRANSLATE($A47,""en"",""ja"")"),"パシュトゥー語")</f>
        <v>パシュトゥー語</v>
      </c>
      <c r="I47" s="9" t="str">
        <f>IFERROR(__xludf.DUMMYFUNCTION("GOOGLETRANSLATE($A47,""en"",""ko"")"),"파슈토어")</f>
        <v>파슈토어</v>
      </c>
      <c r="J47" s="9" t="str">
        <f>IFERROR(__xludf.DUMMYFUNCTION("GOOGLETRANSLATE($A47,""en"",""pt-BR"")"),"pashto")</f>
        <v>pashto</v>
      </c>
    </row>
    <row r="48">
      <c r="A48" s="9" t="str">
        <f>IFERROR(__xludf.DUMMYFUNCTION("""COMPUTED_VALUE"""),"Persian")</f>
        <v>Persian</v>
      </c>
      <c r="B48" s="9" t="str">
        <f>IFERROR(__xludf.DUMMYFUNCTION("""COMPUTED_VALUE"""),"fa")</f>
        <v>fa</v>
      </c>
      <c r="C48" s="9" t="str">
        <f>IFERROR(__xludf.DUMMYFUNCTION("GOOGLETRANSLATE($A48,""en"",""de"")"),"persisch")</f>
        <v>persisch</v>
      </c>
      <c r="D48" s="9" t="str">
        <f>IFERROR(__xludf.DUMMYFUNCTION("GOOGLETRANSLATE($A48,""en"",""fr"")"),"persan")</f>
        <v>persan</v>
      </c>
      <c r="E48" s="9" t="str">
        <f>IFERROR(__xludf.DUMMYFUNCTION("GOOGLETRANSLATE($A48,""en"",""es"")"),"persa")</f>
        <v>persa</v>
      </c>
      <c r="F48" s="9" t="str">
        <f>IFERROR(__xludf.DUMMYFUNCTION("GOOGLETRANSLATE($A48,""en"",""it"")"),"persiano")</f>
        <v>persiano</v>
      </c>
      <c r="G48" s="9" t="str">
        <f>IFERROR(__xludf.DUMMYFUNCTION("GOOGLETRANSLATE($A48,""en"",""zh-cn"")"),"波斯语")</f>
        <v>波斯语</v>
      </c>
      <c r="H48" s="9" t="str">
        <f>IFERROR(__xludf.DUMMYFUNCTION("GOOGLETRANSLATE($A48,""en"",""ja"")"),"ペルシア語")</f>
        <v>ペルシア語</v>
      </c>
      <c r="I48" s="9" t="str">
        <f>IFERROR(__xludf.DUMMYFUNCTION("GOOGLETRANSLATE($A48,""en"",""ko"")"),"페르시아 인")</f>
        <v>페르시아 인</v>
      </c>
      <c r="J48" s="9" t="str">
        <f>IFERROR(__xludf.DUMMYFUNCTION("GOOGLETRANSLATE($A48,""en"",""pt-BR"")"),"persa")</f>
        <v>persa</v>
      </c>
    </row>
    <row r="49">
      <c r="A49" s="9" t="str">
        <f>IFERROR(__xludf.DUMMYFUNCTION("""COMPUTED_VALUE"""),"Polish")</f>
        <v>Polish</v>
      </c>
      <c r="B49" s="9" t="str">
        <f>IFERROR(__xludf.DUMMYFUNCTION("""COMPUTED_VALUE"""),"pl")</f>
        <v>pl</v>
      </c>
      <c r="C49" s="9" t="str">
        <f>IFERROR(__xludf.DUMMYFUNCTION("GOOGLETRANSLATE($A49,""en"",""de"")"),"Polieren")</f>
        <v>Polieren</v>
      </c>
      <c r="D49" s="9" t="str">
        <f>IFERROR(__xludf.DUMMYFUNCTION("GOOGLETRANSLATE($A49,""en"",""fr"")"),"polonais")</f>
        <v>polonais</v>
      </c>
      <c r="E49" s="9" t="str">
        <f>IFERROR(__xludf.DUMMYFUNCTION("GOOGLETRANSLATE($A49,""en"",""es"")"),"Polaco")</f>
        <v>Polaco</v>
      </c>
      <c r="F49" s="9" t="str">
        <f>IFERROR(__xludf.DUMMYFUNCTION("GOOGLETRANSLATE($A49,""en"",""it"")"),"Polacco")</f>
        <v>Polacco</v>
      </c>
      <c r="G49" s="9" t="str">
        <f>IFERROR(__xludf.DUMMYFUNCTION("GOOGLETRANSLATE($A49,""en"",""zh-cn"")"),"抛光")</f>
        <v>抛光</v>
      </c>
      <c r="H49" s="9" t="str">
        <f>IFERROR(__xludf.DUMMYFUNCTION("GOOGLETRANSLATE($A49,""en"",""ja"")"),"研磨")</f>
        <v>研磨</v>
      </c>
      <c r="I49" s="9" t="str">
        <f>IFERROR(__xludf.DUMMYFUNCTION("GOOGLETRANSLATE($A49,""en"",""ko"")"),"광택")</f>
        <v>광택</v>
      </c>
      <c r="J49" s="9" t="str">
        <f>IFERROR(__xludf.DUMMYFUNCTION("GOOGLETRANSLATE($A49,""en"",""pt-BR"")"),"polonês")</f>
        <v>polonês</v>
      </c>
    </row>
    <row r="50">
      <c r="A50" s="9" t="str">
        <f>IFERROR(__xludf.DUMMYFUNCTION("""COMPUTED_VALUE"""),"Portuguese")</f>
        <v>Portuguese</v>
      </c>
      <c r="B50" s="9" t="str">
        <f>IFERROR(__xludf.DUMMYFUNCTION("""COMPUTED_VALUE"""),"pt")</f>
        <v>pt</v>
      </c>
      <c r="C50" s="9" t="str">
        <f>IFERROR(__xludf.DUMMYFUNCTION("GOOGLETRANSLATE($A50,""en"",""de"")"),"Portugiesisch")</f>
        <v>Portugiesisch</v>
      </c>
      <c r="D50" s="9" t="str">
        <f>IFERROR(__xludf.DUMMYFUNCTION("GOOGLETRANSLATE($A50,""en"",""fr"")"),"portugais")</f>
        <v>portugais</v>
      </c>
      <c r="E50" s="9" t="str">
        <f>IFERROR(__xludf.DUMMYFUNCTION("GOOGLETRANSLATE($A50,""en"",""es"")"),"portugués")</f>
        <v>portugués</v>
      </c>
      <c r="F50" s="9" t="str">
        <f>IFERROR(__xludf.DUMMYFUNCTION("GOOGLETRANSLATE($A50,""en"",""it"")"),"portoghese")</f>
        <v>portoghese</v>
      </c>
      <c r="G50" s="9" t="str">
        <f>IFERROR(__xludf.DUMMYFUNCTION("GOOGLETRANSLATE($A50,""en"",""zh-cn"")"),"葡萄牙语")</f>
        <v>葡萄牙语</v>
      </c>
      <c r="H50" s="9" t="str">
        <f>IFERROR(__xludf.DUMMYFUNCTION("GOOGLETRANSLATE($A50,""en"",""ja"")"),"ポルトガル語")</f>
        <v>ポルトガル語</v>
      </c>
      <c r="I50" s="9" t="str">
        <f>IFERROR(__xludf.DUMMYFUNCTION("GOOGLETRANSLATE($A50,""en"",""ko"")"),"포르투갈 인")</f>
        <v>포르투갈 인</v>
      </c>
      <c r="J50" s="9" t="str">
        <f>IFERROR(__xludf.DUMMYFUNCTION("GOOGLETRANSLATE($A50,""en"",""pt-BR"")"),"Português")</f>
        <v>Português</v>
      </c>
    </row>
    <row r="51">
      <c r="A51" s="9" t="str">
        <f>IFERROR(__xludf.DUMMYFUNCTION("""COMPUTED_VALUE"""),"Punjabi")</f>
        <v>Punjabi</v>
      </c>
      <c r="B51" s="9" t="str">
        <f>IFERROR(__xludf.DUMMYFUNCTION("""COMPUTED_VALUE"""),"pa")</f>
        <v>pa</v>
      </c>
      <c r="C51" s="9" t="str">
        <f>IFERROR(__xludf.DUMMYFUNCTION("GOOGLETRANSLATE($A51,""en"",""de"")"),"Punjabi")</f>
        <v>Punjabi</v>
      </c>
      <c r="D51" s="9" t="str">
        <f>IFERROR(__xludf.DUMMYFUNCTION("GOOGLETRANSLATE($A51,""en"",""fr"")"),"Pendjabi")</f>
        <v>Pendjabi</v>
      </c>
      <c r="E51" s="9" t="str">
        <f>IFERROR(__xludf.DUMMYFUNCTION("GOOGLETRANSLATE($A51,""en"",""es"")"),"punjabi")</f>
        <v>punjabi</v>
      </c>
      <c r="F51" s="9" t="str">
        <f>IFERROR(__xludf.DUMMYFUNCTION("GOOGLETRANSLATE($A51,""en"",""it"")"),"Punjabi")</f>
        <v>Punjabi</v>
      </c>
      <c r="G51" s="9" t="str">
        <f>IFERROR(__xludf.DUMMYFUNCTION("GOOGLETRANSLATE($A51,""en"",""zh-cn"")"),"旁遮普语")</f>
        <v>旁遮普语</v>
      </c>
      <c r="H51" s="9" t="str">
        <f>IFERROR(__xludf.DUMMYFUNCTION("GOOGLETRANSLATE($A51,""en"",""ja"")"),"パンジャブ語")</f>
        <v>パンジャブ語</v>
      </c>
      <c r="I51" s="9" t="str">
        <f>IFERROR(__xludf.DUMMYFUNCTION("GOOGLETRANSLATE($A51,""en"",""ko"")"),"펀잡어")</f>
        <v>펀잡어</v>
      </c>
      <c r="J51" s="9" t="str">
        <f>IFERROR(__xludf.DUMMYFUNCTION("GOOGLETRANSLATE($A51,""en"",""pt-BR"")"),"punjabi")</f>
        <v>punjabi</v>
      </c>
    </row>
    <row r="52">
      <c r="A52" s="9" t="str">
        <f>IFERROR(__xludf.DUMMYFUNCTION("""COMPUTED_VALUE"""),"Romanian")</f>
        <v>Romanian</v>
      </c>
      <c r="B52" s="9" t="str">
        <f>IFERROR(__xludf.DUMMYFUNCTION("""COMPUTED_VALUE"""),"ro")</f>
        <v>ro</v>
      </c>
      <c r="C52" s="9" t="str">
        <f>IFERROR(__xludf.DUMMYFUNCTION("GOOGLETRANSLATE($A52,""en"",""de"")"),"rumänisch")</f>
        <v>rumänisch</v>
      </c>
      <c r="D52" s="9" t="str">
        <f>IFERROR(__xludf.DUMMYFUNCTION("GOOGLETRANSLATE($A52,""en"",""fr"")"),"roumain")</f>
        <v>roumain</v>
      </c>
      <c r="E52" s="9" t="str">
        <f>IFERROR(__xludf.DUMMYFUNCTION("GOOGLETRANSLATE($A52,""en"",""es"")"),"rumano")</f>
        <v>rumano</v>
      </c>
      <c r="F52" s="9" t="str">
        <f>IFERROR(__xludf.DUMMYFUNCTION("GOOGLETRANSLATE($A52,""en"",""it"")"),"rumeno")</f>
        <v>rumeno</v>
      </c>
      <c r="G52" s="9" t="str">
        <f>IFERROR(__xludf.DUMMYFUNCTION("GOOGLETRANSLATE($A52,""en"",""zh-cn"")"),"罗马尼亚语")</f>
        <v>罗马尼亚语</v>
      </c>
      <c r="H52" s="9" t="str">
        <f>IFERROR(__xludf.DUMMYFUNCTION("GOOGLETRANSLATE($A52,""en"",""ja"")"),"ルーマニア語")</f>
        <v>ルーマニア語</v>
      </c>
      <c r="I52" s="9" t="str">
        <f>IFERROR(__xludf.DUMMYFUNCTION("GOOGLETRANSLATE($A52,""en"",""ko"")"),"루마니아 사람")</f>
        <v>루마니아 사람</v>
      </c>
      <c r="J52" s="9" t="str">
        <f>IFERROR(__xludf.DUMMYFUNCTION("GOOGLETRANSLATE($A52,""en"",""pt-BR"")"),"romeno")</f>
        <v>romeno</v>
      </c>
    </row>
    <row r="53">
      <c r="A53" s="9" t="str">
        <f>IFERROR(__xludf.DUMMYFUNCTION("""COMPUTED_VALUE"""),"Russian")</f>
        <v>Russian</v>
      </c>
      <c r="B53" s="9" t="str">
        <f>IFERROR(__xludf.DUMMYFUNCTION("""COMPUTED_VALUE"""),"ru")</f>
        <v>ru</v>
      </c>
      <c r="C53" s="9" t="str">
        <f>IFERROR(__xludf.DUMMYFUNCTION("GOOGLETRANSLATE($A53,""en"",""de"")"),"Russisch")</f>
        <v>Russisch</v>
      </c>
      <c r="D53" s="9" t="str">
        <f>IFERROR(__xludf.DUMMYFUNCTION("GOOGLETRANSLATE($A53,""en"",""fr"")"),"russe")</f>
        <v>russe</v>
      </c>
      <c r="E53" s="9" t="str">
        <f>IFERROR(__xludf.DUMMYFUNCTION("GOOGLETRANSLATE($A53,""en"",""es"")"),"ruso")</f>
        <v>ruso</v>
      </c>
      <c r="F53" s="9" t="str">
        <f>IFERROR(__xludf.DUMMYFUNCTION("GOOGLETRANSLATE($A53,""en"",""it"")"),"russo")</f>
        <v>russo</v>
      </c>
      <c r="G53" s="9" t="str">
        <f>IFERROR(__xludf.DUMMYFUNCTION("GOOGLETRANSLATE($A53,""en"",""zh-cn"")"),"俄语")</f>
        <v>俄语</v>
      </c>
      <c r="H53" s="9" t="str">
        <f>IFERROR(__xludf.DUMMYFUNCTION("GOOGLETRANSLATE($A53,""en"",""ja"")"),"ロシア")</f>
        <v>ロシア</v>
      </c>
      <c r="I53" s="9" t="str">
        <f>IFERROR(__xludf.DUMMYFUNCTION("GOOGLETRANSLATE($A53,""en"",""ko"")"),"러시아인")</f>
        <v>러시아인</v>
      </c>
      <c r="J53" s="9" t="str">
        <f>IFERROR(__xludf.DUMMYFUNCTION("GOOGLETRANSLATE($A53,""en"",""pt-BR"")"),"russo")</f>
        <v>russo</v>
      </c>
    </row>
    <row r="54">
      <c r="A54" s="9" t="str">
        <f>IFERROR(__xludf.DUMMYFUNCTION("""COMPUTED_VALUE"""),"Serbian")</f>
        <v>Serbian</v>
      </c>
      <c r="B54" s="9" t="str">
        <f>IFERROR(__xludf.DUMMYFUNCTION("""COMPUTED_VALUE"""),"sr")</f>
        <v>sr</v>
      </c>
      <c r="C54" s="9" t="str">
        <f>IFERROR(__xludf.DUMMYFUNCTION("GOOGLETRANSLATE($A54,""en"",""de"")"),"serbisch")</f>
        <v>serbisch</v>
      </c>
      <c r="D54" s="9" t="str">
        <f>IFERROR(__xludf.DUMMYFUNCTION("GOOGLETRANSLATE($A54,""en"",""fr"")"),"serbe")</f>
        <v>serbe</v>
      </c>
      <c r="E54" s="9" t="str">
        <f>IFERROR(__xludf.DUMMYFUNCTION("GOOGLETRANSLATE($A54,""en"",""es"")"),"serbio")</f>
        <v>serbio</v>
      </c>
      <c r="F54" s="9" t="str">
        <f>IFERROR(__xludf.DUMMYFUNCTION("GOOGLETRANSLATE($A54,""en"",""it"")"),"serbo")</f>
        <v>serbo</v>
      </c>
      <c r="G54" s="9" t="str">
        <f>IFERROR(__xludf.DUMMYFUNCTION("GOOGLETRANSLATE($A54,""en"",""zh-cn"")"),"塞尔维亚")</f>
        <v>塞尔维亚</v>
      </c>
      <c r="H54" s="9" t="str">
        <f>IFERROR(__xludf.DUMMYFUNCTION("GOOGLETRANSLATE($A54,""en"",""ja"")"),"セルビア語")</f>
        <v>セルビア語</v>
      </c>
      <c r="I54" s="9" t="str">
        <f>IFERROR(__xludf.DUMMYFUNCTION("GOOGLETRANSLATE($A54,""en"",""ko"")"),"세르비아 사람")</f>
        <v>세르비아 사람</v>
      </c>
      <c r="J54" s="9" t="str">
        <f>IFERROR(__xludf.DUMMYFUNCTION("GOOGLETRANSLATE($A54,""en"",""pt-BR"")"),"sérvio")</f>
        <v>sérvio</v>
      </c>
    </row>
    <row r="55">
      <c r="A55" s="9" t="str">
        <f>IFERROR(__xludf.DUMMYFUNCTION("""COMPUTED_VALUE"""),"Slovak")</f>
        <v>Slovak</v>
      </c>
      <c r="B55" s="9" t="str">
        <f>IFERROR(__xludf.DUMMYFUNCTION("""COMPUTED_VALUE"""),"sk")</f>
        <v>sk</v>
      </c>
      <c r="C55" s="9" t="str">
        <f>IFERROR(__xludf.DUMMYFUNCTION("GOOGLETRANSLATE($A55,""en"",""de"")"),"slowakisch")</f>
        <v>slowakisch</v>
      </c>
      <c r="D55" s="9" t="str">
        <f>IFERROR(__xludf.DUMMYFUNCTION("GOOGLETRANSLATE($A55,""en"",""fr"")"),"slovaque")</f>
        <v>slovaque</v>
      </c>
      <c r="E55" s="9" t="str">
        <f>IFERROR(__xludf.DUMMYFUNCTION("GOOGLETRANSLATE($A55,""en"",""es"")"),"eslovaco")</f>
        <v>eslovaco</v>
      </c>
      <c r="F55" s="9" t="str">
        <f>IFERROR(__xludf.DUMMYFUNCTION("GOOGLETRANSLATE($A55,""en"",""it"")"),"slovacco")</f>
        <v>slovacco</v>
      </c>
      <c r="G55" s="9" t="str">
        <f>IFERROR(__xludf.DUMMYFUNCTION("GOOGLETRANSLATE($A55,""en"",""zh-cn"")"),"斯洛伐克语")</f>
        <v>斯洛伐克语</v>
      </c>
      <c r="H55" s="9" t="str">
        <f>IFERROR(__xludf.DUMMYFUNCTION("GOOGLETRANSLATE($A55,""en"",""ja"")"),"スロバキア語")</f>
        <v>スロバキア語</v>
      </c>
      <c r="I55" s="9" t="str">
        <f>IFERROR(__xludf.DUMMYFUNCTION("GOOGLETRANSLATE($A55,""en"",""ko"")"),"슬로바키아 사람")</f>
        <v>슬로바키아 사람</v>
      </c>
      <c r="J55" s="9" t="str">
        <f>IFERROR(__xludf.DUMMYFUNCTION("GOOGLETRANSLATE($A55,""en"",""pt-BR"")"),"Eslovaco")</f>
        <v>Eslovaco</v>
      </c>
    </row>
    <row r="56">
      <c r="A56" s="9" t="str">
        <f>IFERROR(__xludf.DUMMYFUNCTION("""COMPUTED_VALUE"""),"Slovenian")</f>
        <v>Slovenian</v>
      </c>
      <c r="B56" s="9" t="str">
        <f>IFERROR(__xludf.DUMMYFUNCTION("""COMPUTED_VALUE"""),"sl")</f>
        <v>sl</v>
      </c>
      <c r="C56" s="9" t="str">
        <f>IFERROR(__xludf.DUMMYFUNCTION("GOOGLETRANSLATE($A56,""en"",""de"")"),"Slowenisch")</f>
        <v>Slowenisch</v>
      </c>
      <c r="D56" s="9" t="str">
        <f>IFERROR(__xludf.DUMMYFUNCTION("GOOGLETRANSLATE($A56,""en"",""fr"")"),"slovène")</f>
        <v>slovène</v>
      </c>
      <c r="E56" s="9" t="str">
        <f>IFERROR(__xludf.DUMMYFUNCTION("GOOGLETRANSLATE($A56,""en"",""es"")"),"esloveno")</f>
        <v>esloveno</v>
      </c>
      <c r="F56" s="9" t="str">
        <f>IFERROR(__xludf.DUMMYFUNCTION("GOOGLETRANSLATE($A56,""en"",""it"")"),"sloveno")</f>
        <v>sloveno</v>
      </c>
      <c r="G56" s="9" t="str">
        <f>IFERROR(__xludf.DUMMYFUNCTION("GOOGLETRANSLATE($A56,""en"",""zh-cn"")"),"斯洛文尼亚语")</f>
        <v>斯洛文尼亚语</v>
      </c>
      <c r="H56" s="9" t="str">
        <f>IFERROR(__xludf.DUMMYFUNCTION("GOOGLETRANSLATE($A56,""en"",""ja"")"),"スロベニア語")</f>
        <v>スロベニア語</v>
      </c>
      <c r="I56" s="9" t="str">
        <f>IFERROR(__xludf.DUMMYFUNCTION("GOOGLETRANSLATE($A56,""en"",""ko"")"),"슬로베니아")</f>
        <v>슬로베니아</v>
      </c>
      <c r="J56" s="9" t="str">
        <f>IFERROR(__xludf.DUMMYFUNCTION("GOOGLETRANSLATE($A56,""en"",""pt-BR"")"),"esloveno")</f>
        <v>esloveno</v>
      </c>
    </row>
    <row r="57">
      <c r="A57" s="9" t="str">
        <f>IFERROR(__xludf.DUMMYFUNCTION("""COMPUTED_VALUE"""),"Spanish")</f>
        <v>Spanish</v>
      </c>
      <c r="B57" s="9" t="str">
        <f>IFERROR(__xludf.DUMMYFUNCTION("""COMPUTED_VALUE"""),"es")</f>
        <v>es</v>
      </c>
      <c r="C57" s="9" t="str">
        <f>IFERROR(__xludf.DUMMYFUNCTION("GOOGLETRANSLATE($A57,""en"",""de"")"),"Spanisch")</f>
        <v>Spanisch</v>
      </c>
      <c r="D57" s="9" t="str">
        <f>IFERROR(__xludf.DUMMYFUNCTION("GOOGLETRANSLATE($A57,""en"",""fr"")"),"Espagnol")</f>
        <v>Espagnol</v>
      </c>
      <c r="E57" s="9" t="str">
        <f>IFERROR(__xludf.DUMMYFUNCTION("GOOGLETRANSLATE($A57,""en"",""es"")"),"Español")</f>
        <v>Español</v>
      </c>
      <c r="F57" s="9" t="str">
        <f>IFERROR(__xludf.DUMMYFUNCTION("GOOGLETRANSLATE($A57,""en"",""it"")"),"spagnolo")</f>
        <v>spagnolo</v>
      </c>
      <c r="G57" s="9" t="str">
        <f>IFERROR(__xludf.DUMMYFUNCTION("GOOGLETRANSLATE($A57,""en"",""zh-cn"")"),"西班牙语")</f>
        <v>西班牙语</v>
      </c>
      <c r="H57" s="9" t="str">
        <f>IFERROR(__xludf.DUMMYFUNCTION("GOOGLETRANSLATE($A57,""en"",""ja"")"),"スペイン語")</f>
        <v>スペイン語</v>
      </c>
      <c r="I57" s="9" t="str">
        <f>IFERROR(__xludf.DUMMYFUNCTION("GOOGLETRANSLATE($A57,""en"",""ko"")"),"스페인 사람")</f>
        <v>스페인 사람</v>
      </c>
      <c r="J57" s="9" t="str">
        <f>IFERROR(__xludf.DUMMYFUNCTION("GOOGLETRANSLATE($A57,""en"",""pt-BR"")"),"Espanhol")</f>
        <v>Espanhol</v>
      </c>
    </row>
    <row r="58">
      <c r="A58" s="9" t="str">
        <f>IFERROR(__xludf.DUMMYFUNCTION("""COMPUTED_VALUE"""),"Swahili")</f>
        <v>Swahili</v>
      </c>
      <c r="B58" s="9" t="str">
        <f>IFERROR(__xludf.DUMMYFUNCTION("""COMPUTED_VALUE"""),"sw")</f>
        <v>sw</v>
      </c>
      <c r="C58" s="9" t="str">
        <f>IFERROR(__xludf.DUMMYFUNCTION("GOOGLETRANSLATE($A58,""en"",""de"")"),"Suaheli")</f>
        <v>Suaheli</v>
      </c>
      <c r="D58" s="9" t="str">
        <f>IFERROR(__xludf.DUMMYFUNCTION("GOOGLETRANSLATE($A58,""en"",""fr"")"),"Swahili")</f>
        <v>Swahili</v>
      </c>
      <c r="E58" s="9" t="str">
        <f>IFERROR(__xludf.DUMMYFUNCTION("GOOGLETRANSLATE($A58,""en"",""es"")"),"swahili")</f>
        <v>swahili</v>
      </c>
      <c r="F58" s="9" t="str">
        <f>IFERROR(__xludf.DUMMYFUNCTION("GOOGLETRANSLATE($A58,""en"",""it"")"),"Swahili")</f>
        <v>Swahili</v>
      </c>
      <c r="G58" s="9" t="str">
        <f>IFERROR(__xludf.DUMMYFUNCTION("GOOGLETRANSLATE($A58,""en"",""zh-cn"")"),"斯瓦希里语")</f>
        <v>斯瓦希里语</v>
      </c>
      <c r="H58" s="9" t="str">
        <f>IFERROR(__xludf.DUMMYFUNCTION("GOOGLETRANSLATE($A58,""en"",""ja"")"),"スワヒリ語")</f>
        <v>スワヒリ語</v>
      </c>
      <c r="I58" s="9" t="str">
        <f>IFERROR(__xludf.DUMMYFUNCTION("GOOGLETRANSLATE($A58,""en"",""ko"")"),"스와힐리어")</f>
        <v>스와힐리어</v>
      </c>
      <c r="J58" s="9" t="str">
        <f>IFERROR(__xludf.DUMMYFUNCTION("GOOGLETRANSLATE($A58,""en"",""pt-BR"")"),"suaíli")</f>
        <v>suaíli</v>
      </c>
    </row>
    <row r="59">
      <c r="A59" s="9" t="str">
        <f>IFERROR(__xludf.DUMMYFUNCTION("""COMPUTED_VALUE"""),"Swedish")</f>
        <v>Swedish</v>
      </c>
      <c r="B59" s="9" t="str">
        <f>IFERROR(__xludf.DUMMYFUNCTION("""COMPUTED_VALUE"""),"sv")</f>
        <v>sv</v>
      </c>
      <c r="C59" s="9" t="str">
        <f>IFERROR(__xludf.DUMMYFUNCTION("GOOGLETRANSLATE($A59,""en"",""de"")"),"Schwedisch")</f>
        <v>Schwedisch</v>
      </c>
      <c r="D59" s="9" t="str">
        <f>IFERROR(__xludf.DUMMYFUNCTION("GOOGLETRANSLATE($A59,""en"",""fr"")"),"suédois")</f>
        <v>suédois</v>
      </c>
      <c r="E59" s="9" t="str">
        <f>IFERROR(__xludf.DUMMYFUNCTION("GOOGLETRANSLATE($A59,""en"",""es"")"),"sueco")</f>
        <v>sueco</v>
      </c>
      <c r="F59" s="9" t="str">
        <f>IFERROR(__xludf.DUMMYFUNCTION("GOOGLETRANSLATE($A59,""en"",""it"")"),"svedese")</f>
        <v>svedese</v>
      </c>
      <c r="G59" s="9" t="str">
        <f>IFERROR(__xludf.DUMMYFUNCTION("GOOGLETRANSLATE($A59,""en"",""zh-cn"")"),"瑞典")</f>
        <v>瑞典</v>
      </c>
      <c r="H59" s="9" t="str">
        <f>IFERROR(__xludf.DUMMYFUNCTION("GOOGLETRANSLATE($A59,""en"",""ja"")"),"スウェーデン語")</f>
        <v>スウェーデン語</v>
      </c>
      <c r="I59" s="9" t="str">
        <f>IFERROR(__xludf.DUMMYFUNCTION("GOOGLETRANSLATE($A59,""en"",""ko"")"),"스웨덴어")</f>
        <v>스웨덴어</v>
      </c>
      <c r="J59" s="9" t="str">
        <f>IFERROR(__xludf.DUMMYFUNCTION("GOOGLETRANSLATE($A59,""en"",""pt-BR"")"),"sueco")</f>
        <v>sueco</v>
      </c>
    </row>
    <row r="60">
      <c r="A60" s="9" t="str">
        <f>IFERROR(__xludf.DUMMYFUNCTION("""COMPUTED_VALUE"""),"Tamil")</f>
        <v>Tamil</v>
      </c>
      <c r="B60" s="9" t="str">
        <f>IFERROR(__xludf.DUMMYFUNCTION("""COMPUTED_VALUE"""),"ta")</f>
        <v>ta</v>
      </c>
      <c r="C60" s="9" t="str">
        <f>IFERROR(__xludf.DUMMYFUNCTION("GOOGLETRANSLATE($A60,""en"",""de"")"),"Tamilisch")</f>
        <v>Tamilisch</v>
      </c>
      <c r="D60" s="9" t="str">
        <f>IFERROR(__xludf.DUMMYFUNCTION("GOOGLETRANSLATE($A60,""en"",""fr"")"),"Tamoul")</f>
        <v>Tamoul</v>
      </c>
      <c r="E60" s="9" t="str">
        <f>IFERROR(__xludf.DUMMYFUNCTION("GOOGLETRANSLATE($A60,""en"",""es"")"),"Tamil")</f>
        <v>Tamil</v>
      </c>
      <c r="F60" s="9" t="str">
        <f>IFERROR(__xludf.DUMMYFUNCTION("GOOGLETRANSLATE($A60,""en"",""it"")"),"Tamil")</f>
        <v>Tamil</v>
      </c>
      <c r="G60" s="9" t="str">
        <f>IFERROR(__xludf.DUMMYFUNCTION("GOOGLETRANSLATE($A60,""en"",""zh-cn"")"),"泰米尔语")</f>
        <v>泰米尔语</v>
      </c>
      <c r="H60" s="9" t="str">
        <f>IFERROR(__xludf.DUMMYFUNCTION("GOOGLETRANSLATE($A60,""en"",""ja"")"),"タミル語")</f>
        <v>タミル語</v>
      </c>
      <c r="I60" s="9" t="str">
        <f>IFERROR(__xludf.DUMMYFUNCTION("GOOGLETRANSLATE($A60,""en"",""ko"")"),"타밀 사람")</f>
        <v>타밀 사람</v>
      </c>
      <c r="J60" s="9" t="str">
        <f>IFERROR(__xludf.DUMMYFUNCTION("GOOGLETRANSLATE($A60,""en"",""pt-BR"")"),"tâmil")</f>
        <v>tâmil</v>
      </c>
    </row>
    <row r="61">
      <c r="A61" s="9" t="str">
        <f>IFERROR(__xludf.DUMMYFUNCTION("""COMPUTED_VALUE"""),"Thai")</f>
        <v>Thai</v>
      </c>
      <c r="B61" s="9" t="str">
        <f>IFERROR(__xludf.DUMMYFUNCTION("""COMPUTED_VALUE"""),"th")</f>
        <v>th</v>
      </c>
      <c r="C61" s="9" t="str">
        <f>IFERROR(__xludf.DUMMYFUNCTION("GOOGLETRANSLATE($A61,""en"",""de"")"),"Thailändisch")</f>
        <v>Thailändisch</v>
      </c>
      <c r="D61" s="9" t="str">
        <f>IFERROR(__xludf.DUMMYFUNCTION("GOOGLETRANSLATE($A61,""en"",""fr"")"),"thaïlandais")</f>
        <v>thaïlandais</v>
      </c>
      <c r="E61" s="9" t="str">
        <f>IFERROR(__xludf.DUMMYFUNCTION("GOOGLETRANSLATE($A61,""en"",""es"")"),"tailandés")</f>
        <v>tailandés</v>
      </c>
      <c r="F61" s="9" t="str">
        <f>IFERROR(__xludf.DUMMYFUNCTION("GOOGLETRANSLATE($A61,""en"",""it"")"),"tailandese")</f>
        <v>tailandese</v>
      </c>
      <c r="G61" s="9" t="str">
        <f>IFERROR(__xludf.DUMMYFUNCTION("GOOGLETRANSLATE($A61,""en"",""zh-cn"")"),"泰国")</f>
        <v>泰国</v>
      </c>
      <c r="H61" s="9" t="str">
        <f>IFERROR(__xludf.DUMMYFUNCTION("GOOGLETRANSLATE($A61,""en"",""ja"")"),"タイ語")</f>
        <v>タイ語</v>
      </c>
      <c r="I61" s="9" t="str">
        <f>IFERROR(__xludf.DUMMYFUNCTION("GOOGLETRANSLATE($A61,""en"",""ko"")"),"태국어")</f>
        <v>태국어</v>
      </c>
      <c r="J61" s="9" t="str">
        <f>IFERROR(__xludf.DUMMYFUNCTION("GOOGLETRANSLATE($A61,""en"",""pt-BR"")"),"Tailandês")</f>
        <v>Tailandês</v>
      </c>
    </row>
    <row r="62">
      <c r="A62" s="9" t="str">
        <f>IFERROR(__xludf.DUMMYFUNCTION("""COMPUTED_VALUE"""),"Turkish")</f>
        <v>Turkish</v>
      </c>
      <c r="B62" s="9" t="str">
        <f>IFERROR(__xludf.DUMMYFUNCTION("""COMPUTED_VALUE"""),"tr")</f>
        <v>tr</v>
      </c>
      <c r="C62" s="9" t="str">
        <f>IFERROR(__xludf.DUMMYFUNCTION("GOOGLETRANSLATE($A62,""en"",""de"")"),"Türkisch")</f>
        <v>Türkisch</v>
      </c>
      <c r="D62" s="9" t="str">
        <f>IFERROR(__xludf.DUMMYFUNCTION("GOOGLETRANSLATE($A62,""en"",""fr"")"),"turc")</f>
        <v>turc</v>
      </c>
      <c r="E62" s="9" t="str">
        <f>IFERROR(__xludf.DUMMYFUNCTION("GOOGLETRANSLATE($A62,""en"",""es"")"),"turco")</f>
        <v>turco</v>
      </c>
      <c r="F62" s="9" t="str">
        <f>IFERROR(__xludf.DUMMYFUNCTION("GOOGLETRANSLATE($A62,""en"",""it"")"),"turco")</f>
        <v>turco</v>
      </c>
      <c r="G62" s="9" t="str">
        <f>IFERROR(__xludf.DUMMYFUNCTION("GOOGLETRANSLATE($A62,""en"",""zh-cn"")"),"土耳其")</f>
        <v>土耳其</v>
      </c>
      <c r="H62" s="9" t="str">
        <f>IFERROR(__xludf.DUMMYFUNCTION("GOOGLETRANSLATE($A62,""en"",""ja"")"),"トルコ語")</f>
        <v>トルコ語</v>
      </c>
      <c r="I62" s="9" t="str">
        <f>IFERROR(__xludf.DUMMYFUNCTION("GOOGLETRANSLATE($A62,""en"",""ko"")"),"터키어")</f>
        <v>터키어</v>
      </c>
      <c r="J62" s="9" t="str">
        <f>IFERROR(__xludf.DUMMYFUNCTION("GOOGLETRANSLATE($A62,""en"",""pt-BR"")"),"turco")</f>
        <v>turco</v>
      </c>
    </row>
    <row r="63">
      <c r="A63" s="9" t="str">
        <f>IFERROR(__xludf.DUMMYFUNCTION("""COMPUTED_VALUE"""),"Ukrainian")</f>
        <v>Ukrainian</v>
      </c>
      <c r="B63" s="9" t="str">
        <f>IFERROR(__xludf.DUMMYFUNCTION("""COMPUTED_VALUE"""),"uk")</f>
        <v>uk</v>
      </c>
      <c r="C63" s="9" t="str">
        <f>IFERROR(__xludf.DUMMYFUNCTION("GOOGLETRANSLATE($A63,""en"",""de"")"),"ukrainisch")</f>
        <v>ukrainisch</v>
      </c>
      <c r="D63" s="9" t="str">
        <f>IFERROR(__xludf.DUMMYFUNCTION("GOOGLETRANSLATE($A63,""en"",""fr"")"),"ukrainien")</f>
        <v>ukrainien</v>
      </c>
      <c r="E63" s="9" t="str">
        <f>IFERROR(__xludf.DUMMYFUNCTION("GOOGLETRANSLATE($A63,""en"",""es"")"),"ucranio")</f>
        <v>ucranio</v>
      </c>
      <c r="F63" s="9" t="str">
        <f>IFERROR(__xludf.DUMMYFUNCTION("GOOGLETRANSLATE($A63,""en"",""it"")"),"ucraino")</f>
        <v>ucraino</v>
      </c>
      <c r="G63" s="9" t="str">
        <f>IFERROR(__xludf.DUMMYFUNCTION("GOOGLETRANSLATE($A63,""en"",""zh-cn"")"),"乌克兰")</f>
        <v>乌克兰</v>
      </c>
      <c r="H63" s="9" t="str">
        <f>IFERROR(__xludf.DUMMYFUNCTION("GOOGLETRANSLATE($A63,""en"",""ja"")"),"ウクライナ語")</f>
        <v>ウクライナ語</v>
      </c>
      <c r="I63" s="9" t="str">
        <f>IFERROR(__xludf.DUMMYFUNCTION("GOOGLETRANSLATE($A63,""en"",""ko"")"),"우크라이나 말")</f>
        <v>우크라이나 말</v>
      </c>
      <c r="J63" s="9" t="str">
        <f>IFERROR(__xludf.DUMMYFUNCTION("GOOGLETRANSLATE($A63,""en"",""pt-BR"")"),"ucraniano")</f>
        <v>ucraniano</v>
      </c>
    </row>
    <row r="64">
      <c r="A64" s="9" t="str">
        <f>IFERROR(__xludf.DUMMYFUNCTION("""COMPUTED_VALUE"""),"Urdu")</f>
        <v>Urdu</v>
      </c>
      <c r="B64" s="9" t="str">
        <f>IFERROR(__xludf.DUMMYFUNCTION("""COMPUTED_VALUE"""),"ur")</f>
        <v>ur</v>
      </c>
      <c r="C64" s="9" t="str">
        <f>IFERROR(__xludf.DUMMYFUNCTION("GOOGLETRANSLATE($A64,""en"",""de"")"),"Urdu")</f>
        <v>Urdu</v>
      </c>
      <c r="D64" s="9" t="str">
        <f>IFERROR(__xludf.DUMMYFUNCTION("GOOGLETRANSLATE($A64,""en"",""fr"")"),"Ourdou")</f>
        <v>Ourdou</v>
      </c>
      <c r="E64" s="9" t="str">
        <f>IFERROR(__xludf.DUMMYFUNCTION("GOOGLETRANSLATE($A64,""en"",""es"")"),"urdu")</f>
        <v>urdu</v>
      </c>
      <c r="F64" s="9" t="str">
        <f>IFERROR(__xludf.DUMMYFUNCTION("GOOGLETRANSLATE($A64,""en"",""it"")"),"Urdu")</f>
        <v>Urdu</v>
      </c>
      <c r="G64" s="9" t="str">
        <f>IFERROR(__xludf.DUMMYFUNCTION("GOOGLETRANSLATE($A64,""en"",""zh-cn"")"),"乌尔都语")</f>
        <v>乌尔都语</v>
      </c>
      <c r="H64" s="9" t="str">
        <f>IFERROR(__xludf.DUMMYFUNCTION("GOOGLETRANSLATE($A64,""en"",""ja"")"),"ウルドゥー語")</f>
        <v>ウルドゥー語</v>
      </c>
      <c r="I64" s="9" t="str">
        <f>IFERROR(__xludf.DUMMYFUNCTION("GOOGLETRANSLATE($A64,""en"",""ko"")"),"우르두어")</f>
        <v>우르두어</v>
      </c>
      <c r="J64" s="9" t="str">
        <f>IFERROR(__xludf.DUMMYFUNCTION("GOOGLETRANSLATE($A64,""en"",""pt-BR"")"),"urdu")</f>
        <v>urdu</v>
      </c>
    </row>
    <row r="65">
      <c r="A65" s="9" t="str">
        <f>IFERROR(__xludf.DUMMYFUNCTION("""COMPUTED_VALUE"""),"Uzbek")</f>
        <v>Uzbek</v>
      </c>
      <c r="B65" s="9" t="str">
        <f>IFERROR(__xludf.DUMMYFUNCTION("""COMPUTED_VALUE"""),"uz")</f>
        <v>uz</v>
      </c>
      <c r="C65" s="9" t="str">
        <f>IFERROR(__xludf.DUMMYFUNCTION("GOOGLETRANSLATE($A65,""en"",""de"")"),"Usbekisch")</f>
        <v>Usbekisch</v>
      </c>
      <c r="D65" s="9" t="str">
        <f>IFERROR(__xludf.DUMMYFUNCTION("GOOGLETRANSLATE($A65,""en"",""fr"")"),"Ouzbek")</f>
        <v>Ouzbek</v>
      </c>
      <c r="E65" s="9" t="str">
        <f>IFERROR(__xludf.DUMMYFUNCTION("GOOGLETRANSLATE($A65,""en"",""es"")"),"uzbeko")</f>
        <v>uzbeko</v>
      </c>
      <c r="F65" s="9" t="str">
        <f>IFERROR(__xludf.DUMMYFUNCTION("GOOGLETRANSLATE($A65,""en"",""it"")"),"Uzbeco")</f>
        <v>Uzbeco</v>
      </c>
      <c r="G65" s="9" t="str">
        <f>IFERROR(__xludf.DUMMYFUNCTION("GOOGLETRANSLATE($A65,""en"",""zh-cn"")"),"乌兹别克语")</f>
        <v>乌兹别克语</v>
      </c>
      <c r="H65" s="9" t="str">
        <f>IFERROR(__xludf.DUMMYFUNCTION("GOOGLETRANSLATE($A65,""en"",""ja"")"),"ウズベク語")</f>
        <v>ウズベク語</v>
      </c>
      <c r="I65" s="9" t="str">
        <f>IFERROR(__xludf.DUMMYFUNCTION("GOOGLETRANSLATE($A65,""en"",""ko"")"),"우즈벡어")</f>
        <v>우즈벡어</v>
      </c>
      <c r="J65" s="9" t="str">
        <f>IFERROR(__xludf.DUMMYFUNCTION("GOOGLETRANSLATE($A65,""en"",""pt-BR"")"),"Usbeque")</f>
        <v>Usbeque</v>
      </c>
    </row>
    <row r="66">
      <c r="A66" s="9" t="str">
        <f>IFERROR(__xludf.DUMMYFUNCTION("""COMPUTED_VALUE"""),"Vietnamese")</f>
        <v>Vietnamese</v>
      </c>
      <c r="B66" s="9" t="str">
        <f>IFERROR(__xludf.DUMMYFUNCTION("""COMPUTED_VALUE"""),"vi")</f>
        <v>vi</v>
      </c>
      <c r="C66" s="9" t="str">
        <f>IFERROR(__xludf.DUMMYFUNCTION("GOOGLETRANSLATE($A66,""en"",""de"")"),"Vietnamesisch")</f>
        <v>Vietnamesisch</v>
      </c>
      <c r="D66" s="9" t="str">
        <f>IFERROR(__xludf.DUMMYFUNCTION("GOOGLETRANSLATE($A66,""en"",""fr"")"),"vietnamien")</f>
        <v>vietnamien</v>
      </c>
      <c r="E66" s="9" t="str">
        <f>IFERROR(__xludf.DUMMYFUNCTION("GOOGLETRANSLATE($A66,""en"",""es"")"),"vietnamita")</f>
        <v>vietnamita</v>
      </c>
      <c r="F66" s="9" t="str">
        <f>IFERROR(__xludf.DUMMYFUNCTION("GOOGLETRANSLATE($A66,""en"",""it"")"),"vietnamita")</f>
        <v>vietnamita</v>
      </c>
      <c r="G66" s="9" t="str">
        <f>IFERROR(__xludf.DUMMYFUNCTION("GOOGLETRANSLATE($A66,""en"",""zh-cn"")"),"越南语")</f>
        <v>越南语</v>
      </c>
      <c r="H66" s="9" t="str">
        <f>IFERROR(__xludf.DUMMYFUNCTION("GOOGLETRANSLATE($A66,""en"",""ja"")"),"ベトナム語")</f>
        <v>ベトナム語</v>
      </c>
      <c r="I66" s="9" t="str">
        <f>IFERROR(__xludf.DUMMYFUNCTION("GOOGLETRANSLATE($A66,""en"",""ko"")"),"베트남 사람")</f>
        <v>베트남 사람</v>
      </c>
      <c r="J66" s="9" t="str">
        <f>IFERROR(__xludf.DUMMYFUNCTION("GOOGLETRANSLATE($A66,""en"",""pt-BR"")"),"vietnamita")</f>
        <v>vietnamita</v>
      </c>
    </row>
    <row r="67">
      <c r="A67" s="9" t="str">
        <f>IFERROR(__xludf.DUMMYFUNCTION("""COMPUTED_VALUE"""),"Yoruba")</f>
        <v>Yoruba</v>
      </c>
      <c r="B67" s="9" t="str">
        <f>IFERROR(__xludf.DUMMYFUNCTION("""COMPUTED_VALUE"""),"yo")</f>
        <v>yo</v>
      </c>
      <c r="C67" s="9" t="str">
        <f>IFERROR(__xludf.DUMMYFUNCTION("GOOGLETRANSLATE($A67,""en"",""de"")"),"Yoruba")</f>
        <v>Yoruba</v>
      </c>
      <c r="D67" s="9" t="str">
        <f>IFERROR(__xludf.DUMMYFUNCTION("GOOGLETRANSLATE($A67,""en"",""fr"")"),"Yorouba")</f>
        <v>Yorouba</v>
      </c>
      <c r="E67" s="9" t="str">
        <f>IFERROR(__xludf.DUMMYFUNCTION("GOOGLETRANSLATE($A67,""en"",""es"")"),"yoruba")</f>
        <v>yoruba</v>
      </c>
      <c r="F67" s="9" t="str">
        <f>IFERROR(__xludf.DUMMYFUNCTION("GOOGLETRANSLATE($A67,""en"",""it"")"),"Yoruba")</f>
        <v>Yoruba</v>
      </c>
      <c r="G67" s="9" t="str">
        <f>IFERROR(__xludf.DUMMYFUNCTION("GOOGLETRANSLATE($A67,""en"",""zh-cn"")"),"约鲁巴语")</f>
        <v>约鲁巴语</v>
      </c>
      <c r="H67" s="9" t="str">
        <f>IFERROR(__xludf.DUMMYFUNCTION("GOOGLETRANSLATE($A67,""en"",""ja"")"),"ヨルバ語")</f>
        <v>ヨルバ語</v>
      </c>
      <c r="I67" s="9" t="str">
        <f>IFERROR(__xludf.DUMMYFUNCTION("GOOGLETRANSLATE($A67,""en"",""ko"")"),"요루바어")</f>
        <v>요루바어</v>
      </c>
      <c r="J67" s="9" t="str">
        <f>IFERROR(__xludf.DUMMYFUNCTION("GOOGLETRANSLATE($A67,""en"",""pt-BR"")"),"Iorubá")</f>
        <v>Iorubá</v>
      </c>
    </row>
    <row r="68">
      <c r="A68" s="9"/>
      <c r="B68" s="9"/>
    </row>
    <row r="69">
      <c r="A69" s="9"/>
      <c r="B69" s="9"/>
    </row>
    <row r="70">
      <c r="A70" s="9"/>
      <c r="B70" s="9"/>
    </row>
    <row r="71">
      <c r="A71" s="9"/>
      <c r="B71" s="9"/>
    </row>
    <row r="72">
      <c r="A72" s="9"/>
      <c r="B72" s="9"/>
    </row>
    <row r="73">
      <c r="A73" s="9"/>
      <c r="B73" s="9"/>
    </row>
    <row r="74">
      <c r="A74" s="9"/>
      <c r="B74" s="9"/>
    </row>
    <row r="75">
      <c r="A75" s="9"/>
      <c r="B75" s="9"/>
    </row>
    <row r="76">
      <c r="A76" s="9"/>
      <c r="B76" s="9"/>
    </row>
    <row r="77">
      <c r="A77" s="9"/>
      <c r="B77" s="9"/>
    </row>
    <row r="78">
      <c r="A78" s="9"/>
      <c r="B78" s="9"/>
    </row>
    <row r="79">
      <c r="A79" s="9"/>
      <c r="B79" s="9"/>
    </row>
    <row r="80">
      <c r="A80" s="9"/>
      <c r="B80" s="9"/>
    </row>
    <row r="81">
      <c r="A81" s="9"/>
      <c r="B81" s="9"/>
    </row>
    <row r="82">
      <c r="A82" s="9"/>
      <c r="B82" s="9"/>
    </row>
    <row r="83">
      <c r="A83" s="9"/>
      <c r="B83" s="9"/>
    </row>
    <row r="84">
      <c r="A84" s="9"/>
      <c r="B84" s="9"/>
    </row>
    <row r="85">
      <c r="A85" s="9"/>
      <c r="B85" s="9"/>
    </row>
    <row r="86">
      <c r="A86" s="9"/>
      <c r="B86" s="9"/>
    </row>
    <row r="87">
      <c r="A87" s="9"/>
      <c r="B87" s="9"/>
    </row>
    <row r="88">
      <c r="A88" s="9"/>
      <c r="B88" s="9"/>
    </row>
    <row r="89">
      <c r="A89" s="9"/>
      <c r="B89" s="9"/>
    </row>
    <row r="90">
      <c r="A90" s="9"/>
      <c r="B90" s="9"/>
    </row>
    <row r="91">
      <c r="A91" s="9"/>
      <c r="B91" s="9"/>
    </row>
    <row r="92">
      <c r="A92" s="9"/>
      <c r="B92" s="9"/>
    </row>
    <row r="93">
      <c r="A93" s="9"/>
      <c r="B93" s="9"/>
    </row>
    <row r="94">
      <c r="A94" s="9"/>
      <c r="B94" s="9"/>
    </row>
    <row r="95">
      <c r="A95" s="9"/>
      <c r="B95" s="9"/>
    </row>
    <row r="96">
      <c r="A96" s="9"/>
      <c r="B96" s="9"/>
    </row>
    <row r="97">
      <c r="A97" s="9"/>
      <c r="B97" s="9"/>
    </row>
    <row r="98">
      <c r="A98" s="9"/>
      <c r="B98" s="9"/>
    </row>
    <row r="99">
      <c r="A99" s="9"/>
      <c r="B99" s="9"/>
    </row>
    <row r="100">
      <c r="A100" s="9"/>
      <c r="B100" s="9"/>
    </row>
    <row r="101">
      <c r="A101" s="9"/>
      <c r="B101" s="9"/>
    </row>
    <row r="102">
      <c r="A102" s="9"/>
      <c r="B102" s="9"/>
    </row>
    <row r="103">
      <c r="A103" s="9"/>
      <c r="B103" s="9"/>
    </row>
    <row r="104">
      <c r="A104" s="9"/>
      <c r="B104" s="9"/>
    </row>
    <row r="105">
      <c r="A105" s="9"/>
      <c r="B105" s="9"/>
    </row>
    <row r="106">
      <c r="A106" s="9"/>
      <c r="B106" s="9"/>
    </row>
    <row r="107">
      <c r="A107" s="9"/>
      <c r="B107" s="9"/>
    </row>
    <row r="108">
      <c r="A108" s="9"/>
      <c r="B108" s="9"/>
    </row>
    <row r="109">
      <c r="A109" s="9"/>
      <c r="B109" s="9"/>
    </row>
    <row r="110">
      <c r="A110" s="9"/>
      <c r="B110" s="9"/>
    </row>
    <row r="111">
      <c r="A111" s="9"/>
      <c r="B111" s="9"/>
    </row>
    <row r="112">
      <c r="A112" s="9"/>
      <c r="B112" s="9"/>
    </row>
    <row r="113">
      <c r="A113" s="9"/>
      <c r="B113" s="9"/>
    </row>
    <row r="114">
      <c r="A114" s="9"/>
      <c r="B114" s="9"/>
    </row>
    <row r="115">
      <c r="A115" s="9"/>
      <c r="B115" s="9"/>
    </row>
    <row r="116">
      <c r="A116" s="9"/>
      <c r="B116" s="9"/>
    </row>
    <row r="117">
      <c r="A117" s="9"/>
      <c r="B117" s="9"/>
    </row>
    <row r="118">
      <c r="A118" s="9"/>
      <c r="B118" s="9"/>
    </row>
    <row r="119">
      <c r="A119" s="9"/>
      <c r="B119" s="9"/>
    </row>
    <row r="120">
      <c r="A120" s="9"/>
      <c r="B120" s="9"/>
    </row>
    <row r="121">
      <c r="A121" s="9"/>
      <c r="B121" s="9"/>
    </row>
    <row r="122">
      <c r="A122" s="9"/>
      <c r="B122" s="9"/>
    </row>
    <row r="123">
      <c r="A123" s="9"/>
      <c r="B123" s="9"/>
    </row>
    <row r="124">
      <c r="A124" s="9"/>
      <c r="B124" s="9"/>
    </row>
    <row r="125">
      <c r="A125" s="9"/>
      <c r="B125" s="9"/>
    </row>
    <row r="126">
      <c r="A126" s="9"/>
      <c r="B126" s="9"/>
    </row>
    <row r="127">
      <c r="A127" s="9"/>
      <c r="B127" s="9"/>
    </row>
    <row r="128">
      <c r="A128" s="9"/>
      <c r="B128" s="9"/>
    </row>
    <row r="129">
      <c r="A129" s="9"/>
      <c r="B129" s="9"/>
    </row>
    <row r="130">
      <c r="A130" s="9"/>
      <c r="B130" s="9"/>
    </row>
    <row r="131">
      <c r="A131" s="9"/>
      <c r="B131" s="9"/>
    </row>
    <row r="132">
      <c r="A132" s="9"/>
      <c r="B132" s="9"/>
    </row>
    <row r="133">
      <c r="A133" s="9"/>
      <c r="B133" s="9"/>
    </row>
    <row r="134">
      <c r="A134" s="9"/>
      <c r="B134" s="9"/>
    </row>
    <row r="135">
      <c r="A135" s="9"/>
      <c r="B135" s="9"/>
    </row>
    <row r="136">
      <c r="A136" s="9"/>
      <c r="B136" s="9"/>
    </row>
    <row r="137">
      <c r="A137" s="9"/>
      <c r="B137" s="9"/>
    </row>
    <row r="138">
      <c r="A138" s="9"/>
      <c r="B138" s="9"/>
    </row>
    <row r="139">
      <c r="A139" s="9"/>
      <c r="B139" s="9"/>
    </row>
    <row r="140">
      <c r="A140" s="9"/>
      <c r="B140" s="9"/>
    </row>
    <row r="141">
      <c r="A141" s="9"/>
      <c r="B141" s="9"/>
    </row>
    <row r="142">
      <c r="A142" s="9"/>
      <c r="B142" s="9"/>
    </row>
    <row r="143">
      <c r="A143" s="9"/>
      <c r="B143" s="9"/>
    </row>
    <row r="144">
      <c r="A144" s="9"/>
      <c r="B144" s="9"/>
    </row>
    <row r="145">
      <c r="A145" s="9"/>
      <c r="B145" s="9"/>
    </row>
    <row r="146">
      <c r="A146" s="9"/>
      <c r="B146" s="9"/>
    </row>
    <row r="147">
      <c r="A147" s="9"/>
      <c r="B147" s="9"/>
    </row>
    <row r="148">
      <c r="A148" s="9"/>
      <c r="B148" s="9"/>
    </row>
    <row r="149">
      <c r="A149" s="9"/>
      <c r="B149" s="9"/>
    </row>
    <row r="150">
      <c r="A150" s="9"/>
      <c r="B150" s="9"/>
    </row>
    <row r="151">
      <c r="A151" s="9"/>
      <c r="B151" s="9"/>
    </row>
    <row r="152">
      <c r="A152" s="9"/>
      <c r="B152" s="9"/>
    </row>
    <row r="153">
      <c r="A153" s="9"/>
      <c r="B153" s="9"/>
    </row>
    <row r="154">
      <c r="A154" s="9"/>
      <c r="B154" s="9"/>
    </row>
    <row r="155">
      <c r="A155" s="9"/>
      <c r="B155" s="9"/>
    </row>
    <row r="156">
      <c r="A156" s="9"/>
      <c r="B156" s="9"/>
    </row>
    <row r="157">
      <c r="A157" s="9"/>
      <c r="B157" s="9"/>
    </row>
    <row r="158">
      <c r="A158" s="9"/>
      <c r="B158" s="9"/>
    </row>
    <row r="159">
      <c r="A159" s="9"/>
      <c r="B159" s="9"/>
    </row>
    <row r="160">
      <c r="A160" s="9"/>
      <c r="B160" s="9"/>
    </row>
    <row r="161">
      <c r="A161" s="9"/>
      <c r="B161" s="9"/>
    </row>
    <row r="162">
      <c r="A162" s="9"/>
      <c r="B162" s="9"/>
    </row>
    <row r="163">
      <c r="A163" s="9"/>
      <c r="B163" s="9"/>
    </row>
    <row r="164">
      <c r="A164" s="9"/>
      <c r="B164" s="9"/>
    </row>
    <row r="165">
      <c r="A165" s="9"/>
      <c r="B165" s="9"/>
    </row>
    <row r="166">
      <c r="A166" s="9"/>
      <c r="B166" s="9"/>
    </row>
    <row r="167">
      <c r="A167" s="9"/>
      <c r="B167" s="9"/>
    </row>
    <row r="168">
      <c r="A168" s="9"/>
      <c r="B168" s="9"/>
    </row>
    <row r="169">
      <c r="A169" s="9"/>
      <c r="B169" s="9"/>
    </row>
    <row r="170">
      <c r="A170" s="9"/>
      <c r="B170" s="9"/>
    </row>
    <row r="171">
      <c r="A171" s="9"/>
      <c r="B171" s="9"/>
    </row>
    <row r="172">
      <c r="A172" s="9"/>
      <c r="B172" s="9"/>
    </row>
    <row r="173">
      <c r="A173" s="9"/>
      <c r="B173" s="9"/>
    </row>
    <row r="174">
      <c r="A174" s="9"/>
      <c r="B174" s="9"/>
    </row>
    <row r="175">
      <c r="A175" s="9"/>
      <c r="B175" s="9"/>
    </row>
    <row r="176">
      <c r="A176" s="9"/>
      <c r="B176" s="9"/>
    </row>
    <row r="177">
      <c r="A177" s="9"/>
      <c r="B177" s="9"/>
    </row>
    <row r="178">
      <c r="A178" s="9"/>
      <c r="B178" s="9"/>
    </row>
    <row r="179">
      <c r="A179" s="9"/>
      <c r="B179" s="9"/>
    </row>
    <row r="180">
      <c r="A180" s="9"/>
      <c r="B180" s="9"/>
    </row>
    <row r="181">
      <c r="A181" s="9"/>
      <c r="B181" s="9"/>
    </row>
    <row r="182">
      <c r="A182" s="9"/>
      <c r="B182" s="9"/>
    </row>
    <row r="183">
      <c r="A183" s="9"/>
      <c r="B183" s="9"/>
    </row>
    <row r="184">
      <c r="A184" s="9"/>
      <c r="B184" s="9"/>
    </row>
    <row r="185">
      <c r="A185" s="9"/>
      <c r="B185" s="9"/>
    </row>
    <row r="186">
      <c r="A186" s="9"/>
      <c r="B186" s="9"/>
    </row>
    <row r="187">
      <c r="A187" s="9"/>
      <c r="B187" s="9"/>
    </row>
    <row r="188">
      <c r="A188" s="9"/>
      <c r="B188" s="9"/>
    </row>
    <row r="189">
      <c r="A189" s="9"/>
      <c r="B189" s="9"/>
    </row>
    <row r="190">
      <c r="A190" s="9"/>
      <c r="B190" s="9"/>
    </row>
    <row r="191">
      <c r="A191" s="9"/>
      <c r="B191" s="9"/>
    </row>
    <row r="192">
      <c r="A192" s="9"/>
      <c r="B192" s="9"/>
    </row>
    <row r="193">
      <c r="A193" s="9"/>
      <c r="B193" s="9"/>
    </row>
    <row r="194">
      <c r="A194" s="9"/>
      <c r="B194" s="9"/>
    </row>
    <row r="195">
      <c r="A195" s="9"/>
      <c r="B195" s="9"/>
    </row>
    <row r="196">
      <c r="A196" s="9"/>
      <c r="B196" s="9"/>
    </row>
    <row r="197">
      <c r="A197" s="9"/>
      <c r="B197" s="9"/>
    </row>
    <row r="198">
      <c r="A198" s="9"/>
      <c r="B198" s="9"/>
    </row>
    <row r="199">
      <c r="A199" s="9"/>
      <c r="B199" s="9"/>
    </row>
    <row r="200">
      <c r="A200" s="9"/>
      <c r="B200" s="9"/>
    </row>
    <row r="201">
      <c r="A201" s="9"/>
      <c r="B201" s="9"/>
    </row>
    <row r="202">
      <c r="A202" s="9"/>
      <c r="B202" s="9"/>
    </row>
    <row r="203">
      <c r="A203" s="9"/>
      <c r="B203" s="9"/>
    </row>
    <row r="204">
      <c r="A204" s="9"/>
      <c r="B204" s="9"/>
    </row>
    <row r="205">
      <c r="A205" s="9"/>
      <c r="B205" s="9"/>
    </row>
    <row r="206">
      <c r="A206" s="9"/>
      <c r="B206" s="9"/>
    </row>
    <row r="207">
      <c r="A207" s="9"/>
      <c r="B207" s="9"/>
    </row>
    <row r="208">
      <c r="A208" s="9"/>
      <c r="B208" s="9"/>
    </row>
    <row r="209">
      <c r="A209" s="9"/>
      <c r="B209" s="9"/>
    </row>
    <row r="210">
      <c r="A210" s="9"/>
      <c r="B210" s="9"/>
    </row>
    <row r="211">
      <c r="A211" s="9"/>
      <c r="B211" s="9"/>
    </row>
    <row r="212">
      <c r="A212" s="9"/>
      <c r="B212" s="9"/>
    </row>
    <row r="213">
      <c r="A213" s="9"/>
      <c r="B213" s="9"/>
    </row>
    <row r="214">
      <c r="A214" s="9"/>
      <c r="B214" s="9"/>
    </row>
    <row r="215">
      <c r="A215" s="9"/>
      <c r="B215" s="9"/>
    </row>
    <row r="216">
      <c r="A216" s="9"/>
      <c r="B216" s="9"/>
    </row>
    <row r="217">
      <c r="A217" s="9"/>
      <c r="B217" s="9"/>
    </row>
    <row r="218">
      <c r="A218" s="9"/>
      <c r="B218" s="9"/>
    </row>
    <row r="219">
      <c r="A219" s="9"/>
      <c r="B219" s="9"/>
    </row>
    <row r="220">
      <c r="A220" s="9"/>
      <c r="B220" s="9"/>
    </row>
    <row r="221">
      <c r="A221" s="9"/>
      <c r="B221" s="9"/>
    </row>
    <row r="222">
      <c r="A222" s="9"/>
      <c r="B222" s="9"/>
    </row>
    <row r="223">
      <c r="A223" s="9"/>
      <c r="B223" s="9"/>
    </row>
    <row r="224">
      <c r="A224" s="9"/>
      <c r="B224" s="9"/>
    </row>
    <row r="225">
      <c r="A225" s="9"/>
      <c r="B225" s="9"/>
    </row>
    <row r="226">
      <c r="A226" s="9"/>
      <c r="B226" s="9"/>
    </row>
    <row r="227">
      <c r="A227" s="9"/>
      <c r="B227" s="9"/>
    </row>
    <row r="228">
      <c r="A228" s="9"/>
      <c r="B228" s="9"/>
    </row>
    <row r="229">
      <c r="A229" s="9"/>
      <c r="B229" s="9"/>
    </row>
    <row r="230">
      <c r="A230" s="9"/>
      <c r="B230" s="9"/>
    </row>
    <row r="231">
      <c r="A231" s="9"/>
      <c r="B231" s="9"/>
    </row>
    <row r="232">
      <c r="A232" s="9"/>
      <c r="B232" s="9"/>
    </row>
    <row r="233">
      <c r="A233" s="9"/>
      <c r="B233" s="9"/>
    </row>
    <row r="234">
      <c r="A234" s="9"/>
      <c r="B234" s="9"/>
    </row>
    <row r="235">
      <c r="A235" s="9"/>
      <c r="B235" s="9"/>
    </row>
    <row r="236">
      <c r="A236" s="9"/>
      <c r="B236" s="9"/>
    </row>
    <row r="237">
      <c r="A237" s="9"/>
      <c r="B237" s="9"/>
    </row>
    <row r="238">
      <c r="A238" s="9"/>
      <c r="B238" s="9"/>
    </row>
    <row r="239">
      <c r="A239" s="9"/>
      <c r="B239" s="9"/>
    </row>
    <row r="240">
      <c r="A240" s="9"/>
      <c r="B240" s="9"/>
    </row>
    <row r="241">
      <c r="A241" s="9"/>
      <c r="B241" s="9"/>
    </row>
    <row r="242">
      <c r="A242" s="9"/>
      <c r="B242" s="9"/>
    </row>
    <row r="243">
      <c r="A243" s="9"/>
      <c r="B243" s="9"/>
    </row>
    <row r="244">
      <c r="A244" s="9"/>
      <c r="B244" s="9"/>
    </row>
    <row r="245">
      <c r="A245" s="9"/>
      <c r="B245" s="9"/>
    </row>
    <row r="246">
      <c r="A246" s="9"/>
      <c r="B246" s="9"/>
    </row>
    <row r="247">
      <c r="A247" s="9"/>
      <c r="B247" s="9"/>
    </row>
    <row r="248">
      <c r="A248" s="9"/>
      <c r="B248" s="9"/>
    </row>
    <row r="249">
      <c r="A249" s="9"/>
      <c r="B249" s="9"/>
    </row>
    <row r="250">
      <c r="A250" s="9"/>
      <c r="B250" s="9"/>
    </row>
    <row r="251">
      <c r="A251" s="9"/>
      <c r="B251" s="9"/>
    </row>
    <row r="252">
      <c r="A252" s="9"/>
      <c r="B252" s="9"/>
    </row>
    <row r="253">
      <c r="A253" s="9"/>
      <c r="B253" s="9"/>
    </row>
    <row r="254">
      <c r="A254" s="9"/>
      <c r="B254" s="9"/>
    </row>
    <row r="255">
      <c r="A255" s="9"/>
      <c r="B255" s="9"/>
    </row>
    <row r="256">
      <c r="A256" s="9"/>
      <c r="B256" s="9"/>
    </row>
    <row r="257">
      <c r="A257" s="9"/>
      <c r="B257" s="9"/>
    </row>
    <row r="258">
      <c r="A258" s="9"/>
      <c r="B258" s="9"/>
    </row>
    <row r="259">
      <c r="A259" s="9"/>
      <c r="B259" s="9"/>
    </row>
    <row r="260">
      <c r="A260" s="9"/>
      <c r="B260" s="9"/>
    </row>
    <row r="261">
      <c r="A261" s="9"/>
      <c r="B261" s="9"/>
    </row>
    <row r="262">
      <c r="A262" s="9"/>
      <c r="B262" s="9"/>
    </row>
    <row r="263">
      <c r="A263" s="9"/>
      <c r="B263" s="9"/>
    </row>
    <row r="264">
      <c r="A264" s="9"/>
      <c r="B264" s="9"/>
    </row>
    <row r="265">
      <c r="A265" s="9"/>
      <c r="B265" s="9"/>
    </row>
    <row r="266">
      <c r="A266" s="9"/>
      <c r="B266" s="9"/>
    </row>
    <row r="267">
      <c r="A267" s="9"/>
      <c r="B267" s="9"/>
    </row>
    <row r="268">
      <c r="A268" s="9"/>
      <c r="B268" s="9"/>
    </row>
    <row r="269">
      <c r="A269" s="9"/>
      <c r="B269" s="9"/>
    </row>
    <row r="270">
      <c r="A270" s="9"/>
      <c r="B270" s="9"/>
    </row>
    <row r="271">
      <c r="A271" s="9"/>
      <c r="B271" s="9"/>
    </row>
    <row r="272">
      <c r="A272" s="9"/>
      <c r="B272" s="9"/>
    </row>
    <row r="273">
      <c r="A273" s="9"/>
      <c r="B273" s="9"/>
    </row>
    <row r="274">
      <c r="A274" s="9"/>
      <c r="B274" s="9"/>
    </row>
    <row r="275">
      <c r="A275" s="9"/>
      <c r="B275" s="9"/>
    </row>
    <row r="276">
      <c r="A276" s="9"/>
      <c r="B276" s="9"/>
    </row>
    <row r="277">
      <c r="A277" s="9"/>
      <c r="B277" s="9"/>
    </row>
    <row r="278">
      <c r="A278" s="9"/>
      <c r="B278" s="9"/>
    </row>
    <row r="279">
      <c r="A279" s="9"/>
      <c r="B279" s="9"/>
    </row>
    <row r="280">
      <c r="A280" s="9"/>
      <c r="B280" s="9"/>
    </row>
    <row r="281">
      <c r="A281" s="9"/>
      <c r="B281" s="9"/>
    </row>
    <row r="282">
      <c r="A282" s="9"/>
      <c r="B282" s="9"/>
    </row>
    <row r="283">
      <c r="A283" s="9"/>
      <c r="B283" s="9"/>
    </row>
    <row r="284">
      <c r="A284" s="9"/>
      <c r="B284" s="9"/>
    </row>
    <row r="285">
      <c r="A285" s="9"/>
      <c r="B285" s="9"/>
    </row>
    <row r="286">
      <c r="A286" s="9"/>
      <c r="B286" s="9"/>
    </row>
    <row r="287">
      <c r="A287" s="9"/>
      <c r="B287" s="9"/>
    </row>
    <row r="288">
      <c r="A288" s="9"/>
      <c r="B288" s="9"/>
    </row>
    <row r="289">
      <c r="A289" s="9"/>
      <c r="B289" s="9"/>
    </row>
    <row r="290">
      <c r="A290" s="9"/>
      <c r="B290" s="9"/>
    </row>
    <row r="291">
      <c r="A291" s="9"/>
      <c r="B291" s="9"/>
    </row>
    <row r="292">
      <c r="A292" s="9"/>
      <c r="B292" s="9"/>
    </row>
    <row r="293">
      <c r="A293" s="9"/>
      <c r="B293" s="9"/>
    </row>
    <row r="294">
      <c r="A294" s="9"/>
      <c r="B294" s="9"/>
    </row>
    <row r="295">
      <c r="A295" s="9"/>
      <c r="B295" s="9"/>
    </row>
    <row r="296">
      <c r="A296" s="9"/>
      <c r="B296" s="9"/>
    </row>
    <row r="297">
      <c r="A297" s="9"/>
      <c r="B297" s="9"/>
    </row>
    <row r="298">
      <c r="A298" s="9"/>
      <c r="B298" s="9"/>
    </row>
    <row r="299">
      <c r="A299" s="9"/>
      <c r="B299" s="9"/>
    </row>
    <row r="300">
      <c r="A300" s="9"/>
      <c r="B300" s="9"/>
    </row>
    <row r="301">
      <c r="A301" s="9"/>
      <c r="B301" s="9"/>
    </row>
    <row r="302">
      <c r="A302" s="9"/>
      <c r="B302" s="9"/>
    </row>
    <row r="303">
      <c r="A303" s="9"/>
      <c r="B303" s="9"/>
    </row>
    <row r="304">
      <c r="A304" s="9"/>
      <c r="B304" s="9"/>
    </row>
    <row r="305">
      <c r="A305" s="9"/>
      <c r="B305" s="9"/>
    </row>
    <row r="306">
      <c r="A306" s="9"/>
      <c r="B306" s="9"/>
    </row>
    <row r="307">
      <c r="A307" s="9"/>
      <c r="B307" s="9"/>
    </row>
    <row r="308">
      <c r="A308" s="9"/>
      <c r="B308" s="9"/>
    </row>
    <row r="309">
      <c r="A309" s="9"/>
      <c r="B309" s="9"/>
    </row>
    <row r="310">
      <c r="A310" s="9"/>
      <c r="B310" s="9"/>
    </row>
    <row r="311">
      <c r="A311" s="9"/>
      <c r="B311" s="9"/>
    </row>
    <row r="312">
      <c r="A312" s="9"/>
      <c r="B312" s="9"/>
    </row>
    <row r="313">
      <c r="A313" s="9"/>
      <c r="B313" s="9"/>
    </row>
    <row r="314">
      <c r="A314" s="9"/>
      <c r="B314" s="9"/>
    </row>
    <row r="315">
      <c r="A315" s="9"/>
      <c r="B315" s="9"/>
    </row>
    <row r="316">
      <c r="A316" s="9"/>
      <c r="B316" s="9"/>
    </row>
    <row r="317">
      <c r="A317" s="9"/>
      <c r="B317" s="9"/>
    </row>
    <row r="318">
      <c r="A318" s="9"/>
      <c r="B318" s="9"/>
    </row>
    <row r="319">
      <c r="A319" s="9"/>
      <c r="B319" s="9"/>
    </row>
    <row r="320">
      <c r="A320" s="9"/>
      <c r="B320" s="9"/>
    </row>
    <row r="321">
      <c r="A321" s="9"/>
      <c r="B321" s="9"/>
    </row>
    <row r="322">
      <c r="A322" s="9"/>
      <c r="B322" s="9"/>
    </row>
    <row r="323">
      <c r="A323" s="9"/>
      <c r="B323" s="9"/>
    </row>
    <row r="324">
      <c r="A324" s="9"/>
      <c r="B324" s="9"/>
    </row>
    <row r="325">
      <c r="A325" s="9"/>
      <c r="B325" s="9"/>
    </row>
    <row r="326">
      <c r="A326" s="9"/>
      <c r="B326" s="9"/>
    </row>
    <row r="327">
      <c r="A327" s="9"/>
      <c r="B327" s="9"/>
    </row>
    <row r="328">
      <c r="A328" s="9"/>
      <c r="B328" s="9"/>
    </row>
    <row r="329">
      <c r="A329" s="9"/>
      <c r="B329" s="9"/>
    </row>
    <row r="330">
      <c r="A330" s="9"/>
      <c r="B330" s="9"/>
    </row>
    <row r="331">
      <c r="A331" s="9"/>
      <c r="B331" s="9"/>
    </row>
    <row r="332">
      <c r="A332" s="9"/>
      <c r="B332" s="9"/>
    </row>
    <row r="333">
      <c r="A333" s="9"/>
      <c r="B333" s="9"/>
    </row>
    <row r="334">
      <c r="A334" s="9"/>
      <c r="B334" s="9"/>
    </row>
    <row r="335">
      <c r="A335" s="9"/>
      <c r="B335" s="9"/>
    </row>
    <row r="336">
      <c r="A336" s="9"/>
      <c r="B336" s="9"/>
    </row>
    <row r="337">
      <c r="A337" s="9"/>
      <c r="B337" s="9"/>
    </row>
    <row r="338">
      <c r="A338" s="9"/>
      <c r="B338" s="9"/>
    </row>
    <row r="339">
      <c r="A339" s="9"/>
      <c r="B339" s="9"/>
    </row>
    <row r="340">
      <c r="A340" s="9"/>
      <c r="B340" s="9"/>
    </row>
    <row r="341">
      <c r="A341" s="9"/>
      <c r="B341" s="9"/>
    </row>
    <row r="342">
      <c r="A342" s="9"/>
      <c r="B342" s="9"/>
    </row>
    <row r="343">
      <c r="A343" s="9"/>
      <c r="B343" s="9"/>
    </row>
    <row r="344">
      <c r="A344" s="9"/>
      <c r="B344" s="9"/>
    </row>
    <row r="345">
      <c r="A345" s="9"/>
      <c r="B345" s="9"/>
    </row>
    <row r="346">
      <c r="A346" s="9"/>
      <c r="B346" s="9"/>
    </row>
    <row r="347">
      <c r="A347" s="9"/>
      <c r="B347" s="9"/>
    </row>
    <row r="348">
      <c r="A348" s="9"/>
      <c r="B348" s="9"/>
    </row>
    <row r="349">
      <c r="A349" s="9"/>
      <c r="B349" s="9"/>
    </row>
    <row r="350">
      <c r="A350" s="9"/>
      <c r="B350" s="9"/>
    </row>
    <row r="351">
      <c r="A351" s="9"/>
      <c r="B351" s="9"/>
    </row>
    <row r="352">
      <c r="A352" s="9"/>
      <c r="B352" s="9"/>
    </row>
    <row r="353">
      <c r="A353" s="9"/>
      <c r="B353" s="9"/>
    </row>
    <row r="354">
      <c r="A354" s="9"/>
      <c r="B354" s="9"/>
    </row>
    <row r="355">
      <c r="A355" s="9"/>
      <c r="B355" s="9"/>
    </row>
    <row r="356">
      <c r="A356" s="9"/>
      <c r="B356" s="9"/>
    </row>
    <row r="357">
      <c r="A357" s="9"/>
      <c r="B357" s="9"/>
    </row>
    <row r="358">
      <c r="A358" s="9"/>
      <c r="B358" s="9"/>
    </row>
    <row r="359">
      <c r="A359" s="9"/>
      <c r="B359" s="9"/>
    </row>
    <row r="360">
      <c r="A360" s="9"/>
      <c r="B360" s="9"/>
    </row>
    <row r="361">
      <c r="A361" s="9"/>
      <c r="B361" s="9"/>
    </row>
    <row r="362">
      <c r="A362" s="9"/>
      <c r="B362" s="9"/>
    </row>
    <row r="363">
      <c r="A363" s="9"/>
      <c r="B363" s="9"/>
    </row>
    <row r="364">
      <c r="A364" s="9"/>
      <c r="B364" s="9"/>
    </row>
    <row r="365">
      <c r="A365" s="9"/>
      <c r="B365" s="9"/>
    </row>
    <row r="366">
      <c r="A366" s="9"/>
      <c r="B366" s="9"/>
    </row>
    <row r="367">
      <c r="A367" s="9"/>
      <c r="B367" s="9"/>
    </row>
    <row r="368">
      <c r="A368" s="9"/>
      <c r="B368" s="9"/>
    </row>
    <row r="369">
      <c r="A369" s="9"/>
      <c r="B369" s="9"/>
    </row>
    <row r="370">
      <c r="A370" s="9"/>
      <c r="B370" s="9"/>
    </row>
    <row r="371">
      <c r="A371" s="9"/>
      <c r="B371" s="9"/>
    </row>
    <row r="372">
      <c r="A372" s="9"/>
      <c r="B372" s="9"/>
    </row>
    <row r="373">
      <c r="A373" s="9"/>
      <c r="B373" s="9"/>
    </row>
    <row r="374">
      <c r="A374" s="9"/>
      <c r="B374" s="9"/>
    </row>
    <row r="375">
      <c r="A375" s="9"/>
      <c r="B375" s="9"/>
    </row>
    <row r="376">
      <c r="A376" s="9"/>
      <c r="B376" s="9"/>
    </row>
    <row r="377">
      <c r="A377" s="9"/>
      <c r="B377" s="9"/>
    </row>
    <row r="378">
      <c r="A378" s="9"/>
      <c r="B378" s="9"/>
    </row>
    <row r="379">
      <c r="A379" s="9"/>
      <c r="B379" s="9"/>
    </row>
    <row r="380">
      <c r="A380" s="9"/>
      <c r="B380" s="9"/>
    </row>
    <row r="381">
      <c r="A381" s="9"/>
      <c r="B381" s="9"/>
    </row>
    <row r="382">
      <c r="A382" s="9"/>
      <c r="B382" s="9"/>
    </row>
    <row r="383">
      <c r="A383" s="9"/>
      <c r="B383" s="9"/>
    </row>
    <row r="384">
      <c r="A384" s="9"/>
      <c r="B384" s="9"/>
    </row>
    <row r="385">
      <c r="A385" s="9"/>
      <c r="B385" s="9"/>
    </row>
    <row r="386">
      <c r="A386" s="9"/>
      <c r="B386" s="9"/>
    </row>
    <row r="387">
      <c r="A387" s="9"/>
      <c r="B387" s="9"/>
    </row>
    <row r="388">
      <c r="A388" s="9"/>
      <c r="B388" s="9"/>
    </row>
    <row r="389">
      <c r="A389" s="9"/>
      <c r="B389" s="9"/>
    </row>
    <row r="390">
      <c r="A390" s="9"/>
      <c r="B390" s="9"/>
    </row>
    <row r="391">
      <c r="A391" s="9"/>
      <c r="B391" s="9"/>
    </row>
    <row r="392">
      <c r="A392" s="9"/>
      <c r="B392" s="9"/>
    </row>
    <row r="393">
      <c r="A393" s="9"/>
      <c r="B393" s="9"/>
    </row>
    <row r="394">
      <c r="A394" s="9"/>
      <c r="B394" s="9"/>
    </row>
    <row r="395">
      <c r="A395" s="9"/>
      <c r="B395" s="9"/>
    </row>
    <row r="396">
      <c r="A396" s="9"/>
      <c r="B396" s="9"/>
    </row>
    <row r="397">
      <c r="A397" s="9"/>
      <c r="B397" s="9"/>
    </row>
    <row r="398">
      <c r="A398" s="9"/>
      <c r="B398" s="9"/>
    </row>
    <row r="399">
      <c r="A399" s="9"/>
      <c r="B399" s="9"/>
    </row>
    <row r="400">
      <c r="A400" s="9"/>
      <c r="B400" s="9"/>
    </row>
    <row r="401">
      <c r="A401" s="9"/>
      <c r="B401" s="9"/>
    </row>
    <row r="402">
      <c r="A402" s="9"/>
      <c r="B402" s="9"/>
    </row>
    <row r="403">
      <c r="A403" s="9"/>
      <c r="B403" s="9"/>
    </row>
    <row r="404">
      <c r="A404" s="9"/>
      <c r="B404" s="9"/>
    </row>
    <row r="405">
      <c r="A405" s="9"/>
      <c r="B405" s="9"/>
    </row>
    <row r="406">
      <c r="A406" s="9"/>
      <c r="B406" s="9"/>
    </row>
    <row r="407">
      <c r="A407" s="9"/>
      <c r="B407" s="9"/>
    </row>
    <row r="408">
      <c r="A408" s="9"/>
      <c r="B408" s="9"/>
    </row>
    <row r="409">
      <c r="A409" s="9"/>
      <c r="B409" s="9"/>
    </row>
    <row r="410">
      <c r="A410" s="9"/>
      <c r="B410" s="9"/>
    </row>
    <row r="411">
      <c r="A411" s="9"/>
      <c r="B411" s="9"/>
    </row>
    <row r="412">
      <c r="A412" s="9"/>
      <c r="B412" s="9"/>
    </row>
    <row r="413">
      <c r="A413" s="9"/>
      <c r="B413" s="9"/>
    </row>
    <row r="414">
      <c r="A414" s="9"/>
      <c r="B414" s="9"/>
    </row>
    <row r="415">
      <c r="A415" s="9"/>
      <c r="B415" s="9"/>
    </row>
    <row r="416">
      <c r="A416" s="9"/>
      <c r="B416" s="9"/>
    </row>
    <row r="417">
      <c r="A417" s="9"/>
      <c r="B417" s="9"/>
    </row>
    <row r="418">
      <c r="A418" s="9"/>
      <c r="B418" s="9"/>
    </row>
    <row r="419">
      <c r="A419" s="9"/>
      <c r="B419" s="9"/>
    </row>
    <row r="420">
      <c r="A420" s="9"/>
      <c r="B420" s="9"/>
    </row>
    <row r="421">
      <c r="A421" s="9"/>
      <c r="B421" s="9"/>
    </row>
    <row r="422">
      <c r="A422" s="9"/>
      <c r="B422" s="9"/>
    </row>
    <row r="423">
      <c r="A423" s="9"/>
      <c r="B423" s="9"/>
    </row>
    <row r="424">
      <c r="A424" s="9"/>
      <c r="B424" s="9"/>
    </row>
    <row r="425">
      <c r="A425" s="9"/>
      <c r="B425" s="9"/>
    </row>
    <row r="426">
      <c r="A426" s="9"/>
      <c r="B426" s="9"/>
    </row>
    <row r="427">
      <c r="A427" s="9"/>
      <c r="B427" s="9"/>
    </row>
    <row r="428">
      <c r="A428" s="9"/>
      <c r="B428" s="9"/>
    </row>
    <row r="429">
      <c r="A429" s="9"/>
      <c r="B429" s="9"/>
    </row>
    <row r="430">
      <c r="A430" s="9"/>
      <c r="B430" s="9"/>
    </row>
    <row r="431">
      <c r="A431" s="9"/>
      <c r="B431" s="9"/>
    </row>
    <row r="432">
      <c r="A432" s="9"/>
      <c r="B432" s="9"/>
    </row>
    <row r="433">
      <c r="A433" s="9"/>
      <c r="B433" s="9"/>
    </row>
    <row r="434">
      <c r="A434" s="9"/>
      <c r="B434" s="9"/>
    </row>
    <row r="435">
      <c r="A435" s="9"/>
      <c r="B435" s="9"/>
    </row>
    <row r="436">
      <c r="A436" s="9"/>
      <c r="B436" s="9"/>
    </row>
    <row r="437">
      <c r="A437" s="9"/>
      <c r="B437" s="9"/>
    </row>
    <row r="438">
      <c r="A438" s="9"/>
      <c r="B438" s="9"/>
    </row>
    <row r="439">
      <c r="A439" s="9"/>
      <c r="B439" s="9"/>
    </row>
    <row r="440">
      <c r="A440" s="9"/>
      <c r="B440" s="9"/>
    </row>
    <row r="441">
      <c r="A441" s="9"/>
      <c r="B441" s="9"/>
    </row>
    <row r="442">
      <c r="A442" s="9"/>
      <c r="B442" s="9"/>
    </row>
    <row r="443">
      <c r="A443" s="9"/>
      <c r="B443" s="9"/>
    </row>
    <row r="444">
      <c r="A444" s="9"/>
      <c r="B444" s="9"/>
    </row>
    <row r="445">
      <c r="A445" s="9"/>
      <c r="B445" s="9"/>
    </row>
    <row r="446">
      <c r="A446" s="9"/>
      <c r="B446" s="9"/>
    </row>
    <row r="447">
      <c r="A447" s="9"/>
      <c r="B447" s="9"/>
    </row>
    <row r="448">
      <c r="A448" s="9"/>
      <c r="B448" s="9"/>
    </row>
    <row r="449">
      <c r="A449" s="9"/>
      <c r="B449" s="9"/>
    </row>
    <row r="450">
      <c r="A450" s="9"/>
      <c r="B450" s="9"/>
    </row>
    <row r="451">
      <c r="A451" s="9"/>
      <c r="B451" s="9"/>
    </row>
    <row r="452">
      <c r="A452" s="9"/>
      <c r="B452" s="9"/>
    </row>
    <row r="453">
      <c r="A453" s="9"/>
      <c r="B453" s="9"/>
    </row>
    <row r="454">
      <c r="A454" s="9"/>
      <c r="B454" s="9"/>
    </row>
    <row r="455">
      <c r="A455" s="9"/>
      <c r="B455" s="9"/>
    </row>
    <row r="456">
      <c r="A456" s="9"/>
      <c r="B456" s="9"/>
    </row>
    <row r="457">
      <c r="A457" s="9"/>
      <c r="B457" s="9"/>
    </row>
    <row r="458">
      <c r="A458" s="9"/>
      <c r="B458" s="9"/>
    </row>
    <row r="459">
      <c r="A459" s="9"/>
      <c r="B459" s="9"/>
    </row>
    <row r="460">
      <c r="A460" s="9"/>
      <c r="B460" s="9"/>
    </row>
    <row r="461">
      <c r="A461" s="9"/>
      <c r="B461" s="9"/>
    </row>
    <row r="462">
      <c r="A462" s="9"/>
      <c r="B462" s="9"/>
    </row>
    <row r="463">
      <c r="A463" s="9"/>
      <c r="B463" s="9"/>
    </row>
    <row r="464">
      <c r="A464" s="9"/>
      <c r="B464" s="9"/>
    </row>
    <row r="465">
      <c r="A465" s="9"/>
      <c r="B465" s="9"/>
    </row>
    <row r="466">
      <c r="A466" s="9"/>
      <c r="B466" s="9"/>
    </row>
    <row r="467">
      <c r="A467" s="9"/>
      <c r="B467" s="9"/>
    </row>
    <row r="468">
      <c r="A468" s="9"/>
      <c r="B468" s="9"/>
    </row>
    <row r="469">
      <c r="A469" s="9"/>
      <c r="B469" s="9"/>
    </row>
    <row r="470">
      <c r="A470" s="9"/>
      <c r="B470" s="9"/>
    </row>
    <row r="471">
      <c r="A471" s="9"/>
      <c r="B471" s="9"/>
    </row>
    <row r="472">
      <c r="A472" s="9"/>
      <c r="B472" s="9"/>
    </row>
    <row r="473">
      <c r="A473" s="9"/>
      <c r="B473" s="9"/>
    </row>
    <row r="474">
      <c r="A474" s="9"/>
      <c r="B474" s="9"/>
    </row>
    <row r="475">
      <c r="A475" s="9"/>
      <c r="B475" s="9"/>
    </row>
    <row r="476">
      <c r="A476" s="9"/>
      <c r="B476" s="9"/>
    </row>
    <row r="477">
      <c r="A477" s="9"/>
      <c r="B477" s="9"/>
    </row>
    <row r="478">
      <c r="A478" s="9"/>
      <c r="B478" s="9"/>
    </row>
    <row r="479">
      <c r="A479" s="9"/>
      <c r="B479" s="9"/>
    </row>
    <row r="480">
      <c r="A480" s="9"/>
      <c r="B480" s="9"/>
    </row>
    <row r="481">
      <c r="A481" s="9"/>
      <c r="B481" s="9"/>
    </row>
    <row r="482">
      <c r="A482" s="9"/>
      <c r="B482" s="9"/>
    </row>
    <row r="483">
      <c r="A483" s="9"/>
      <c r="B483" s="9"/>
    </row>
    <row r="484">
      <c r="A484" s="9"/>
      <c r="B484" s="9"/>
    </row>
    <row r="485">
      <c r="A485" s="9"/>
      <c r="B485" s="9"/>
    </row>
    <row r="486">
      <c r="A486" s="9"/>
      <c r="B486" s="9"/>
    </row>
    <row r="487">
      <c r="A487" s="9"/>
      <c r="B487" s="9"/>
    </row>
    <row r="488">
      <c r="A488" s="9"/>
      <c r="B488" s="9"/>
    </row>
    <row r="489">
      <c r="A489" s="9"/>
      <c r="B489" s="9"/>
    </row>
    <row r="490">
      <c r="A490" s="9"/>
      <c r="B490" s="9"/>
    </row>
    <row r="491">
      <c r="A491" s="9"/>
      <c r="B491" s="9"/>
    </row>
    <row r="492">
      <c r="A492" s="9"/>
      <c r="B492" s="9"/>
    </row>
    <row r="493">
      <c r="A493" s="9"/>
      <c r="B493" s="9"/>
    </row>
    <row r="494">
      <c r="A494" s="9"/>
      <c r="B494" s="9"/>
    </row>
    <row r="495">
      <c r="A495" s="9"/>
      <c r="B495" s="9"/>
    </row>
    <row r="496">
      <c r="A496" s="9"/>
      <c r="B496" s="9"/>
    </row>
    <row r="497">
      <c r="A497" s="9"/>
      <c r="B497" s="9"/>
    </row>
    <row r="498">
      <c r="A498" s="9"/>
      <c r="B498" s="9"/>
    </row>
    <row r="499">
      <c r="A499" s="9"/>
      <c r="B499" s="9"/>
    </row>
    <row r="500">
      <c r="A500" s="9"/>
      <c r="B500" s="9"/>
    </row>
    <row r="501">
      <c r="A501" s="9"/>
      <c r="B501" s="9"/>
    </row>
    <row r="502">
      <c r="A502" s="9"/>
      <c r="B502" s="9"/>
    </row>
    <row r="503">
      <c r="A503" s="9"/>
      <c r="B503" s="9"/>
    </row>
    <row r="504">
      <c r="A504" s="9"/>
      <c r="B504" s="9"/>
    </row>
    <row r="505">
      <c r="A505" s="9"/>
      <c r="B505" s="9"/>
    </row>
    <row r="506">
      <c r="A506" s="9"/>
      <c r="B506" s="9"/>
    </row>
    <row r="507">
      <c r="A507" s="9"/>
      <c r="B507" s="9"/>
    </row>
    <row r="508">
      <c r="A508" s="9"/>
      <c r="B508" s="9"/>
    </row>
    <row r="509">
      <c r="A509" s="9"/>
      <c r="B509" s="9"/>
    </row>
    <row r="510">
      <c r="A510" s="9"/>
      <c r="B510" s="9"/>
    </row>
    <row r="511">
      <c r="A511" s="9"/>
      <c r="B511" s="9"/>
    </row>
    <row r="512">
      <c r="A512" s="9"/>
      <c r="B512" s="9"/>
    </row>
    <row r="513">
      <c r="A513" s="9"/>
      <c r="B513" s="9"/>
    </row>
    <row r="514">
      <c r="A514" s="9"/>
      <c r="B514" s="9"/>
    </row>
    <row r="515">
      <c r="A515" s="9"/>
      <c r="B515" s="9"/>
    </row>
    <row r="516">
      <c r="A516" s="9"/>
      <c r="B516" s="9"/>
    </row>
    <row r="517">
      <c r="A517" s="9"/>
      <c r="B517" s="9"/>
    </row>
    <row r="518">
      <c r="A518" s="9"/>
      <c r="B518" s="9"/>
    </row>
    <row r="519">
      <c r="A519" s="9"/>
      <c r="B519" s="9"/>
    </row>
    <row r="520">
      <c r="A520" s="9"/>
      <c r="B520" s="9"/>
    </row>
    <row r="521">
      <c r="A521" s="9"/>
      <c r="B521" s="9"/>
    </row>
    <row r="522">
      <c r="A522" s="9"/>
      <c r="B522" s="9"/>
    </row>
    <row r="523">
      <c r="A523" s="9"/>
      <c r="B523" s="9"/>
    </row>
    <row r="524">
      <c r="A524" s="9"/>
      <c r="B524" s="9"/>
    </row>
    <row r="525">
      <c r="A525" s="9"/>
      <c r="B525" s="9"/>
    </row>
    <row r="526">
      <c r="A526" s="9"/>
      <c r="B526" s="9"/>
    </row>
    <row r="527">
      <c r="A527" s="9"/>
      <c r="B527" s="9"/>
    </row>
    <row r="528">
      <c r="A528" s="9"/>
      <c r="B528" s="9"/>
    </row>
    <row r="529">
      <c r="A529" s="9"/>
      <c r="B529" s="9"/>
    </row>
    <row r="530">
      <c r="A530" s="9"/>
      <c r="B530" s="9"/>
    </row>
    <row r="531">
      <c r="A531" s="9"/>
      <c r="B531" s="9"/>
    </row>
    <row r="532">
      <c r="A532" s="9"/>
      <c r="B532" s="9"/>
    </row>
    <row r="533">
      <c r="A533" s="9"/>
      <c r="B533" s="9"/>
    </row>
    <row r="534">
      <c r="A534" s="9"/>
      <c r="B534" s="9"/>
    </row>
    <row r="535">
      <c r="A535" s="9"/>
      <c r="B535" s="9"/>
    </row>
    <row r="536">
      <c r="A536" s="9"/>
      <c r="B536" s="9"/>
    </row>
    <row r="537">
      <c r="A537" s="9"/>
      <c r="B537" s="9"/>
    </row>
    <row r="538">
      <c r="A538" s="9"/>
      <c r="B538" s="9"/>
    </row>
    <row r="539">
      <c r="A539" s="9"/>
      <c r="B539" s="9"/>
    </row>
    <row r="540">
      <c r="A540" s="9"/>
      <c r="B540" s="9"/>
    </row>
    <row r="541">
      <c r="A541" s="9"/>
      <c r="B541" s="9"/>
    </row>
    <row r="542">
      <c r="A542" s="9"/>
      <c r="B542" s="9"/>
    </row>
    <row r="543">
      <c r="A543" s="9"/>
      <c r="B543" s="9"/>
    </row>
    <row r="544">
      <c r="A544" s="9"/>
      <c r="B544" s="9"/>
    </row>
    <row r="545">
      <c r="A545" s="9"/>
      <c r="B545" s="9"/>
    </row>
    <row r="546">
      <c r="A546" s="9"/>
      <c r="B546" s="9"/>
    </row>
    <row r="547">
      <c r="A547" s="9"/>
      <c r="B547" s="9"/>
    </row>
    <row r="548">
      <c r="A548" s="9"/>
      <c r="B548" s="9"/>
    </row>
    <row r="549">
      <c r="A549" s="9"/>
      <c r="B549" s="9"/>
    </row>
    <row r="550">
      <c r="A550" s="9"/>
      <c r="B550" s="9"/>
    </row>
    <row r="551">
      <c r="A551" s="9"/>
      <c r="B551" s="9"/>
    </row>
    <row r="552">
      <c r="A552" s="9"/>
      <c r="B552" s="9"/>
    </row>
    <row r="553">
      <c r="A553" s="9"/>
      <c r="B553" s="9"/>
    </row>
    <row r="554">
      <c r="A554" s="9"/>
      <c r="B554" s="9"/>
    </row>
    <row r="555">
      <c r="A555" s="9"/>
      <c r="B555" s="9"/>
    </row>
    <row r="556">
      <c r="A556" s="9"/>
      <c r="B556" s="9"/>
    </row>
    <row r="557">
      <c r="A557" s="9"/>
      <c r="B557" s="9"/>
    </row>
    <row r="558">
      <c r="A558" s="9"/>
      <c r="B558" s="9"/>
    </row>
    <row r="559">
      <c r="A559" s="9"/>
      <c r="B559" s="9"/>
    </row>
    <row r="560">
      <c r="A560" s="9"/>
      <c r="B560" s="9"/>
    </row>
    <row r="561">
      <c r="A561" s="9"/>
      <c r="B561" s="9"/>
    </row>
    <row r="562">
      <c r="A562" s="9"/>
      <c r="B562" s="9"/>
    </row>
    <row r="563">
      <c r="A563" s="9"/>
      <c r="B563" s="9"/>
    </row>
    <row r="564">
      <c r="A564" s="9"/>
      <c r="B564" s="9"/>
    </row>
    <row r="565">
      <c r="A565" s="9"/>
      <c r="B565" s="9"/>
    </row>
    <row r="566">
      <c r="A566" s="9"/>
      <c r="B566" s="9"/>
    </row>
    <row r="567">
      <c r="A567" s="9"/>
      <c r="B567" s="9"/>
    </row>
    <row r="568">
      <c r="A568" s="9"/>
      <c r="B568" s="9"/>
    </row>
    <row r="569">
      <c r="A569" s="9"/>
      <c r="B569" s="9"/>
    </row>
    <row r="570">
      <c r="A570" s="9"/>
      <c r="B570" s="9"/>
    </row>
    <row r="571">
      <c r="A571" s="9"/>
      <c r="B571" s="9"/>
    </row>
    <row r="572">
      <c r="A572" s="9"/>
      <c r="B572" s="9"/>
    </row>
    <row r="573">
      <c r="A573" s="9"/>
      <c r="B573" s="9"/>
    </row>
    <row r="574">
      <c r="A574" s="9"/>
      <c r="B574" s="9"/>
    </row>
    <row r="575">
      <c r="A575" s="9"/>
      <c r="B575" s="9"/>
    </row>
    <row r="576">
      <c r="A576" s="9"/>
      <c r="B576" s="9"/>
    </row>
    <row r="577">
      <c r="A577" s="9"/>
      <c r="B577" s="9"/>
    </row>
    <row r="578">
      <c r="A578" s="9"/>
      <c r="B578" s="9"/>
    </row>
    <row r="579">
      <c r="A579" s="9"/>
      <c r="B579" s="9"/>
    </row>
    <row r="580">
      <c r="A580" s="9"/>
      <c r="B580" s="9"/>
    </row>
    <row r="581">
      <c r="A581" s="9"/>
      <c r="B581" s="9"/>
    </row>
    <row r="582">
      <c r="A582" s="9"/>
      <c r="B582" s="9"/>
    </row>
    <row r="583">
      <c r="A583" s="9"/>
      <c r="B583" s="9"/>
    </row>
    <row r="584">
      <c r="A584" s="9"/>
      <c r="B584" s="9"/>
    </row>
    <row r="585">
      <c r="A585" s="9"/>
      <c r="B585" s="9"/>
    </row>
    <row r="586">
      <c r="A586" s="9"/>
      <c r="B586" s="9"/>
    </row>
    <row r="587">
      <c r="A587" s="9"/>
      <c r="B587" s="9"/>
    </row>
    <row r="588">
      <c r="A588" s="9"/>
      <c r="B588" s="9"/>
    </row>
    <row r="589">
      <c r="A589" s="9"/>
      <c r="B589" s="9"/>
    </row>
    <row r="590">
      <c r="A590" s="9"/>
      <c r="B590" s="9"/>
    </row>
    <row r="591">
      <c r="A591" s="9"/>
      <c r="B591" s="9"/>
    </row>
    <row r="592">
      <c r="A592" s="9"/>
      <c r="B592" s="9"/>
    </row>
    <row r="593">
      <c r="A593" s="9"/>
      <c r="B593" s="9"/>
    </row>
    <row r="594">
      <c r="A594" s="9"/>
      <c r="B594" s="9"/>
    </row>
    <row r="595">
      <c r="A595" s="9"/>
      <c r="B595" s="9"/>
    </row>
    <row r="596">
      <c r="A596" s="9"/>
      <c r="B596" s="9"/>
    </row>
    <row r="597">
      <c r="A597" s="9"/>
      <c r="B597" s="9"/>
    </row>
    <row r="598">
      <c r="A598" s="9"/>
      <c r="B598" s="9"/>
    </row>
    <row r="599">
      <c r="A599" s="9"/>
      <c r="B599" s="9"/>
    </row>
    <row r="600">
      <c r="A600" s="9"/>
      <c r="B600" s="9"/>
    </row>
    <row r="601">
      <c r="A601" s="9"/>
      <c r="B601" s="9"/>
    </row>
    <row r="602">
      <c r="A602" s="9"/>
      <c r="B602" s="9"/>
    </row>
    <row r="603">
      <c r="A603" s="9"/>
      <c r="B603" s="9"/>
    </row>
    <row r="604">
      <c r="A604" s="9"/>
      <c r="B604" s="9"/>
    </row>
    <row r="605">
      <c r="A605" s="9"/>
      <c r="B605" s="9"/>
    </row>
    <row r="606">
      <c r="A606" s="9"/>
      <c r="B606" s="9"/>
    </row>
    <row r="607">
      <c r="A607" s="9"/>
      <c r="B607" s="9"/>
    </row>
    <row r="608">
      <c r="A608" s="9"/>
      <c r="B608" s="9"/>
    </row>
    <row r="609">
      <c r="A609" s="9"/>
      <c r="B609" s="9"/>
    </row>
    <row r="610">
      <c r="A610" s="9"/>
      <c r="B610" s="9"/>
    </row>
    <row r="611">
      <c r="A611" s="9"/>
      <c r="B611" s="9"/>
    </row>
    <row r="612">
      <c r="A612" s="9"/>
      <c r="B612" s="9"/>
    </row>
    <row r="613">
      <c r="A613" s="9"/>
      <c r="B613" s="9"/>
    </row>
    <row r="614">
      <c r="A614" s="9"/>
      <c r="B614" s="9"/>
    </row>
    <row r="615">
      <c r="A615" s="9"/>
      <c r="B615" s="9"/>
    </row>
    <row r="616">
      <c r="A616" s="9"/>
      <c r="B616" s="9"/>
    </row>
    <row r="617">
      <c r="A617" s="9"/>
      <c r="B617" s="9"/>
    </row>
    <row r="618">
      <c r="A618" s="9"/>
      <c r="B618" s="9"/>
    </row>
    <row r="619">
      <c r="A619" s="9"/>
      <c r="B619" s="9"/>
    </row>
    <row r="620">
      <c r="A620" s="9"/>
      <c r="B620" s="9"/>
    </row>
    <row r="621">
      <c r="A621" s="9"/>
      <c r="B621" s="9"/>
    </row>
    <row r="622">
      <c r="A622" s="9"/>
      <c r="B622" s="9"/>
    </row>
    <row r="623">
      <c r="A623" s="9"/>
      <c r="B623" s="9"/>
    </row>
    <row r="624">
      <c r="A624" s="9"/>
      <c r="B624" s="9"/>
    </row>
    <row r="625">
      <c r="A625" s="9"/>
      <c r="B625" s="9"/>
    </row>
    <row r="626">
      <c r="A626" s="9"/>
      <c r="B626" s="9"/>
    </row>
    <row r="627">
      <c r="A627" s="9"/>
      <c r="B627" s="9"/>
    </row>
    <row r="628">
      <c r="A628" s="9"/>
      <c r="B628" s="9"/>
    </row>
    <row r="629">
      <c r="A629" s="9"/>
      <c r="B629" s="9"/>
    </row>
    <row r="630">
      <c r="A630" s="9"/>
      <c r="B630" s="9"/>
    </row>
    <row r="631">
      <c r="A631" s="9"/>
      <c r="B631" s="9"/>
    </row>
    <row r="632">
      <c r="A632" s="9"/>
      <c r="B632" s="9"/>
    </row>
    <row r="633">
      <c r="A633" s="9"/>
      <c r="B633" s="9"/>
    </row>
    <row r="634">
      <c r="A634" s="9"/>
      <c r="B634" s="9"/>
    </row>
    <row r="635">
      <c r="A635" s="9"/>
      <c r="B635" s="9"/>
    </row>
    <row r="636">
      <c r="A636" s="9"/>
      <c r="B636" s="9"/>
    </row>
    <row r="637">
      <c r="A637" s="9"/>
      <c r="B637" s="9"/>
    </row>
    <row r="638">
      <c r="A638" s="9"/>
      <c r="B638" s="9"/>
    </row>
    <row r="639">
      <c r="A639" s="9"/>
      <c r="B639" s="9"/>
    </row>
    <row r="640">
      <c r="A640" s="9"/>
      <c r="B640" s="9"/>
    </row>
    <row r="641">
      <c r="A641" s="9"/>
      <c r="B641" s="9"/>
    </row>
    <row r="642">
      <c r="A642" s="9"/>
      <c r="B642" s="9"/>
    </row>
    <row r="643">
      <c r="A643" s="9"/>
      <c r="B643" s="9"/>
    </row>
    <row r="644">
      <c r="A644" s="9"/>
      <c r="B644" s="9"/>
    </row>
    <row r="645">
      <c r="A645" s="9"/>
      <c r="B645" s="9"/>
    </row>
    <row r="646">
      <c r="A646" s="9"/>
      <c r="B646" s="9"/>
    </row>
    <row r="647">
      <c r="A647" s="9"/>
      <c r="B647" s="9"/>
    </row>
    <row r="648">
      <c r="A648" s="9"/>
      <c r="B648" s="9"/>
    </row>
    <row r="649">
      <c r="A649" s="9"/>
      <c r="B649" s="9"/>
    </row>
    <row r="650">
      <c r="A650" s="9"/>
      <c r="B650" s="9"/>
    </row>
    <row r="651">
      <c r="A651" s="9"/>
      <c r="B651" s="9"/>
    </row>
    <row r="652">
      <c r="A652" s="9"/>
      <c r="B652" s="9"/>
    </row>
    <row r="653">
      <c r="A653" s="9"/>
      <c r="B653" s="9"/>
    </row>
    <row r="654">
      <c r="A654" s="9"/>
      <c r="B654" s="9"/>
    </row>
    <row r="655">
      <c r="A655" s="9"/>
      <c r="B655" s="9"/>
    </row>
    <row r="656">
      <c r="A656" s="9"/>
      <c r="B656" s="9"/>
    </row>
    <row r="657">
      <c r="A657" s="9"/>
      <c r="B657" s="9"/>
    </row>
    <row r="658">
      <c r="A658" s="9"/>
      <c r="B658" s="9"/>
    </row>
    <row r="659">
      <c r="A659" s="9"/>
      <c r="B659" s="9"/>
    </row>
    <row r="660">
      <c r="A660" s="9"/>
      <c r="B660" s="9"/>
    </row>
    <row r="661">
      <c r="A661" s="9"/>
      <c r="B661" s="9"/>
    </row>
    <row r="662">
      <c r="A662" s="9"/>
      <c r="B662" s="9"/>
    </row>
    <row r="663">
      <c r="A663" s="9"/>
      <c r="B663" s="9"/>
    </row>
    <row r="664">
      <c r="A664" s="9"/>
      <c r="B664" s="9"/>
    </row>
    <row r="665">
      <c r="A665" s="9"/>
      <c r="B665" s="9"/>
    </row>
    <row r="666">
      <c r="A666" s="9"/>
      <c r="B666" s="9"/>
    </row>
    <row r="667">
      <c r="A667" s="9"/>
      <c r="B667" s="9"/>
    </row>
    <row r="668">
      <c r="A668" s="9"/>
      <c r="B668" s="9"/>
    </row>
    <row r="669">
      <c r="A669" s="9"/>
      <c r="B669" s="9"/>
    </row>
    <row r="670">
      <c r="A670" s="9"/>
      <c r="B670" s="9"/>
    </row>
    <row r="671">
      <c r="A671" s="9"/>
      <c r="B671" s="9"/>
    </row>
    <row r="672">
      <c r="A672" s="9"/>
      <c r="B672" s="9"/>
    </row>
    <row r="673">
      <c r="A673" s="9"/>
      <c r="B673" s="9"/>
    </row>
    <row r="674">
      <c r="A674" s="9"/>
      <c r="B674" s="9"/>
    </row>
    <row r="675">
      <c r="A675" s="9"/>
      <c r="B675" s="9"/>
    </row>
    <row r="676">
      <c r="A676" s="9"/>
      <c r="B676" s="9"/>
    </row>
    <row r="677">
      <c r="A677" s="9"/>
      <c r="B677" s="9"/>
    </row>
    <row r="678">
      <c r="A678" s="9"/>
      <c r="B678" s="9"/>
    </row>
    <row r="679">
      <c r="A679" s="9"/>
      <c r="B679" s="9"/>
    </row>
    <row r="680">
      <c r="A680" s="9"/>
      <c r="B680" s="9"/>
    </row>
    <row r="681">
      <c r="A681" s="9"/>
      <c r="B681" s="9"/>
    </row>
    <row r="682">
      <c r="A682" s="9"/>
      <c r="B682" s="9"/>
    </row>
    <row r="683">
      <c r="A683" s="9"/>
      <c r="B683" s="9"/>
    </row>
    <row r="684">
      <c r="A684" s="9"/>
      <c r="B684" s="9"/>
    </row>
    <row r="685">
      <c r="A685" s="9"/>
      <c r="B685" s="9"/>
    </row>
    <row r="686">
      <c r="A686" s="9"/>
      <c r="B686" s="9"/>
    </row>
    <row r="687">
      <c r="A687" s="9"/>
      <c r="B687" s="9"/>
    </row>
    <row r="688">
      <c r="A688" s="9"/>
      <c r="B688" s="9"/>
    </row>
    <row r="689">
      <c r="A689" s="9"/>
      <c r="B689" s="9"/>
    </row>
    <row r="690">
      <c r="A690" s="9"/>
      <c r="B690" s="9"/>
    </row>
    <row r="691">
      <c r="A691" s="9"/>
      <c r="B691" s="9"/>
    </row>
    <row r="692">
      <c r="A692" s="9"/>
      <c r="B692" s="9"/>
    </row>
    <row r="693">
      <c r="A693" s="9"/>
      <c r="B693" s="9"/>
    </row>
    <row r="694">
      <c r="A694" s="9"/>
      <c r="B694" s="9"/>
    </row>
    <row r="695">
      <c r="A695" s="9"/>
      <c r="B695" s="9"/>
    </row>
    <row r="696">
      <c r="A696" s="9"/>
      <c r="B696" s="9"/>
    </row>
    <row r="697">
      <c r="A697" s="9"/>
      <c r="B697" s="9"/>
    </row>
    <row r="698">
      <c r="A698" s="9"/>
      <c r="B698" s="9"/>
    </row>
    <row r="699">
      <c r="A699" s="9"/>
      <c r="B699" s="9"/>
    </row>
    <row r="700">
      <c r="A700" s="9"/>
      <c r="B700" s="9"/>
    </row>
    <row r="701">
      <c r="A701" s="9"/>
      <c r="B701" s="9"/>
    </row>
    <row r="702">
      <c r="A702" s="9"/>
      <c r="B702" s="9"/>
    </row>
    <row r="703">
      <c r="A703" s="9"/>
      <c r="B703" s="9"/>
    </row>
    <row r="704">
      <c r="A704" s="9"/>
      <c r="B704" s="9"/>
    </row>
    <row r="705">
      <c r="A705" s="9"/>
      <c r="B705" s="9"/>
    </row>
    <row r="706">
      <c r="A706" s="9"/>
      <c r="B706" s="9"/>
    </row>
    <row r="707">
      <c r="A707" s="9"/>
      <c r="B707" s="9"/>
    </row>
    <row r="708">
      <c r="A708" s="9"/>
      <c r="B708" s="9"/>
    </row>
    <row r="709">
      <c r="A709" s="9"/>
      <c r="B709" s="9"/>
    </row>
    <row r="710">
      <c r="A710" s="9"/>
      <c r="B710" s="9"/>
    </row>
    <row r="711">
      <c r="A711" s="9"/>
      <c r="B711" s="9"/>
    </row>
    <row r="712">
      <c r="A712" s="9"/>
      <c r="B712" s="9"/>
    </row>
    <row r="713">
      <c r="A713" s="9"/>
      <c r="B713" s="9"/>
    </row>
    <row r="714">
      <c r="A714" s="9"/>
      <c r="B714" s="9"/>
    </row>
    <row r="715">
      <c r="A715" s="9"/>
      <c r="B715" s="9"/>
    </row>
    <row r="716">
      <c r="A716" s="9"/>
      <c r="B716" s="9"/>
    </row>
    <row r="717">
      <c r="A717" s="9"/>
      <c r="B717" s="9"/>
    </row>
    <row r="718">
      <c r="A718" s="9"/>
      <c r="B718" s="9"/>
    </row>
    <row r="719">
      <c r="A719" s="9"/>
      <c r="B719" s="9"/>
    </row>
    <row r="720">
      <c r="A720" s="9"/>
      <c r="B720" s="9"/>
    </row>
    <row r="721">
      <c r="A721" s="9"/>
      <c r="B721" s="9"/>
    </row>
    <row r="722">
      <c r="A722" s="9"/>
      <c r="B722" s="9"/>
    </row>
    <row r="723">
      <c r="A723" s="9"/>
      <c r="B723" s="9"/>
    </row>
    <row r="724">
      <c r="A724" s="9"/>
      <c r="B724" s="9"/>
    </row>
    <row r="725">
      <c r="A725" s="9"/>
      <c r="B725" s="9"/>
    </row>
    <row r="726">
      <c r="A726" s="9"/>
      <c r="B726" s="9"/>
    </row>
    <row r="727">
      <c r="A727" s="9"/>
      <c r="B727" s="9"/>
    </row>
    <row r="728">
      <c r="A728" s="9"/>
      <c r="B728" s="9"/>
    </row>
    <row r="729">
      <c r="A729" s="9"/>
      <c r="B729" s="9"/>
    </row>
    <row r="730">
      <c r="A730" s="9"/>
      <c r="B730" s="9"/>
    </row>
    <row r="731">
      <c r="A731" s="9"/>
      <c r="B731" s="9"/>
    </row>
    <row r="732">
      <c r="A732" s="9"/>
      <c r="B732" s="9"/>
    </row>
    <row r="733">
      <c r="A733" s="9"/>
      <c r="B733" s="9"/>
    </row>
    <row r="734">
      <c r="A734" s="9"/>
      <c r="B734" s="9"/>
    </row>
    <row r="735">
      <c r="A735" s="9"/>
      <c r="B735" s="9"/>
    </row>
    <row r="736">
      <c r="A736" s="9"/>
      <c r="B736" s="9"/>
    </row>
    <row r="737">
      <c r="A737" s="9"/>
      <c r="B737" s="9"/>
    </row>
    <row r="738">
      <c r="A738" s="9"/>
      <c r="B738" s="9"/>
    </row>
    <row r="739">
      <c r="A739" s="9"/>
      <c r="B739" s="9"/>
    </row>
    <row r="740">
      <c r="A740" s="9"/>
      <c r="B740" s="9"/>
    </row>
    <row r="741">
      <c r="A741" s="9"/>
      <c r="B741" s="9"/>
    </row>
    <row r="742">
      <c r="A742" s="9"/>
      <c r="B742" s="9"/>
    </row>
    <row r="743">
      <c r="A743" s="9"/>
      <c r="B743" s="9"/>
    </row>
    <row r="744">
      <c r="A744" s="9"/>
      <c r="B744" s="9"/>
    </row>
    <row r="745">
      <c r="A745" s="9"/>
      <c r="B745" s="9"/>
    </row>
    <row r="746">
      <c r="A746" s="9"/>
      <c r="B746" s="9"/>
    </row>
    <row r="747">
      <c r="A747" s="9"/>
      <c r="B747" s="9"/>
    </row>
    <row r="748">
      <c r="A748" s="9"/>
      <c r="B748" s="9"/>
    </row>
    <row r="749">
      <c r="A749" s="9"/>
      <c r="B749" s="9"/>
    </row>
    <row r="750">
      <c r="A750" s="9"/>
      <c r="B750" s="9"/>
    </row>
    <row r="751">
      <c r="A751" s="9"/>
      <c r="B751" s="9"/>
    </row>
    <row r="752">
      <c r="A752" s="9"/>
      <c r="B752" s="9"/>
    </row>
    <row r="753">
      <c r="A753" s="9"/>
      <c r="B753" s="9"/>
    </row>
    <row r="754">
      <c r="A754" s="9"/>
      <c r="B754" s="9"/>
    </row>
    <row r="755">
      <c r="A755" s="9"/>
      <c r="B755" s="9"/>
    </row>
    <row r="756">
      <c r="A756" s="9"/>
      <c r="B756" s="9"/>
    </row>
    <row r="757">
      <c r="A757" s="9"/>
      <c r="B757" s="9"/>
    </row>
    <row r="758">
      <c r="A758" s="9"/>
      <c r="B758" s="9"/>
    </row>
    <row r="759">
      <c r="A759" s="9"/>
      <c r="B759" s="9"/>
    </row>
    <row r="760">
      <c r="A760" s="9"/>
      <c r="B760" s="9"/>
    </row>
    <row r="761">
      <c r="A761" s="9"/>
      <c r="B761" s="9"/>
    </row>
    <row r="762">
      <c r="A762" s="9"/>
      <c r="B762" s="9"/>
    </row>
    <row r="763">
      <c r="A763" s="9"/>
      <c r="B763" s="9"/>
    </row>
    <row r="764">
      <c r="A764" s="9"/>
      <c r="B764" s="9"/>
    </row>
    <row r="765">
      <c r="A765" s="9"/>
      <c r="B765" s="9"/>
    </row>
    <row r="766">
      <c r="A766" s="9"/>
      <c r="B766" s="9"/>
    </row>
    <row r="767">
      <c r="A767" s="9"/>
      <c r="B767" s="9"/>
    </row>
    <row r="768">
      <c r="A768" s="9"/>
      <c r="B768" s="9"/>
    </row>
    <row r="769">
      <c r="A769" s="9"/>
      <c r="B769" s="9"/>
    </row>
    <row r="770">
      <c r="A770" s="9"/>
      <c r="B770" s="9"/>
    </row>
    <row r="771">
      <c r="A771" s="9"/>
      <c r="B771" s="9"/>
    </row>
    <row r="772">
      <c r="A772" s="9"/>
      <c r="B772" s="9"/>
    </row>
    <row r="773">
      <c r="A773" s="9"/>
      <c r="B773" s="9"/>
    </row>
    <row r="774">
      <c r="A774" s="9"/>
      <c r="B774" s="9"/>
    </row>
    <row r="775">
      <c r="A775" s="9"/>
      <c r="B775" s="9"/>
    </row>
    <row r="776">
      <c r="A776" s="9"/>
      <c r="B776" s="9"/>
    </row>
    <row r="777">
      <c r="A777" s="9"/>
      <c r="B777" s="9"/>
    </row>
    <row r="778">
      <c r="A778" s="9"/>
      <c r="B778" s="9"/>
    </row>
    <row r="779">
      <c r="A779" s="9"/>
      <c r="B779" s="9"/>
    </row>
    <row r="780">
      <c r="A780" s="9"/>
      <c r="B780" s="9"/>
    </row>
    <row r="781">
      <c r="A781" s="9"/>
      <c r="B781" s="9"/>
    </row>
    <row r="782">
      <c r="A782" s="9"/>
      <c r="B782" s="9"/>
    </row>
    <row r="783">
      <c r="A783" s="9"/>
      <c r="B783" s="9"/>
    </row>
    <row r="784">
      <c r="A784" s="9"/>
      <c r="B784" s="9"/>
    </row>
    <row r="785">
      <c r="A785" s="9"/>
      <c r="B785" s="9"/>
    </row>
    <row r="786">
      <c r="A786" s="9"/>
      <c r="B786" s="9"/>
    </row>
    <row r="787">
      <c r="A787" s="9"/>
      <c r="B787" s="9"/>
    </row>
    <row r="788">
      <c r="A788" s="9"/>
      <c r="B788" s="9"/>
    </row>
    <row r="789">
      <c r="A789" s="9"/>
      <c r="B789" s="9"/>
    </row>
    <row r="790">
      <c r="A790" s="9"/>
      <c r="B790" s="9"/>
    </row>
    <row r="791">
      <c r="A791" s="9"/>
      <c r="B791" s="9"/>
    </row>
    <row r="792">
      <c r="A792" s="9"/>
      <c r="B792" s="9"/>
    </row>
    <row r="793">
      <c r="A793" s="9"/>
      <c r="B793" s="9"/>
    </row>
    <row r="794">
      <c r="A794" s="9"/>
      <c r="B794" s="9"/>
    </row>
    <row r="795">
      <c r="A795" s="9"/>
      <c r="B795" s="9"/>
    </row>
    <row r="796">
      <c r="A796" s="9"/>
      <c r="B796" s="9"/>
    </row>
    <row r="797">
      <c r="A797" s="9"/>
      <c r="B797" s="9"/>
    </row>
    <row r="798">
      <c r="A798" s="9"/>
      <c r="B798" s="9"/>
    </row>
    <row r="799">
      <c r="A799" s="9"/>
      <c r="B799" s="9"/>
    </row>
    <row r="800">
      <c r="A800" s="9"/>
      <c r="B800" s="9"/>
    </row>
    <row r="801">
      <c r="A801" s="9"/>
      <c r="B801" s="9"/>
    </row>
    <row r="802">
      <c r="A802" s="9"/>
      <c r="B802" s="9"/>
    </row>
    <row r="803">
      <c r="A803" s="9"/>
      <c r="B803" s="9"/>
    </row>
    <row r="804">
      <c r="A804" s="9"/>
      <c r="B804" s="9"/>
    </row>
    <row r="805">
      <c r="A805" s="9"/>
      <c r="B805" s="9"/>
    </row>
    <row r="806">
      <c r="A806" s="9"/>
      <c r="B806" s="9"/>
    </row>
    <row r="807">
      <c r="A807" s="9"/>
      <c r="B807" s="9"/>
    </row>
    <row r="808">
      <c r="A808" s="9"/>
      <c r="B808" s="9"/>
    </row>
    <row r="809">
      <c r="A809" s="9"/>
      <c r="B809" s="9"/>
    </row>
    <row r="810">
      <c r="A810" s="9"/>
      <c r="B810" s="9"/>
    </row>
    <row r="811">
      <c r="A811" s="9"/>
      <c r="B811" s="9"/>
    </row>
    <row r="812">
      <c r="A812" s="9"/>
      <c r="B812" s="9"/>
    </row>
    <row r="813">
      <c r="A813" s="9"/>
      <c r="B813" s="9"/>
    </row>
    <row r="814">
      <c r="A814" s="9"/>
      <c r="B814" s="9"/>
    </row>
    <row r="815">
      <c r="A815" s="9"/>
      <c r="B815" s="9"/>
    </row>
    <row r="816">
      <c r="A816" s="9"/>
      <c r="B816" s="9"/>
    </row>
    <row r="817">
      <c r="A817" s="9"/>
      <c r="B817" s="9"/>
    </row>
    <row r="818">
      <c r="A818" s="9"/>
      <c r="B818" s="9"/>
    </row>
    <row r="819">
      <c r="A819" s="9"/>
      <c r="B819" s="9"/>
    </row>
    <row r="820">
      <c r="A820" s="9"/>
      <c r="B820" s="9"/>
    </row>
    <row r="821">
      <c r="A821" s="9"/>
      <c r="B821" s="9"/>
    </row>
    <row r="822">
      <c r="A822" s="9"/>
      <c r="B822" s="9"/>
    </row>
    <row r="823">
      <c r="A823" s="9"/>
      <c r="B823" s="9"/>
    </row>
    <row r="824">
      <c r="A824" s="9"/>
      <c r="B824" s="9"/>
    </row>
    <row r="825">
      <c r="A825" s="9"/>
      <c r="B825" s="9"/>
    </row>
    <row r="826">
      <c r="A826" s="9"/>
      <c r="B826" s="9"/>
    </row>
    <row r="827">
      <c r="A827" s="9"/>
      <c r="B827" s="9"/>
    </row>
    <row r="828">
      <c r="A828" s="9"/>
      <c r="B828" s="9"/>
    </row>
    <row r="829">
      <c r="A829" s="9"/>
      <c r="B829" s="9"/>
    </row>
    <row r="830">
      <c r="A830" s="9"/>
      <c r="B830" s="9"/>
    </row>
    <row r="831">
      <c r="A831" s="9"/>
      <c r="B831" s="9"/>
    </row>
    <row r="832">
      <c r="A832" s="9"/>
      <c r="B832" s="9"/>
    </row>
    <row r="833">
      <c r="A833" s="9"/>
      <c r="B833" s="9"/>
    </row>
    <row r="834">
      <c r="A834" s="9"/>
      <c r="B834" s="9"/>
    </row>
    <row r="835">
      <c r="A835" s="9"/>
      <c r="B835" s="9"/>
    </row>
    <row r="836">
      <c r="A836" s="9"/>
      <c r="B836" s="9"/>
    </row>
    <row r="837">
      <c r="A837" s="9"/>
      <c r="B837" s="9"/>
    </row>
    <row r="838">
      <c r="A838" s="9"/>
      <c r="B838" s="9"/>
    </row>
    <row r="839">
      <c r="A839" s="9"/>
      <c r="B839" s="9"/>
    </row>
    <row r="840">
      <c r="A840" s="9"/>
      <c r="B840" s="9"/>
    </row>
    <row r="841">
      <c r="A841" s="9"/>
      <c r="B841" s="9"/>
    </row>
    <row r="842">
      <c r="A842" s="9"/>
      <c r="B842" s="9"/>
    </row>
    <row r="843">
      <c r="A843" s="9"/>
      <c r="B843" s="9"/>
    </row>
    <row r="844">
      <c r="A844" s="9"/>
      <c r="B844" s="9"/>
    </row>
    <row r="845">
      <c r="A845" s="9"/>
      <c r="B845" s="9"/>
    </row>
    <row r="846">
      <c r="A846" s="9"/>
      <c r="B846" s="9"/>
    </row>
    <row r="847">
      <c r="A847" s="9"/>
      <c r="B847" s="9"/>
    </row>
    <row r="848">
      <c r="A848" s="9"/>
      <c r="B848" s="9"/>
    </row>
    <row r="849">
      <c r="A849" s="9"/>
      <c r="B849" s="9"/>
    </row>
    <row r="850">
      <c r="A850" s="9"/>
      <c r="B850" s="9"/>
    </row>
    <row r="851">
      <c r="A851" s="9"/>
      <c r="B851" s="9"/>
    </row>
    <row r="852">
      <c r="A852" s="9"/>
      <c r="B852" s="9"/>
    </row>
    <row r="853">
      <c r="A853" s="9"/>
      <c r="B853" s="9"/>
    </row>
    <row r="854">
      <c r="A854" s="9"/>
      <c r="B854" s="9"/>
    </row>
    <row r="855">
      <c r="A855" s="9"/>
      <c r="B855" s="9"/>
    </row>
    <row r="856">
      <c r="A856" s="9"/>
      <c r="B856" s="9"/>
    </row>
    <row r="857">
      <c r="A857" s="9"/>
      <c r="B857" s="9"/>
    </row>
    <row r="858">
      <c r="A858" s="9"/>
      <c r="B858" s="9"/>
    </row>
    <row r="859">
      <c r="A859" s="9"/>
      <c r="B859" s="9"/>
    </row>
    <row r="860">
      <c r="A860" s="9"/>
      <c r="B860" s="9"/>
    </row>
    <row r="861">
      <c r="A861" s="9"/>
      <c r="B861" s="9"/>
    </row>
    <row r="862">
      <c r="A862" s="9"/>
      <c r="B862" s="9"/>
    </row>
    <row r="863">
      <c r="A863" s="9"/>
      <c r="B863" s="9"/>
    </row>
    <row r="864">
      <c r="A864" s="9"/>
      <c r="B864" s="9"/>
    </row>
    <row r="865">
      <c r="A865" s="9"/>
      <c r="B865" s="9"/>
    </row>
    <row r="866">
      <c r="A866" s="9"/>
      <c r="B866" s="9"/>
    </row>
    <row r="867">
      <c r="A867" s="9"/>
      <c r="B867" s="9"/>
    </row>
    <row r="868">
      <c r="A868" s="9"/>
      <c r="B868" s="9"/>
    </row>
    <row r="869">
      <c r="A869" s="9"/>
      <c r="B869" s="9"/>
    </row>
    <row r="870">
      <c r="A870" s="9"/>
      <c r="B870" s="9"/>
    </row>
    <row r="871">
      <c r="A871" s="9"/>
      <c r="B871" s="9"/>
    </row>
    <row r="872">
      <c r="A872" s="9"/>
      <c r="B872" s="9"/>
    </row>
    <row r="873">
      <c r="A873" s="9"/>
      <c r="B873" s="9"/>
    </row>
    <row r="874">
      <c r="A874" s="9"/>
      <c r="B874" s="9"/>
    </row>
    <row r="875">
      <c r="A875" s="9"/>
      <c r="B875" s="9"/>
    </row>
    <row r="876">
      <c r="A876" s="9"/>
      <c r="B876" s="9"/>
    </row>
    <row r="877">
      <c r="A877" s="9"/>
      <c r="B877" s="9"/>
    </row>
    <row r="878">
      <c r="A878" s="9"/>
      <c r="B878" s="9"/>
    </row>
    <row r="879">
      <c r="A879" s="9"/>
      <c r="B879" s="9"/>
    </row>
    <row r="880">
      <c r="A880" s="9"/>
      <c r="B880" s="9"/>
    </row>
    <row r="881">
      <c r="A881" s="9"/>
      <c r="B881" s="9"/>
    </row>
    <row r="882">
      <c r="A882" s="9"/>
      <c r="B882" s="9"/>
    </row>
    <row r="883">
      <c r="A883" s="9"/>
      <c r="B883" s="9"/>
    </row>
    <row r="884">
      <c r="A884" s="9"/>
      <c r="B884" s="9"/>
    </row>
    <row r="885">
      <c r="A885" s="9"/>
      <c r="B885" s="9"/>
    </row>
    <row r="886">
      <c r="A886" s="9"/>
      <c r="B886" s="9"/>
    </row>
    <row r="887">
      <c r="A887" s="9"/>
      <c r="B887" s="9"/>
    </row>
    <row r="888">
      <c r="A888" s="9"/>
      <c r="B888" s="9"/>
    </row>
    <row r="889">
      <c r="A889" s="9"/>
      <c r="B889" s="9"/>
    </row>
    <row r="890">
      <c r="A890" s="9"/>
      <c r="B890" s="9"/>
    </row>
    <row r="891">
      <c r="A891" s="9"/>
      <c r="B891" s="9"/>
    </row>
    <row r="892">
      <c r="A892" s="9"/>
      <c r="B892" s="9"/>
    </row>
    <row r="893">
      <c r="A893" s="9"/>
      <c r="B893" s="9"/>
    </row>
    <row r="894">
      <c r="A894" s="9"/>
      <c r="B894" s="9"/>
    </row>
    <row r="895">
      <c r="A895" s="9"/>
      <c r="B895" s="9"/>
    </row>
    <row r="896">
      <c r="A896" s="9"/>
      <c r="B896" s="9"/>
    </row>
    <row r="897">
      <c r="A897" s="9"/>
      <c r="B897" s="9"/>
    </row>
    <row r="898">
      <c r="A898" s="9"/>
      <c r="B898" s="9"/>
    </row>
    <row r="899">
      <c r="A899" s="9"/>
      <c r="B899" s="9"/>
    </row>
    <row r="900">
      <c r="A900" s="9"/>
      <c r="B900" s="9"/>
    </row>
  </sheetData>
  <hyperlinks>
    <hyperlink r:id="rId1" ref="A3"/>
  </hyperlinks>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2.25"/>
    <col customWidth="1" min="2" max="2" width="20.75"/>
    <col customWidth="1" min="3" max="3" width="24.88"/>
    <col customWidth="1" min="4" max="11" width="23.88"/>
  </cols>
  <sheetData>
    <row r="1">
      <c r="A1" s="12" t="str">
        <f>Entities!A1</f>
        <v>CDA.LS.HCP Kernel Translations, Version 24.8, August 30, 2024</v>
      </c>
      <c r="B1" s="3"/>
      <c r="C1" s="3"/>
      <c r="D1" s="2"/>
      <c r="E1" s="2"/>
      <c r="F1" s="3"/>
      <c r="G1" s="3"/>
      <c r="H1" s="4"/>
      <c r="I1" s="4"/>
      <c r="J1" s="4"/>
      <c r="K1" s="4"/>
      <c r="L1" s="4"/>
      <c r="M1" s="4"/>
      <c r="N1" s="4"/>
      <c r="O1" s="4"/>
      <c r="P1" s="4"/>
      <c r="Q1" s="4"/>
      <c r="R1" s="4"/>
      <c r="S1" s="4"/>
      <c r="T1" s="4"/>
      <c r="U1" s="4"/>
      <c r="V1" s="4"/>
      <c r="W1" s="4"/>
      <c r="X1" s="4"/>
      <c r="Y1" s="4"/>
    </row>
    <row r="2">
      <c r="A2" s="5" t="s">
        <v>45</v>
      </c>
      <c r="B2" s="3"/>
      <c r="C2" s="3"/>
      <c r="D2" s="2"/>
      <c r="E2" s="2"/>
      <c r="F2" s="3"/>
      <c r="G2" s="3"/>
      <c r="H2" s="4"/>
      <c r="I2" s="4"/>
      <c r="J2" s="4"/>
      <c r="K2" s="4"/>
      <c r="L2" s="4"/>
      <c r="M2" s="4"/>
      <c r="N2" s="4"/>
      <c r="O2" s="4"/>
      <c r="P2" s="4"/>
      <c r="Q2" s="4"/>
      <c r="R2" s="4"/>
      <c r="S2" s="4"/>
      <c r="T2" s="4"/>
      <c r="U2" s="4"/>
      <c r="V2" s="4"/>
      <c r="W2" s="4"/>
      <c r="X2" s="4"/>
      <c r="Y2" s="4"/>
    </row>
    <row r="3">
      <c r="A3" s="6" t="s">
        <v>26</v>
      </c>
      <c r="B3" s="6" t="s">
        <v>3</v>
      </c>
      <c r="C3" s="6" t="s">
        <v>4</v>
      </c>
      <c r="D3" s="6" t="s">
        <v>5</v>
      </c>
      <c r="E3" s="6" t="s">
        <v>6</v>
      </c>
      <c r="F3" s="6" t="s">
        <v>7</v>
      </c>
      <c r="G3" s="6" t="s">
        <v>8</v>
      </c>
      <c r="H3" s="6" t="s">
        <v>9</v>
      </c>
      <c r="I3" s="6" t="s">
        <v>10</v>
      </c>
      <c r="J3" s="6" t="s">
        <v>11</v>
      </c>
      <c r="K3" s="6"/>
      <c r="L3" s="6"/>
      <c r="M3" s="6"/>
      <c r="N3" s="6"/>
      <c r="O3" s="6"/>
      <c r="P3" s="6"/>
      <c r="Q3" s="6"/>
      <c r="R3" s="6"/>
      <c r="S3" s="6"/>
      <c r="T3" s="6"/>
      <c r="U3" s="6"/>
      <c r="V3" s="6"/>
      <c r="W3" s="6"/>
      <c r="X3" s="18"/>
      <c r="Y3" s="18"/>
      <c r="Z3" s="18"/>
    </row>
    <row r="4">
      <c r="A4" s="21" t="str">
        <f>IFERROR(__xludf.DUMMYFUNCTION("IMPORTRANGE(""https://docs.google.com/spreadsheets/d/1ZIx3-wJv76bPGccT5CZZ4g3Sy52i_iEnaWf6C0L_ST0/edit#gid=1869488518"",""Age Range Items!A4:A"")"),"18-24")</f>
        <v>18-24</v>
      </c>
      <c r="B4" s="21" t="str">
        <f>IFERROR(__xludf.DUMMYFUNCTION("IMPORTRANGE(""https://docs.google.com/spreadsheets/d/1ZIx3-wJv76bPGccT5CZZ4g3Sy52i_iEnaWf6C0L_ST0/edit#gid=1869488518"",""Age Range Items!B4:B"")"),"1824")</f>
        <v>1824</v>
      </c>
      <c r="C4" s="9" t="str">
        <f>IFERROR(__xludf.DUMMYFUNCTION("GOOGLETRANSLATE($A4,""en"",""de"")"),"18-24")</f>
        <v>18-24</v>
      </c>
      <c r="D4" s="9" t="str">
        <f>IFERROR(__xludf.DUMMYFUNCTION("GOOGLETRANSLATE($A4,""en"",""fr"")"),"18-24")</f>
        <v>18-24</v>
      </c>
      <c r="E4" s="9" t="str">
        <f>IFERROR(__xludf.DUMMYFUNCTION("GOOGLETRANSLATE($A4,""en"",""es"")"),"18-24")</f>
        <v>18-24</v>
      </c>
      <c r="F4" s="9" t="str">
        <f>IFERROR(__xludf.DUMMYFUNCTION("GOOGLETRANSLATE($A4,""en"",""it"")"),"18-24")</f>
        <v>18-24</v>
      </c>
      <c r="G4" s="9" t="str">
        <f>IFERROR(__xludf.DUMMYFUNCTION("GOOGLETRANSLATE($A4,""en"",""zh-cn"")"),"18-24日")</f>
        <v>18-24日</v>
      </c>
      <c r="H4" s="9" t="str">
        <f>IFERROR(__xludf.DUMMYFUNCTION("GOOGLETRANSLATE($A4,""en"",""ja"")"),"18-24")</f>
        <v>18-24</v>
      </c>
      <c r="I4" s="9" t="str">
        <f>IFERROR(__xludf.DUMMYFUNCTION("GOOGLETRANSLATE($A4,""en"",""ko"")"),"18-24")</f>
        <v>18-24</v>
      </c>
      <c r="J4" s="9" t="str">
        <f>IFERROR(__xludf.DUMMYFUNCTION("GOOGLETRANSLATE($A4,""en"",""pt-BR"")"),"18-24")</f>
        <v>18-24</v>
      </c>
      <c r="K4" s="17"/>
      <c r="L4" s="8"/>
      <c r="M4" s="8"/>
      <c r="N4" s="17"/>
      <c r="O4" s="8"/>
      <c r="P4" s="8"/>
      <c r="Q4" s="17"/>
      <c r="R4" s="8"/>
      <c r="S4" s="8"/>
      <c r="T4" s="17"/>
      <c r="U4" s="8"/>
      <c r="V4" s="8"/>
      <c r="W4" s="17"/>
    </row>
    <row r="5">
      <c r="A5" s="22" t="str">
        <f>IFERROR(__xludf.DUMMYFUNCTION("""COMPUTED_VALUE"""),"25-29")</f>
        <v>25-29</v>
      </c>
      <c r="B5" s="22" t="str">
        <f>IFERROR(__xludf.DUMMYFUNCTION("""COMPUTED_VALUE"""),"2529")</f>
        <v>2529</v>
      </c>
      <c r="C5" s="9" t="str">
        <f>IFERROR(__xludf.DUMMYFUNCTION("GOOGLETRANSLATE($A5,""en"",""de"")"),"25-29")</f>
        <v>25-29</v>
      </c>
      <c r="D5" s="9" t="str">
        <f>IFERROR(__xludf.DUMMYFUNCTION("GOOGLETRANSLATE($A5,""en"",""fr"")"),"25-29")</f>
        <v>25-29</v>
      </c>
      <c r="E5" s="9" t="str">
        <f>IFERROR(__xludf.DUMMYFUNCTION("GOOGLETRANSLATE($A5,""en"",""es"")"),"25-29")</f>
        <v>25-29</v>
      </c>
      <c r="F5" s="9" t="str">
        <f>IFERROR(__xludf.DUMMYFUNCTION("GOOGLETRANSLATE($A5,""en"",""it"")"),"25-29")</f>
        <v>25-29</v>
      </c>
      <c r="G5" s="9" t="str">
        <f>IFERROR(__xludf.DUMMYFUNCTION("GOOGLETRANSLATE($A5,""en"",""zh-cn"")"),"25-29日")</f>
        <v>25-29日</v>
      </c>
      <c r="H5" s="9" t="str">
        <f>IFERROR(__xludf.DUMMYFUNCTION("GOOGLETRANSLATE($A5,""en"",""ja"")"),"25-29")</f>
        <v>25-29</v>
      </c>
      <c r="I5" s="9" t="str">
        <f>IFERROR(__xludf.DUMMYFUNCTION("GOOGLETRANSLATE($A5,""en"",""ko"")"),"25-29")</f>
        <v>25-29</v>
      </c>
      <c r="J5" s="9" t="str">
        <f>IFERROR(__xludf.DUMMYFUNCTION("GOOGLETRANSLATE($A5,""en"",""pt-BR"")"),"25-29")</f>
        <v>25-29</v>
      </c>
    </row>
    <row r="6">
      <c r="A6" s="22" t="str">
        <f>IFERROR(__xludf.DUMMYFUNCTION("""COMPUTED_VALUE"""),"30-34")</f>
        <v>30-34</v>
      </c>
      <c r="B6" s="22" t="str">
        <f>IFERROR(__xludf.DUMMYFUNCTION("""COMPUTED_VALUE"""),"3034")</f>
        <v>3034</v>
      </c>
      <c r="C6" s="9" t="str">
        <f>IFERROR(__xludf.DUMMYFUNCTION("GOOGLETRANSLATE($A6,""en"",""de"")"),"30-34")</f>
        <v>30-34</v>
      </c>
      <c r="D6" s="9" t="str">
        <f>IFERROR(__xludf.DUMMYFUNCTION("GOOGLETRANSLATE($A6,""en"",""fr"")"),"30-34")</f>
        <v>30-34</v>
      </c>
      <c r="E6" s="9" t="str">
        <f>IFERROR(__xludf.DUMMYFUNCTION("GOOGLETRANSLATE($A6,""en"",""es"")"),"30-34")</f>
        <v>30-34</v>
      </c>
      <c r="F6" s="9" t="str">
        <f>IFERROR(__xludf.DUMMYFUNCTION("GOOGLETRANSLATE($A6,""en"",""it"")"),"30-34")</f>
        <v>30-34</v>
      </c>
      <c r="G6" s="9" t="str">
        <f>IFERROR(__xludf.DUMMYFUNCTION("GOOGLETRANSLATE($A6,""en"",""zh-cn"")"),"30-34")</f>
        <v>30-34</v>
      </c>
      <c r="H6" s="9" t="str">
        <f>IFERROR(__xludf.DUMMYFUNCTION("GOOGLETRANSLATE($A6,""en"",""ja"")"),"30-34")</f>
        <v>30-34</v>
      </c>
      <c r="I6" s="9" t="str">
        <f>IFERROR(__xludf.DUMMYFUNCTION("GOOGLETRANSLATE($A6,""en"",""ko"")"),"30-34")</f>
        <v>30-34</v>
      </c>
      <c r="J6" s="9" t="str">
        <f>IFERROR(__xludf.DUMMYFUNCTION("GOOGLETRANSLATE($A6,""en"",""pt-BR"")"),"30-34")</f>
        <v>30-34</v>
      </c>
    </row>
    <row r="7">
      <c r="A7" s="22" t="str">
        <f>IFERROR(__xludf.DUMMYFUNCTION("""COMPUTED_VALUE"""),"35-39")</f>
        <v>35-39</v>
      </c>
      <c r="B7" s="22" t="str">
        <f>IFERROR(__xludf.DUMMYFUNCTION("""COMPUTED_VALUE"""),"3539")</f>
        <v>3539</v>
      </c>
      <c r="C7" s="9" t="str">
        <f>IFERROR(__xludf.DUMMYFUNCTION("GOOGLETRANSLATE($A7,""en"",""de"")"),"35-39")</f>
        <v>35-39</v>
      </c>
      <c r="D7" s="9" t="str">
        <f>IFERROR(__xludf.DUMMYFUNCTION("GOOGLETRANSLATE($A7,""en"",""fr"")"),"35-39")</f>
        <v>35-39</v>
      </c>
      <c r="E7" s="9" t="str">
        <f>IFERROR(__xludf.DUMMYFUNCTION("GOOGLETRANSLATE($A7,""en"",""es"")"),"35-39")</f>
        <v>35-39</v>
      </c>
      <c r="F7" s="9" t="str">
        <f>IFERROR(__xludf.DUMMYFUNCTION("GOOGLETRANSLATE($A7,""en"",""it"")"),"35-39")</f>
        <v>35-39</v>
      </c>
      <c r="G7" s="9" t="str">
        <f>IFERROR(__xludf.DUMMYFUNCTION("GOOGLETRANSLATE($A7,""en"",""zh-cn"")"),"35-39")</f>
        <v>35-39</v>
      </c>
      <c r="H7" s="9" t="str">
        <f>IFERROR(__xludf.DUMMYFUNCTION("GOOGLETRANSLATE($A7,""en"",""ja"")"),"35-39")</f>
        <v>35-39</v>
      </c>
      <c r="I7" s="9" t="str">
        <f>IFERROR(__xludf.DUMMYFUNCTION("GOOGLETRANSLATE($A7,""en"",""ko"")"),"35-39")</f>
        <v>35-39</v>
      </c>
      <c r="J7" s="9" t="str">
        <f>IFERROR(__xludf.DUMMYFUNCTION("GOOGLETRANSLATE($A7,""en"",""pt-BR"")"),"35-39")</f>
        <v>35-39</v>
      </c>
    </row>
    <row r="8">
      <c r="A8" s="22" t="str">
        <f>IFERROR(__xludf.DUMMYFUNCTION("""COMPUTED_VALUE"""),"40-44")</f>
        <v>40-44</v>
      </c>
      <c r="B8" s="22" t="str">
        <f>IFERROR(__xludf.DUMMYFUNCTION("""COMPUTED_VALUE"""),"4044")</f>
        <v>4044</v>
      </c>
      <c r="C8" s="9" t="str">
        <f>IFERROR(__xludf.DUMMYFUNCTION("GOOGLETRANSLATE($A8,""en"",""de"")"),"40-44")</f>
        <v>40-44</v>
      </c>
      <c r="D8" s="9" t="str">
        <f>IFERROR(__xludf.DUMMYFUNCTION("GOOGLETRANSLATE($A8,""en"",""fr"")"),"40-44")</f>
        <v>40-44</v>
      </c>
      <c r="E8" s="9" t="str">
        <f>IFERROR(__xludf.DUMMYFUNCTION("GOOGLETRANSLATE($A8,""en"",""es"")"),"40-44")</f>
        <v>40-44</v>
      </c>
      <c r="F8" s="9" t="str">
        <f>IFERROR(__xludf.DUMMYFUNCTION("GOOGLETRANSLATE($A8,""en"",""it"")"),"40-44")</f>
        <v>40-44</v>
      </c>
      <c r="G8" s="9" t="str">
        <f>IFERROR(__xludf.DUMMYFUNCTION("GOOGLETRANSLATE($A8,""en"",""zh-cn"")"),"40-44")</f>
        <v>40-44</v>
      </c>
      <c r="H8" s="9" t="str">
        <f>IFERROR(__xludf.DUMMYFUNCTION("GOOGLETRANSLATE($A8,""en"",""ja"")"),"40-44")</f>
        <v>40-44</v>
      </c>
      <c r="I8" s="9" t="str">
        <f>IFERROR(__xludf.DUMMYFUNCTION("GOOGLETRANSLATE($A8,""en"",""ko"")"),"40-44")</f>
        <v>40-44</v>
      </c>
      <c r="J8" s="9" t="str">
        <f>IFERROR(__xludf.DUMMYFUNCTION("GOOGLETRANSLATE($A8,""en"",""pt-BR"")"),"40-44")</f>
        <v>40-44</v>
      </c>
    </row>
    <row r="9">
      <c r="A9" s="23" t="str">
        <f>IFERROR(__xludf.DUMMYFUNCTION("""COMPUTED_VALUE"""),"45-49")</f>
        <v>45-49</v>
      </c>
      <c r="B9" s="22" t="str">
        <f>IFERROR(__xludf.DUMMYFUNCTION("""COMPUTED_VALUE"""),"4549")</f>
        <v>4549</v>
      </c>
      <c r="C9" s="9" t="str">
        <f>IFERROR(__xludf.DUMMYFUNCTION("GOOGLETRANSLATE($A9,""en"",""de"")"),"45-49")</f>
        <v>45-49</v>
      </c>
      <c r="D9" s="9" t="str">
        <f>IFERROR(__xludf.DUMMYFUNCTION("GOOGLETRANSLATE($A9,""en"",""fr"")"),"45-49")</f>
        <v>45-49</v>
      </c>
      <c r="E9" s="9" t="str">
        <f>IFERROR(__xludf.DUMMYFUNCTION("GOOGLETRANSLATE($A9,""en"",""es"")"),"45-49")</f>
        <v>45-49</v>
      </c>
      <c r="F9" s="9" t="str">
        <f>IFERROR(__xludf.DUMMYFUNCTION("GOOGLETRANSLATE($A9,""en"",""it"")"),"45-49")</f>
        <v>45-49</v>
      </c>
      <c r="G9" s="9" t="str">
        <f>IFERROR(__xludf.DUMMYFUNCTION("GOOGLETRANSLATE($A9,""en"",""zh-cn"")"),"45-49")</f>
        <v>45-49</v>
      </c>
      <c r="H9" s="9" t="str">
        <f>IFERROR(__xludf.DUMMYFUNCTION("GOOGLETRANSLATE($A9,""en"",""ja"")"),"45-49")</f>
        <v>45-49</v>
      </c>
      <c r="I9" s="9" t="str">
        <f>IFERROR(__xludf.DUMMYFUNCTION("GOOGLETRANSLATE($A9,""en"",""ko"")"),"45-49")</f>
        <v>45-49</v>
      </c>
      <c r="J9" s="9" t="str">
        <f>IFERROR(__xludf.DUMMYFUNCTION("GOOGLETRANSLATE($A9,""en"",""pt-BR"")"),"45-49")</f>
        <v>45-49</v>
      </c>
    </row>
    <row r="10">
      <c r="A10" s="22" t="str">
        <f>IFERROR(__xludf.DUMMYFUNCTION("""COMPUTED_VALUE"""),"50-54")</f>
        <v>50-54</v>
      </c>
      <c r="B10" s="23" t="str">
        <f>IFERROR(__xludf.DUMMYFUNCTION("""COMPUTED_VALUE"""),"5054")</f>
        <v>5054</v>
      </c>
      <c r="C10" s="9" t="str">
        <f>IFERROR(__xludf.DUMMYFUNCTION("GOOGLETRANSLATE($A10,""en"",""de"")"),"50-54")</f>
        <v>50-54</v>
      </c>
      <c r="D10" s="9" t="str">
        <f>IFERROR(__xludf.DUMMYFUNCTION("GOOGLETRANSLATE($A10,""en"",""fr"")"),"50-54")</f>
        <v>50-54</v>
      </c>
      <c r="E10" s="9" t="str">
        <f>IFERROR(__xludf.DUMMYFUNCTION("GOOGLETRANSLATE($A10,""en"",""es"")"),"50-54")</f>
        <v>50-54</v>
      </c>
      <c r="F10" s="9" t="str">
        <f>IFERROR(__xludf.DUMMYFUNCTION("GOOGLETRANSLATE($A10,""en"",""it"")"),"50-54")</f>
        <v>50-54</v>
      </c>
      <c r="G10" s="9" t="str">
        <f>IFERROR(__xludf.DUMMYFUNCTION("GOOGLETRANSLATE($A10,""en"",""zh-cn"")"),"50-54")</f>
        <v>50-54</v>
      </c>
      <c r="H10" s="9" t="str">
        <f>IFERROR(__xludf.DUMMYFUNCTION("GOOGLETRANSLATE($A10,""en"",""ja"")"),"50-54")</f>
        <v>50-54</v>
      </c>
      <c r="I10" s="9" t="str">
        <f>IFERROR(__xludf.DUMMYFUNCTION("GOOGLETRANSLATE($A10,""en"",""ko"")"),"50-54")</f>
        <v>50-54</v>
      </c>
      <c r="J10" s="9" t="str">
        <f>IFERROR(__xludf.DUMMYFUNCTION("GOOGLETRANSLATE($A10,""en"",""pt-BR"")"),"50-54")</f>
        <v>50-54</v>
      </c>
    </row>
    <row r="11">
      <c r="A11" s="24" t="str">
        <f>IFERROR(__xludf.DUMMYFUNCTION("""COMPUTED_VALUE"""),"55-59")</f>
        <v>55-59</v>
      </c>
      <c r="B11" s="24" t="str">
        <f>IFERROR(__xludf.DUMMYFUNCTION("""COMPUTED_VALUE"""),"5559")</f>
        <v>5559</v>
      </c>
      <c r="C11" s="9" t="str">
        <f>IFERROR(__xludf.DUMMYFUNCTION("GOOGLETRANSLATE($A11,""en"",""de"")"),"55-59")</f>
        <v>55-59</v>
      </c>
      <c r="D11" s="9" t="str">
        <f>IFERROR(__xludf.DUMMYFUNCTION("GOOGLETRANSLATE($A11,""en"",""fr"")"),"55-59")</f>
        <v>55-59</v>
      </c>
      <c r="E11" s="9" t="str">
        <f>IFERROR(__xludf.DUMMYFUNCTION("GOOGLETRANSLATE($A11,""en"",""es"")"),"55-59")</f>
        <v>55-59</v>
      </c>
      <c r="F11" s="9" t="str">
        <f>IFERROR(__xludf.DUMMYFUNCTION("GOOGLETRANSLATE($A11,""en"",""it"")"),"55-59")</f>
        <v>55-59</v>
      </c>
      <c r="G11" s="9" t="str">
        <f>IFERROR(__xludf.DUMMYFUNCTION("GOOGLETRANSLATE($A11,""en"",""zh-cn"")"),"55-59")</f>
        <v>55-59</v>
      </c>
      <c r="H11" s="9" t="str">
        <f>IFERROR(__xludf.DUMMYFUNCTION("GOOGLETRANSLATE($A11,""en"",""ja"")"),"55-59")</f>
        <v>55-59</v>
      </c>
      <c r="I11" s="9" t="str">
        <f>IFERROR(__xludf.DUMMYFUNCTION("GOOGLETRANSLATE($A11,""en"",""ko"")"),"55-59")</f>
        <v>55-59</v>
      </c>
      <c r="J11" s="9" t="str">
        <f>IFERROR(__xludf.DUMMYFUNCTION("GOOGLETRANSLATE($A11,""en"",""pt-BR"")"),"55-59")</f>
        <v>55-59</v>
      </c>
    </row>
    <row r="12">
      <c r="A12" s="24" t="str">
        <f>IFERROR(__xludf.DUMMYFUNCTION("""COMPUTED_VALUE"""),"60+")</f>
        <v>60+</v>
      </c>
      <c r="B12" s="24" t="str">
        <f>IFERROR(__xludf.DUMMYFUNCTION("""COMPUTED_VALUE"""),"60p")</f>
        <v>60p</v>
      </c>
      <c r="C12" s="9" t="str">
        <f>IFERROR(__xludf.DUMMYFUNCTION("GOOGLETRANSLATE($A12,""en"",""de"")"),"60+")</f>
        <v>60+</v>
      </c>
      <c r="D12" s="9" t="str">
        <f>IFERROR(__xludf.DUMMYFUNCTION("GOOGLETRANSLATE($A12,""en"",""fr"")"),"60+")</f>
        <v>60+</v>
      </c>
      <c r="E12" s="9" t="str">
        <f>IFERROR(__xludf.DUMMYFUNCTION("GOOGLETRANSLATE($A12,""en"",""es"")"),"60+")</f>
        <v>60+</v>
      </c>
      <c r="F12" s="9" t="str">
        <f>IFERROR(__xludf.DUMMYFUNCTION("GOOGLETRANSLATE($A12,""en"",""it"")"),"60+")</f>
        <v>60+</v>
      </c>
      <c r="G12" s="9" t="str">
        <f>IFERROR(__xludf.DUMMYFUNCTION("GOOGLETRANSLATE($A12,""en"",""zh-cn"")"),"60+")</f>
        <v>60+</v>
      </c>
      <c r="H12" s="9" t="str">
        <f>IFERROR(__xludf.DUMMYFUNCTION("GOOGLETRANSLATE($A12,""en"",""ja"")"),"60歳以上")</f>
        <v>60歳以上</v>
      </c>
      <c r="I12" s="9" t="str">
        <f>IFERROR(__xludf.DUMMYFUNCTION("GOOGLETRANSLATE($A12,""en"",""ko"")"),"60세 이상")</f>
        <v>60세 이상</v>
      </c>
      <c r="J12" s="9" t="str">
        <f>IFERROR(__xludf.DUMMYFUNCTION("GOOGLETRANSLATE($A12,""en"",""pt-BR"")"),"60+")</f>
        <v>60+</v>
      </c>
    </row>
    <row r="13">
      <c r="A13" s="9"/>
      <c r="B13" s="9"/>
    </row>
    <row r="14">
      <c r="A14" s="9"/>
      <c r="B14" s="9"/>
    </row>
    <row r="15">
      <c r="A15" s="9"/>
      <c r="B15" s="9"/>
    </row>
    <row r="16">
      <c r="A16" s="9"/>
      <c r="B16" s="9"/>
    </row>
    <row r="17">
      <c r="A17" s="9"/>
      <c r="B17" s="9"/>
    </row>
    <row r="18">
      <c r="A18" s="9"/>
      <c r="B18" s="9"/>
    </row>
    <row r="19">
      <c r="A19" s="9"/>
      <c r="B19" s="9"/>
    </row>
    <row r="20">
      <c r="A20" s="9"/>
      <c r="B20" s="9"/>
    </row>
    <row r="21">
      <c r="A21" s="9"/>
      <c r="B21" s="9"/>
    </row>
    <row r="22">
      <c r="A22" s="9"/>
      <c r="B22" s="9"/>
    </row>
    <row r="23">
      <c r="A23" s="9"/>
      <c r="B23" s="9"/>
    </row>
    <row r="24">
      <c r="A24" s="9"/>
      <c r="B24" s="9"/>
    </row>
    <row r="25">
      <c r="A25" s="9"/>
      <c r="B25" s="9"/>
    </row>
    <row r="26">
      <c r="A26" s="9"/>
      <c r="B26" s="9"/>
    </row>
    <row r="27">
      <c r="A27" s="9"/>
      <c r="B27" s="9"/>
    </row>
    <row r="28">
      <c r="A28" s="9"/>
      <c r="B28" s="9"/>
    </row>
    <row r="29">
      <c r="A29" s="9"/>
      <c r="B29" s="9"/>
    </row>
    <row r="30">
      <c r="A30" s="9"/>
      <c r="B30" s="9"/>
    </row>
    <row r="31">
      <c r="A31" s="9"/>
      <c r="B31" s="9"/>
    </row>
    <row r="32">
      <c r="A32" s="9"/>
      <c r="B32" s="9"/>
    </row>
    <row r="33">
      <c r="A33" s="9"/>
      <c r="B33" s="9"/>
    </row>
    <row r="34">
      <c r="A34" s="9"/>
      <c r="B34" s="9"/>
    </row>
    <row r="35">
      <c r="A35" s="9"/>
      <c r="B35" s="9"/>
    </row>
    <row r="36">
      <c r="A36" s="9"/>
      <c r="B36" s="9"/>
    </row>
    <row r="37">
      <c r="A37" s="9"/>
      <c r="B37" s="9"/>
    </row>
    <row r="38">
      <c r="A38" s="9"/>
      <c r="B38" s="9"/>
    </row>
    <row r="39">
      <c r="A39" s="9"/>
      <c r="B39" s="9"/>
    </row>
    <row r="40">
      <c r="A40" s="9"/>
      <c r="B40" s="9"/>
    </row>
    <row r="41">
      <c r="A41" s="9"/>
      <c r="B41" s="9"/>
    </row>
    <row r="42">
      <c r="A42" s="9"/>
      <c r="B42" s="9"/>
    </row>
    <row r="43">
      <c r="A43" s="9"/>
      <c r="B43" s="9"/>
    </row>
    <row r="44">
      <c r="A44" s="9"/>
      <c r="B44" s="9"/>
    </row>
    <row r="45">
      <c r="A45" s="9"/>
      <c r="B45" s="9"/>
    </row>
    <row r="46">
      <c r="A46" s="9"/>
      <c r="B46" s="9"/>
    </row>
    <row r="47">
      <c r="A47" s="9"/>
      <c r="B47" s="9"/>
    </row>
    <row r="48">
      <c r="A48" s="9"/>
      <c r="B48" s="9"/>
    </row>
    <row r="49">
      <c r="A49" s="9"/>
      <c r="B49" s="9"/>
    </row>
    <row r="50">
      <c r="A50" s="9"/>
      <c r="B50" s="9"/>
    </row>
    <row r="51">
      <c r="A51" s="9"/>
      <c r="B51" s="9"/>
    </row>
    <row r="52">
      <c r="A52" s="9"/>
      <c r="B52" s="9"/>
    </row>
    <row r="53">
      <c r="A53" s="9"/>
      <c r="B53" s="9"/>
    </row>
    <row r="54">
      <c r="A54" s="9"/>
      <c r="B54" s="9"/>
    </row>
    <row r="55">
      <c r="A55" s="9"/>
      <c r="B55" s="9"/>
    </row>
    <row r="56">
      <c r="A56" s="9"/>
      <c r="B56" s="9"/>
    </row>
    <row r="57">
      <c r="A57" s="9"/>
      <c r="B57" s="9"/>
    </row>
    <row r="58">
      <c r="A58" s="9"/>
      <c r="B58" s="9"/>
    </row>
    <row r="59">
      <c r="A59" s="9"/>
      <c r="B59" s="9"/>
    </row>
    <row r="60">
      <c r="A60" s="9"/>
      <c r="B60" s="9"/>
    </row>
    <row r="61">
      <c r="A61" s="9"/>
      <c r="B61" s="9"/>
    </row>
    <row r="62">
      <c r="A62" s="9"/>
      <c r="B62" s="9"/>
    </row>
    <row r="63">
      <c r="A63" s="9"/>
      <c r="B63" s="9"/>
    </row>
    <row r="64">
      <c r="A64" s="9"/>
      <c r="B64" s="9"/>
    </row>
    <row r="65">
      <c r="A65" s="9"/>
      <c r="B65" s="9"/>
    </row>
    <row r="66">
      <c r="A66" s="9"/>
      <c r="B66" s="9"/>
    </row>
    <row r="67">
      <c r="A67" s="9"/>
      <c r="B67" s="9"/>
    </row>
    <row r="68">
      <c r="A68" s="9"/>
      <c r="B68" s="9"/>
    </row>
    <row r="69">
      <c r="A69" s="9"/>
      <c r="B69" s="9"/>
    </row>
    <row r="70">
      <c r="A70" s="9"/>
      <c r="B70" s="9"/>
    </row>
    <row r="71">
      <c r="A71" s="9"/>
      <c r="B71" s="9"/>
    </row>
    <row r="72">
      <c r="A72" s="9"/>
      <c r="B72" s="9"/>
    </row>
    <row r="73">
      <c r="A73" s="9"/>
      <c r="B73" s="9"/>
    </row>
    <row r="74">
      <c r="A74" s="9"/>
      <c r="B74" s="9"/>
    </row>
    <row r="75">
      <c r="A75" s="9"/>
      <c r="B75" s="9"/>
    </row>
    <row r="76">
      <c r="A76" s="9"/>
      <c r="B76" s="9"/>
    </row>
    <row r="77">
      <c r="A77" s="9"/>
      <c r="B77" s="9"/>
    </row>
    <row r="78">
      <c r="A78" s="9"/>
      <c r="B78" s="9"/>
    </row>
    <row r="79">
      <c r="A79" s="9"/>
      <c r="B79" s="9"/>
    </row>
    <row r="80">
      <c r="A80" s="9"/>
      <c r="B80" s="9"/>
    </row>
    <row r="81">
      <c r="A81" s="9"/>
      <c r="B81" s="9"/>
    </row>
    <row r="82">
      <c r="A82" s="9"/>
      <c r="B82" s="9"/>
    </row>
    <row r="83">
      <c r="A83" s="9"/>
      <c r="B83" s="9"/>
    </row>
    <row r="84">
      <c r="A84" s="9"/>
      <c r="B84" s="9"/>
    </row>
    <row r="85">
      <c r="A85" s="9"/>
      <c r="B85" s="9"/>
    </row>
    <row r="86">
      <c r="A86" s="9"/>
      <c r="B86" s="9"/>
    </row>
    <row r="87">
      <c r="A87" s="9"/>
      <c r="B87" s="9"/>
    </row>
    <row r="88">
      <c r="A88" s="9"/>
      <c r="B88" s="9"/>
    </row>
    <row r="89">
      <c r="A89" s="9"/>
      <c r="B89" s="9"/>
    </row>
    <row r="90">
      <c r="A90" s="9"/>
      <c r="B90" s="9"/>
    </row>
    <row r="91">
      <c r="A91" s="9"/>
      <c r="B91" s="9"/>
    </row>
    <row r="92">
      <c r="A92" s="9"/>
      <c r="B92" s="9"/>
    </row>
    <row r="93">
      <c r="A93" s="9"/>
      <c r="B93" s="9"/>
    </row>
    <row r="94">
      <c r="A94" s="9"/>
      <c r="B94" s="9"/>
    </row>
    <row r="95">
      <c r="A95" s="9"/>
      <c r="B95" s="9"/>
    </row>
    <row r="96">
      <c r="A96" s="9"/>
      <c r="B96" s="9"/>
    </row>
    <row r="97">
      <c r="A97" s="9"/>
      <c r="B97" s="9"/>
    </row>
    <row r="98">
      <c r="A98" s="9"/>
      <c r="B98" s="9"/>
    </row>
    <row r="99">
      <c r="A99" s="9"/>
      <c r="B99" s="9"/>
    </row>
    <row r="100">
      <c r="A100" s="9"/>
      <c r="B100" s="9"/>
    </row>
    <row r="101">
      <c r="A101" s="9"/>
      <c r="B101" s="9"/>
    </row>
    <row r="102">
      <c r="A102" s="9"/>
      <c r="B102" s="9"/>
    </row>
    <row r="103">
      <c r="A103" s="9"/>
      <c r="B103" s="9"/>
    </row>
    <row r="104">
      <c r="A104" s="9"/>
      <c r="B104" s="9"/>
    </row>
    <row r="105">
      <c r="A105" s="9"/>
      <c r="B105" s="9"/>
    </row>
    <row r="106">
      <c r="A106" s="9"/>
      <c r="B106" s="9"/>
    </row>
    <row r="107">
      <c r="A107" s="9"/>
      <c r="B107" s="9"/>
    </row>
    <row r="108">
      <c r="A108" s="9"/>
      <c r="B108" s="9"/>
    </row>
    <row r="109">
      <c r="A109" s="9"/>
      <c r="B109" s="9"/>
    </row>
    <row r="110">
      <c r="A110" s="9"/>
      <c r="B110" s="9"/>
    </row>
    <row r="111">
      <c r="A111" s="9"/>
      <c r="B111" s="9"/>
    </row>
    <row r="112">
      <c r="A112" s="9"/>
      <c r="B112" s="9"/>
    </row>
    <row r="113">
      <c r="A113" s="9"/>
      <c r="B113" s="9"/>
    </row>
    <row r="114">
      <c r="A114" s="9"/>
      <c r="B114" s="9"/>
    </row>
    <row r="115">
      <c r="A115" s="9"/>
      <c r="B115" s="9"/>
    </row>
    <row r="116">
      <c r="A116" s="9"/>
      <c r="B116" s="9"/>
    </row>
    <row r="117">
      <c r="A117" s="9"/>
      <c r="B117" s="9"/>
    </row>
    <row r="118">
      <c r="A118" s="9"/>
      <c r="B118" s="9"/>
    </row>
    <row r="119">
      <c r="A119" s="9"/>
      <c r="B119" s="9"/>
    </row>
    <row r="120">
      <c r="A120" s="9"/>
      <c r="B120" s="9"/>
    </row>
    <row r="121">
      <c r="A121" s="9"/>
      <c r="B121" s="9"/>
    </row>
    <row r="122">
      <c r="A122" s="9"/>
      <c r="B122" s="9"/>
    </row>
    <row r="123">
      <c r="A123" s="9"/>
      <c r="B123" s="9"/>
    </row>
    <row r="124">
      <c r="A124" s="9"/>
      <c r="B124" s="9"/>
    </row>
    <row r="125">
      <c r="A125" s="9"/>
      <c r="B125" s="9"/>
    </row>
    <row r="126">
      <c r="A126" s="9"/>
      <c r="B126" s="9"/>
    </row>
    <row r="127">
      <c r="A127" s="9"/>
      <c r="B127" s="9"/>
    </row>
    <row r="128">
      <c r="A128" s="9"/>
      <c r="B128" s="9"/>
    </row>
    <row r="129">
      <c r="A129" s="9"/>
      <c r="B129" s="9"/>
    </row>
    <row r="130">
      <c r="A130" s="9"/>
      <c r="B130" s="9"/>
    </row>
    <row r="131">
      <c r="A131" s="9"/>
      <c r="B131" s="9"/>
    </row>
    <row r="132">
      <c r="A132" s="9"/>
      <c r="B132" s="9"/>
    </row>
    <row r="133">
      <c r="A133" s="9"/>
      <c r="B133" s="9"/>
    </row>
    <row r="134">
      <c r="A134" s="9"/>
      <c r="B134" s="9"/>
    </row>
    <row r="135">
      <c r="A135" s="9"/>
      <c r="B135" s="9"/>
    </row>
    <row r="136">
      <c r="A136" s="9"/>
      <c r="B136" s="9"/>
    </row>
    <row r="137">
      <c r="A137" s="9"/>
      <c r="B137" s="9"/>
    </row>
    <row r="138">
      <c r="A138" s="9"/>
      <c r="B138" s="9"/>
    </row>
    <row r="139">
      <c r="A139" s="9"/>
      <c r="B139" s="9"/>
    </row>
    <row r="140">
      <c r="A140" s="9"/>
      <c r="B140" s="9"/>
    </row>
    <row r="141">
      <c r="A141" s="9"/>
      <c r="B141" s="9"/>
    </row>
    <row r="142">
      <c r="A142" s="9"/>
      <c r="B142" s="9"/>
    </row>
    <row r="143">
      <c r="A143" s="9"/>
      <c r="B143" s="9"/>
    </row>
    <row r="144">
      <c r="A144" s="9"/>
      <c r="B144" s="9"/>
    </row>
    <row r="145">
      <c r="A145" s="9"/>
      <c r="B145" s="9"/>
    </row>
    <row r="146">
      <c r="A146" s="9"/>
      <c r="B146" s="9"/>
    </row>
    <row r="147">
      <c r="A147" s="9"/>
      <c r="B147" s="9"/>
    </row>
    <row r="148">
      <c r="A148" s="9"/>
      <c r="B148" s="9"/>
    </row>
    <row r="149">
      <c r="A149" s="9"/>
      <c r="B149" s="9"/>
    </row>
    <row r="150">
      <c r="A150" s="9"/>
      <c r="B150" s="9"/>
    </row>
    <row r="151">
      <c r="A151" s="9"/>
      <c r="B151" s="9"/>
    </row>
    <row r="152">
      <c r="A152" s="9"/>
      <c r="B152" s="9"/>
    </row>
    <row r="153">
      <c r="A153" s="9"/>
      <c r="B153" s="9"/>
    </row>
    <row r="154">
      <c r="A154" s="9"/>
      <c r="B154" s="9"/>
    </row>
    <row r="155">
      <c r="A155" s="9"/>
      <c r="B155" s="9"/>
    </row>
    <row r="156">
      <c r="A156" s="9"/>
      <c r="B156" s="9"/>
    </row>
    <row r="157">
      <c r="A157" s="9"/>
      <c r="B157" s="9"/>
    </row>
    <row r="158">
      <c r="A158" s="9"/>
      <c r="B158" s="9"/>
    </row>
    <row r="159">
      <c r="A159" s="9"/>
      <c r="B159" s="9"/>
    </row>
    <row r="160">
      <c r="A160" s="9"/>
      <c r="B160" s="9"/>
    </row>
    <row r="161">
      <c r="A161" s="9"/>
      <c r="B161" s="9"/>
    </row>
    <row r="162">
      <c r="A162" s="9"/>
      <c r="B162" s="9"/>
    </row>
    <row r="163">
      <c r="A163" s="9"/>
      <c r="B163" s="9"/>
    </row>
    <row r="164">
      <c r="A164" s="9"/>
      <c r="B164" s="9"/>
    </row>
    <row r="165">
      <c r="A165" s="9"/>
      <c r="B165" s="9"/>
    </row>
    <row r="166">
      <c r="A166" s="9"/>
      <c r="B166" s="9"/>
    </row>
    <row r="167">
      <c r="A167" s="9"/>
      <c r="B167" s="9"/>
    </row>
    <row r="168">
      <c r="A168" s="9"/>
      <c r="B168" s="9"/>
    </row>
    <row r="169">
      <c r="A169" s="9"/>
      <c r="B169" s="9"/>
    </row>
    <row r="170">
      <c r="A170" s="9"/>
      <c r="B170" s="9"/>
    </row>
    <row r="171">
      <c r="A171" s="9"/>
      <c r="B171" s="9"/>
    </row>
    <row r="172">
      <c r="A172" s="9"/>
      <c r="B172" s="9"/>
    </row>
    <row r="173">
      <c r="A173" s="9"/>
      <c r="B173" s="9"/>
    </row>
    <row r="174">
      <c r="A174" s="9"/>
      <c r="B174" s="9"/>
    </row>
    <row r="175">
      <c r="A175" s="9"/>
      <c r="B175" s="9"/>
    </row>
    <row r="176">
      <c r="A176" s="9"/>
      <c r="B176" s="9"/>
    </row>
    <row r="177">
      <c r="A177" s="9"/>
      <c r="B177" s="9"/>
    </row>
    <row r="178">
      <c r="A178" s="9"/>
      <c r="B178" s="9"/>
    </row>
    <row r="179">
      <c r="A179" s="9"/>
      <c r="B179" s="9"/>
    </row>
    <row r="180">
      <c r="A180" s="9"/>
      <c r="B180" s="9"/>
    </row>
    <row r="181">
      <c r="A181" s="9"/>
      <c r="B181" s="9"/>
    </row>
    <row r="182">
      <c r="A182" s="9"/>
      <c r="B182" s="9"/>
    </row>
    <row r="183">
      <c r="A183" s="9"/>
      <c r="B183" s="9"/>
    </row>
    <row r="184">
      <c r="A184" s="9"/>
      <c r="B184" s="9"/>
    </row>
    <row r="185">
      <c r="A185" s="9"/>
      <c r="B185" s="9"/>
    </row>
    <row r="186">
      <c r="A186" s="9"/>
      <c r="B186" s="9"/>
    </row>
    <row r="187">
      <c r="A187" s="9"/>
      <c r="B187" s="9"/>
    </row>
    <row r="188">
      <c r="A188" s="9"/>
      <c r="B188" s="9"/>
    </row>
    <row r="189">
      <c r="A189" s="9"/>
      <c r="B189" s="9"/>
    </row>
    <row r="190">
      <c r="A190" s="9"/>
      <c r="B190" s="9"/>
    </row>
    <row r="191">
      <c r="A191" s="9"/>
      <c r="B191" s="9"/>
    </row>
    <row r="192">
      <c r="A192" s="9"/>
      <c r="B192" s="9"/>
    </row>
    <row r="193">
      <c r="A193" s="9"/>
      <c r="B193" s="9"/>
    </row>
    <row r="194">
      <c r="A194" s="9"/>
      <c r="B194" s="9"/>
    </row>
    <row r="195">
      <c r="A195" s="9"/>
      <c r="B195" s="9"/>
    </row>
    <row r="196">
      <c r="A196" s="9"/>
      <c r="B196" s="9"/>
    </row>
    <row r="197">
      <c r="A197" s="9"/>
      <c r="B197" s="9"/>
    </row>
    <row r="198">
      <c r="A198" s="9"/>
      <c r="B198" s="9"/>
    </row>
    <row r="199">
      <c r="A199" s="9"/>
      <c r="B199" s="9"/>
    </row>
    <row r="200">
      <c r="A200" s="9"/>
      <c r="B200" s="9"/>
    </row>
    <row r="201">
      <c r="A201" s="9"/>
      <c r="B201" s="9"/>
    </row>
    <row r="202">
      <c r="A202" s="9"/>
      <c r="B202" s="9"/>
    </row>
    <row r="203">
      <c r="A203" s="9"/>
      <c r="B203" s="9"/>
    </row>
    <row r="204">
      <c r="A204" s="9"/>
      <c r="B204" s="9"/>
    </row>
    <row r="205">
      <c r="A205" s="9"/>
      <c r="B205" s="9"/>
    </row>
    <row r="206">
      <c r="A206" s="9"/>
      <c r="B206" s="9"/>
    </row>
    <row r="207">
      <c r="A207" s="9"/>
      <c r="B207" s="9"/>
    </row>
    <row r="208">
      <c r="A208" s="9"/>
      <c r="B208" s="9"/>
    </row>
    <row r="209">
      <c r="A209" s="9"/>
      <c r="B209" s="9"/>
    </row>
    <row r="210">
      <c r="A210" s="9"/>
      <c r="B210" s="9"/>
    </row>
    <row r="211">
      <c r="A211" s="9"/>
      <c r="B211" s="9"/>
    </row>
    <row r="212">
      <c r="A212" s="9"/>
      <c r="B212" s="9"/>
    </row>
    <row r="213">
      <c r="A213" s="9"/>
      <c r="B213" s="9"/>
    </row>
    <row r="214">
      <c r="A214" s="9"/>
      <c r="B214" s="9"/>
    </row>
    <row r="215">
      <c r="A215" s="9"/>
      <c r="B215" s="9"/>
    </row>
    <row r="216">
      <c r="A216" s="9"/>
      <c r="B216" s="9"/>
    </row>
    <row r="217">
      <c r="A217" s="9"/>
      <c r="B217" s="9"/>
    </row>
    <row r="218">
      <c r="A218" s="9"/>
      <c r="B218" s="9"/>
    </row>
    <row r="219">
      <c r="A219" s="9"/>
      <c r="B219" s="9"/>
    </row>
    <row r="220">
      <c r="A220" s="9"/>
      <c r="B220" s="9"/>
    </row>
    <row r="221">
      <c r="A221" s="9"/>
      <c r="B221" s="9"/>
    </row>
    <row r="222">
      <c r="A222" s="9"/>
      <c r="B222" s="9"/>
    </row>
    <row r="223">
      <c r="A223" s="9"/>
      <c r="B223" s="9"/>
    </row>
    <row r="224">
      <c r="A224" s="9"/>
      <c r="B224" s="9"/>
    </row>
    <row r="225">
      <c r="A225" s="9"/>
      <c r="B225" s="9"/>
    </row>
    <row r="226">
      <c r="A226" s="9"/>
      <c r="B226" s="9"/>
    </row>
    <row r="227">
      <c r="A227" s="9"/>
      <c r="B227" s="9"/>
    </row>
    <row r="228">
      <c r="A228" s="9"/>
      <c r="B228" s="9"/>
    </row>
    <row r="229">
      <c r="A229" s="9"/>
      <c r="B229" s="9"/>
    </row>
    <row r="230">
      <c r="A230" s="9"/>
      <c r="B230" s="9"/>
    </row>
    <row r="231">
      <c r="A231" s="9"/>
      <c r="B231" s="9"/>
    </row>
    <row r="232">
      <c r="A232" s="9"/>
      <c r="B232" s="9"/>
    </row>
    <row r="233">
      <c r="A233" s="9"/>
      <c r="B233" s="9"/>
    </row>
    <row r="234">
      <c r="A234" s="9"/>
      <c r="B234" s="9"/>
    </row>
    <row r="235">
      <c r="A235" s="9"/>
      <c r="B235" s="9"/>
    </row>
    <row r="236">
      <c r="A236" s="9"/>
      <c r="B236" s="9"/>
    </row>
    <row r="237">
      <c r="A237" s="9"/>
      <c r="B237" s="9"/>
    </row>
    <row r="238">
      <c r="A238" s="9"/>
      <c r="B238" s="9"/>
    </row>
    <row r="239">
      <c r="A239" s="9"/>
      <c r="B239" s="9"/>
    </row>
    <row r="240">
      <c r="A240" s="9"/>
      <c r="B240" s="9"/>
    </row>
    <row r="241">
      <c r="A241" s="9"/>
      <c r="B241" s="9"/>
    </row>
    <row r="242">
      <c r="A242" s="9"/>
      <c r="B242" s="9"/>
    </row>
    <row r="243">
      <c r="A243" s="9"/>
      <c r="B243" s="9"/>
    </row>
    <row r="244">
      <c r="A244" s="9"/>
      <c r="B244" s="9"/>
    </row>
    <row r="245">
      <c r="A245" s="9"/>
      <c r="B245" s="9"/>
    </row>
    <row r="246">
      <c r="A246" s="9"/>
      <c r="B246" s="9"/>
    </row>
    <row r="247">
      <c r="A247" s="9"/>
      <c r="B247" s="9"/>
    </row>
    <row r="248">
      <c r="A248" s="9"/>
      <c r="B248" s="9"/>
    </row>
    <row r="249">
      <c r="A249" s="9"/>
      <c r="B249" s="9"/>
    </row>
    <row r="250">
      <c r="A250" s="9"/>
      <c r="B250" s="9"/>
    </row>
    <row r="251">
      <c r="A251" s="9"/>
      <c r="B251" s="9"/>
    </row>
    <row r="252">
      <c r="A252" s="9"/>
      <c r="B252" s="9"/>
    </row>
    <row r="253">
      <c r="A253" s="9"/>
      <c r="B253" s="9"/>
    </row>
    <row r="254">
      <c r="A254" s="9"/>
      <c r="B254" s="9"/>
    </row>
    <row r="255">
      <c r="A255" s="9"/>
      <c r="B255" s="9"/>
    </row>
    <row r="256">
      <c r="A256" s="9"/>
      <c r="B256" s="9"/>
    </row>
    <row r="257">
      <c r="A257" s="9"/>
      <c r="B257" s="9"/>
    </row>
    <row r="258">
      <c r="A258" s="9"/>
      <c r="B258" s="9"/>
    </row>
    <row r="259">
      <c r="A259" s="9"/>
      <c r="B259" s="9"/>
    </row>
    <row r="260">
      <c r="A260" s="9"/>
      <c r="B260" s="9"/>
    </row>
    <row r="261">
      <c r="A261" s="9"/>
      <c r="B261" s="9"/>
    </row>
    <row r="262">
      <c r="A262" s="9"/>
      <c r="B262" s="9"/>
    </row>
    <row r="263">
      <c r="A263" s="9"/>
      <c r="B263" s="9"/>
    </row>
    <row r="264">
      <c r="A264" s="9"/>
      <c r="B264" s="9"/>
    </row>
    <row r="265">
      <c r="A265" s="9"/>
      <c r="B265" s="9"/>
    </row>
    <row r="266">
      <c r="A266" s="9"/>
      <c r="B266" s="9"/>
    </row>
    <row r="267">
      <c r="A267" s="9"/>
      <c r="B267" s="9"/>
    </row>
    <row r="268">
      <c r="A268" s="9"/>
      <c r="B268" s="9"/>
    </row>
    <row r="269">
      <c r="A269" s="9"/>
      <c r="B269" s="9"/>
    </row>
    <row r="270">
      <c r="A270" s="9"/>
      <c r="B270" s="9"/>
    </row>
    <row r="271">
      <c r="A271" s="9"/>
      <c r="B271" s="9"/>
    </row>
    <row r="272">
      <c r="A272" s="9"/>
      <c r="B272" s="9"/>
    </row>
    <row r="273">
      <c r="A273" s="9"/>
      <c r="B273" s="9"/>
    </row>
    <row r="274">
      <c r="A274" s="9"/>
      <c r="B274" s="9"/>
    </row>
    <row r="275">
      <c r="A275" s="9"/>
      <c r="B275" s="9"/>
    </row>
    <row r="276">
      <c r="A276" s="9"/>
      <c r="B276" s="9"/>
    </row>
    <row r="277">
      <c r="A277" s="9"/>
      <c r="B277" s="9"/>
    </row>
    <row r="278">
      <c r="A278" s="9"/>
      <c r="B278" s="9"/>
    </row>
    <row r="279">
      <c r="A279" s="9"/>
      <c r="B279" s="9"/>
    </row>
    <row r="280">
      <c r="A280" s="9"/>
      <c r="B280" s="9"/>
    </row>
    <row r="281">
      <c r="A281" s="9"/>
      <c r="B281" s="9"/>
    </row>
    <row r="282">
      <c r="A282" s="9"/>
      <c r="B282" s="9"/>
    </row>
    <row r="283">
      <c r="A283" s="9"/>
      <c r="B283" s="9"/>
    </row>
    <row r="284">
      <c r="A284" s="9"/>
      <c r="B284" s="9"/>
    </row>
    <row r="285">
      <c r="A285" s="9"/>
      <c r="B285" s="9"/>
    </row>
    <row r="286">
      <c r="A286" s="9"/>
      <c r="B286" s="9"/>
    </row>
    <row r="287">
      <c r="A287" s="9"/>
      <c r="B287" s="9"/>
    </row>
    <row r="288">
      <c r="A288" s="9"/>
      <c r="B288" s="9"/>
    </row>
    <row r="289">
      <c r="A289" s="9"/>
      <c r="B289" s="9"/>
    </row>
    <row r="290">
      <c r="A290" s="9"/>
      <c r="B290" s="9"/>
    </row>
    <row r="291">
      <c r="A291" s="9"/>
      <c r="B291" s="9"/>
    </row>
    <row r="292">
      <c r="A292" s="9"/>
      <c r="B292" s="9"/>
    </row>
    <row r="293">
      <c r="A293" s="9"/>
      <c r="B293" s="9"/>
    </row>
    <row r="294">
      <c r="A294" s="9"/>
      <c r="B294" s="9"/>
    </row>
    <row r="295">
      <c r="A295" s="9"/>
      <c r="B295" s="9"/>
    </row>
    <row r="296">
      <c r="A296" s="9"/>
      <c r="B296" s="9"/>
    </row>
    <row r="297">
      <c r="A297" s="9"/>
      <c r="B297" s="9"/>
    </row>
    <row r="298">
      <c r="A298" s="9"/>
      <c r="B298" s="9"/>
    </row>
    <row r="299">
      <c r="A299" s="9"/>
      <c r="B299" s="9"/>
    </row>
    <row r="300">
      <c r="A300" s="9"/>
      <c r="B300" s="9"/>
    </row>
    <row r="301">
      <c r="A301" s="9"/>
      <c r="B301" s="9"/>
    </row>
    <row r="302">
      <c r="A302" s="9"/>
      <c r="B302" s="9"/>
    </row>
    <row r="303">
      <c r="A303" s="9"/>
      <c r="B303" s="9"/>
    </row>
    <row r="304">
      <c r="A304" s="9"/>
      <c r="B304" s="9"/>
    </row>
    <row r="305">
      <c r="A305" s="9"/>
      <c r="B305" s="9"/>
    </row>
    <row r="306">
      <c r="A306" s="9"/>
      <c r="B306" s="9"/>
    </row>
    <row r="307">
      <c r="A307" s="9"/>
      <c r="B307" s="9"/>
    </row>
    <row r="308">
      <c r="A308" s="9"/>
      <c r="B308" s="9"/>
    </row>
    <row r="309">
      <c r="A309" s="9"/>
      <c r="B309" s="9"/>
    </row>
    <row r="310">
      <c r="A310" s="9"/>
      <c r="B310" s="9"/>
    </row>
    <row r="311">
      <c r="A311" s="9"/>
      <c r="B311" s="9"/>
    </row>
    <row r="312">
      <c r="A312" s="9"/>
      <c r="B312" s="9"/>
    </row>
    <row r="313">
      <c r="A313" s="9"/>
      <c r="B313" s="9"/>
    </row>
    <row r="314">
      <c r="A314" s="9"/>
      <c r="B314" s="9"/>
    </row>
    <row r="315">
      <c r="A315" s="9"/>
      <c r="B315" s="9"/>
    </row>
    <row r="316">
      <c r="A316" s="9"/>
      <c r="B316" s="9"/>
    </row>
    <row r="317">
      <c r="A317" s="9"/>
      <c r="B317" s="9"/>
    </row>
    <row r="318">
      <c r="A318" s="9"/>
      <c r="B318" s="9"/>
    </row>
    <row r="319">
      <c r="A319" s="9"/>
      <c r="B319" s="9"/>
    </row>
    <row r="320">
      <c r="A320" s="9"/>
      <c r="B320" s="9"/>
    </row>
    <row r="321">
      <c r="A321" s="9"/>
      <c r="B321" s="9"/>
    </row>
    <row r="322">
      <c r="A322" s="9"/>
      <c r="B322" s="9"/>
    </row>
    <row r="323">
      <c r="A323" s="9"/>
      <c r="B323" s="9"/>
    </row>
    <row r="324">
      <c r="A324" s="9"/>
      <c r="B324" s="9"/>
    </row>
    <row r="325">
      <c r="A325" s="9"/>
      <c r="B325" s="9"/>
    </row>
    <row r="326">
      <c r="A326" s="9"/>
      <c r="B326" s="9"/>
    </row>
    <row r="327">
      <c r="A327" s="9"/>
      <c r="B327" s="9"/>
    </row>
    <row r="328">
      <c r="A328" s="9"/>
      <c r="B328" s="9"/>
    </row>
    <row r="329">
      <c r="A329" s="9"/>
      <c r="B329" s="9"/>
    </row>
    <row r="330">
      <c r="A330" s="9"/>
      <c r="B330" s="9"/>
    </row>
    <row r="331">
      <c r="A331" s="9"/>
      <c r="B331" s="9"/>
    </row>
    <row r="332">
      <c r="A332" s="9"/>
      <c r="B332" s="9"/>
    </row>
    <row r="333">
      <c r="A333" s="9"/>
      <c r="B333" s="9"/>
    </row>
    <row r="334">
      <c r="A334" s="9"/>
      <c r="B334" s="9"/>
    </row>
    <row r="335">
      <c r="A335" s="9"/>
      <c r="B335" s="9"/>
    </row>
    <row r="336">
      <c r="A336" s="9"/>
      <c r="B336" s="9"/>
    </row>
    <row r="337">
      <c r="A337" s="9"/>
      <c r="B337" s="9"/>
    </row>
    <row r="338">
      <c r="A338" s="9"/>
      <c r="B338" s="9"/>
    </row>
    <row r="339">
      <c r="A339" s="9"/>
      <c r="B339" s="9"/>
    </row>
    <row r="340">
      <c r="A340" s="9"/>
      <c r="B340" s="9"/>
    </row>
    <row r="341">
      <c r="A341" s="9"/>
      <c r="B341" s="9"/>
    </row>
    <row r="342">
      <c r="A342" s="9"/>
      <c r="B342" s="9"/>
    </row>
    <row r="343">
      <c r="A343" s="9"/>
      <c r="B343" s="9"/>
    </row>
    <row r="344">
      <c r="A344" s="9"/>
      <c r="B344" s="9"/>
    </row>
    <row r="345">
      <c r="A345" s="9"/>
      <c r="B345" s="9"/>
    </row>
    <row r="346">
      <c r="A346" s="9"/>
      <c r="B346" s="9"/>
    </row>
    <row r="347">
      <c r="A347" s="9"/>
      <c r="B347" s="9"/>
    </row>
    <row r="348">
      <c r="A348" s="9"/>
      <c r="B348" s="9"/>
    </row>
    <row r="349">
      <c r="A349" s="9"/>
      <c r="B349" s="9"/>
    </row>
    <row r="350">
      <c r="A350" s="9"/>
      <c r="B350" s="9"/>
    </row>
    <row r="351">
      <c r="A351" s="9"/>
      <c r="B351" s="9"/>
    </row>
    <row r="352">
      <c r="A352" s="9"/>
      <c r="B352" s="9"/>
    </row>
    <row r="353">
      <c r="A353" s="9"/>
      <c r="B353" s="9"/>
    </row>
    <row r="354">
      <c r="A354" s="9"/>
      <c r="B354" s="9"/>
    </row>
    <row r="355">
      <c r="A355" s="9"/>
      <c r="B355" s="9"/>
    </row>
    <row r="356">
      <c r="A356" s="9"/>
      <c r="B356" s="9"/>
    </row>
    <row r="357">
      <c r="A357" s="9"/>
      <c r="B357" s="9"/>
    </row>
    <row r="358">
      <c r="A358" s="9"/>
      <c r="B358" s="9"/>
    </row>
    <row r="359">
      <c r="A359" s="9"/>
      <c r="B359" s="9"/>
    </row>
    <row r="360">
      <c r="A360" s="9"/>
      <c r="B360" s="9"/>
    </row>
    <row r="361">
      <c r="A361" s="9"/>
      <c r="B361" s="9"/>
    </row>
    <row r="362">
      <c r="A362" s="9"/>
      <c r="B362" s="9"/>
    </row>
    <row r="363">
      <c r="A363" s="9"/>
      <c r="B363" s="9"/>
    </row>
    <row r="364">
      <c r="A364" s="9"/>
      <c r="B364" s="9"/>
    </row>
    <row r="365">
      <c r="A365" s="9"/>
      <c r="B365" s="9"/>
    </row>
    <row r="366">
      <c r="A366" s="9"/>
      <c r="B366" s="9"/>
    </row>
    <row r="367">
      <c r="A367" s="9"/>
      <c r="B367" s="9"/>
    </row>
    <row r="368">
      <c r="A368" s="9"/>
      <c r="B368" s="9"/>
    </row>
    <row r="369">
      <c r="A369" s="9"/>
      <c r="B369" s="9"/>
    </row>
    <row r="370">
      <c r="A370" s="9"/>
      <c r="B370" s="9"/>
    </row>
    <row r="371">
      <c r="A371" s="9"/>
      <c r="B371" s="9"/>
    </row>
    <row r="372">
      <c r="A372" s="9"/>
      <c r="B372" s="9"/>
    </row>
    <row r="373">
      <c r="A373" s="9"/>
      <c r="B373" s="9"/>
    </row>
    <row r="374">
      <c r="A374" s="9"/>
      <c r="B374" s="9"/>
    </row>
    <row r="375">
      <c r="A375" s="9"/>
      <c r="B375" s="9"/>
    </row>
    <row r="376">
      <c r="A376" s="9"/>
      <c r="B376" s="9"/>
    </row>
    <row r="377">
      <c r="A377" s="9"/>
      <c r="B377" s="9"/>
    </row>
    <row r="378">
      <c r="A378" s="9"/>
      <c r="B378" s="9"/>
    </row>
    <row r="379">
      <c r="A379" s="9"/>
      <c r="B379" s="9"/>
    </row>
    <row r="380">
      <c r="A380" s="9"/>
      <c r="B380" s="9"/>
    </row>
    <row r="381">
      <c r="A381" s="9"/>
      <c r="B381" s="9"/>
    </row>
    <row r="382">
      <c r="A382" s="9"/>
      <c r="B382" s="9"/>
    </row>
    <row r="383">
      <c r="A383" s="9"/>
      <c r="B383" s="9"/>
    </row>
    <row r="384">
      <c r="A384" s="9"/>
      <c r="B384" s="9"/>
    </row>
    <row r="385">
      <c r="A385" s="9"/>
      <c r="B385" s="9"/>
    </row>
    <row r="386">
      <c r="A386" s="9"/>
      <c r="B386" s="9"/>
    </row>
    <row r="387">
      <c r="A387" s="9"/>
      <c r="B387" s="9"/>
    </row>
    <row r="388">
      <c r="A388" s="9"/>
      <c r="B388" s="9"/>
    </row>
    <row r="389">
      <c r="A389" s="9"/>
      <c r="B389" s="9"/>
    </row>
    <row r="390">
      <c r="A390" s="9"/>
      <c r="B390" s="9"/>
    </row>
    <row r="391">
      <c r="A391" s="9"/>
      <c r="B391" s="9"/>
    </row>
    <row r="392">
      <c r="A392" s="9"/>
      <c r="B392" s="9"/>
    </row>
    <row r="393">
      <c r="A393" s="9"/>
      <c r="B393" s="9"/>
    </row>
    <row r="394">
      <c r="A394" s="9"/>
      <c r="B394" s="9"/>
    </row>
    <row r="395">
      <c r="A395" s="9"/>
      <c r="B395" s="9"/>
    </row>
    <row r="396">
      <c r="A396" s="9"/>
      <c r="B396" s="9"/>
    </row>
    <row r="397">
      <c r="A397" s="9"/>
      <c r="B397" s="9"/>
    </row>
    <row r="398">
      <c r="A398" s="9"/>
      <c r="B398" s="9"/>
    </row>
    <row r="399">
      <c r="A399" s="9"/>
      <c r="B399" s="9"/>
    </row>
    <row r="400">
      <c r="A400" s="9"/>
      <c r="B400" s="9"/>
    </row>
    <row r="401">
      <c r="A401" s="9"/>
      <c r="B401" s="9"/>
    </row>
    <row r="402">
      <c r="A402" s="9"/>
      <c r="B402" s="9"/>
    </row>
    <row r="403">
      <c r="A403" s="9"/>
      <c r="B403" s="9"/>
    </row>
    <row r="404">
      <c r="A404" s="9"/>
      <c r="B404" s="9"/>
    </row>
    <row r="405">
      <c r="A405" s="9"/>
      <c r="B405" s="9"/>
    </row>
    <row r="406">
      <c r="A406" s="9"/>
      <c r="B406" s="9"/>
    </row>
    <row r="407">
      <c r="A407" s="9"/>
      <c r="B407" s="9"/>
    </row>
    <row r="408">
      <c r="A408" s="9"/>
      <c r="B408" s="9"/>
    </row>
    <row r="409">
      <c r="A409" s="9"/>
      <c r="B409" s="9"/>
    </row>
    <row r="410">
      <c r="A410" s="9"/>
      <c r="B410" s="9"/>
    </row>
    <row r="411">
      <c r="A411" s="9"/>
      <c r="B411" s="9"/>
    </row>
    <row r="412">
      <c r="A412" s="9"/>
      <c r="B412" s="9"/>
    </row>
    <row r="413">
      <c r="A413" s="9"/>
      <c r="B413" s="9"/>
    </row>
    <row r="414">
      <c r="A414" s="9"/>
      <c r="B414" s="9"/>
    </row>
    <row r="415">
      <c r="A415" s="9"/>
      <c r="B415" s="9"/>
    </row>
    <row r="416">
      <c r="A416" s="9"/>
      <c r="B416" s="9"/>
    </row>
    <row r="417">
      <c r="A417" s="9"/>
      <c r="B417" s="9"/>
    </row>
    <row r="418">
      <c r="A418" s="9"/>
      <c r="B418" s="9"/>
    </row>
    <row r="419">
      <c r="A419" s="9"/>
      <c r="B419" s="9"/>
    </row>
    <row r="420">
      <c r="A420" s="9"/>
      <c r="B420" s="9"/>
    </row>
    <row r="421">
      <c r="A421" s="9"/>
      <c r="B421" s="9"/>
    </row>
    <row r="422">
      <c r="A422" s="9"/>
      <c r="B422" s="9"/>
    </row>
    <row r="423">
      <c r="A423" s="9"/>
      <c r="B423" s="9"/>
    </row>
    <row r="424">
      <c r="A424" s="9"/>
      <c r="B424" s="9"/>
    </row>
    <row r="425">
      <c r="A425" s="9"/>
      <c r="B425" s="9"/>
    </row>
    <row r="426">
      <c r="A426" s="9"/>
      <c r="B426" s="9"/>
    </row>
    <row r="427">
      <c r="A427" s="9"/>
      <c r="B427" s="9"/>
    </row>
    <row r="428">
      <c r="A428" s="9"/>
      <c r="B428" s="9"/>
    </row>
    <row r="429">
      <c r="A429" s="9"/>
      <c r="B429" s="9"/>
    </row>
    <row r="430">
      <c r="A430" s="9"/>
      <c r="B430" s="9"/>
    </row>
    <row r="431">
      <c r="A431" s="9"/>
      <c r="B431" s="9"/>
    </row>
    <row r="432">
      <c r="A432" s="9"/>
      <c r="B432" s="9"/>
    </row>
    <row r="433">
      <c r="A433" s="9"/>
      <c r="B433" s="9"/>
    </row>
    <row r="434">
      <c r="A434" s="9"/>
      <c r="B434" s="9"/>
    </row>
    <row r="435">
      <c r="A435" s="9"/>
      <c r="B435" s="9"/>
    </row>
    <row r="436">
      <c r="A436" s="9"/>
      <c r="B436" s="9"/>
    </row>
    <row r="437">
      <c r="A437" s="9"/>
      <c r="B437" s="9"/>
    </row>
    <row r="438">
      <c r="A438" s="9"/>
      <c r="B438" s="9"/>
    </row>
    <row r="439">
      <c r="A439" s="9"/>
      <c r="B439" s="9"/>
    </row>
    <row r="440">
      <c r="A440" s="9"/>
      <c r="B440" s="9"/>
    </row>
    <row r="441">
      <c r="A441" s="9"/>
      <c r="B441" s="9"/>
    </row>
    <row r="442">
      <c r="A442" s="9"/>
      <c r="B442" s="9"/>
    </row>
    <row r="443">
      <c r="A443" s="9"/>
      <c r="B443" s="9"/>
    </row>
    <row r="444">
      <c r="A444" s="9"/>
      <c r="B444" s="9"/>
    </row>
    <row r="445">
      <c r="A445" s="9"/>
      <c r="B445" s="9"/>
    </row>
    <row r="446">
      <c r="A446" s="9"/>
      <c r="B446" s="9"/>
    </row>
    <row r="447">
      <c r="A447" s="9"/>
      <c r="B447" s="9"/>
    </row>
    <row r="448">
      <c r="A448" s="9"/>
      <c r="B448" s="9"/>
    </row>
    <row r="449">
      <c r="A449" s="9"/>
      <c r="B449" s="9"/>
    </row>
    <row r="450">
      <c r="A450" s="9"/>
      <c r="B450" s="9"/>
    </row>
    <row r="451">
      <c r="A451" s="9"/>
      <c r="B451" s="9"/>
    </row>
    <row r="452">
      <c r="A452" s="9"/>
      <c r="B452" s="9"/>
    </row>
    <row r="453">
      <c r="A453" s="9"/>
      <c r="B453" s="9"/>
    </row>
    <row r="454">
      <c r="A454" s="9"/>
      <c r="B454" s="9"/>
    </row>
    <row r="455">
      <c r="A455" s="9"/>
      <c r="B455" s="9"/>
    </row>
    <row r="456">
      <c r="A456" s="9"/>
      <c r="B456" s="9"/>
    </row>
    <row r="457">
      <c r="A457" s="9"/>
      <c r="B457" s="9"/>
    </row>
    <row r="458">
      <c r="A458" s="9"/>
      <c r="B458" s="9"/>
    </row>
    <row r="459">
      <c r="A459" s="9"/>
      <c r="B459" s="9"/>
    </row>
    <row r="460">
      <c r="A460" s="9"/>
      <c r="B460" s="9"/>
    </row>
    <row r="461">
      <c r="A461" s="9"/>
      <c r="B461" s="9"/>
    </row>
    <row r="462">
      <c r="A462" s="9"/>
      <c r="B462" s="9"/>
    </row>
    <row r="463">
      <c r="A463" s="9"/>
      <c r="B463" s="9"/>
    </row>
    <row r="464">
      <c r="A464" s="9"/>
      <c r="B464" s="9"/>
    </row>
    <row r="465">
      <c r="A465" s="9"/>
      <c r="B465" s="9"/>
    </row>
    <row r="466">
      <c r="A466" s="9"/>
      <c r="B466" s="9"/>
    </row>
    <row r="467">
      <c r="A467" s="9"/>
      <c r="B467" s="9"/>
    </row>
    <row r="468">
      <c r="A468" s="9"/>
      <c r="B468" s="9"/>
    </row>
    <row r="469">
      <c r="A469" s="9"/>
      <c r="B469" s="9"/>
    </row>
    <row r="470">
      <c r="A470" s="9"/>
      <c r="B470" s="9"/>
    </row>
    <row r="471">
      <c r="A471" s="9"/>
      <c r="B471" s="9"/>
    </row>
    <row r="472">
      <c r="A472" s="9"/>
      <c r="B472" s="9"/>
    </row>
    <row r="473">
      <c r="A473" s="9"/>
      <c r="B473" s="9"/>
    </row>
    <row r="474">
      <c r="A474" s="9"/>
      <c r="B474" s="9"/>
    </row>
    <row r="475">
      <c r="A475" s="9"/>
      <c r="B475" s="9"/>
    </row>
    <row r="476">
      <c r="A476" s="9"/>
      <c r="B476" s="9"/>
    </row>
    <row r="477">
      <c r="A477" s="9"/>
      <c r="B477" s="9"/>
    </row>
    <row r="478">
      <c r="A478" s="9"/>
      <c r="B478" s="9"/>
    </row>
    <row r="479">
      <c r="A479" s="9"/>
      <c r="B479" s="9"/>
    </row>
    <row r="480">
      <c r="A480" s="9"/>
      <c r="B480" s="9"/>
    </row>
    <row r="481">
      <c r="A481" s="9"/>
      <c r="B481" s="9"/>
    </row>
    <row r="482">
      <c r="A482" s="9"/>
      <c r="B482" s="9"/>
    </row>
    <row r="483">
      <c r="A483" s="9"/>
      <c r="B483" s="9"/>
    </row>
    <row r="484">
      <c r="A484" s="9"/>
      <c r="B484" s="9"/>
    </row>
    <row r="485">
      <c r="A485" s="9"/>
      <c r="B485" s="9"/>
    </row>
    <row r="486">
      <c r="A486" s="9"/>
      <c r="B486" s="9"/>
    </row>
    <row r="487">
      <c r="A487" s="9"/>
      <c r="B487" s="9"/>
    </row>
    <row r="488">
      <c r="A488" s="9"/>
      <c r="B488" s="9"/>
    </row>
    <row r="489">
      <c r="A489" s="9"/>
      <c r="B489" s="9"/>
    </row>
    <row r="490">
      <c r="A490" s="9"/>
      <c r="B490" s="9"/>
    </row>
    <row r="491">
      <c r="A491" s="9"/>
      <c r="B491" s="9"/>
    </row>
    <row r="492">
      <c r="A492" s="9"/>
      <c r="B492" s="9"/>
    </row>
    <row r="493">
      <c r="A493" s="9"/>
      <c r="B493" s="9"/>
    </row>
    <row r="494">
      <c r="A494" s="9"/>
      <c r="B494" s="9"/>
    </row>
    <row r="495">
      <c r="A495" s="9"/>
      <c r="B495" s="9"/>
    </row>
    <row r="496">
      <c r="A496" s="9"/>
      <c r="B496" s="9"/>
    </row>
    <row r="497">
      <c r="A497" s="9"/>
      <c r="B497" s="9"/>
    </row>
    <row r="498">
      <c r="A498" s="9"/>
      <c r="B498" s="9"/>
    </row>
    <row r="499">
      <c r="A499" s="9"/>
      <c r="B499" s="9"/>
    </row>
    <row r="500">
      <c r="A500" s="9"/>
      <c r="B500" s="9"/>
    </row>
    <row r="501">
      <c r="A501" s="9"/>
      <c r="B501" s="9"/>
    </row>
    <row r="502">
      <c r="A502" s="9"/>
      <c r="B502" s="9"/>
    </row>
    <row r="503">
      <c r="A503" s="9"/>
      <c r="B503" s="9"/>
    </row>
    <row r="504">
      <c r="A504" s="9"/>
      <c r="B504" s="9"/>
    </row>
    <row r="505">
      <c r="A505" s="9"/>
      <c r="B505" s="9"/>
    </row>
    <row r="506">
      <c r="A506" s="9"/>
      <c r="B506" s="9"/>
    </row>
    <row r="507">
      <c r="A507" s="9"/>
      <c r="B507" s="9"/>
    </row>
    <row r="508">
      <c r="A508" s="9"/>
      <c r="B508" s="9"/>
    </row>
    <row r="509">
      <c r="A509" s="9"/>
      <c r="B509" s="9"/>
    </row>
    <row r="510">
      <c r="A510" s="9"/>
      <c r="B510" s="9"/>
    </row>
    <row r="511">
      <c r="A511" s="9"/>
      <c r="B511" s="9"/>
    </row>
    <row r="512">
      <c r="A512" s="9"/>
      <c r="B512" s="9"/>
    </row>
    <row r="513">
      <c r="A513" s="9"/>
      <c r="B513" s="9"/>
    </row>
    <row r="514">
      <c r="A514" s="9"/>
      <c r="B514" s="9"/>
    </row>
    <row r="515">
      <c r="A515" s="9"/>
      <c r="B515" s="9"/>
    </row>
    <row r="516">
      <c r="A516" s="9"/>
      <c r="B516" s="9"/>
    </row>
    <row r="517">
      <c r="A517" s="9"/>
      <c r="B517" s="9"/>
    </row>
    <row r="518">
      <c r="A518" s="9"/>
      <c r="B518" s="9"/>
    </row>
    <row r="519">
      <c r="A519" s="9"/>
      <c r="B519" s="9"/>
    </row>
    <row r="520">
      <c r="A520" s="9"/>
      <c r="B520" s="9"/>
    </row>
    <row r="521">
      <c r="A521" s="9"/>
      <c r="B521" s="9"/>
    </row>
    <row r="522">
      <c r="A522" s="9"/>
      <c r="B522" s="9"/>
    </row>
    <row r="523">
      <c r="A523" s="9"/>
      <c r="B523" s="9"/>
    </row>
    <row r="524">
      <c r="A524" s="9"/>
      <c r="B524" s="9"/>
    </row>
    <row r="525">
      <c r="A525" s="9"/>
      <c r="B525" s="9"/>
    </row>
    <row r="526">
      <c r="A526" s="9"/>
      <c r="B526" s="9"/>
    </row>
    <row r="527">
      <c r="A527" s="9"/>
      <c r="B527" s="9"/>
    </row>
    <row r="528">
      <c r="A528" s="9"/>
      <c r="B528" s="9"/>
    </row>
    <row r="529">
      <c r="A529" s="9"/>
      <c r="B529" s="9"/>
    </row>
    <row r="530">
      <c r="A530" s="9"/>
      <c r="B530" s="9"/>
    </row>
    <row r="531">
      <c r="A531" s="9"/>
      <c r="B531" s="9"/>
    </row>
    <row r="532">
      <c r="A532" s="9"/>
      <c r="B532" s="9"/>
    </row>
    <row r="533">
      <c r="A533" s="9"/>
      <c r="B533" s="9"/>
    </row>
    <row r="534">
      <c r="A534" s="9"/>
      <c r="B534" s="9"/>
    </row>
    <row r="535">
      <c r="A535" s="9"/>
      <c r="B535" s="9"/>
    </row>
    <row r="536">
      <c r="A536" s="9"/>
      <c r="B536" s="9"/>
    </row>
    <row r="537">
      <c r="A537" s="9"/>
      <c r="B537" s="9"/>
    </row>
    <row r="538">
      <c r="A538" s="9"/>
      <c r="B538" s="9"/>
    </row>
    <row r="539">
      <c r="A539" s="9"/>
      <c r="B539" s="9"/>
    </row>
    <row r="540">
      <c r="A540" s="9"/>
      <c r="B540" s="9"/>
    </row>
    <row r="541">
      <c r="A541" s="9"/>
      <c r="B541" s="9"/>
    </row>
    <row r="542">
      <c r="A542" s="9"/>
      <c r="B542" s="9"/>
    </row>
    <row r="543">
      <c r="A543" s="9"/>
      <c r="B543" s="9"/>
    </row>
    <row r="544">
      <c r="A544" s="9"/>
      <c r="B544" s="9"/>
    </row>
    <row r="545">
      <c r="A545" s="9"/>
      <c r="B545" s="9"/>
    </row>
    <row r="546">
      <c r="A546" s="9"/>
      <c r="B546" s="9"/>
    </row>
    <row r="547">
      <c r="A547" s="9"/>
      <c r="B547" s="9"/>
    </row>
    <row r="548">
      <c r="A548" s="9"/>
      <c r="B548" s="9"/>
    </row>
    <row r="549">
      <c r="A549" s="9"/>
      <c r="B549" s="9"/>
    </row>
    <row r="550">
      <c r="A550" s="9"/>
      <c r="B550" s="9"/>
    </row>
    <row r="551">
      <c r="A551" s="9"/>
      <c r="B551" s="9"/>
    </row>
    <row r="552">
      <c r="A552" s="9"/>
      <c r="B552" s="9"/>
    </row>
    <row r="553">
      <c r="A553" s="9"/>
      <c r="B553" s="9"/>
    </row>
    <row r="554">
      <c r="A554" s="9"/>
      <c r="B554" s="9"/>
    </row>
    <row r="555">
      <c r="A555" s="9"/>
      <c r="B555" s="9"/>
    </row>
    <row r="556">
      <c r="A556" s="9"/>
      <c r="B556" s="9"/>
    </row>
    <row r="557">
      <c r="A557" s="9"/>
      <c r="B557" s="9"/>
    </row>
    <row r="558">
      <c r="A558" s="9"/>
      <c r="B558" s="9"/>
    </row>
    <row r="559">
      <c r="A559" s="9"/>
      <c r="B559" s="9"/>
    </row>
    <row r="560">
      <c r="A560" s="9"/>
      <c r="B560" s="9"/>
    </row>
    <row r="561">
      <c r="A561" s="9"/>
      <c r="B561" s="9"/>
    </row>
    <row r="562">
      <c r="A562" s="9"/>
      <c r="B562" s="9"/>
    </row>
    <row r="563">
      <c r="A563" s="9"/>
      <c r="B563" s="9"/>
    </row>
    <row r="564">
      <c r="A564" s="9"/>
      <c r="B564" s="9"/>
    </row>
    <row r="565">
      <c r="A565" s="9"/>
      <c r="B565" s="9"/>
    </row>
    <row r="566">
      <c r="A566" s="9"/>
      <c r="B566" s="9"/>
    </row>
    <row r="567">
      <c r="A567" s="9"/>
      <c r="B567" s="9"/>
    </row>
    <row r="568">
      <c r="A568" s="9"/>
      <c r="B568" s="9"/>
    </row>
    <row r="569">
      <c r="A569" s="9"/>
      <c r="B569" s="9"/>
    </row>
    <row r="570">
      <c r="A570" s="9"/>
      <c r="B570" s="9"/>
    </row>
    <row r="571">
      <c r="A571" s="9"/>
      <c r="B571" s="9"/>
    </row>
    <row r="572">
      <c r="A572" s="9"/>
      <c r="B572" s="9"/>
    </row>
    <row r="573">
      <c r="A573" s="9"/>
      <c r="B573" s="9"/>
    </row>
    <row r="574">
      <c r="A574" s="9"/>
      <c r="B574" s="9"/>
    </row>
    <row r="575">
      <c r="A575" s="9"/>
      <c r="B575" s="9"/>
    </row>
    <row r="576">
      <c r="A576" s="9"/>
      <c r="B576" s="9"/>
    </row>
    <row r="577">
      <c r="A577" s="9"/>
      <c r="B577" s="9"/>
    </row>
    <row r="578">
      <c r="A578" s="9"/>
      <c r="B578" s="9"/>
    </row>
    <row r="579">
      <c r="A579" s="9"/>
      <c r="B579" s="9"/>
    </row>
    <row r="580">
      <c r="A580" s="9"/>
      <c r="B580" s="9"/>
    </row>
    <row r="581">
      <c r="A581" s="9"/>
      <c r="B581" s="9"/>
    </row>
    <row r="582">
      <c r="A582" s="9"/>
      <c r="B582" s="9"/>
    </row>
    <row r="583">
      <c r="A583" s="9"/>
      <c r="B583" s="9"/>
    </row>
    <row r="584">
      <c r="A584" s="9"/>
      <c r="B584" s="9"/>
    </row>
    <row r="585">
      <c r="A585" s="9"/>
      <c r="B585" s="9"/>
    </row>
    <row r="586">
      <c r="A586" s="9"/>
      <c r="B586" s="9"/>
    </row>
    <row r="587">
      <c r="A587" s="9"/>
      <c r="B587" s="9"/>
    </row>
    <row r="588">
      <c r="A588" s="9"/>
      <c r="B588" s="9"/>
    </row>
    <row r="589">
      <c r="A589" s="9"/>
      <c r="B589" s="9"/>
    </row>
    <row r="590">
      <c r="A590" s="9"/>
      <c r="B590" s="9"/>
    </row>
    <row r="591">
      <c r="A591" s="9"/>
      <c r="B591" s="9"/>
    </row>
    <row r="592">
      <c r="A592" s="9"/>
      <c r="B592" s="9"/>
    </row>
    <row r="593">
      <c r="A593" s="9"/>
      <c r="B593" s="9"/>
    </row>
    <row r="594">
      <c r="A594" s="9"/>
      <c r="B594" s="9"/>
    </row>
    <row r="595">
      <c r="A595" s="9"/>
      <c r="B595" s="9"/>
    </row>
    <row r="596">
      <c r="A596" s="9"/>
      <c r="B596" s="9"/>
    </row>
    <row r="597">
      <c r="A597" s="9"/>
      <c r="B597" s="9"/>
    </row>
    <row r="598">
      <c r="A598" s="9"/>
      <c r="B598" s="9"/>
    </row>
    <row r="599">
      <c r="A599" s="9"/>
      <c r="B599" s="9"/>
    </row>
    <row r="600">
      <c r="A600" s="9"/>
      <c r="B600" s="9"/>
    </row>
    <row r="601">
      <c r="A601" s="9"/>
      <c r="B601" s="9"/>
    </row>
    <row r="602">
      <c r="A602" s="9"/>
      <c r="B602" s="9"/>
    </row>
    <row r="603">
      <c r="A603" s="9"/>
      <c r="B603" s="9"/>
    </row>
    <row r="604">
      <c r="A604" s="9"/>
      <c r="B604" s="9"/>
    </row>
    <row r="605">
      <c r="A605" s="9"/>
      <c r="B605" s="9"/>
    </row>
    <row r="606">
      <c r="A606" s="9"/>
      <c r="B606" s="9"/>
    </row>
    <row r="607">
      <c r="A607" s="9"/>
      <c r="B607" s="9"/>
    </row>
    <row r="608">
      <c r="A608" s="9"/>
      <c r="B608" s="9"/>
    </row>
    <row r="609">
      <c r="A609" s="9"/>
      <c r="B609" s="9"/>
    </row>
    <row r="610">
      <c r="A610" s="9"/>
      <c r="B610" s="9"/>
    </row>
    <row r="611">
      <c r="A611" s="9"/>
      <c r="B611" s="9"/>
    </row>
    <row r="612">
      <c r="A612" s="9"/>
      <c r="B612" s="9"/>
    </row>
    <row r="613">
      <c r="A613" s="9"/>
      <c r="B613" s="9"/>
    </row>
    <row r="614">
      <c r="A614" s="9"/>
      <c r="B614" s="9"/>
    </row>
    <row r="615">
      <c r="A615" s="9"/>
      <c r="B615" s="9"/>
    </row>
    <row r="616">
      <c r="A616" s="9"/>
      <c r="B616" s="9"/>
    </row>
    <row r="617">
      <c r="A617" s="9"/>
      <c r="B617" s="9"/>
    </row>
    <row r="618">
      <c r="A618" s="9"/>
      <c r="B618" s="9"/>
    </row>
    <row r="619">
      <c r="A619" s="9"/>
      <c r="B619" s="9"/>
    </row>
    <row r="620">
      <c r="A620" s="9"/>
      <c r="B620" s="9"/>
    </row>
    <row r="621">
      <c r="A621" s="9"/>
      <c r="B621" s="9"/>
    </row>
    <row r="622">
      <c r="A622" s="9"/>
      <c r="B622" s="9"/>
    </row>
    <row r="623">
      <c r="A623" s="9"/>
      <c r="B623" s="9"/>
    </row>
    <row r="624">
      <c r="A624" s="9"/>
      <c r="B624" s="9"/>
    </row>
    <row r="625">
      <c r="A625" s="9"/>
      <c r="B625" s="9"/>
    </row>
    <row r="626">
      <c r="A626" s="9"/>
      <c r="B626" s="9"/>
    </row>
    <row r="627">
      <c r="A627" s="9"/>
      <c r="B627" s="9"/>
    </row>
    <row r="628">
      <c r="A628" s="9"/>
      <c r="B628" s="9"/>
    </row>
    <row r="629">
      <c r="A629" s="9"/>
      <c r="B629" s="9"/>
    </row>
    <row r="630">
      <c r="A630" s="9"/>
      <c r="B630" s="9"/>
    </row>
    <row r="631">
      <c r="A631" s="9"/>
      <c r="B631" s="9"/>
    </row>
    <row r="632">
      <c r="A632" s="9"/>
      <c r="B632" s="9"/>
    </row>
    <row r="633">
      <c r="A633" s="9"/>
      <c r="B633" s="9"/>
    </row>
    <row r="634">
      <c r="A634" s="9"/>
      <c r="B634" s="9"/>
    </row>
    <row r="635">
      <c r="A635" s="9"/>
      <c r="B635" s="9"/>
    </row>
    <row r="636">
      <c r="A636" s="9"/>
      <c r="B636" s="9"/>
    </row>
    <row r="637">
      <c r="A637" s="9"/>
      <c r="B637" s="9"/>
    </row>
    <row r="638">
      <c r="A638" s="9"/>
      <c r="B638" s="9"/>
    </row>
    <row r="639">
      <c r="A639" s="9"/>
      <c r="B639" s="9"/>
    </row>
    <row r="640">
      <c r="A640" s="9"/>
      <c r="B640" s="9"/>
    </row>
    <row r="641">
      <c r="A641" s="9"/>
      <c r="B641" s="9"/>
    </row>
    <row r="642">
      <c r="A642" s="9"/>
      <c r="B642" s="9"/>
    </row>
    <row r="643">
      <c r="A643" s="9"/>
      <c r="B643" s="9"/>
    </row>
    <row r="644">
      <c r="A644" s="9"/>
      <c r="B644" s="9"/>
    </row>
    <row r="645">
      <c r="A645" s="9"/>
      <c r="B645" s="9"/>
    </row>
    <row r="646">
      <c r="A646" s="9"/>
      <c r="B646" s="9"/>
    </row>
    <row r="647">
      <c r="A647" s="9"/>
      <c r="B647" s="9"/>
    </row>
    <row r="648">
      <c r="A648" s="9"/>
      <c r="B648" s="9"/>
    </row>
    <row r="649">
      <c r="A649" s="9"/>
      <c r="B649" s="9"/>
    </row>
    <row r="650">
      <c r="A650" s="9"/>
      <c r="B650" s="9"/>
    </row>
    <row r="651">
      <c r="A651" s="9"/>
      <c r="B651" s="9"/>
    </row>
    <row r="652">
      <c r="A652" s="9"/>
      <c r="B652" s="9"/>
    </row>
    <row r="653">
      <c r="A653" s="9"/>
      <c r="B653" s="9"/>
    </row>
    <row r="654">
      <c r="A654" s="9"/>
      <c r="B654" s="9"/>
    </row>
    <row r="655">
      <c r="A655" s="9"/>
      <c r="B655" s="9"/>
    </row>
    <row r="656">
      <c r="A656" s="9"/>
      <c r="B656" s="9"/>
    </row>
    <row r="657">
      <c r="A657" s="9"/>
      <c r="B657" s="9"/>
    </row>
    <row r="658">
      <c r="A658" s="9"/>
      <c r="B658" s="9"/>
    </row>
    <row r="659">
      <c r="A659" s="9"/>
      <c r="B659" s="9"/>
    </row>
    <row r="660">
      <c r="A660" s="9"/>
      <c r="B660" s="9"/>
    </row>
    <row r="661">
      <c r="A661" s="9"/>
      <c r="B661" s="9"/>
    </row>
    <row r="662">
      <c r="A662" s="9"/>
      <c r="B662" s="9"/>
    </row>
    <row r="663">
      <c r="A663" s="9"/>
      <c r="B663" s="9"/>
    </row>
    <row r="664">
      <c r="A664" s="9"/>
      <c r="B664" s="9"/>
    </row>
    <row r="665">
      <c r="A665" s="9"/>
      <c r="B665" s="9"/>
    </row>
    <row r="666">
      <c r="A666" s="9"/>
      <c r="B666" s="9"/>
    </row>
    <row r="667">
      <c r="A667" s="9"/>
      <c r="B667" s="9"/>
    </row>
    <row r="668">
      <c r="A668" s="9"/>
      <c r="B668" s="9"/>
    </row>
    <row r="669">
      <c r="A669" s="9"/>
      <c r="B669" s="9"/>
    </row>
    <row r="670">
      <c r="A670" s="9"/>
      <c r="B670" s="9"/>
    </row>
    <row r="671">
      <c r="A671" s="9"/>
      <c r="B671" s="9"/>
    </row>
    <row r="672">
      <c r="A672" s="9"/>
      <c r="B672" s="9"/>
    </row>
    <row r="673">
      <c r="A673" s="9"/>
      <c r="B673" s="9"/>
    </row>
    <row r="674">
      <c r="A674" s="9"/>
      <c r="B674" s="9"/>
    </row>
    <row r="675">
      <c r="A675" s="9"/>
      <c r="B675" s="9"/>
    </row>
    <row r="676">
      <c r="A676" s="9"/>
      <c r="B676" s="9"/>
    </row>
    <row r="677">
      <c r="A677" s="9"/>
      <c r="B677" s="9"/>
    </row>
    <row r="678">
      <c r="A678" s="9"/>
      <c r="B678" s="9"/>
    </row>
    <row r="679">
      <c r="A679" s="9"/>
      <c r="B679" s="9"/>
    </row>
    <row r="680">
      <c r="A680" s="9"/>
      <c r="B680" s="9"/>
    </row>
    <row r="681">
      <c r="A681" s="9"/>
      <c r="B681" s="9"/>
    </row>
    <row r="682">
      <c r="A682" s="9"/>
      <c r="B682" s="9"/>
    </row>
    <row r="683">
      <c r="A683" s="9"/>
      <c r="B683" s="9"/>
    </row>
    <row r="684">
      <c r="A684" s="9"/>
      <c r="B684" s="9"/>
    </row>
    <row r="685">
      <c r="A685" s="9"/>
      <c r="B685" s="9"/>
    </row>
    <row r="686">
      <c r="A686" s="9"/>
      <c r="B686" s="9"/>
    </row>
    <row r="687">
      <c r="A687" s="9"/>
      <c r="B687" s="9"/>
    </row>
    <row r="688">
      <c r="A688" s="9"/>
      <c r="B688" s="9"/>
    </row>
    <row r="689">
      <c r="A689" s="9"/>
      <c r="B689" s="9"/>
    </row>
    <row r="690">
      <c r="A690" s="9"/>
      <c r="B690" s="9"/>
    </row>
    <row r="691">
      <c r="A691" s="9"/>
      <c r="B691" s="9"/>
    </row>
    <row r="692">
      <c r="A692" s="9"/>
      <c r="B692" s="9"/>
    </row>
    <row r="693">
      <c r="A693" s="9"/>
      <c r="B693" s="9"/>
    </row>
    <row r="694">
      <c r="A694" s="9"/>
      <c r="B694" s="9"/>
    </row>
    <row r="695">
      <c r="A695" s="9"/>
      <c r="B695" s="9"/>
    </row>
    <row r="696">
      <c r="A696" s="9"/>
      <c r="B696" s="9"/>
    </row>
    <row r="697">
      <c r="A697" s="9"/>
      <c r="B697" s="9"/>
    </row>
    <row r="698">
      <c r="A698" s="9"/>
      <c r="B698" s="9"/>
    </row>
    <row r="699">
      <c r="A699" s="9"/>
      <c r="B699" s="9"/>
    </row>
    <row r="700">
      <c r="A700" s="9"/>
      <c r="B700" s="9"/>
    </row>
    <row r="701">
      <c r="A701" s="9"/>
      <c r="B701" s="9"/>
    </row>
    <row r="702">
      <c r="A702" s="9"/>
      <c r="B702" s="9"/>
    </row>
    <row r="703">
      <c r="A703" s="9"/>
      <c r="B703" s="9"/>
    </row>
    <row r="704">
      <c r="A704" s="9"/>
      <c r="B704" s="9"/>
    </row>
    <row r="705">
      <c r="A705" s="9"/>
      <c r="B705" s="9"/>
    </row>
    <row r="706">
      <c r="A706" s="9"/>
      <c r="B706" s="9"/>
    </row>
    <row r="707">
      <c r="A707" s="9"/>
      <c r="B707" s="9"/>
    </row>
    <row r="708">
      <c r="A708" s="9"/>
      <c r="B708" s="9"/>
    </row>
    <row r="709">
      <c r="A709" s="9"/>
      <c r="B709" s="9"/>
    </row>
    <row r="710">
      <c r="A710" s="9"/>
      <c r="B710" s="9"/>
    </row>
    <row r="711">
      <c r="A711" s="9"/>
      <c r="B711" s="9"/>
    </row>
    <row r="712">
      <c r="A712" s="9"/>
      <c r="B712" s="9"/>
    </row>
    <row r="713">
      <c r="A713" s="9"/>
      <c r="B713" s="9"/>
    </row>
    <row r="714">
      <c r="A714" s="9"/>
      <c r="B714" s="9"/>
    </row>
    <row r="715">
      <c r="A715" s="9"/>
      <c r="B715" s="9"/>
    </row>
    <row r="716">
      <c r="A716" s="9"/>
      <c r="B716" s="9"/>
    </row>
    <row r="717">
      <c r="A717" s="9"/>
      <c r="B717" s="9"/>
    </row>
    <row r="718">
      <c r="A718" s="9"/>
      <c r="B718" s="9"/>
    </row>
    <row r="719">
      <c r="A719" s="9"/>
      <c r="B719" s="9"/>
    </row>
    <row r="720">
      <c r="A720" s="9"/>
      <c r="B720" s="9"/>
    </row>
    <row r="721">
      <c r="A721" s="9"/>
      <c r="B721" s="9"/>
    </row>
    <row r="722">
      <c r="A722" s="9"/>
      <c r="B722" s="9"/>
    </row>
    <row r="723">
      <c r="A723" s="9"/>
      <c r="B723" s="9"/>
    </row>
    <row r="724">
      <c r="A724" s="9"/>
      <c r="B724" s="9"/>
    </row>
    <row r="725">
      <c r="A725" s="9"/>
      <c r="B725" s="9"/>
    </row>
    <row r="726">
      <c r="A726" s="9"/>
      <c r="B726" s="9"/>
    </row>
    <row r="727">
      <c r="A727" s="9"/>
      <c r="B727" s="9"/>
    </row>
    <row r="728">
      <c r="A728" s="9"/>
      <c r="B728" s="9"/>
    </row>
    <row r="729">
      <c r="A729" s="9"/>
      <c r="B729" s="9"/>
    </row>
    <row r="730">
      <c r="A730" s="9"/>
      <c r="B730" s="9"/>
    </row>
    <row r="731">
      <c r="A731" s="9"/>
      <c r="B731" s="9"/>
    </row>
    <row r="732">
      <c r="A732" s="9"/>
      <c r="B732" s="9"/>
    </row>
    <row r="733">
      <c r="A733" s="9"/>
      <c r="B733" s="9"/>
    </row>
    <row r="734">
      <c r="A734" s="9"/>
      <c r="B734" s="9"/>
    </row>
    <row r="735">
      <c r="A735" s="9"/>
      <c r="B735" s="9"/>
    </row>
    <row r="736">
      <c r="A736" s="9"/>
      <c r="B736" s="9"/>
    </row>
    <row r="737">
      <c r="A737" s="9"/>
      <c r="B737" s="9"/>
    </row>
    <row r="738">
      <c r="A738" s="9"/>
      <c r="B738" s="9"/>
    </row>
    <row r="739">
      <c r="A739" s="9"/>
      <c r="B739" s="9"/>
    </row>
    <row r="740">
      <c r="A740" s="9"/>
      <c r="B740" s="9"/>
    </row>
    <row r="741">
      <c r="A741" s="9"/>
      <c r="B741" s="9"/>
    </row>
    <row r="742">
      <c r="A742" s="9"/>
      <c r="B742" s="9"/>
    </row>
    <row r="743">
      <c r="A743" s="9"/>
      <c r="B743" s="9"/>
    </row>
    <row r="744">
      <c r="A744" s="9"/>
      <c r="B744" s="9"/>
    </row>
    <row r="745">
      <c r="A745" s="9"/>
      <c r="B745" s="9"/>
    </row>
    <row r="746">
      <c r="A746" s="9"/>
      <c r="B746" s="9"/>
    </row>
    <row r="747">
      <c r="A747" s="9"/>
      <c r="B747" s="9"/>
    </row>
    <row r="748">
      <c r="A748" s="9"/>
      <c r="B748" s="9"/>
    </row>
    <row r="749">
      <c r="A749" s="9"/>
      <c r="B749" s="9"/>
    </row>
    <row r="750">
      <c r="A750" s="9"/>
      <c r="B750" s="9"/>
    </row>
    <row r="751">
      <c r="A751" s="9"/>
      <c r="B751" s="9"/>
    </row>
    <row r="752">
      <c r="A752" s="9"/>
      <c r="B752" s="9"/>
    </row>
    <row r="753">
      <c r="A753" s="9"/>
      <c r="B753" s="9"/>
    </row>
    <row r="754">
      <c r="A754" s="9"/>
      <c r="B754" s="9"/>
    </row>
    <row r="755">
      <c r="A755" s="9"/>
      <c r="B755" s="9"/>
    </row>
    <row r="756">
      <c r="A756" s="9"/>
      <c r="B756" s="9"/>
    </row>
    <row r="757">
      <c r="A757" s="9"/>
      <c r="B757" s="9"/>
    </row>
    <row r="758">
      <c r="A758" s="9"/>
      <c r="B758" s="9"/>
    </row>
    <row r="759">
      <c r="A759" s="9"/>
      <c r="B759" s="9"/>
    </row>
    <row r="760">
      <c r="A760" s="9"/>
      <c r="B760" s="9"/>
    </row>
    <row r="761">
      <c r="A761" s="9"/>
      <c r="B761" s="9"/>
    </row>
    <row r="762">
      <c r="A762" s="9"/>
      <c r="B762" s="9"/>
    </row>
    <row r="763">
      <c r="A763" s="9"/>
      <c r="B763" s="9"/>
    </row>
    <row r="764">
      <c r="A764" s="9"/>
      <c r="B764" s="9"/>
    </row>
    <row r="765">
      <c r="A765" s="9"/>
      <c r="B765" s="9"/>
    </row>
    <row r="766">
      <c r="A766" s="9"/>
      <c r="B766" s="9"/>
    </row>
    <row r="767">
      <c r="A767" s="9"/>
      <c r="B767" s="9"/>
    </row>
    <row r="768">
      <c r="A768" s="9"/>
      <c r="B768" s="9"/>
    </row>
    <row r="769">
      <c r="A769" s="9"/>
      <c r="B769" s="9"/>
    </row>
    <row r="770">
      <c r="A770" s="9"/>
      <c r="B770" s="9"/>
    </row>
    <row r="771">
      <c r="A771" s="9"/>
      <c r="B771" s="9"/>
    </row>
    <row r="772">
      <c r="A772" s="9"/>
      <c r="B772" s="9"/>
    </row>
    <row r="773">
      <c r="A773" s="9"/>
      <c r="B773" s="9"/>
    </row>
    <row r="774">
      <c r="A774" s="9"/>
      <c r="B774" s="9"/>
    </row>
    <row r="775">
      <c r="A775" s="9"/>
      <c r="B775" s="9"/>
    </row>
    <row r="776">
      <c r="A776" s="9"/>
      <c r="B776" s="9"/>
    </row>
    <row r="777">
      <c r="A777" s="9"/>
      <c r="B777" s="9"/>
    </row>
    <row r="778">
      <c r="A778" s="9"/>
      <c r="B778" s="9"/>
    </row>
    <row r="779">
      <c r="A779" s="9"/>
      <c r="B779" s="9"/>
    </row>
    <row r="780">
      <c r="A780" s="9"/>
      <c r="B780" s="9"/>
    </row>
    <row r="781">
      <c r="A781" s="9"/>
      <c r="B781" s="9"/>
    </row>
    <row r="782">
      <c r="A782" s="9"/>
      <c r="B782" s="9"/>
    </row>
    <row r="783">
      <c r="A783" s="9"/>
      <c r="B783" s="9"/>
    </row>
    <row r="784">
      <c r="A784" s="9"/>
      <c r="B784" s="9"/>
    </row>
    <row r="785">
      <c r="A785" s="9"/>
      <c r="B785" s="9"/>
    </row>
    <row r="786">
      <c r="A786" s="9"/>
      <c r="B786" s="9"/>
    </row>
    <row r="787">
      <c r="A787" s="9"/>
      <c r="B787" s="9"/>
    </row>
    <row r="788">
      <c r="A788" s="9"/>
      <c r="B788" s="9"/>
    </row>
    <row r="789">
      <c r="A789" s="9"/>
      <c r="B789" s="9"/>
    </row>
    <row r="790">
      <c r="A790" s="9"/>
      <c r="B790" s="9"/>
    </row>
    <row r="791">
      <c r="A791" s="9"/>
      <c r="B791" s="9"/>
    </row>
    <row r="792">
      <c r="A792" s="9"/>
      <c r="B792" s="9"/>
    </row>
    <row r="793">
      <c r="A793" s="9"/>
      <c r="B793" s="9"/>
    </row>
    <row r="794">
      <c r="A794" s="9"/>
      <c r="B794" s="9"/>
    </row>
    <row r="795">
      <c r="A795" s="9"/>
      <c r="B795" s="9"/>
    </row>
    <row r="796">
      <c r="A796" s="9"/>
      <c r="B796" s="9"/>
    </row>
    <row r="797">
      <c r="A797" s="9"/>
      <c r="B797" s="9"/>
    </row>
    <row r="798">
      <c r="A798" s="9"/>
      <c r="B798" s="9"/>
    </row>
    <row r="799">
      <c r="A799" s="9"/>
      <c r="B799" s="9"/>
    </row>
    <row r="800">
      <c r="A800" s="9"/>
      <c r="B800" s="9"/>
    </row>
    <row r="801">
      <c r="A801" s="9"/>
      <c r="B801" s="9"/>
    </row>
    <row r="802">
      <c r="A802" s="9"/>
      <c r="B802" s="9"/>
    </row>
    <row r="803">
      <c r="A803" s="9"/>
      <c r="B803" s="9"/>
    </row>
    <row r="804">
      <c r="A804" s="9"/>
      <c r="B804" s="9"/>
    </row>
    <row r="805">
      <c r="A805" s="9"/>
      <c r="B805" s="9"/>
    </row>
    <row r="806">
      <c r="A806" s="9"/>
      <c r="B806" s="9"/>
    </row>
    <row r="807">
      <c r="A807" s="9"/>
      <c r="B807" s="9"/>
    </row>
    <row r="808">
      <c r="A808" s="9"/>
      <c r="B808" s="9"/>
    </row>
    <row r="809">
      <c r="A809" s="9"/>
      <c r="B809" s="9"/>
    </row>
    <row r="810">
      <c r="A810" s="9"/>
      <c r="B810" s="9"/>
    </row>
    <row r="811">
      <c r="A811" s="9"/>
      <c r="B811" s="9"/>
    </row>
    <row r="812">
      <c r="A812" s="9"/>
      <c r="B812" s="9"/>
    </row>
    <row r="813">
      <c r="A813" s="9"/>
      <c r="B813" s="9"/>
    </row>
    <row r="814">
      <c r="A814" s="9"/>
      <c r="B814" s="9"/>
    </row>
    <row r="815">
      <c r="A815" s="9"/>
      <c r="B815" s="9"/>
    </row>
    <row r="816">
      <c r="A816" s="9"/>
      <c r="B816" s="9"/>
    </row>
    <row r="817">
      <c r="A817" s="9"/>
      <c r="B817" s="9"/>
    </row>
    <row r="818">
      <c r="A818" s="9"/>
      <c r="B818" s="9"/>
    </row>
    <row r="819">
      <c r="A819" s="9"/>
      <c r="B819" s="9"/>
    </row>
    <row r="820">
      <c r="A820" s="9"/>
      <c r="B820" s="9"/>
    </row>
    <row r="821">
      <c r="A821" s="9"/>
      <c r="B821" s="9"/>
    </row>
    <row r="822">
      <c r="A822" s="9"/>
      <c r="B822" s="9"/>
    </row>
    <row r="823">
      <c r="A823" s="9"/>
      <c r="B823" s="9"/>
    </row>
    <row r="824">
      <c r="A824" s="9"/>
      <c r="B824" s="9"/>
    </row>
    <row r="825">
      <c r="A825" s="9"/>
      <c r="B825" s="9"/>
    </row>
    <row r="826">
      <c r="A826" s="9"/>
      <c r="B826" s="9"/>
    </row>
    <row r="827">
      <c r="A827" s="9"/>
      <c r="B827" s="9"/>
    </row>
    <row r="828">
      <c r="A828" s="9"/>
      <c r="B828" s="9"/>
    </row>
    <row r="829">
      <c r="A829" s="9"/>
      <c r="B829" s="9"/>
    </row>
    <row r="830">
      <c r="A830" s="9"/>
      <c r="B830" s="9"/>
    </row>
    <row r="831">
      <c r="A831" s="9"/>
      <c r="B831" s="9"/>
    </row>
    <row r="832">
      <c r="A832" s="9"/>
      <c r="B832" s="9"/>
    </row>
    <row r="833">
      <c r="A833" s="9"/>
      <c r="B833" s="9"/>
    </row>
    <row r="834">
      <c r="A834" s="9"/>
      <c r="B834" s="9"/>
    </row>
    <row r="835">
      <c r="A835" s="9"/>
      <c r="B835" s="9"/>
    </row>
    <row r="836">
      <c r="A836" s="9"/>
      <c r="B836" s="9"/>
    </row>
    <row r="837">
      <c r="A837" s="9"/>
      <c r="B837" s="9"/>
    </row>
    <row r="838">
      <c r="A838" s="9"/>
      <c r="B838" s="9"/>
    </row>
    <row r="839">
      <c r="A839" s="9"/>
      <c r="B839" s="9"/>
    </row>
    <row r="840">
      <c r="A840" s="9"/>
      <c r="B840" s="9"/>
    </row>
    <row r="841">
      <c r="A841" s="9"/>
      <c r="B841" s="9"/>
    </row>
    <row r="842">
      <c r="A842" s="9"/>
      <c r="B842" s="9"/>
    </row>
    <row r="843">
      <c r="A843" s="9"/>
      <c r="B843" s="9"/>
    </row>
    <row r="844">
      <c r="A844" s="9"/>
      <c r="B844" s="9"/>
    </row>
    <row r="845">
      <c r="A845" s="9"/>
      <c r="B845" s="9"/>
    </row>
    <row r="846">
      <c r="A846" s="9"/>
      <c r="B846" s="9"/>
    </row>
    <row r="847">
      <c r="A847" s="9"/>
      <c r="B847" s="9"/>
    </row>
    <row r="848">
      <c r="A848" s="9"/>
      <c r="B848" s="9"/>
    </row>
    <row r="849">
      <c r="A849" s="9"/>
      <c r="B849" s="9"/>
    </row>
    <row r="850">
      <c r="A850" s="9"/>
      <c r="B850" s="9"/>
    </row>
    <row r="851">
      <c r="A851" s="9"/>
      <c r="B851" s="9"/>
    </row>
    <row r="852">
      <c r="A852" s="9"/>
      <c r="B852" s="9"/>
    </row>
    <row r="853">
      <c r="A853" s="9"/>
      <c r="B853" s="9"/>
    </row>
    <row r="854">
      <c r="A854" s="9"/>
      <c r="B854" s="9"/>
    </row>
    <row r="855">
      <c r="A855" s="9"/>
      <c r="B855" s="9"/>
    </row>
    <row r="856">
      <c r="A856" s="9"/>
      <c r="B856" s="9"/>
    </row>
    <row r="857">
      <c r="A857" s="9"/>
      <c r="B857" s="9"/>
    </row>
    <row r="858">
      <c r="A858" s="9"/>
      <c r="B858" s="9"/>
    </row>
    <row r="859">
      <c r="A859" s="9"/>
      <c r="B859" s="9"/>
    </row>
    <row r="860">
      <c r="A860" s="9"/>
      <c r="B860" s="9"/>
    </row>
    <row r="861">
      <c r="A861" s="9"/>
      <c r="B861" s="9"/>
    </row>
    <row r="862">
      <c r="A862" s="9"/>
      <c r="B862" s="9"/>
    </row>
    <row r="863">
      <c r="A863" s="9"/>
      <c r="B863" s="9"/>
    </row>
    <row r="864">
      <c r="A864" s="9"/>
      <c r="B864" s="9"/>
    </row>
    <row r="865">
      <c r="A865" s="9"/>
      <c r="B865" s="9"/>
    </row>
    <row r="866">
      <c r="A866" s="9"/>
      <c r="B866" s="9"/>
    </row>
    <row r="867">
      <c r="A867" s="9"/>
      <c r="B867" s="9"/>
    </row>
    <row r="868">
      <c r="A868" s="9"/>
      <c r="B868" s="9"/>
    </row>
    <row r="869">
      <c r="A869" s="9"/>
      <c r="B869" s="9"/>
    </row>
    <row r="870">
      <c r="A870" s="9"/>
      <c r="B870" s="9"/>
    </row>
    <row r="871">
      <c r="A871" s="9"/>
      <c r="B871" s="9"/>
    </row>
    <row r="872">
      <c r="A872" s="9"/>
      <c r="B872" s="9"/>
    </row>
    <row r="873">
      <c r="A873" s="9"/>
      <c r="B873" s="9"/>
    </row>
    <row r="874">
      <c r="A874" s="9"/>
      <c r="B874" s="9"/>
    </row>
    <row r="875">
      <c r="A875" s="9"/>
      <c r="B875" s="9"/>
    </row>
    <row r="876">
      <c r="A876" s="9"/>
      <c r="B876" s="9"/>
    </row>
    <row r="877">
      <c r="A877" s="9"/>
      <c r="B877" s="9"/>
    </row>
    <row r="878">
      <c r="A878" s="9"/>
      <c r="B878" s="9"/>
    </row>
    <row r="879">
      <c r="A879" s="9"/>
      <c r="B879" s="9"/>
    </row>
    <row r="880">
      <c r="A880" s="9"/>
      <c r="B880" s="9"/>
    </row>
    <row r="881">
      <c r="A881" s="9"/>
      <c r="B881" s="9"/>
    </row>
    <row r="882">
      <c r="A882" s="9"/>
      <c r="B882" s="9"/>
    </row>
    <row r="883">
      <c r="A883" s="9"/>
      <c r="B883" s="9"/>
    </row>
    <row r="884">
      <c r="A884" s="9"/>
      <c r="B884" s="9"/>
    </row>
    <row r="885">
      <c r="A885" s="9"/>
      <c r="B885" s="9"/>
    </row>
    <row r="886">
      <c r="A886" s="9"/>
      <c r="B886" s="9"/>
    </row>
    <row r="887">
      <c r="A887" s="9"/>
      <c r="B887" s="9"/>
    </row>
    <row r="888">
      <c r="A888" s="9"/>
      <c r="B888" s="9"/>
    </row>
    <row r="889">
      <c r="A889" s="9"/>
      <c r="B889" s="9"/>
    </row>
    <row r="890">
      <c r="A890" s="9"/>
      <c r="B890" s="9"/>
    </row>
    <row r="891">
      <c r="A891" s="9"/>
      <c r="B891" s="9"/>
    </row>
    <row r="892">
      <c r="A892" s="9"/>
      <c r="B892" s="9"/>
    </row>
    <row r="893">
      <c r="A893" s="9"/>
      <c r="B893" s="9"/>
    </row>
    <row r="894">
      <c r="A894" s="9"/>
      <c r="B894" s="9"/>
    </row>
    <row r="895">
      <c r="A895" s="9"/>
      <c r="B895" s="9"/>
    </row>
    <row r="896">
      <c r="A896" s="9"/>
      <c r="B896" s="9"/>
    </row>
    <row r="897">
      <c r="A897" s="9"/>
      <c r="B897" s="9"/>
    </row>
    <row r="898">
      <c r="A898" s="9"/>
      <c r="B898" s="9"/>
    </row>
    <row r="899">
      <c r="A899" s="9"/>
      <c r="B899" s="9"/>
    </row>
    <row r="900">
      <c r="A900" s="9"/>
      <c r="B900" s="9"/>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2.25"/>
    <col customWidth="1" min="2" max="2" width="20.75"/>
    <col customWidth="1" min="3" max="3" width="24.88"/>
    <col customWidth="1" min="4" max="11" width="23.88"/>
  </cols>
  <sheetData>
    <row r="1">
      <c r="A1" s="12" t="str">
        <f>Entities!A1</f>
        <v>CDA.LS.HCP Kernel Translations, Version 24.8, August 30, 2024</v>
      </c>
      <c r="B1" s="3"/>
      <c r="C1" s="3"/>
      <c r="D1" s="2"/>
      <c r="E1" s="2"/>
      <c r="F1" s="3"/>
      <c r="G1" s="3"/>
      <c r="H1" s="4"/>
      <c r="I1" s="4"/>
      <c r="J1" s="4"/>
      <c r="K1" s="4"/>
      <c r="L1" s="4"/>
      <c r="M1" s="4"/>
      <c r="N1" s="4"/>
      <c r="O1" s="4"/>
      <c r="P1" s="4"/>
      <c r="Q1" s="4"/>
      <c r="R1" s="4"/>
      <c r="S1" s="4"/>
      <c r="T1" s="4"/>
      <c r="U1" s="4"/>
      <c r="V1" s="4"/>
      <c r="W1" s="4"/>
      <c r="X1" s="4"/>
      <c r="Y1" s="4"/>
    </row>
    <row r="2">
      <c r="A2" s="5" t="s">
        <v>46</v>
      </c>
      <c r="B2" s="3"/>
      <c r="C2" s="3"/>
      <c r="D2" s="2"/>
      <c r="E2" s="2"/>
      <c r="F2" s="3"/>
      <c r="G2" s="3"/>
      <c r="H2" s="4"/>
      <c r="I2" s="4"/>
      <c r="J2" s="4"/>
      <c r="K2" s="4"/>
      <c r="L2" s="4"/>
      <c r="M2" s="4"/>
      <c r="N2" s="4"/>
      <c r="O2" s="4"/>
      <c r="P2" s="4"/>
      <c r="Q2" s="4"/>
      <c r="R2" s="4"/>
      <c r="S2" s="4"/>
      <c r="T2" s="4"/>
      <c r="U2" s="4"/>
      <c r="V2" s="4"/>
      <c r="W2" s="4"/>
      <c r="X2" s="4"/>
      <c r="Y2" s="4"/>
    </row>
    <row r="3">
      <c r="A3" s="16" t="s">
        <v>47</v>
      </c>
      <c r="B3" s="8"/>
      <c r="K3" s="17"/>
      <c r="L3" s="8"/>
      <c r="M3" s="8"/>
      <c r="N3" s="17"/>
      <c r="O3" s="8"/>
      <c r="P3" s="8"/>
      <c r="Q3" s="17"/>
      <c r="R3" s="8"/>
      <c r="S3" s="8"/>
      <c r="T3" s="17"/>
      <c r="U3" s="8"/>
      <c r="V3" s="8"/>
      <c r="W3" s="17"/>
    </row>
    <row r="4">
      <c r="A4" s="6" t="s">
        <v>26</v>
      </c>
      <c r="B4" s="6" t="s">
        <v>3</v>
      </c>
      <c r="C4" s="6" t="s">
        <v>4</v>
      </c>
      <c r="D4" s="6" t="s">
        <v>5</v>
      </c>
      <c r="E4" s="6" t="s">
        <v>6</v>
      </c>
      <c r="F4" s="6" t="s">
        <v>7</v>
      </c>
      <c r="G4" s="6" t="s">
        <v>8</v>
      </c>
      <c r="H4" s="6" t="s">
        <v>9</v>
      </c>
      <c r="I4" s="6" t="s">
        <v>10</v>
      </c>
      <c r="J4" s="6" t="s">
        <v>11</v>
      </c>
      <c r="K4" s="6"/>
      <c r="L4" s="6"/>
      <c r="M4" s="6"/>
      <c r="N4" s="6"/>
      <c r="O4" s="6"/>
      <c r="P4" s="6"/>
      <c r="Q4" s="6"/>
      <c r="R4" s="6"/>
      <c r="S4" s="6"/>
      <c r="T4" s="6"/>
      <c r="U4" s="6"/>
      <c r="V4" s="6"/>
      <c r="W4" s="6"/>
      <c r="X4" s="18"/>
      <c r="Y4" s="18"/>
      <c r="Z4" s="18"/>
    </row>
    <row r="5">
      <c r="A5" s="8" t="str">
        <f>IFERROR(__xludf.DUMMYFUNCTION("IMPORTRANGE(""https://docs.google.com/spreadsheets/d/1ZIx3-wJv76bPGccT5CZZ4g3Sy52i_iEnaWf6C0L_ST0/edit#gid=1869488518"",""Country Items!A5:A"")"),"Afghanistan")</f>
        <v>Afghanistan</v>
      </c>
      <c r="B5" s="8" t="str">
        <f>IFERROR(__xludf.DUMMYFUNCTION("IMPORTRANGE(""https://docs.google.com/spreadsheets/d/1ZIx3-wJv76bPGccT5CZZ4g3Sy52i_iEnaWf6C0L_ST0/edit#gid=1869488518"",""Country Items!B5:B"")"),"af")</f>
        <v>af</v>
      </c>
      <c r="C5" s="9" t="str">
        <f>IFERROR(__xludf.DUMMYFUNCTION("GOOGLETRANSLATE($A5,""en"",""de"")"),"Afghanistan")</f>
        <v>Afghanistan</v>
      </c>
      <c r="D5" s="9" t="str">
        <f>IFERROR(__xludf.DUMMYFUNCTION("GOOGLETRANSLATE($A5,""en"",""fr"")"),"Afghanistan")</f>
        <v>Afghanistan</v>
      </c>
      <c r="E5" s="9" t="str">
        <f>IFERROR(__xludf.DUMMYFUNCTION("GOOGLETRANSLATE($A5,""en"",""es"")"),"Afganistán")</f>
        <v>Afganistán</v>
      </c>
      <c r="F5" s="9" t="str">
        <f>IFERROR(__xludf.DUMMYFUNCTION("GOOGLETRANSLATE($A5,""en"",""it"")"),"Afghanistan")</f>
        <v>Afghanistan</v>
      </c>
      <c r="G5" s="9" t="str">
        <f>IFERROR(__xludf.DUMMYFUNCTION("GOOGLETRANSLATE($A5,""en"",""zh-cn"")"),"阿富汗")</f>
        <v>阿富汗</v>
      </c>
      <c r="H5" s="9" t="str">
        <f>IFERROR(__xludf.DUMMYFUNCTION("GOOGLETRANSLATE($A5,""en"",""ja"")"),"アフガニスタン")</f>
        <v>アフガニスタン</v>
      </c>
      <c r="I5" s="9" t="str">
        <f>IFERROR(__xludf.DUMMYFUNCTION("GOOGLETRANSLATE($A5,""en"",""ko"")"),"아프가니스탄")</f>
        <v>아프가니스탄</v>
      </c>
      <c r="J5" s="9" t="str">
        <f>IFERROR(__xludf.DUMMYFUNCTION("GOOGLETRANSLATE($A5,""en"",""pt-BR"")"),"Afeganistão")</f>
        <v>Afeganistão</v>
      </c>
      <c r="K5" s="17"/>
      <c r="L5" s="8"/>
      <c r="M5" s="8"/>
      <c r="N5" s="17"/>
      <c r="O5" s="8"/>
      <c r="P5" s="8"/>
      <c r="Q5" s="17"/>
      <c r="R5" s="8"/>
      <c r="S5" s="8"/>
      <c r="T5" s="17"/>
      <c r="U5" s="8"/>
      <c r="V5" s="8"/>
      <c r="W5" s="17"/>
    </row>
    <row r="6">
      <c r="A6" s="19" t="str">
        <f>IFERROR(__xludf.DUMMYFUNCTION("""COMPUTED_VALUE"""),"Åland Islands")</f>
        <v>Åland Islands</v>
      </c>
      <c r="B6" s="19" t="str">
        <f>IFERROR(__xludf.DUMMYFUNCTION("""COMPUTED_VALUE"""),"ax")</f>
        <v>ax</v>
      </c>
      <c r="C6" s="9" t="str">
        <f>IFERROR(__xludf.DUMMYFUNCTION("GOOGLETRANSLATE($A6,""en"",""de"")"),"Åland-Inseln")</f>
        <v>Åland-Inseln</v>
      </c>
      <c r="D6" s="9" t="str">
        <f>IFERROR(__xludf.DUMMYFUNCTION("GOOGLETRANSLATE($A6,""en"",""fr"")"),"Îles Åland")</f>
        <v>Îles Åland</v>
      </c>
      <c r="E6" s="9" t="str">
        <f>IFERROR(__xludf.DUMMYFUNCTION("GOOGLETRANSLATE($A6,""en"",""es"")"),"Islas Aland")</f>
        <v>Islas Aland</v>
      </c>
      <c r="F6" s="9" t="str">
        <f>IFERROR(__xludf.DUMMYFUNCTION("GOOGLETRANSLATE($A6,""en"",""it"")"),"Isole Åland")</f>
        <v>Isole Åland</v>
      </c>
      <c r="G6" s="9" t="str">
        <f>IFERROR(__xludf.DUMMYFUNCTION("GOOGLETRANSLATE($A6,""en"",""zh-cn"")"),"奥兰群岛")</f>
        <v>奥兰群岛</v>
      </c>
      <c r="H6" s="9" t="str">
        <f>IFERROR(__xludf.DUMMYFUNCTION("GOOGLETRANSLATE($A6,""en"",""ja"")"),"オーランド諸島")</f>
        <v>オーランド諸島</v>
      </c>
      <c r="I6" s="9" t="str">
        <f>IFERROR(__xludf.DUMMYFUNCTION("GOOGLETRANSLATE($A6,""en"",""ko"")"),"올란드 제도")</f>
        <v>올란드 제도</v>
      </c>
      <c r="J6" s="9" t="str">
        <f>IFERROR(__xludf.DUMMYFUNCTION("GOOGLETRANSLATE($A6,""en"",""pt-BR"")"),"Ilhas Alanda")</f>
        <v>Ilhas Alanda</v>
      </c>
    </row>
    <row r="7">
      <c r="A7" s="19" t="str">
        <f>IFERROR(__xludf.DUMMYFUNCTION("""COMPUTED_VALUE"""),"Albania")</f>
        <v>Albania</v>
      </c>
      <c r="B7" s="19" t="str">
        <f>IFERROR(__xludf.DUMMYFUNCTION("""COMPUTED_VALUE"""),"al")</f>
        <v>al</v>
      </c>
      <c r="C7" s="9" t="str">
        <f>IFERROR(__xludf.DUMMYFUNCTION("GOOGLETRANSLATE($A7,""en"",""de"")"),"Albanien")</f>
        <v>Albanien</v>
      </c>
      <c r="D7" s="9" t="str">
        <f>IFERROR(__xludf.DUMMYFUNCTION("GOOGLETRANSLATE($A7,""en"",""fr"")"),"Albanie")</f>
        <v>Albanie</v>
      </c>
      <c r="E7" s="9" t="str">
        <f>IFERROR(__xludf.DUMMYFUNCTION("GOOGLETRANSLATE($A7,""en"",""es"")"),"Albania")</f>
        <v>Albania</v>
      </c>
      <c r="F7" s="9" t="str">
        <f>IFERROR(__xludf.DUMMYFUNCTION("GOOGLETRANSLATE($A7,""en"",""it"")"),"Albania")</f>
        <v>Albania</v>
      </c>
      <c r="G7" s="9" t="str">
        <f>IFERROR(__xludf.DUMMYFUNCTION("GOOGLETRANSLATE($A7,""en"",""zh-cn"")"),"阿尔巴尼亚")</f>
        <v>阿尔巴尼亚</v>
      </c>
      <c r="H7" s="9" t="str">
        <f>IFERROR(__xludf.DUMMYFUNCTION("GOOGLETRANSLATE($A7,""en"",""ja"")"),"アルバニア")</f>
        <v>アルバニア</v>
      </c>
      <c r="I7" s="9" t="str">
        <f>IFERROR(__xludf.DUMMYFUNCTION("GOOGLETRANSLATE($A7,""en"",""ko"")"),"알바니아")</f>
        <v>알바니아</v>
      </c>
      <c r="J7" s="9" t="str">
        <f>IFERROR(__xludf.DUMMYFUNCTION("GOOGLETRANSLATE($A7,""en"",""pt-BR"")"),"Albânia")</f>
        <v>Albânia</v>
      </c>
    </row>
    <row r="8">
      <c r="A8" s="19" t="str">
        <f>IFERROR(__xludf.DUMMYFUNCTION("""COMPUTED_VALUE"""),"Algeria")</f>
        <v>Algeria</v>
      </c>
      <c r="B8" s="19" t="str">
        <f>IFERROR(__xludf.DUMMYFUNCTION("""COMPUTED_VALUE"""),"dz")</f>
        <v>dz</v>
      </c>
      <c r="C8" s="9" t="str">
        <f>IFERROR(__xludf.DUMMYFUNCTION("GOOGLETRANSLATE($A8,""en"",""de"")"),"Algerien")</f>
        <v>Algerien</v>
      </c>
      <c r="D8" s="9" t="str">
        <f>IFERROR(__xludf.DUMMYFUNCTION("GOOGLETRANSLATE($A8,""en"",""fr"")"),"Algérie")</f>
        <v>Algérie</v>
      </c>
      <c r="E8" s="9" t="str">
        <f>IFERROR(__xludf.DUMMYFUNCTION("GOOGLETRANSLATE($A8,""en"",""es"")"),"Argelia")</f>
        <v>Argelia</v>
      </c>
      <c r="F8" s="9" t="str">
        <f>IFERROR(__xludf.DUMMYFUNCTION("GOOGLETRANSLATE($A8,""en"",""it"")"),"Algeria")</f>
        <v>Algeria</v>
      </c>
      <c r="G8" s="9" t="str">
        <f>IFERROR(__xludf.DUMMYFUNCTION("GOOGLETRANSLATE($A8,""en"",""zh-cn"")"),"阿尔及利亚")</f>
        <v>阿尔及利亚</v>
      </c>
      <c r="H8" s="9" t="str">
        <f>IFERROR(__xludf.DUMMYFUNCTION("GOOGLETRANSLATE($A8,""en"",""ja"")"),"アルジェリア")</f>
        <v>アルジェリア</v>
      </c>
      <c r="I8" s="9" t="str">
        <f>IFERROR(__xludf.DUMMYFUNCTION("GOOGLETRANSLATE($A8,""en"",""ko"")"),"알제리")</f>
        <v>알제리</v>
      </c>
      <c r="J8" s="9" t="str">
        <f>IFERROR(__xludf.DUMMYFUNCTION("GOOGLETRANSLATE($A8,""en"",""pt-BR"")"),"Argélia")</f>
        <v>Argélia</v>
      </c>
    </row>
    <row r="9">
      <c r="A9" s="19" t="str">
        <f>IFERROR(__xludf.DUMMYFUNCTION("""COMPUTED_VALUE"""),"American Samoa")</f>
        <v>American Samoa</v>
      </c>
      <c r="B9" s="19" t="str">
        <f>IFERROR(__xludf.DUMMYFUNCTION("""COMPUTED_VALUE"""),"as")</f>
        <v>as</v>
      </c>
      <c r="C9" s="9" t="str">
        <f>IFERROR(__xludf.DUMMYFUNCTION("GOOGLETRANSLATE($A9,""en"",""de"")"),"Amerikanisch-Samoa")</f>
        <v>Amerikanisch-Samoa</v>
      </c>
      <c r="D9" s="9" t="str">
        <f>IFERROR(__xludf.DUMMYFUNCTION("GOOGLETRANSLATE($A9,""en"",""fr"")"),"Samoa américaines")</f>
        <v>Samoa américaines</v>
      </c>
      <c r="E9" s="9" t="str">
        <f>IFERROR(__xludf.DUMMYFUNCTION("GOOGLETRANSLATE($A9,""en"",""es"")"),"Samoa Americana")</f>
        <v>Samoa Americana</v>
      </c>
      <c r="F9" s="9" t="str">
        <f>IFERROR(__xludf.DUMMYFUNCTION("GOOGLETRANSLATE($A9,""en"",""it"")"),"Samoa americane")</f>
        <v>Samoa americane</v>
      </c>
      <c r="G9" s="9" t="str">
        <f>IFERROR(__xludf.DUMMYFUNCTION("GOOGLETRANSLATE($A9,""en"",""zh-cn"")"),"美属萨摩亚")</f>
        <v>美属萨摩亚</v>
      </c>
      <c r="H9" s="9" t="str">
        <f>IFERROR(__xludf.DUMMYFUNCTION("GOOGLETRANSLATE($A9,""en"",""ja"")"),"アメリカ領サモア")</f>
        <v>アメリカ領サモア</v>
      </c>
      <c r="I9" s="9" t="str">
        <f>IFERROR(__xludf.DUMMYFUNCTION("GOOGLETRANSLATE($A9,""en"",""ko"")"),"아메리칸사모아")</f>
        <v>아메리칸사모아</v>
      </c>
      <c r="J9" s="9" t="str">
        <f>IFERROR(__xludf.DUMMYFUNCTION("GOOGLETRANSLATE($A9,""en"",""pt-BR"")"),"Samoa Americana")</f>
        <v>Samoa Americana</v>
      </c>
    </row>
    <row r="10">
      <c r="A10" s="20" t="str">
        <f>IFERROR(__xludf.DUMMYFUNCTION("""COMPUTED_VALUE"""),"Andorra")</f>
        <v>Andorra</v>
      </c>
      <c r="B10" s="19" t="str">
        <f>IFERROR(__xludf.DUMMYFUNCTION("""COMPUTED_VALUE"""),"ad")</f>
        <v>ad</v>
      </c>
      <c r="C10" s="9" t="str">
        <f>IFERROR(__xludf.DUMMYFUNCTION("GOOGLETRANSLATE($A10,""en"",""de"")"),"Andorra")</f>
        <v>Andorra</v>
      </c>
      <c r="D10" s="9" t="str">
        <f>IFERROR(__xludf.DUMMYFUNCTION("GOOGLETRANSLATE($A10,""en"",""fr"")"),"Andorre")</f>
        <v>Andorre</v>
      </c>
      <c r="E10" s="9" t="str">
        <f>IFERROR(__xludf.DUMMYFUNCTION("GOOGLETRANSLATE($A10,""en"",""es"")"),"Andorra")</f>
        <v>Andorra</v>
      </c>
      <c r="F10" s="9" t="str">
        <f>IFERROR(__xludf.DUMMYFUNCTION("GOOGLETRANSLATE($A10,""en"",""it"")"),"Andorra")</f>
        <v>Andorra</v>
      </c>
      <c r="G10" s="9" t="str">
        <f>IFERROR(__xludf.DUMMYFUNCTION("GOOGLETRANSLATE($A10,""en"",""zh-cn"")"),"安道尔")</f>
        <v>安道尔</v>
      </c>
      <c r="H10" s="9" t="str">
        <f>IFERROR(__xludf.DUMMYFUNCTION("GOOGLETRANSLATE($A10,""en"",""ja"")"),"アンドラ")</f>
        <v>アンドラ</v>
      </c>
      <c r="I10" s="9" t="str">
        <f>IFERROR(__xludf.DUMMYFUNCTION("GOOGLETRANSLATE($A10,""en"",""ko"")"),"안도라")</f>
        <v>안도라</v>
      </c>
      <c r="J10" s="9" t="str">
        <f>IFERROR(__xludf.DUMMYFUNCTION("GOOGLETRANSLATE($A10,""en"",""pt-BR"")"),"Andorra")</f>
        <v>Andorra</v>
      </c>
    </row>
    <row r="11">
      <c r="A11" s="19" t="str">
        <f>IFERROR(__xludf.DUMMYFUNCTION("""COMPUTED_VALUE"""),"Angola")</f>
        <v>Angola</v>
      </c>
      <c r="B11" s="20" t="str">
        <f>IFERROR(__xludf.DUMMYFUNCTION("""COMPUTED_VALUE"""),"ao")</f>
        <v>ao</v>
      </c>
      <c r="C11" s="9" t="str">
        <f>IFERROR(__xludf.DUMMYFUNCTION("GOOGLETRANSLATE($A11,""en"",""de"")"),"Angola")</f>
        <v>Angola</v>
      </c>
      <c r="D11" s="9" t="str">
        <f>IFERROR(__xludf.DUMMYFUNCTION("GOOGLETRANSLATE($A11,""en"",""fr"")"),"Angola")</f>
        <v>Angola</v>
      </c>
      <c r="E11" s="9" t="str">
        <f>IFERROR(__xludf.DUMMYFUNCTION("GOOGLETRANSLATE($A11,""en"",""es"")"),"Angola")</f>
        <v>Angola</v>
      </c>
      <c r="F11" s="9" t="str">
        <f>IFERROR(__xludf.DUMMYFUNCTION("GOOGLETRANSLATE($A11,""en"",""it"")"),"L'Angola")</f>
        <v>L'Angola</v>
      </c>
      <c r="G11" s="9" t="str">
        <f>IFERROR(__xludf.DUMMYFUNCTION("GOOGLETRANSLATE($A11,""en"",""zh-cn"")"),"安哥拉")</f>
        <v>安哥拉</v>
      </c>
      <c r="H11" s="9" t="str">
        <f>IFERROR(__xludf.DUMMYFUNCTION("GOOGLETRANSLATE($A11,""en"",""ja"")"),"アンゴラ")</f>
        <v>アンゴラ</v>
      </c>
      <c r="I11" s="9" t="str">
        <f>IFERROR(__xludf.DUMMYFUNCTION("GOOGLETRANSLATE($A11,""en"",""ko"")"),"앙골라")</f>
        <v>앙골라</v>
      </c>
      <c r="J11" s="9" t="str">
        <f>IFERROR(__xludf.DUMMYFUNCTION("GOOGLETRANSLATE($A11,""en"",""pt-BR"")"),"Angola")</f>
        <v>Angola</v>
      </c>
    </row>
    <row r="12">
      <c r="A12" s="9" t="str">
        <f>IFERROR(__xludf.DUMMYFUNCTION("""COMPUTED_VALUE"""),"Anguilla")</f>
        <v>Anguilla</v>
      </c>
      <c r="B12" s="9" t="str">
        <f>IFERROR(__xludf.DUMMYFUNCTION("""COMPUTED_VALUE"""),"ai")</f>
        <v>ai</v>
      </c>
      <c r="C12" s="9" t="str">
        <f>IFERROR(__xludf.DUMMYFUNCTION("GOOGLETRANSLATE($A12,""en"",""de"")"),"Anguilla")</f>
        <v>Anguilla</v>
      </c>
      <c r="D12" s="9" t="str">
        <f>IFERROR(__xludf.DUMMYFUNCTION("GOOGLETRANSLATE($A12,""en"",""fr"")"),"Anguilla")</f>
        <v>Anguilla</v>
      </c>
      <c r="E12" s="9" t="str">
        <f>IFERROR(__xludf.DUMMYFUNCTION("GOOGLETRANSLATE($A12,""en"",""es"")"),"Anguila")</f>
        <v>Anguila</v>
      </c>
      <c r="F12" s="9" t="str">
        <f>IFERROR(__xludf.DUMMYFUNCTION("GOOGLETRANSLATE($A12,""en"",""it"")"),"Anguilla")</f>
        <v>Anguilla</v>
      </c>
      <c r="G12" s="9" t="str">
        <f>IFERROR(__xludf.DUMMYFUNCTION("GOOGLETRANSLATE($A12,""en"",""zh-cn"")"),"安圭拉")</f>
        <v>安圭拉</v>
      </c>
      <c r="H12" s="9" t="str">
        <f>IFERROR(__xludf.DUMMYFUNCTION("GOOGLETRANSLATE($A12,""en"",""ja"")"),"アンギラ")</f>
        <v>アンギラ</v>
      </c>
      <c r="I12" s="9" t="str">
        <f>IFERROR(__xludf.DUMMYFUNCTION("GOOGLETRANSLATE($A12,""en"",""ko"")"),"앵귈라")</f>
        <v>앵귈라</v>
      </c>
      <c r="J12" s="9" t="str">
        <f>IFERROR(__xludf.DUMMYFUNCTION("GOOGLETRANSLATE($A12,""en"",""pt-BR"")"),"Anguila")</f>
        <v>Anguila</v>
      </c>
    </row>
    <row r="13">
      <c r="A13" s="9" t="str">
        <f>IFERROR(__xludf.DUMMYFUNCTION("""COMPUTED_VALUE"""),"Antarctica")</f>
        <v>Antarctica</v>
      </c>
      <c r="B13" s="9" t="str">
        <f>IFERROR(__xludf.DUMMYFUNCTION("""COMPUTED_VALUE"""),"aq")</f>
        <v>aq</v>
      </c>
      <c r="C13" s="9" t="str">
        <f>IFERROR(__xludf.DUMMYFUNCTION("GOOGLETRANSLATE($A13,""en"",""de"")"),"Antarktis")</f>
        <v>Antarktis</v>
      </c>
      <c r="D13" s="9" t="str">
        <f>IFERROR(__xludf.DUMMYFUNCTION("GOOGLETRANSLATE($A13,""en"",""fr"")"),"Antarctique")</f>
        <v>Antarctique</v>
      </c>
      <c r="E13" s="9" t="str">
        <f>IFERROR(__xludf.DUMMYFUNCTION("GOOGLETRANSLATE($A13,""en"",""es"")"),"Antártida")</f>
        <v>Antártida</v>
      </c>
      <c r="F13" s="9" t="str">
        <f>IFERROR(__xludf.DUMMYFUNCTION("GOOGLETRANSLATE($A13,""en"",""it"")"),"Antartide")</f>
        <v>Antartide</v>
      </c>
      <c r="G13" s="9" t="str">
        <f>IFERROR(__xludf.DUMMYFUNCTION("GOOGLETRANSLATE($A13,""en"",""zh-cn"")"),"南极洲")</f>
        <v>南极洲</v>
      </c>
      <c r="H13" s="9" t="str">
        <f>IFERROR(__xludf.DUMMYFUNCTION("GOOGLETRANSLATE($A13,""en"",""ja"")"),"南極大陸")</f>
        <v>南極大陸</v>
      </c>
      <c r="I13" s="9" t="str">
        <f>IFERROR(__xludf.DUMMYFUNCTION("GOOGLETRANSLATE($A13,""en"",""ko"")"),"남극 대륙")</f>
        <v>남극 대륙</v>
      </c>
      <c r="J13" s="9" t="str">
        <f>IFERROR(__xludf.DUMMYFUNCTION("GOOGLETRANSLATE($A13,""en"",""pt-BR"")"),"Antártica")</f>
        <v>Antártica</v>
      </c>
    </row>
    <row r="14">
      <c r="A14" s="9" t="str">
        <f>IFERROR(__xludf.DUMMYFUNCTION("""COMPUTED_VALUE"""),"Antigua and Barbuda")</f>
        <v>Antigua and Barbuda</v>
      </c>
      <c r="B14" s="9" t="str">
        <f>IFERROR(__xludf.DUMMYFUNCTION("""COMPUTED_VALUE"""),"ag")</f>
        <v>ag</v>
      </c>
      <c r="C14" s="9" t="str">
        <f>IFERROR(__xludf.DUMMYFUNCTION("GOOGLETRANSLATE($A14,""en"",""de"")"),"Antigua und Barbuda")</f>
        <v>Antigua und Barbuda</v>
      </c>
      <c r="D14" s="9" t="str">
        <f>IFERROR(__xludf.DUMMYFUNCTION("GOOGLETRANSLATE($A14,""en"",""fr"")"),"Antigua-et-Barbuda")</f>
        <v>Antigua-et-Barbuda</v>
      </c>
      <c r="E14" s="9" t="str">
        <f>IFERROR(__xludf.DUMMYFUNCTION("GOOGLETRANSLATE($A14,""en"",""es"")"),"Antigua y Barbuda")</f>
        <v>Antigua y Barbuda</v>
      </c>
      <c r="F14" s="9" t="str">
        <f>IFERROR(__xludf.DUMMYFUNCTION("GOOGLETRANSLATE($A14,""en"",""it"")"),"Antigua e Barbuda")</f>
        <v>Antigua e Barbuda</v>
      </c>
      <c r="G14" s="9" t="str">
        <f>IFERROR(__xludf.DUMMYFUNCTION("GOOGLETRANSLATE($A14,""en"",""zh-cn"")"),"安提瓜和巴布达")</f>
        <v>安提瓜和巴布达</v>
      </c>
      <c r="H14" s="9" t="str">
        <f>IFERROR(__xludf.DUMMYFUNCTION("GOOGLETRANSLATE($A14,""en"",""ja"")"),"アンティグアバーブーダ")</f>
        <v>アンティグアバーブーダ</v>
      </c>
      <c r="I14" s="9" t="str">
        <f>IFERROR(__xludf.DUMMYFUNCTION("GOOGLETRANSLATE($A14,""en"",""ko"")"),"앤티가 바부다")</f>
        <v>앤티가 바부다</v>
      </c>
      <c r="J14" s="9" t="str">
        <f>IFERROR(__xludf.DUMMYFUNCTION("GOOGLETRANSLATE($A14,""en"",""pt-BR"")"),"Antígua e Barbuda")</f>
        <v>Antígua e Barbuda</v>
      </c>
    </row>
    <row r="15">
      <c r="A15" s="9" t="str">
        <f>IFERROR(__xludf.DUMMYFUNCTION("""COMPUTED_VALUE"""),"Argentina")</f>
        <v>Argentina</v>
      </c>
      <c r="B15" s="9" t="str">
        <f>IFERROR(__xludf.DUMMYFUNCTION("""COMPUTED_VALUE"""),"ar")</f>
        <v>ar</v>
      </c>
      <c r="C15" s="9" t="str">
        <f>IFERROR(__xludf.DUMMYFUNCTION("GOOGLETRANSLATE($A15,""en"",""de"")"),"Argentinien")</f>
        <v>Argentinien</v>
      </c>
      <c r="D15" s="9" t="str">
        <f>IFERROR(__xludf.DUMMYFUNCTION("GOOGLETRANSLATE($A15,""en"",""fr"")"),"Argentine")</f>
        <v>Argentine</v>
      </c>
      <c r="E15" s="9" t="str">
        <f>IFERROR(__xludf.DUMMYFUNCTION("GOOGLETRANSLATE($A15,""en"",""es"")"),"Argentina")</f>
        <v>Argentina</v>
      </c>
      <c r="F15" s="9" t="str">
        <f>IFERROR(__xludf.DUMMYFUNCTION("GOOGLETRANSLATE($A15,""en"",""it"")"),"Argentina")</f>
        <v>Argentina</v>
      </c>
      <c r="G15" s="9" t="str">
        <f>IFERROR(__xludf.DUMMYFUNCTION("GOOGLETRANSLATE($A15,""en"",""zh-cn"")"),"阿根廷")</f>
        <v>阿根廷</v>
      </c>
      <c r="H15" s="9" t="str">
        <f>IFERROR(__xludf.DUMMYFUNCTION("GOOGLETRANSLATE($A15,""en"",""ja"")"),"アルゼンチン")</f>
        <v>アルゼンチン</v>
      </c>
      <c r="I15" s="9" t="str">
        <f>IFERROR(__xludf.DUMMYFUNCTION("GOOGLETRANSLATE($A15,""en"",""ko"")"),"아르헨티나")</f>
        <v>아르헨티나</v>
      </c>
      <c r="J15" s="9" t="str">
        <f>IFERROR(__xludf.DUMMYFUNCTION("GOOGLETRANSLATE($A15,""en"",""pt-BR"")"),"Argentina")</f>
        <v>Argentina</v>
      </c>
    </row>
    <row r="16">
      <c r="A16" s="9" t="str">
        <f>IFERROR(__xludf.DUMMYFUNCTION("""COMPUTED_VALUE"""),"Armenia")</f>
        <v>Armenia</v>
      </c>
      <c r="B16" s="9" t="str">
        <f>IFERROR(__xludf.DUMMYFUNCTION("""COMPUTED_VALUE"""),"am")</f>
        <v>am</v>
      </c>
      <c r="C16" s="9" t="str">
        <f>IFERROR(__xludf.DUMMYFUNCTION("GOOGLETRANSLATE($A16,""en"",""de"")"),"Armenien")</f>
        <v>Armenien</v>
      </c>
      <c r="D16" s="9" t="str">
        <f>IFERROR(__xludf.DUMMYFUNCTION("GOOGLETRANSLATE($A16,""en"",""fr"")"),"Arménie")</f>
        <v>Arménie</v>
      </c>
      <c r="E16" s="9" t="str">
        <f>IFERROR(__xludf.DUMMYFUNCTION("GOOGLETRANSLATE($A16,""en"",""es"")"),"Armenia")</f>
        <v>Armenia</v>
      </c>
      <c r="F16" s="9" t="str">
        <f>IFERROR(__xludf.DUMMYFUNCTION("GOOGLETRANSLATE($A16,""en"",""it"")"),"Armenia")</f>
        <v>Armenia</v>
      </c>
      <c r="G16" s="9" t="str">
        <f>IFERROR(__xludf.DUMMYFUNCTION("GOOGLETRANSLATE($A16,""en"",""zh-cn"")"),"亚美尼亚")</f>
        <v>亚美尼亚</v>
      </c>
      <c r="H16" s="9" t="str">
        <f>IFERROR(__xludf.DUMMYFUNCTION("GOOGLETRANSLATE($A16,""en"",""ja"")"),"アルメニア")</f>
        <v>アルメニア</v>
      </c>
      <c r="I16" s="9" t="str">
        <f>IFERROR(__xludf.DUMMYFUNCTION("GOOGLETRANSLATE($A16,""en"",""ko"")"),"아르메니아")</f>
        <v>아르메니아</v>
      </c>
      <c r="J16" s="9" t="str">
        <f>IFERROR(__xludf.DUMMYFUNCTION("GOOGLETRANSLATE($A16,""en"",""pt-BR"")"),"Armênia")</f>
        <v>Armênia</v>
      </c>
    </row>
    <row r="17">
      <c r="A17" s="9" t="str">
        <f>IFERROR(__xludf.DUMMYFUNCTION("""COMPUTED_VALUE"""),"Aruba")</f>
        <v>Aruba</v>
      </c>
      <c r="B17" s="9" t="str">
        <f>IFERROR(__xludf.DUMMYFUNCTION("""COMPUTED_VALUE"""),"aw")</f>
        <v>aw</v>
      </c>
      <c r="C17" s="9" t="str">
        <f>IFERROR(__xludf.DUMMYFUNCTION("GOOGLETRANSLATE($A17,""en"",""de"")"),"Aruba")</f>
        <v>Aruba</v>
      </c>
      <c r="D17" s="9" t="str">
        <f>IFERROR(__xludf.DUMMYFUNCTION("GOOGLETRANSLATE($A17,""en"",""fr"")"),"Aruba")</f>
        <v>Aruba</v>
      </c>
      <c r="E17" s="9" t="str">
        <f>IFERROR(__xludf.DUMMYFUNCTION("GOOGLETRANSLATE($A17,""en"",""es"")"),"Aruba")</f>
        <v>Aruba</v>
      </c>
      <c r="F17" s="9" t="str">
        <f>IFERROR(__xludf.DUMMYFUNCTION("GOOGLETRANSLATE($A17,""en"",""it"")"),"Aruba")</f>
        <v>Aruba</v>
      </c>
      <c r="G17" s="9" t="str">
        <f>IFERROR(__xludf.DUMMYFUNCTION("GOOGLETRANSLATE($A17,""en"",""zh-cn"")"),"阿鲁巴岛")</f>
        <v>阿鲁巴岛</v>
      </c>
      <c r="H17" s="9" t="str">
        <f>IFERROR(__xludf.DUMMYFUNCTION("GOOGLETRANSLATE($A17,""en"",""ja"")"),"アルバ")</f>
        <v>アルバ</v>
      </c>
      <c r="I17" s="9" t="str">
        <f>IFERROR(__xludf.DUMMYFUNCTION("GOOGLETRANSLATE($A17,""en"",""ko"")"),"아루바")</f>
        <v>아루바</v>
      </c>
      <c r="J17" s="9" t="str">
        <f>IFERROR(__xludf.DUMMYFUNCTION("GOOGLETRANSLATE($A17,""en"",""pt-BR"")"),"Aruba")</f>
        <v>Aruba</v>
      </c>
    </row>
    <row r="18">
      <c r="A18" s="9" t="str">
        <f>IFERROR(__xludf.DUMMYFUNCTION("""COMPUTED_VALUE"""),"Australia")</f>
        <v>Australia</v>
      </c>
      <c r="B18" s="9" t="str">
        <f>IFERROR(__xludf.DUMMYFUNCTION("""COMPUTED_VALUE"""),"au")</f>
        <v>au</v>
      </c>
      <c r="C18" s="9" t="str">
        <f>IFERROR(__xludf.DUMMYFUNCTION("GOOGLETRANSLATE($A18,""en"",""de"")"),"Australien")</f>
        <v>Australien</v>
      </c>
      <c r="D18" s="9" t="str">
        <f>IFERROR(__xludf.DUMMYFUNCTION("GOOGLETRANSLATE($A18,""en"",""fr"")"),"Australie")</f>
        <v>Australie</v>
      </c>
      <c r="E18" s="9" t="str">
        <f>IFERROR(__xludf.DUMMYFUNCTION("GOOGLETRANSLATE($A18,""en"",""es"")"),"Australia")</f>
        <v>Australia</v>
      </c>
      <c r="F18" s="9" t="str">
        <f>IFERROR(__xludf.DUMMYFUNCTION("GOOGLETRANSLATE($A18,""en"",""it"")"),"Australia")</f>
        <v>Australia</v>
      </c>
      <c r="G18" s="9" t="str">
        <f>IFERROR(__xludf.DUMMYFUNCTION("GOOGLETRANSLATE($A18,""en"",""zh-cn"")"),"澳大利亚")</f>
        <v>澳大利亚</v>
      </c>
      <c r="H18" s="9" t="str">
        <f>IFERROR(__xludf.DUMMYFUNCTION("GOOGLETRANSLATE($A18,""en"",""ja"")"),"オーストラリア")</f>
        <v>オーストラリア</v>
      </c>
      <c r="I18" s="9" t="str">
        <f>IFERROR(__xludf.DUMMYFUNCTION("GOOGLETRANSLATE($A18,""en"",""ko"")"),"호주")</f>
        <v>호주</v>
      </c>
      <c r="J18" s="9" t="str">
        <f>IFERROR(__xludf.DUMMYFUNCTION("GOOGLETRANSLATE($A18,""en"",""pt-BR"")"),"Austrália")</f>
        <v>Austrália</v>
      </c>
    </row>
    <row r="19">
      <c r="A19" s="9" t="str">
        <f>IFERROR(__xludf.DUMMYFUNCTION("""COMPUTED_VALUE"""),"Austria")</f>
        <v>Austria</v>
      </c>
      <c r="B19" s="9" t="str">
        <f>IFERROR(__xludf.DUMMYFUNCTION("""COMPUTED_VALUE"""),"at")</f>
        <v>at</v>
      </c>
      <c r="C19" s="9" t="str">
        <f>IFERROR(__xludf.DUMMYFUNCTION("GOOGLETRANSLATE($A19,""en"",""de"")"),"Österreich")</f>
        <v>Österreich</v>
      </c>
      <c r="D19" s="9" t="str">
        <f>IFERROR(__xludf.DUMMYFUNCTION("GOOGLETRANSLATE($A19,""en"",""fr"")"),"Autriche")</f>
        <v>Autriche</v>
      </c>
      <c r="E19" s="9" t="str">
        <f>IFERROR(__xludf.DUMMYFUNCTION("GOOGLETRANSLATE($A19,""en"",""es"")"),"Austria")</f>
        <v>Austria</v>
      </c>
      <c r="F19" s="9" t="str">
        <f>IFERROR(__xludf.DUMMYFUNCTION("GOOGLETRANSLATE($A19,""en"",""it"")"),"Austria")</f>
        <v>Austria</v>
      </c>
      <c r="G19" s="9" t="str">
        <f>IFERROR(__xludf.DUMMYFUNCTION("GOOGLETRANSLATE($A19,""en"",""zh-cn"")"),"奥地利")</f>
        <v>奥地利</v>
      </c>
      <c r="H19" s="9" t="str">
        <f>IFERROR(__xludf.DUMMYFUNCTION("GOOGLETRANSLATE($A19,""en"",""ja"")"),"オーストリア")</f>
        <v>オーストリア</v>
      </c>
      <c r="I19" s="9" t="str">
        <f>IFERROR(__xludf.DUMMYFUNCTION("GOOGLETRANSLATE($A19,""en"",""ko"")"),"오스트리아")</f>
        <v>오스트리아</v>
      </c>
      <c r="J19" s="9" t="str">
        <f>IFERROR(__xludf.DUMMYFUNCTION("GOOGLETRANSLATE($A19,""en"",""pt-BR"")"),"Áustria")</f>
        <v>Áustria</v>
      </c>
    </row>
    <row r="20">
      <c r="A20" s="9" t="str">
        <f>IFERROR(__xludf.DUMMYFUNCTION("""COMPUTED_VALUE"""),"Azerbaijan")</f>
        <v>Azerbaijan</v>
      </c>
      <c r="B20" s="9" t="str">
        <f>IFERROR(__xludf.DUMMYFUNCTION("""COMPUTED_VALUE"""),"az")</f>
        <v>az</v>
      </c>
      <c r="C20" s="9" t="str">
        <f>IFERROR(__xludf.DUMMYFUNCTION("GOOGLETRANSLATE($A20,""en"",""de"")"),"Aserbaidschan")</f>
        <v>Aserbaidschan</v>
      </c>
      <c r="D20" s="9" t="str">
        <f>IFERROR(__xludf.DUMMYFUNCTION("GOOGLETRANSLATE($A20,""en"",""fr"")"),"Azerbaïdjan")</f>
        <v>Azerbaïdjan</v>
      </c>
      <c r="E20" s="9" t="str">
        <f>IFERROR(__xludf.DUMMYFUNCTION("GOOGLETRANSLATE($A20,""en"",""es"")"),"Azerbaiyán")</f>
        <v>Azerbaiyán</v>
      </c>
      <c r="F20" s="9" t="str">
        <f>IFERROR(__xludf.DUMMYFUNCTION("GOOGLETRANSLATE($A20,""en"",""it"")"),"Azerbaigian")</f>
        <v>Azerbaigian</v>
      </c>
      <c r="G20" s="9" t="str">
        <f>IFERROR(__xludf.DUMMYFUNCTION("GOOGLETRANSLATE($A20,""en"",""zh-cn"")"),"阿塞拜疆")</f>
        <v>阿塞拜疆</v>
      </c>
      <c r="H20" s="9" t="str">
        <f>IFERROR(__xludf.DUMMYFUNCTION("GOOGLETRANSLATE($A20,""en"",""ja"")"),"アゼルバイジャン")</f>
        <v>アゼルバイジャン</v>
      </c>
      <c r="I20" s="9" t="str">
        <f>IFERROR(__xludf.DUMMYFUNCTION("GOOGLETRANSLATE($A20,""en"",""ko"")"),"아제르바이잔")</f>
        <v>아제르바이잔</v>
      </c>
      <c r="J20" s="9" t="str">
        <f>IFERROR(__xludf.DUMMYFUNCTION("GOOGLETRANSLATE($A20,""en"",""pt-BR"")"),"Azerbaijão")</f>
        <v>Azerbaijão</v>
      </c>
    </row>
    <row r="21">
      <c r="A21" s="9" t="str">
        <f>IFERROR(__xludf.DUMMYFUNCTION("""COMPUTED_VALUE"""),"Bahamas")</f>
        <v>Bahamas</v>
      </c>
      <c r="B21" s="9" t="str">
        <f>IFERROR(__xludf.DUMMYFUNCTION("""COMPUTED_VALUE"""),"bs")</f>
        <v>bs</v>
      </c>
      <c r="C21" s="9" t="str">
        <f>IFERROR(__xludf.DUMMYFUNCTION("GOOGLETRANSLATE($A21,""en"",""de"")"),"Bahamas")</f>
        <v>Bahamas</v>
      </c>
      <c r="D21" s="9" t="str">
        <f>IFERROR(__xludf.DUMMYFUNCTION("GOOGLETRANSLATE($A21,""en"",""fr"")"),"Bahamas")</f>
        <v>Bahamas</v>
      </c>
      <c r="E21" s="9" t="str">
        <f>IFERROR(__xludf.DUMMYFUNCTION("GOOGLETRANSLATE($A21,""en"",""es"")"),"bahamas")</f>
        <v>bahamas</v>
      </c>
      <c r="F21" s="9" t="str">
        <f>IFERROR(__xludf.DUMMYFUNCTION("GOOGLETRANSLATE($A21,""en"",""it"")"),"Bahamas")</f>
        <v>Bahamas</v>
      </c>
      <c r="G21" s="9" t="str">
        <f>IFERROR(__xludf.DUMMYFUNCTION("GOOGLETRANSLATE($A21,""en"",""zh-cn"")"),"巴哈马")</f>
        <v>巴哈马</v>
      </c>
      <c r="H21" s="9" t="str">
        <f>IFERROR(__xludf.DUMMYFUNCTION("GOOGLETRANSLATE($A21,""en"",""ja"")"),"バハマ")</f>
        <v>バハマ</v>
      </c>
      <c r="I21" s="9" t="str">
        <f>IFERROR(__xludf.DUMMYFUNCTION("GOOGLETRANSLATE($A21,""en"",""ko"")"),"바하마")</f>
        <v>바하마</v>
      </c>
      <c r="J21" s="9" t="str">
        <f>IFERROR(__xludf.DUMMYFUNCTION("GOOGLETRANSLATE($A21,""en"",""pt-BR"")"),"Bahamas")</f>
        <v>Bahamas</v>
      </c>
    </row>
    <row r="22">
      <c r="A22" s="9" t="str">
        <f>IFERROR(__xludf.DUMMYFUNCTION("""COMPUTED_VALUE"""),"Bahrain")</f>
        <v>Bahrain</v>
      </c>
      <c r="B22" s="9" t="str">
        <f>IFERROR(__xludf.DUMMYFUNCTION("""COMPUTED_VALUE"""),"bh")</f>
        <v>bh</v>
      </c>
      <c r="C22" s="9" t="str">
        <f>IFERROR(__xludf.DUMMYFUNCTION("GOOGLETRANSLATE($A22,""en"",""de"")"),"Bahrain")</f>
        <v>Bahrain</v>
      </c>
      <c r="D22" s="9" t="str">
        <f>IFERROR(__xludf.DUMMYFUNCTION("GOOGLETRANSLATE($A22,""en"",""fr"")"),"Bahreïn")</f>
        <v>Bahreïn</v>
      </c>
      <c r="E22" s="9" t="str">
        <f>IFERROR(__xludf.DUMMYFUNCTION("GOOGLETRANSLATE($A22,""en"",""es"")"),"Bahréin")</f>
        <v>Bahréin</v>
      </c>
      <c r="F22" s="9" t="str">
        <f>IFERROR(__xludf.DUMMYFUNCTION("GOOGLETRANSLATE($A22,""en"",""it"")"),"Bahrein")</f>
        <v>Bahrein</v>
      </c>
      <c r="G22" s="9" t="str">
        <f>IFERROR(__xludf.DUMMYFUNCTION("GOOGLETRANSLATE($A22,""en"",""zh-cn"")"),"巴林")</f>
        <v>巴林</v>
      </c>
      <c r="H22" s="9" t="str">
        <f>IFERROR(__xludf.DUMMYFUNCTION("GOOGLETRANSLATE($A22,""en"",""ja"")"),"バーレーン")</f>
        <v>バーレーン</v>
      </c>
      <c r="I22" s="9" t="str">
        <f>IFERROR(__xludf.DUMMYFUNCTION("GOOGLETRANSLATE($A22,""en"",""ko"")"),"바레인")</f>
        <v>바레인</v>
      </c>
      <c r="J22" s="9" t="str">
        <f>IFERROR(__xludf.DUMMYFUNCTION("GOOGLETRANSLATE($A22,""en"",""pt-BR"")"),"Bahrein")</f>
        <v>Bahrein</v>
      </c>
    </row>
    <row r="23">
      <c r="A23" s="9" t="str">
        <f>IFERROR(__xludf.DUMMYFUNCTION("""COMPUTED_VALUE"""),"Bangladesh")</f>
        <v>Bangladesh</v>
      </c>
      <c r="B23" s="9" t="str">
        <f>IFERROR(__xludf.DUMMYFUNCTION("""COMPUTED_VALUE"""),"bd")</f>
        <v>bd</v>
      </c>
      <c r="C23" s="9" t="str">
        <f>IFERROR(__xludf.DUMMYFUNCTION("GOOGLETRANSLATE($A23,""en"",""de"")"),"Bangladesch")</f>
        <v>Bangladesch</v>
      </c>
      <c r="D23" s="9" t="str">
        <f>IFERROR(__xludf.DUMMYFUNCTION("GOOGLETRANSLATE($A23,""en"",""fr"")"),"Bangladesh")</f>
        <v>Bangladesh</v>
      </c>
      <c r="E23" s="9" t="str">
        <f>IFERROR(__xludf.DUMMYFUNCTION("GOOGLETRANSLATE($A23,""en"",""es"")"),"Bangladesh")</f>
        <v>Bangladesh</v>
      </c>
      <c r="F23" s="9" t="str">
        <f>IFERROR(__xludf.DUMMYFUNCTION("GOOGLETRANSLATE($A23,""en"",""it"")"),"Bangladesh")</f>
        <v>Bangladesh</v>
      </c>
      <c r="G23" s="9" t="str">
        <f>IFERROR(__xludf.DUMMYFUNCTION("GOOGLETRANSLATE($A23,""en"",""zh-cn"")"),"孟加拉国")</f>
        <v>孟加拉国</v>
      </c>
      <c r="H23" s="9" t="str">
        <f>IFERROR(__xludf.DUMMYFUNCTION("GOOGLETRANSLATE($A23,""en"",""ja"")"),"バングラデシュ")</f>
        <v>バングラデシュ</v>
      </c>
      <c r="I23" s="9" t="str">
        <f>IFERROR(__xludf.DUMMYFUNCTION("GOOGLETRANSLATE($A23,""en"",""ko"")"),"방글라데시")</f>
        <v>방글라데시</v>
      </c>
      <c r="J23" s="9" t="str">
        <f>IFERROR(__xludf.DUMMYFUNCTION("GOOGLETRANSLATE($A23,""en"",""pt-BR"")"),"Bangladesh")</f>
        <v>Bangladesh</v>
      </c>
    </row>
    <row r="24">
      <c r="A24" s="9" t="str">
        <f>IFERROR(__xludf.DUMMYFUNCTION("""COMPUTED_VALUE"""),"Barbados")</f>
        <v>Barbados</v>
      </c>
      <c r="B24" s="9" t="str">
        <f>IFERROR(__xludf.DUMMYFUNCTION("""COMPUTED_VALUE"""),"bb")</f>
        <v>bb</v>
      </c>
      <c r="C24" s="9" t="str">
        <f>IFERROR(__xludf.DUMMYFUNCTION("GOOGLETRANSLATE($A24,""en"",""de"")"),"Barbados")</f>
        <v>Barbados</v>
      </c>
      <c r="D24" s="9" t="str">
        <f>IFERROR(__xludf.DUMMYFUNCTION("GOOGLETRANSLATE($A24,""en"",""fr"")"),"Barbade")</f>
        <v>Barbade</v>
      </c>
      <c r="E24" s="9" t="str">
        <f>IFERROR(__xludf.DUMMYFUNCTION("GOOGLETRANSLATE($A24,""en"",""es"")"),"Barbados")</f>
        <v>Barbados</v>
      </c>
      <c r="F24" s="9" t="str">
        <f>IFERROR(__xludf.DUMMYFUNCTION("GOOGLETRANSLATE($A24,""en"",""it"")"),"Barbados")</f>
        <v>Barbados</v>
      </c>
      <c r="G24" s="9" t="str">
        <f>IFERROR(__xludf.DUMMYFUNCTION("GOOGLETRANSLATE($A24,""en"",""zh-cn"")"),"巴巴多斯")</f>
        <v>巴巴多斯</v>
      </c>
      <c r="H24" s="9" t="str">
        <f>IFERROR(__xludf.DUMMYFUNCTION("GOOGLETRANSLATE($A24,""en"",""ja"")"),"バルバドス")</f>
        <v>バルバドス</v>
      </c>
      <c r="I24" s="9" t="str">
        <f>IFERROR(__xludf.DUMMYFUNCTION("GOOGLETRANSLATE($A24,""en"",""ko"")"),"바베이도스")</f>
        <v>바베이도스</v>
      </c>
      <c r="J24" s="9" t="str">
        <f>IFERROR(__xludf.DUMMYFUNCTION("GOOGLETRANSLATE($A24,""en"",""pt-BR"")"),"Barbados")</f>
        <v>Barbados</v>
      </c>
    </row>
    <row r="25">
      <c r="A25" s="9" t="str">
        <f>IFERROR(__xludf.DUMMYFUNCTION("""COMPUTED_VALUE"""),"Belarus")</f>
        <v>Belarus</v>
      </c>
      <c r="B25" s="9" t="str">
        <f>IFERROR(__xludf.DUMMYFUNCTION("""COMPUTED_VALUE"""),"by")</f>
        <v>by</v>
      </c>
      <c r="C25" s="9" t="str">
        <f>IFERROR(__xludf.DUMMYFUNCTION("GOOGLETRANSLATE($A25,""en"",""de"")"),"Weißrussland")</f>
        <v>Weißrussland</v>
      </c>
      <c r="D25" s="9" t="str">
        <f>IFERROR(__xludf.DUMMYFUNCTION("GOOGLETRANSLATE($A25,""en"",""fr"")"),"Biélorussie")</f>
        <v>Biélorussie</v>
      </c>
      <c r="E25" s="9" t="str">
        <f>IFERROR(__xludf.DUMMYFUNCTION("GOOGLETRANSLATE($A25,""en"",""es"")"),"Bielorrusia")</f>
        <v>Bielorrusia</v>
      </c>
      <c r="F25" s="9" t="str">
        <f>IFERROR(__xludf.DUMMYFUNCTION("GOOGLETRANSLATE($A25,""en"",""it"")"),"Bielorussia")</f>
        <v>Bielorussia</v>
      </c>
      <c r="G25" s="9" t="str">
        <f>IFERROR(__xludf.DUMMYFUNCTION("GOOGLETRANSLATE($A25,""en"",""zh-cn"")"),"白俄罗斯")</f>
        <v>白俄罗斯</v>
      </c>
      <c r="H25" s="9" t="str">
        <f>IFERROR(__xludf.DUMMYFUNCTION("GOOGLETRANSLATE($A25,""en"",""ja"")"),"ベラルーシ")</f>
        <v>ベラルーシ</v>
      </c>
      <c r="I25" s="9" t="str">
        <f>IFERROR(__xludf.DUMMYFUNCTION("GOOGLETRANSLATE($A25,""en"",""ko"")"),"벨라루스")</f>
        <v>벨라루스</v>
      </c>
      <c r="J25" s="9" t="str">
        <f>IFERROR(__xludf.DUMMYFUNCTION("GOOGLETRANSLATE($A25,""en"",""pt-BR"")"),"Bielorrússia")</f>
        <v>Bielorrússia</v>
      </c>
    </row>
    <row r="26">
      <c r="A26" s="9" t="str">
        <f>IFERROR(__xludf.DUMMYFUNCTION("""COMPUTED_VALUE"""),"Belgium")</f>
        <v>Belgium</v>
      </c>
      <c r="B26" s="9" t="str">
        <f>IFERROR(__xludf.DUMMYFUNCTION("""COMPUTED_VALUE"""),"be")</f>
        <v>be</v>
      </c>
      <c r="C26" s="9" t="str">
        <f>IFERROR(__xludf.DUMMYFUNCTION("GOOGLETRANSLATE($A26,""en"",""de"")"),"Belgien")</f>
        <v>Belgien</v>
      </c>
      <c r="D26" s="9" t="str">
        <f>IFERROR(__xludf.DUMMYFUNCTION("GOOGLETRANSLATE($A26,""en"",""fr"")"),"Belgique")</f>
        <v>Belgique</v>
      </c>
      <c r="E26" s="9" t="str">
        <f>IFERROR(__xludf.DUMMYFUNCTION("GOOGLETRANSLATE($A26,""en"",""es"")"),"Bélgica")</f>
        <v>Bélgica</v>
      </c>
      <c r="F26" s="9" t="str">
        <f>IFERROR(__xludf.DUMMYFUNCTION("GOOGLETRANSLATE($A26,""en"",""it"")"),"Belgio")</f>
        <v>Belgio</v>
      </c>
      <c r="G26" s="9" t="str">
        <f>IFERROR(__xludf.DUMMYFUNCTION("GOOGLETRANSLATE($A26,""en"",""zh-cn"")"),"比利时")</f>
        <v>比利时</v>
      </c>
      <c r="H26" s="9" t="str">
        <f>IFERROR(__xludf.DUMMYFUNCTION("GOOGLETRANSLATE($A26,""en"",""ja"")"),"ベルギー")</f>
        <v>ベルギー</v>
      </c>
      <c r="I26" s="9" t="str">
        <f>IFERROR(__xludf.DUMMYFUNCTION("GOOGLETRANSLATE($A26,""en"",""ko"")"),"벨기에")</f>
        <v>벨기에</v>
      </c>
      <c r="J26" s="9" t="str">
        <f>IFERROR(__xludf.DUMMYFUNCTION("GOOGLETRANSLATE($A26,""en"",""pt-BR"")"),"Bélgica")</f>
        <v>Bélgica</v>
      </c>
    </row>
    <row r="27">
      <c r="A27" s="9" t="str">
        <f>IFERROR(__xludf.DUMMYFUNCTION("""COMPUTED_VALUE"""),"Belize")</f>
        <v>Belize</v>
      </c>
      <c r="B27" s="9" t="str">
        <f>IFERROR(__xludf.DUMMYFUNCTION("""COMPUTED_VALUE"""),"bz")</f>
        <v>bz</v>
      </c>
      <c r="C27" s="9" t="str">
        <f>IFERROR(__xludf.DUMMYFUNCTION("GOOGLETRANSLATE($A27,""en"",""de"")"),"Belize")</f>
        <v>Belize</v>
      </c>
      <c r="D27" s="9" t="str">
        <f>IFERROR(__xludf.DUMMYFUNCTION("GOOGLETRANSLATE($A27,""en"",""fr"")"),"Bélize")</f>
        <v>Bélize</v>
      </c>
      <c r="E27" s="9" t="str">
        <f>IFERROR(__xludf.DUMMYFUNCTION("GOOGLETRANSLATE($A27,""en"",""es"")"),"Belice")</f>
        <v>Belice</v>
      </c>
      <c r="F27" s="9" t="str">
        <f>IFERROR(__xludf.DUMMYFUNCTION("GOOGLETRANSLATE($A27,""en"",""it"")"),"Belize")</f>
        <v>Belize</v>
      </c>
      <c r="G27" s="9" t="str">
        <f>IFERROR(__xludf.DUMMYFUNCTION("GOOGLETRANSLATE($A27,""en"",""zh-cn"")"),"伯利兹")</f>
        <v>伯利兹</v>
      </c>
      <c r="H27" s="9" t="str">
        <f>IFERROR(__xludf.DUMMYFUNCTION("GOOGLETRANSLATE($A27,""en"",""ja"")"),"ベリーズ")</f>
        <v>ベリーズ</v>
      </c>
      <c r="I27" s="9" t="str">
        <f>IFERROR(__xludf.DUMMYFUNCTION("GOOGLETRANSLATE($A27,""en"",""ko"")"),"벨리즈")</f>
        <v>벨리즈</v>
      </c>
      <c r="J27" s="9" t="str">
        <f>IFERROR(__xludf.DUMMYFUNCTION("GOOGLETRANSLATE($A27,""en"",""pt-BR"")"),"Belize")</f>
        <v>Belize</v>
      </c>
    </row>
    <row r="28">
      <c r="A28" s="9" t="str">
        <f>IFERROR(__xludf.DUMMYFUNCTION("""COMPUTED_VALUE"""),"Benin")</f>
        <v>Benin</v>
      </c>
      <c r="B28" s="9" t="str">
        <f>IFERROR(__xludf.DUMMYFUNCTION("""COMPUTED_VALUE"""),"bj")</f>
        <v>bj</v>
      </c>
      <c r="C28" s="9" t="str">
        <f>IFERROR(__xludf.DUMMYFUNCTION("GOOGLETRANSLATE($A28,""en"",""de"")"),"Benin")</f>
        <v>Benin</v>
      </c>
      <c r="D28" s="9" t="str">
        <f>IFERROR(__xludf.DUMMYFUNCTION("GOOGLETRANSLATE($A28,""en"",""fr"")"),"Bénin")</f>
        <v>Bénin</v>
      </c>
      <c r="E28" s="9" t="str">
        <f>IFERROR(__xludf.DUMMYFUNCTION("GOOGLETRANSLATE($A28,""en"",""es"")"),"Benín")</f>
        <v>Benín</v>
      </c>
      <c r="F28" s="9" t="str">
        <f>IFERROR(__xludf.DUMMYFUNCTION("GOOGLETRANSLATE($A28,""en"",""it"")"),"Benin")</f>
        <v>Benin</v>
      </c>
      <c r="G28" s="9" t="str">
        <f>IFERROR(__xludf.DUMMYFUNCTION("GOOGLETRANSLATE($A28,""en"",""zh-cn"")"),"贝宁")</f>
        <v>贝宁</v>
      </c>
      <c r="H28" s="9" t="str">
        <f>IFERROR(__xludf.DUMMYFUNCTION("GOOGLETRANSLATE($A28,""en"",""ja"")"),"ベナン")</f>
        <v>ベナン</v>
      </c>
      <c r="I28" s="9" t="str">
        <f>IFERROR(__xludf.DUMMYFUNCTION("GOOGLETRANSLATE($A28,""en"",""ko"")"),"베냉")</f>
        <v>베냉</v>
      </c>
      <c r="J28" s="9" t="str">
        <f>IFERROR(__xludf.DUMMYFUNCTION("GOOGLETRANSLATE($A28,""en"",""pt-BR"")"),"Benim")</f>
        <v>Benim</v>
      </c>
    </row>
    <row r="29">
      <c r="A29" s="9" t="str">
        <f>IFERROR(__xludf.DUMMYFUNCTION("""COMPUTED_VALUE"""),"Bermuda")</f>
        <v>Bermuda</v>
      </c>
      <c r="B29" s="9" t="str">
        <f>IFERROR(__xludf.DUMMYFUNCTION("""COMPUTED_VALUE"""),"bm")</f>
        <v>bm</v>
      </c>
      <c r="C29" s="9" t="str">
        <f>IFERROR(__xludf.DUMMYFUNCTION("GOOGLETRANSLATE($A29,""en"",""de"")"),"Bermuda")</f>
        <v>Bermuda</v>
      </c>
      <c r="D29" s="9" t="str">
        <f>IFERROR(__xludf.DUMMYFUNCTION("GOOGLETRANSLATE($A29,""en"",""fr"")"),"Bermudes")</f>
        <v>Bermudes</v>
      </c>
      <c r="E29" s="9" t="str">
        <f>IFERROR(__xludf.DUMMYFUNCTION("GOOGLETRANSLATE($A29,""en"",""es"")"),"islas Bermudas")</f>
        <v>islas Bermudas</v>
      </c>
      <c r="F29" s="9" t="str">
        <f>IFERROR(__xludf.DUMMYFUNCTION("GOOGLETRANSLATE($A29,""en"",""it"")"),"Bermude")</f>
        <v>Bermude</v>
      </c>
      <c r="G29" s="9" t="str">
        <f>IFERROR(__xludf.DUMMYFUNCTION("GOOGLETRANSLATE($A29,""en"",""zh-cn"")"),"百慕大")</f>
        <v>百慕大</v>
      </c>
      <c r="H29" s="9" t="str">
        <f>IFERROR(__xludf.DUMMYFUNCTION("GOOGLETRANSLATE($A29,""en"",""ja"")"),"バミューダ")</f>
        <v>バミューダ</v>
      </c>
      <c r="I29" s="9" t="str">
        <f>IFERROR(__xludf.DUMMYFUNCTION("GOOGLETRANSLATE($A29,""en"",""ko"")"),"버뮤다")</f>
        <v>버뮤다</v>
      </c>
      <c r="J29" s="9" t="str">
        <f>IFERROR(__xludf.DUMMYFUNCTION("GOOGLETRANSLATE($A29,""en"",""pt-BR"")"),"Bermudas")</f>
        <v>Bermudas</v>
      </c>
    </row>
    <row r="30">
      <c r="A30" s="9" t="str">
        <f>IFERROR(__xludf.DUMMYFUNCTION("""COMPUTED_VALUE"""),"Bhutan")</f>
        <v>Bhutan</v>
      </c>
      <c r="B30" s="9" t="str">
        <f>IFERROR(__xludf.DUMMYFUNCTION("""COMPUTED_VALUE"""),"bt")</f>
        <v>bt</v>
      </c>
      <c r="C30" s="9" t="str">
        <f>IFERROR(__xludf.DUMMYFUNCTION("GOOGLETRANSLATE($A30,""en"",""de"")"),"Bhutan")</f>
        <v>Bhutan</v>
      </c>
      <c r="D30" s="9" t="str">
        <f>IFERROR(__xludf.DUMMYFUNCTION("GOOGLETRANSLATE($A30,""en"",""fr"")"),"Bhoutan")</f>
        <v>Bhoutan</v>
      </c>
      <c r="E30" s="9" t="str">
        <f>IFERROR(__xludf.DUMMYFUNCTION("GOOGLETRANSLATE($A30,""en"",""es"")"),"Bután")</f>
        <v>Bután</v>
      </c>
      <c r="F30" s="9" t="str">
        <f>IFERROR(__xludf.DUMMYFUNCTION("GOOGLETRANSLATE($A30,""en"",""it"")"),"Bhutan")</f>
        <v>Bhutan</v>
      </c>
      <c r="G30" s="9" t="str">
        <f>IFERROR(__xludf.DUMMYFUNCTION("GOOGLETRANSLATE($A30,""en"",""zh-cn"")"),"不丹")</f>
        <v>不丹</v>
      </c>
      <c r="H30" s="9" t="str">
        <f>IFERROR(__xludf.DUMMYFUNCTION("GOOGLETRANSLATE($A30,""en"",""ja"")"),"ブータン")</f>
        <v>ブータン</v>
      </c>
      <c r="I30" s="9" t="str">
        <f>IFERROR(__xludf.DUMMYFUNCTION("GOOGLETRANSLATE($A30,""en"",""ko"")"),"부탄")</f>
        <v>부탄</v>
      </c>
      <c r="J30" s="9" t="str">
        <f>IFERROR(__xludf.DUMMYFUNCTION("GOOGLETRANSLATE($A30,""en"",""pt-BR"")"),"Butão")</f>
        <v>Butão</v>
      </c>
    </row>
    <row r="31">
      <c r="A31" s="9" t="str">
        <f>IFERROR(__xludf.DUMMYFUNCTION("""COMPUTED_VALUE"""),"Bolivia")</f>
        <v>Bolivia</v>
      </c>
      <c r="B31" s="9" t="str">
        <f>IFERROR(__xludf.DUMMYFUNCTION("""COMPUTED_VALUE"""),"bo")</f>
        <v>bo</v>
      </c>
      <c r="C31" s="9" t="str">
        <f>IFERROR(__xludf.DUMMYFUNCTION("GOOGLETRANSLATE($A31,""en"",""de"")"),"Bolivien")</f>
        <v>Bolivien</v>
      </c>
      <c r="D31" s="9" t="str">
        <f>IFERROR(__xludf.DUMMYFUNCTION("GOOGLETRANSLATE($A31,""en"",""fr"")"),"Bolivie")</f>
        <v>Bolivie</v>
      </c>
      <c r="E31" s="9" t="str">
        <f>IFERROR(__xludf.DUMMYFUNCTION("GOOGLETRANSLATE($A31,""en"",""es"")"),"bolivia")</f>
        <v>bolivia</v>
      </c>
      <c r="F31" s="9" t="str">
        <f>IFERROR(__xludf.DUMMYFUNCTION("GOOGLETRANSLATE($A31,""en"",""it"")"),"Bolivia")</f>
        <v>Bolivia</v>
      </c>
      <c r="G31" s="9" t="str">
        <f>IFERROR(__xludf.DUMMYFUNCTION("GOOGLETRANSLATE($A31,""en"",""zh-cn"")"),"玻利维亚")</f>
        <v>玻利维亚</v>
      </c>
      <c r="H31" s="9" t="str">
        <f>IFERROR(__xludf.DUMMYFUNCTION("GOOGLETRANSLATE($A31,""en"",""ja"")"),"ボリビア")</f>
        <v>ボリビア</v>
      </c>
      <c r="I31" s="9" t="str">
        <f>IFERROR(__xludf.DUMMYFUNCTION("GOOGLETRANSLATE($A31,""en"",""ko"")"),"볼리비아")</f>
        <v>볼리비아</v>
      </c>
      <c r="J31" s="9" t="str">
        <f>IFERROR(__xludf.DUMMYFUNCTION("GOOGLETRANSLATE($A31,""en"",""pt-BR"")"),"Bolívia")</f>
        <v>Bolívia</v>
      </c>
    </row>
    <row r="32">
      <c r="A32" s="9" t="str">
        <f>IFERROR(__xludf.DUMMYFUNCTION("""COMPUTED_VALUE"""),"Bonaire, Sint Eustatius, Saba")</f>
        <v>Bonaire, Sint Eustatius, Saba</v>
      </c>
      <c r="B32" s="9" t="str">
        <f>IFERROR(__xludf.DUMMYFUNCTION("""COMPUTED_VALUE"""),"bq")</f>
        <v>bq</v>
      </c>
      <c r="C32" s="9" t="str">
        <f>IFERROR(__xludf.DUMMYFUNCTION("GOOGLETRANSLATE($A32,""en"",""de"")"),"Bonaire, Sint Eustatius, Saba")</f>
        <v>Bonaire, Sint Eustatius, Saba</v>
      </c>
      <c r="D32" s="9" t="str">
        <f>IFERROR(__xludf.DUMMYFUNCTION("GOOGLETRANSLATE($A32,""en"",""fr"")"),"Bonaire, Saint-Eustache, Saba")</f>
        <v>Bonaire, Saint-Eustache, Saba</v>
      </c>
      <c r="E32" s="9" t="str">
        <f>IFERROR(__xludf.DUMMYFUNCTION("GOOGLETRANSLATE($A32,""en"",""es"")"),"Bonaire, San Eustaquio, Saba")</f>
        <v>Bonaire, San Eustaquio, Saba</v>
      </c>
      <c r="F32" s="9" t="str">
        <f>IFERROR(__xludf.DUMMYFUNCTION("GOOGLETRANSLATE($A32,""en"",""it"")"),"Bonaire, Sint Eustatius, Saba")</f>
        <v>Bonaire, Sint Eustatius, Saba</v>
      </c>
      <c r="G32" s="9" t="str">
        <f>IFERROR(__xludf.DUMMYFUNCTION("GOOGLETRANSLATE($A32,""en"",""zh-cn"")"),"博内尔岛、圣尤斯特歇斯岛、萨巴岛")</f>
        <v>博内尔岛、圣尤斯特歇斯岛、萨巴岛</v>
      </c>
      <c r="H32" s="9" t="str">
        <f>IFERROR(__xludf.DUMMYFUNCTION("GOOGLETRANSLATE($A32,""en"",""ja"")"),"ボネール島、シント・ユースタティウス島、サバ島")</f>
        <v>ボネール島、シント・ユースタティウス島、サバ島</v>
      </c>
      <c r="I32" s="9" t="str">
        <f>IFERROR(__xludf.DUMMYFUNCTION("GOOGLETRANSLATE($A32,""en"",""ko"")"),"보네르, 신트 유스타티우스, 사바")</f>
        <v>보네르, 신트 유스타티우스, 사바</v>
      </c>
      <c r="J32" s="9" t="str">
        <f>IFERROR(__xludf.DUMMYFUNCTION("GOOGLETRANSLATE($A32,""en"",""pt-BR"")"),"Bonaire, Santo Eustáquio, Saba")</f>
        <v>Bonaire, Santo Eustáquio, Saba</v>
      </c>
    </row>
    <row r="33">
      <c r="A33" s="9" t="str">
        <f>IFERROR(__xludf.DUMMYFUNCTION("""COMPUTED_VALUE"""),"Bosnia and Herzegovina")</f>
        <v>Bosnia and Herzegovina</v>
      </c>
      <c r="B33" s="9" t="str">
        <f>IFERROR(__xludf.DUMMYFUNCTION("""COMPUTED_VALUE"""),"ba")</f>
        <v>ba</v>
      </c>
      <c r="C33" s="9" t="str">
        <f>IFERROR(__xludf.DUMMYFUNCTION("GOOGLETRANSLATE($A33,""en"",""de"")"),"Bosnien und Herzegowina")</f>
        <v>Bosnien und Herzegowina</v>
      </c>
      <c r="D33" s="9" t="str">
        <f>IFERROR(__xludf.DUMMYFUNCTION("GOOGLETRANSLATE($A33,""en"",""fr"")"),"Bosnie-Herzégovine")</f>
        <v>Bosnie-Herzégovine</v>
      </c>
      <c r="E33" s="9" t="str">
        <f>IFERROR(__xludf.DUMMYFUNCTION("GOOGLETRANSLATE($A33,""en"",""es"")"),"Bosnia y Herzegovina")</f>
        <v>Bosnia y Herzegovina</v>
      </c>
      <c r="F33" s="9" t="str">
        <f>IFERROR(__xludf.DUMMYFUNCTION("GOOGLETRANSLATE($A33,""en"",""it"")"),"Bosnia ed Erzegovina")</f>
        <v>Bosnia ed Erzegovina</v>
      </c>
      <c r="G33" s="9" t="str">
        <f>IFERROR(__xludf.DUMMYFUNCTION("GOOGLETRANSLATE($A33,""en"",""zh-cn"")"),"波斯尼亚和黑塞哥维那")</f>
        <v>波斯尼亚和黑塞哥维那</v>
      </c>
      <c r="H33" s="9" t="str">
        <f>IFERROR(__xludf.DUMMYFUNCTION("GOOGLETRANSLATE($A33,""en"",""ja"")"),"ボスニア・ヘルツェゴビナ")</f>
        <v>ボスニア・ヘルツェゴビナ</v>
      </c>
      <c r="I33" s="9" t="str">
        <f>IFERROR(__xludf.DUMMYFUNCTION("GOOGLETRANSLATE($A33,""en"",""ko"")"),"보스니아 헤르체고비나")</f>
        <v>보스니아 헤르체고비나</v>
      </c>
      <c r="J33" s="9" t="str">
        <f>IFERROR(__xludf.DUMMYFUNCTION("GOOGLETRANSLATE($A33,""en"",""pt-BR"")"),"Bósnia e Herzegovina")</f>
        <v>Bósnia e Herzegovina</v>
      </c>
    </row>
    <row r="34">
      <c r="A34" s="9" t="str">
        <f>IFERROR(__xludf.DUMMYFUNCTION("""COMPUTED_VALUE"""),"Botswana")</f>
        <v>Botswana</v>
      </c>
      <c r="B34" s="9" t="str">
        <f>IFERROR(__xludf.DUMMYFUNCTION("""COMPUTED_VALUE"""),"bw")</f>
        <v>bw</v>
      </c>
      <c r="C34" s="9" t="str">
        <f>IFERROR(__xludf.DUMMYFUNCTION("GOOGLETRANSLATE($A34,""en"",""de"")"),"Botswana")</f>
        <v>Botswana</v>
      </c>
      <c r="D34" s="9" t="str">
        <f>IFERROR(__xludf.DUMMYFUNCTION("GOOGLETRANSLATE($A34,""en"",""fr"")"),"Botswana")</f>
        <v>Botswana</v>
      </c>
      <c r="E34" s="9" t="str">
        <f>IFERROR(__xludf.DUMMYFUNCTION("GOOGLETRANSLATE($A34,""en"",""es"")"),"Botsuana")</f>
        <v>Botsuana</v>
      </c>
      <c r="F34" s="9" t="str">
        <f>IFERROR(__xludf.DUMMYFUNCTION("GOOGLETRANSLATE($A34,""en"",""it"")"),"Botswana")</f>
        <v>Botswana</v>
      </c>
      <c r="G34" s="9" t="str">
        <f>IFERROR(__xludf.DUMMYFUNCTION("GOOGLETRANSLATE($A34,""en"",""zh-cn"")"),"博茨瓦纳")</f>
        <v>博茨瓦纳</v>
      </c>
      <c r="H34" s="9" t="str">
        <f>IFERROR(__xludf.DUMMYFUNCTION("GOOGLETRANSLATE($A34,""en"",""ja"")"),"ボツワナ")</f>
        <v>ボツワナ</v>
      </c>
      <c r="I34" s="9" t="str">
        <f>IFERROR(__xludf.DUMMYFUNCTION("GOOGLETRANSLATE($A34,""en"",""ko"")"),"보츠와나")</f>
        <v>보츠와나</v>
      </c>
      <c r="J34" s="9" t="str">
        <f>IFERROR(__xludf.DUMMYFUNCTION("GOOGLETRANSLATE($A34,""en"",""pt-BR"")"),"Botsuana")</f>
        <v>Botsuana</v>
      </c>
    </row>
    <row r="35">
      <c r="A35" s="9" t="str">
        <f>IFERROR(__xludf.DUMMYFUNCTION("""COMPUTED_VALUE"""),"Bouvet Island")</f>
        <v>Bouvet Island</v>
      </c>
      <c r="B35" s="9" t="str">
        <f>IFERROR(__xludf.DUMMYFUNCTION("""COMPUTED_VALUE"""),"bv")</f>
        <v>bv</v>
      </c>
      <c r="C35" s="9" t="str">
        <f>IFERROR(__xludf.DUMMYFUNCTION("GOOGLETRANSLATE($A35,""en"",""de"")"),"Bouvetinsel")</f>
        <v>Bouvetinsel</v>
      </c>
      <c r="D35" s="9" t="str">
        <f>IFERROR(__xludf.DUMMYFUNCTION("GOOGLETRANSLATE($A35,""en"",""fr"")"),"Île Bouvet")</f>
        <v>Île Bouvet</v>
      </c>
      <c r="E35" s="9" t="str">
        <f>IFERROR(__xludf.DUMMYFUNCTION("GOOGLETRANSLATE($A35,""en"",""es"")"),"Isla Bouvet")</f>
        <v>Isla Bouvet</v>
      </c>
      <c r="F35" s="9" t="str">
        <f>IFERROR(__xludf.DUMMYFUNCTION("GOOGLETRANSLATE($A35,""en"",""it"")"),"Isola Bouvet")</f>
        <v>Isola Bouvet</v>
      </c>
      <c r="G35" s="9" t="str">
        <f>IFERROR(__xludf.DUMMYFUNCTION("GOOGLETRANSLATE($A35,""en"",""zh-cn"")"),"布韦岛")</f>
        <v>布韦岛</v>
      </c>
      <c r="H35" s="9" t="str">
        <f>IFERROR(__xludf.DUMMYFUNCTION("GOOGLETRANSLATE($A35,""en"",""ja"")"),"ブーベ島")</f>
        <v>ブーベ島</v>
      </c>
      <c r="I35" s="9" t="str">
        <f>IFERROR(__xludf.DUMMYFUNCTION("GOOGLETRANSLATE($A35,""en"",""ko"")"),"부베섬")</f>
        <v>부베섬</v>
      </c>
      <c r="J35" s="9" t="str">
        <f>IFERROR(__xludf.DUMMYFUNCTION("GOOGLETRANSLATE($A35,""en"",""pt-BR"")"),"Ilha Bouvet")</f>
        <v>Ilha Bouvet</v>
      </c>
    </row>
    <row r="36">
      <c r="A36" s="9" t="str">
        <f>IFERROR(__xludf.DUMMYFUNCTION("""COMPUTED_VALUE"""),"Brazil")</f>
        <v>Brazil</v>
      </c>
      <c r="B36" s="9" t="str">
        <f>IFERROR(__xludf.DUMMYFUNCTION("""COMPUTED_VALUE"""),"br")</f>
        <v>br</v>
      </c>
      <c r="C36" s="9" t="str">
        <f>IFERROR(__xludf.DUMMYFUNCTION("GOOGLETRANSLATE($A36,""en"",""de"")"),"Brasilien")</f>
        <v>Brasilien</v>
      </c>
      <c r="D36" s="9" t="str">
        <f>IFERROR(__xludf.DUMMYFUNCTION("GOOGLETRANSLATE($A36,""en"",""fr"")"),"Brésil")</f>
        <v>Brésil</v>
      </c>
      <c r="E36" s="9" t="str">
        <f>IFERROR(__xludf.DUMMYFUNCTION("GOOGLETRANSLATE($A36,""en"",""es"")"),"Brasil")</f>
        <v>Brasil</v>
      </c>
      <c r="F36" s="9" t="str">
        <f>IFERROR(__xludf.DUMMYFUNCTION("GOOGLETRANSLATE($A36,""en"",""it"")"),"Brasile")</f>
        <v>Brasile</v>
      </c>
      <c r="G36" s="9" t="str">
        <f>IFERROR(__xludf.DUMMYFUNCTION("GOOGLETRANSLATE($A36,""en"",""zh-cn"")"),"巴西")</f>
        <v>巴西</v>
      </c>
      <c r="H36" s="9" t="str">
        <f>IFERROR(__xludf.DUMMYFUNCTION("GOOGLETRANSLATE($A36,""en"",""ja"")"),"ブラジル")</f>
        <v>ブラジル</v>
      </c>
      <c r="I36" s="9" t="str">
        <f>IFERROR(__xludf.DUMMYFUNCTION("GOOGLETRANSLATE($A36,""en"",""ko"")"),"브라질")</f>
        <v>브라질</v>
      </c>
      <c r="J36" s="9" t="str">
        <f>IFERROR(__xludf.DUMMYFUNCTION("GOOGLETRANSLATE($A36,""en"",""pt-BR"")"),"Brasil")</f>
        <v>Brasil</v>
      </c>
    </row>
    <row r="37">
      <c r="A37" s="9" t="str">
        <f>IFERROR(__xludf.DUMMYFUNCTION("""COMPUTED_VALUE"""),"British Indian Ocean Territory")</f>
        <v>British Indian Ocean Territory</v>
      </c>
      <c r="B37" s="9" t="str">
        <f>IFERROR(__xludf.DUMMYFUNCTION("""COMPUTED_VALUE"""),"io")</f>
        <v>io</v>
      </c>
      <c r="C37" s="9" t="str">
        <f>IFERROR(__xludf.DUMMYFUNCTION("GOOGLETRANSLATE($A37,""en"",""de"")"),"Britisches Territorium im Indischen Ozean")</f>
        <v>Britisches Territorium im Indischen Ozean</v>
      </c>
      <c r="D37" s="9" t="str">
        <f>IFERROR(__xludf.DUMMYFUNCTION("GOOGLETRANSLATE($A37,""en"",""fr"")"),"Territoire britannique de l'océan Indien")</f>
        <v>Territoire britannique de l'océan Indien</v>
      </c>
      <c r="E37" s="9" t="str">
        <f>IFERROR(__xludf.DUMMYFUNCTION("GOOGLETRANSLATE($A37,""en"",""es"")"),"Territorio Británico del Océano Índico")</f>
        <v>Territorio Británico del Océano Índico</v>
      </c>
      <c r="F37" s="9" t="str">
        <f>IFERROR(__xludf.DUMMYFUNCTION("GOOGLETRANSLATE($A37,""en"",""it"")"),"Territorio britannico dell'Oceano Indiano")</f>
        <v>Territorio britannico dell'Oceano Indiano</v>
      </c>
      <c r="G37" s="9" t="str">
        <f>IFERROR(__xludf.DUMMYFUNCTION("GOOGLETRANSLATE($A37,""en"",""zh-cn"")"),"英属印度洋领地")</f>
        <v>英属印度洋领地</v>
      </c>
      <c r="H37" s="9" t="str">
        <f>IFERROR(__xludf.DUMMYFUNCTION("GOOGLETRANSLATE($A37,""en"",""ja"")"),"英領インド洋領土")</f>
        <v>英領インド洋領土</v>
      </c>
      <c r="I37" s="9" t="str">
        <f>IFERROR(__xludf.DUMMYFUNCTION("GOOGLETRANSLATE($A37,""en"",""ko"")"),"영국령 인도양 지역")</f>
        <v>영국령 인도양 지역</v>
      </c>
      <c r="J37" s="9" t="str">
        <f>IFERROR(__xludf.DUMMYFUNCTION("GOOGLETRANSLATE($A37,""en"",""pt-BR"")"),"Território Britânico do Oceano Índico")</f>
        <v>Território Britânico do Oceano Índico</v>
      </c>
    </row>
    <row r="38">
      <c r="A38" s="9" t="str">
        <f>IFERROR(__xludf.DUMMYFUNCTION("""COMPUTED_VALUE"""),"Brunei Darussalam")</f>
        <v>Brunei Darussalam</v>
      </c>
      <c r="B38" s="9" t="str">
        <f>IFERROR(__xludf.DUMMYFUNCTION("""COMPUTED_VALUE"""),"bn")</f>
        <v>bn</v>
      </c>
      <c r="C38" s="9" t="str">
        <f>IFERROR(__xludf.DUMMYFUNCTION("GOOGLETRANSLATE($A38,""en"",""de"")"),"Brunei Darussalam")</f>
        <v>Brunei Darussalam</v>
      </c>
      <c r="D38" s="9" t="str">
        <f>IFERROR(__xludf.DUMMYFUNCTION("GOOGLETRANSLATE($A38,""en"",""fr"")"),"Brunéi Darussalam")</f>
        <v>Brunéi Darussalam</v>
      </c>
      <c r="E38" s="9" t="str">
        <f>IFERROR(__xludf.DUMMYFUNCTION("GOOGLETRANSLATE($A38,""en"",""es"")"),"Brunéi Darussalam")</f>
        <v>Brunéi Darussalam</v>
      </c>
      <c r="F38" s="9" t="str">
        <f>IFERROR(__xludf.DUMMYFUNCTION("GOOGLETRANSLATE($A38,""en"",""it"")"),"Brunei Darussalam")</f>
        <v>Brunei Darussalam</v>
      </c>
      <c r="G38" s="9" t="str">
        <f>IFERROR(__xludf.DUMMYFUNCTION("GOOGLETRANSLATE($A38,""en"",""zh-cn"")"),"文莱达鲁萨兰国")</f>
        <v>文莱达鲁萨兰国</v>
      </c>
      <c r="H38" s="9" t="str">
        <f>IFERROR(__xludf.DUMMYFUNCTION("GOOGLETRANSLATE($A38,""en"",""ja"")"),"ブルネイ ダルサラーム")</f>
        <v>ブルネイ ダルサラーム</v>
      </c>
      <c r="I38" s="9" t="str">
        <f>IFERROR(__xludf.DUMMYFUNCTION("GOOGLETRANSLATE($A38,""en"",""ko"")"),"브루나이 다루살람")</f>
        <v>브루나이 다루살람</v>
      </c>
      <c r="J38" s="9" t="str">
        <f>IFERROR(__xludf.DUMMYFUNCTION("GOOGLETRANSLATE($A38,""en"",""pt-BR"")"),"Brunei Darussalã")</f>
        <v>Brunei Darussalã</v>
      </c>
    </row>
    <row r="39">
      <c r="A39" s="9" t="str">
        <f>IFERROR(__xludf.DUMMYFUNCTION("""COMPUTED_VALUE"""),"Bulgaria")</f>
        <v>Bulgaria</v>
      </c>
      <c r="B39" s="9" t="str">
        <f>IFERROR(__xludf.DUMMYFUNCTION("""COMPUTED_VALUE"""),"bg")</f>
        <v>bg</v>
      </c>
      <c r="C39" s="9" t="str">
        <f>IFERROR(__xludf.DUMMYFUNCTION("GOOGLETRANSLATE($A39,""en"",""de"")"),"Bulgarien")</f>
        <v>Bulgarien</v>
      </c>
      <c r="D39" s="9" t="str">
        <f>IFERROR(__xludf.DUMMYFUNCTION("GOOGLETRANSLATE($A39,""en"",""fr"")"),"Bulgarie")</f>
        <v>Bulgarie</v>
      </c>
      <c r="E39" s="9" t="str">
        <f>IFERROR(__xludf.DUMMYFUNCTION("GOOGLETRANSLATE($A39,""en"",""es"")"),"Bulgaria")</f>
        <v>Bulgaria</v>
      </c>
      <c r="F39" s="9" t="str">
        <f>IFERROR(__xludf.DUMMYFUNCTION("GOOGLETRANSLATE($A39,""en"",""it"")"),"Bulgaria")</f>
        <v>Bulgaria</v>
      </c>
      <c r="G39" s="9" t="str">
        <f>IFERROR(__xludf.DUMMYFUNCTION("GOOGLETRANSLATE($A39,""en"",""zh-cn"")"),"保加利亚")</f>
        <v>保加利亚</v>
      </c>
      <c r="H39" s="9" t="str">
        <f>IFERROR(__xludf.DUMMYFUNCTION("GOOGLETRANSLATE($A39,""en"",""ja"")"),"ブルガリア")</f>
        <v>ブルガリア</v>
      </c>
      <c r="I39" s="9" t="str">
        <f>IFERROR(__xludf.DUMMYFUNCTION("GOOGLETRANSLATE($A39,""en"",""ko"")"),"불가리아")</f>
        <v>불가리아</v>
      </c>
      <c r="J39" s="9" t="str">
        <f>IFERROR(__xludf.DUMMYFUNCTION("GOOGLETRANSLATE($A39,""en"",""pt-BR"")"),"Bulgária")</f>
        <v>Bulgária</v>
      </c>
    </row>
    <row r="40">
      <c r="A40" s="9" t="str">
        <f>IFERROR(__xludf.DUMMYFUNCTION("""COMPUTED_VALUE"""),"Burkina Faso")</f>
        <v>Burkina Faso</v>
      </c>
      <c r="B40" s="9" t="str">
        <f>IFERROR(__xludf.DUMMYFUNCTION("""COMPUTED_VALUE"""),"bf")</f>
        <v>bf</v>
      </c>
      <c r="C40" s="9" t="str">
        <f>IFERROR(__xludf.DUMMYFUNCTION("GOOGLETRANSLATE($A40,""en"",""de"")"),"Burkina Faso")</f>
        <v>Burkina Faso</v>
      </c>
      <c r="D40" s="9" t="str">
        <f>IFERROR(__xludf.DUMMYFUNCTION("GOOGLETRANSLATE($A40,""en"",""fr"")"),"Burkina Faso")</f>
        <v>Burkina Faso</v>
      </c>
      <c r="E40" s="9" t="str">
        <f>IFERROR(__xludf.DUMMYFUNCTION("GOOGLETRANSLATE($A40,""en"",""es"")"),"Burkina Faso")</f>
        <v>Burkina Faso</v>
      </c>
      <c r="F40" s="9" t="str">
        <f>IFERROR(__xludf.DUMMYFUNCTION("GOOGLETRANSLATE($A40,""en"",""it"")"),"Burkina Faso")</f>
        <v>Burkina Faso</v>
      </c>
      <c r="G40" s="9" t="str">
        <f>IFERROR(__xludf.DUMMYFUNCTION("GOOGLETRANSLATE($A40,""en"",""zh-cn"")"),"布基纳法索")</f>
        <v>布基纳法索</v>
      </c>
      <c r="H40" s="9" t="str">
        <f>IFERROR(__xludf.DUMMYFUNCTION("GOOGLETRANSLATE($A40,""en"",""ja"")"),"ブルキナファソ")</f>
        <v>ブルキナファソ</v>
      </c>
      <c r="I40" s="9" t="str">
        <f>IFERROR(__xludf.DUMMYFUNCTION("GOOGLETRANSLATE($A40,""en"",""ko"")"),"부르키나파소")</f>
        <v>부르키나파소</v>
      </c>
      <c r="J40" s="9" t="str">
        <f>IFERROR(__xludf.DUMMYFUNCTION("GOOGLETRANSLATE($A40,""en"",""pt-BR"")"),"Burkina Faso")</f>
        <v>Burkina Faso</v>
      </c>
    </row>
    <row r="41">
      <c r="A41" s="9" t="str">
        <f>IFERROR(__xludf.DUMMYFUNCTION("""COMPUTED_VALUE"""),"Burundi")</f>
        <v>Burundi</v>
      </c>
      <c r="B41" s="9" t="str">
        <f>IFERROR(__xludf.DUMMYFUNCTION("""COMPUTED_VALUE"""),"bi")</f>
        <v>bi</v>
      </c>
      <c r="C41" s="9" t="str">
        <f>IFERROR(__xludf.DUMMYFUNCTION("GOOGLETRANSLATE($A41,""en"",""de"")"),"Burundi")</f>
        <v>Burundi</v>
      </c>
      <c r="D41" s="9" t="str">
        <f>IFERROR(__xludf.DUMMYFUNCTION("GOOGLETRANSLATE($A41,""en"",""fr"")"),"Burundi")</f>
        <v>Burundi</v>
      </c>
      <c r="E41" s="9" t="str">
        <f>IFERROR(__xludf.DUMMYFUNCTION("GOOGLETRANSLATE($A41,""en"",""es"")"),"Burundi")</f>
        <v>Burundi</v>
      </c>
      <c r="F41" s="9" t="str">
        <f>IFERROR(__xludf.DUMMYFUNCTION("GOOGLETRANSLATE($A41,""en"",""it"")"),"Burundi")</f>
        <v>Burundi</v>
      </c>
      <c r="G41" s="9" t="str">
        <f>IFERROR(__xludf.DUMMYFUNCTION("GOOGLETRANSLATE($A41,""en"",""zh-cn"")"),"布隆迪")</f>
        <v>布隆迪</v>
      </c>
      <c r="H41" s="9" t="str">
        <f>IFERROR(__xludf.DUMMYFUNCTION("GOOGLETRANSLATE($A41,""en"",""ja"")"),"ブルンジ")</f>
        <v>ブルンジ</v>
      </c>
      <c r="I41" s="9" t="str">
        <f>IFERROR(__xludf.DUMMYFUNCTION("GOOGLETRANSLATE($A41,""en"",""ko"")"),"부룬디")</f>
        <v>부룬디</v>
      </c>
      <c r="J41" s="9" t="str">
        <f>IFERROR(__xludf.DUMMYFUNCTION("GOOGLETRANSLATE($A41,""en"",""pt-BR"")"),"Burundi")</f>
        <v>Burundi</v>
      </c>
    </row>
    <row r="42">
      <c r="A42" s="9" t="str">
        <f>IFERROR(__xludf.DUMMYFUNCTION("""COMPUTED_VALUE"""),"Cabo Verde")</f>
        <v>Cabo Verde</v>
      </c>
      <c r="B42" s="9" t="str">
        <f>IFERROR(__xludf.DUMMYFUNCTION("""COMPUTED_VALUE"""),"cv")</f>
        <v>cv</v>
      </c>
      <c r="C42" s="9" t="str">
        <f>IFERROR(__xludf.DUMMYFUNCTION("GOOGLETRANSLATE($A42,""en"",""de"")"),"Kap Verde")</f>
        <v>Kap Verde</v>
      </c>
      <c r="D42" s="9" t="str">
        <f>IFERROR(__xludf.DUMMYFUNCTION("GOOGLETRANSLATE($A42,""en"",""fr"")"),"Cap-Vert")</f>
        <v>Cap-Vert</v>
      </c>
      <c r="E42" s="9" t="str">
        <f>IFERROR(__xludf.DUMMYFUNCTION("GOOGLETRANSLATE($A42,""en"",""es"")"),"Cabo Verde")</f>
        <v>Cabo Verde</v>
      </c>
      <c r="F42" s="9" t="str">
        <f>IFERROR(__xludf.DUMMYFUNCTION("GOOGLETRANSLATE($A42,""en"",""it"")"),"Capo Verde")</f>
        <v>Capo Verde</v>
      </c>
      <c r="G42" s="9" t="str">
        <f>IFERROR(__xludf.DUMMYFUNCTION("GOOGLETRANSLATE($A42,""en"",""zh-cn"")"),"佛得角")</f>
        <v>佛得角</v>
      </c>
      <c r="H42" s="9" t="str">
        <f>IFERROR(__xludf.DUMMYFUNCTION("GOOGLETRANSLATE($A42,""en"",""ja"")"),"カーボベルデ")</f>
        <v>カーボベルデ</v>
      </c>
      <c r="I42" s="9" t="str">
        <f>IFERROR(__xludf.DUMMYFUNCTION("GOOGLETRANSLATE($A42,""en"",""ko"")"),"카보 베르데")</f>
        <v>카보 베르데</v>
      </c>
      <c r="J42" s="9" t="str">
        <f>IFERROR(__xludf.DUMMYFUNCTION("GOOGLETRANSLATE($A42,""en"",""pt-BR"")"),"Cabo Verde")</f>
        <v>Cabo Verde</v>
      </c>
    </row>
    <row r="43">
      <c r="A43" s="9" t="str">
        <f>IFERROR(__xludf.DUMMYFUNCTION("""COMPUTED_VALUE"""),"Cambodia")</f>
        <v>Cambodia</v>
      </c>
      <c r="B43" s="9" t="str">
        <f>IFERROR(__xludf.DUMMYFUNCTION("""COMPUTED_VALUE"""),"kh")</f>
        <v>kh</v>
      </c>
      <c r="C43" s="9" t="str">
        <f>IFERROR(__xludf.DUMMYFUNCTION("GOOGLETRANSLATE($A43,""en"",""de"")"),"Kambodscha")</f>
        <v>Kambodscha</v>
      </c>
      <c r="D43" s="9" t="str">
        <f>IFERROR(__xludf.DUMMYFUNCTION("GOOGLETRANSLATE($A43,""en"",""fr"")"),"Cambodge")</f>
        <v>Cambodge</v>
      </c>
      <c r="E43" s="9" t="str">
        <f>IFERROR(__xludf.DUMMYFUNCTION("GOOGLETRANSLATE($A43,""en"",""es"")"),"Camboya")</f>
        <v>Camboya</v>
      </c>
      <c r="F43" s="9" t="str">
        <f>IFERROR(__xludf.DUMMYFUNCTION("GOOGLETRANSLATE($A43,""en"",""it"")"),"Cambogia")</f>
        <v>Cambogia</v>
      </c>
      <c r="G43" s="9" t="str">
        <f>IFERROR(__xludf.DUMMYFUNCTION("GOOGLETRANSLATE($A43,""en"",""zh-cn"")"),"柬埔寨")</f>
        <v>柬埔寨</v>
      </c>
      <c r="H43" s="9" t="str">
        <f>IFERROR(__xludf.DUMMYFUNCTION("GOOGLETRANSLATE($A43,""en"",""ja"")"),"カンボジア")</f>
        <v>カンボジア</v>
      </c>
      <c r="I43" s="9" t="str">
        <f>IFERROR(__xludf.DUMMYFUNCTION("GOOGLETRANSLATE($A43,""en"",""ko"")"),"캄보디아")</f>
        <v>캄보디아</v>
      </c>
      <c r="J43" s="9" t="str">
        <f>IFERROR(__xludf.DUMMYFUNCTION("GOOGLETRANSLATE($A43,""en"",""pt-BR"")"),"Camboja")</f>
        <v>Camboja</v>
      </c>
    </row>
    <row r="44">
      <c r="A44" s="9" t="str">
        <f>IFERROR(__xludf.DUMMYFUNCTION("""COMPUTED_VALUE"""),"Cameroon")</f>
        <v>Cameroon</v>
      </c>
      <c r="B44" s="9" t="str">
        <f>IFERROR(__xludf.DUMMYFUNCTION("""COMPUTED_VALUE"""),"cm")</f>
        <v>cm</v>
      </c>
      <c r="C44" s="9" t="str">
        <f>IFERROR(__xludf.DUMMYFUNCTION("GOOGLETRANSLATE($A44,""en"",""de"")"),"Kamerun")</f>
        <v>Kamerun</v>
      </c>
      <c r="D44" s="9" t="str">
        <f>IFERROR(__xludf.DUMMYFUNCTION("GOOGLETRANSLATE($A44,""en"",""fr"")"),"Cameroun")</f>
        <v>Cameroun</v>
      </c>
      <c r="E44" s="9" t="str">
        <f>IFERROR(__xludf.DUMMYFUNCTION("GOOGLETRANSLATE($A44,""en"",""es"")"),"Camerún")</f>
        <v>Camerún</v>
      </c>
      <c r="F44" s="9" t="str">
        <f>IFERROR(__xludf.DUMMYFUNCTION("GOOGLETRANSLATE($A44,""en"",""it"")"),"Camerun")</f>
        <v>Camerun</v>
      </c>
      <c r="G44" s="9" t="str">
        <f>IFERROR(__xludf.DUMMYFUNCTION("GOOGLETRANSLATE($A44,""en"",""zh-cn"")"),"喀麦隆")</f>
        <v>喀麦隆</v>
      </c>
      <c r="H44" s="9" t="str">
        <f>IFERROR(__xludf.DUMMYFUNCTION("GOOGLETRANSLATE($A44,""en"",""ja"")"),"カメルーン")</f>
        <v>カメルーン</v>
      </c>
      <c r="I44" s="9" t="str">
        <f>IFERROR(__xludf.DUMMYFUNCTION("GOOGLETRANSLATE($A44,""en"",""ko"")"),"카메룬")</f>
        <v>카메룬</v>
      </c>
      <c r="J44" s="9" t="str">
        <f>IFERROR(__xludf.DUMMYFUNCTION("GOOGLETRANSLATE($A44,""en"",""pt-BR"")"),"Camarões")</f>
        <v>Camarões</v>
      </c>
    </row>
    <row r="45">
      <c r="A45" s="9" t="str">
        <f>IFERROR(__xludf.DUMMYFUNCTION("""COMPUTED_VALUE"""),"Canada")</f>
        <v>Canada</v>
      </c>
      <c r="B45" s="9" t="str">
        <f>IFERROR(__xludf.DUMMYFUNCTION("""COMPUTED_VALUE"""),"ca")</f>
        <v>ca</v>
      </c>
      <c r="C45" s="9" t="str">
        <f>IFERROR(__xludf.DUMMYFUNCTION("GOOGLETRANSLATE($A45,""en"",""de"")"),"Kanada")</f>
        <v>Kanada</v>
      </c>
      <c r="D45" s="9" t="str">
        <f>IFERROR(__xludf.DUMMYFUNCTION("GOOGLETRANSLATE($A45,""en"",""fr"")"),"Canada")</f>
        <v>Canada</v>
      </c>
      <c r="E45" s="9" t="str">
        <f>IFERROR(__xludf.DUMMYFUNCTION("GOOGLETRANSLATE($A45,""en"",""es"")"),"Canadá")</f>
        <v>Canadá</v>
      </c>
      <c r="F45" s="9" t="str">
        <f>IFERROR(__xludf.DUMMYFUNCTION("GOOGLETRANSLATE($A45,""en"",""it"")"),"Canada")</f>
        <v>Canada</v>
      </c>
      <c r="G45" s="9" t="str">
        <f>IFERROR(__xludf.DUMMYFUNCTION("GOOGLETRANSLATE($A45,""en"",""zh-cn"")"),"加拿大")</f>
        <v>加拿大</v>
      </c>
      <c r="H45" s="9" t="str">
        <f>IFERROR(__xludf.DUMMYFUNCTION("GOOGLETRANSLATE($A45,""en"",""ja"")"),"カナダ")</f>
        <v>カナダ</v>
      </c>
      <c r="I45" s="9" t="str">
        <f>IFERROR(__xludf.DUMMYFUNCTION("GOOGLETRANSLATE($A45,""en"",""ko"")"),"캐나다")</f>
        <v>캐나다</v>
      </c>
      <c r="J45" s="9" t="str">
        <f>IFERROR(__xludf.DUMMYFUNCTION("GOOGLETRANSLATE($A45,""en"",""pt-BR"")"),"Canadá")</f>
        <v>Canadá</v>
      </c>
    </row>
    <row r="46">
      <c r="A46" s="9" t="str">
        <f>IFERROR(__xludf.DUMMYFUNCTION("""COMPUTED_VALUE"""),"Cayman Islands")</f>
        <v>Cayman Islands</v>
      </c>
      <c r="B46" s="9" t="str">
        <f>IFERROR(__xludf.DUMMYFUNCTION("""COMPUTED_VALUE"""),"ky")</f>
        <v>ky</v>
      </c>
      <c r="C46" s="9" t="str">
        <f>IFERROR(__xludf.DUMMYFUNCTION("GOOGLETRANSLATE($A46,""en"",""de"")"),"Kaimaninseln")</f>
        <v>Kaimaninseln</v>
      </c>
      <c r="D46" s="9" t="str">
        <f>IFERROR(__xludf.DUMMYFUNCTION("GOOGLETRANSLATE($A46,""en"",""fr"")"),"Îles Caïmans")</f>
        <v>Îles Caïmans</v>
      </c>
      <c r="E46" s="9" t="str">
        <f>IFERROR(__xludf.DUMMYFUNCTION("GOOGLETRANSLATE($A46,""en"",""es"")"),"Islas Caimán")</f>
        <v>Islas Caimán</v>
      </c>
      <c r="F46" s="9" t="str">
        <f>IFERROR(__xludf.DUMMYFUNCTION("GOOGLETRANSLATE($A46,""en"",""it"")"),"Isole Cayman")</f>
        <v>Isole Cayman</v>
      </c>
      <c r="G46" s="9" t="str">
        <f>IFERROR(__xludf.DUMMYFUNCTION("GOOGLETRANSLATE($A46,""en"",""zh-cn"")"),"开曼群岛")</f>
        <v>开曼群岛</v>
      </c>
      <c r="H46" s="9" t="str">
        <f>IFERROR(__xludf.DUMMYFUNCTION("GOOGLETRANSLATE($A46,""en"",""ja"")"),"ケイマン諸島")</f>
        <v>ケイマン諸島</v>
      </c>
      <c r="I46" s="9" t="str">
        <f>IFERROR(__xludf.DUMMYFUNCTION("GOOGLETRANSLATE($A46,""en"",""ko"")"),"케이맨 제도")</f>
        <v>케이맨 제도</v>
      </c>
      <c r="J46" s="9" t="str">
        <f>IFERROR(__xludf.DUMMYFUNCTION("GOOGLETRANSLATE($A46,""en"",""pt-BR"")"),"Ilhas Cayman")</f>
        <v>Ilhas Cayman</v>
      </c>
    </row>
    <row r="47">
      <c r="A47" s="9" t="str">
        <f>IFERROR(__xludf.DUMMYFUNCTION("""COMPUTED_VALUE"""),"Central African Republic")</f>
        <v>Central African Republic</v>
      </c>
      <c r="B47" s="9" t="str">
        <f>IFERROR(__xludf.DUMMYFUNCTION("""COMPUTED_VALUE"""),"cf")</f>
        <v>cf</v>
      </c>
      <c r="C47" s="9" t="str">
        <f>IFERROR(__xludf.DUMMYFUNCTION("GOOGLETRANSLATE($A47,""en"",""de"")"),"Zentralafrikanische Republik")</f>
        <v>Zentralafrikanische Republik</v>
      </c>
      <c r="D47" s="9" t="str">
        <f>IFERROR(__xludf.DUMMYFUNCTION("GOOGLETRANSLATE($A47,""en"",""fr"")"),"République centrafricaine")</f>
        <v>République centrafricaine</v>
      </c>
      <c r="E47" s="9" t="str">
        <f>IFERROR(__xludf.DUMMYFUNCTION("GOOGLETRANSLATE($A47,""en"",""es"")"),"República Centroafricana")</f>
        <v>República Centroafricana</v>
      </c>
      <c r="F47" s="9" t="str">
        <f>IFERROR(__xludf.DUMMYFUNCTION("GOOGLETRANSLATE($A47,""en"",""it"")"),"Repubblica Centrafricana")</f>
        <v>Repubblica Centrafricana</v>
      </c>
      <c r="G47" s="9" t="str">
        <f>IFERROR(__xludf.DUMMYFUNCTION("GOOGLETRANSLATE($A47,""en"",""zh-cn"")"),"中非共和国")</f>
        <v>中非共和国</v>
      </c>
      <c r="H47" s="9" t="str">
        <f>IFERROR(__xludf.DUMMYFUNCTION("GOOGLETRANSLATE($A47,""en"",""ja"")"),"中央アフリカ共和国")</f>
        <v>中央アフリカ共和国</v>
      </c>
      <c r="I47" s="9" t="str">
        <f>IFERROR(__xludf.DUMMYFUNCTION("GOOGLETRANSLATE($A47,""en"",""ko"")"),"중앙아프리카공화국")</f>
        <v>중앙아프리카공화국</v>
      </c>
      <c r="J47" s="9" t="str">
        <f>IFERROR(__xludf.DUMMYFUNCTION("GOOGLETRANSLATE($A47,""en"",""pt-BR"")"),"República Centro-Africana")</f>
        <v>República Centro-Africana</v>
      </c>
    </row>
    <row r="48">
      <c r="A48" s="9" t="str">
        <f>IFERROR(__xludf.DUMMYFUNCTION("""COMPUTED_VALUE"""),"Chad")</f>
        <v>Chad</v>
      </c>
      <c r="B48" s="9" t="str">
        <f>IFERROR(__xludf.DUMMYFUNCTION("""COMPUTED_VALUE"""),"td")</f>
        <v>td</v>
      </c>
      <c r="C48" s="9" t="str">
        <f>IFERROR(__xludf.DUMMYFUNCTION("GOOGLETRANSLATE($A48,""en"",""de"")"),"Tschad")</f>
        <v>Tschad</v>
      </c>
      <c r="D48" s="9" t="str">
        <f>IFERROR(__xludf.DUMMYFUNCTION("GOOGLETRANSLATE($A48,""en"",""fr"")"),"Tchad")</f>
        <v>Tchad</v>
      </c>
      <c r="E48" s="9" t="str">
        <f>IFERROR(__xludf.DUMMYFUNCTION("GOOGLETRANSLATE($A48,""en"",""es"")"),"Chad")</f>
        <v>Chad</v>
      </c>
      <c r="F48" s="9" t="str">
        <f>IFERROR(__xludf.DUMMYFUNCTION("GOOGLETRANSLATE($A48,""en"",""it"")"),"Chad")</f>
        <v>Chad</v>
      </c>
      <c r="G48" s="9" t="str">
        <f>IFERROR(__xludf.DUMMYFUNCTION("GOOGLETRANSLATE($A48,""en"",""zh-cn"")"),"乍得")</f>
        <v>乍得</v>
      </c>
      <c r="H48" s="9" t="str">
        <f>IFERROR(__xludf.DUMMYFUNCTION("GOOGLETRANSLATE($A48,""en"",""ja"")"),"チャド")</f>
        <v>チャド</v>
      </c>
      <c r="I48" s="9" t="str">
        <f>IFERROR(__xludf.DUMMYFUNCTION("GOOGLETRANSLATE($A48,""en"",""ko"")"),"차드")</f>
        <v>차드</v>
      </c>
      <c r="J48" s="9" t="str">
        <f>IFERROR(__xludf.DUMMYFUNCTION("GOOGLETRANSLATE($A48,""en"",""pt-BR"")"),"Chade")</f>
        <v>Chade</v>
      </c>
    </row>
    <row r="49">
      <c r="A49" s="9" t="str">
        <f>IFERROR(__xludf.DUMMYFUNCTION("""COMPUTED_VALUE"""),"Chile")</f>
        <v>Chile</v>
      </c>
      <c r="B49" s="9" t="str">
        <f>IFERROR(__xludf.DUMMYFUNCTION("""COMPUTED_VALUE"""),"cl")</f>
        <v>cl</v>
      </c>
      <c r="C49" s="9" t="str">
        <f>IFERROR(__xludf.DUMMYFUNCTION("GOOGLETRANSLATE($A49,""en"",""de"")"),"Chile")</f>
        <v>Chile</v>
      </c>
      <c r="D49" s="9" t="str">
        <f>IFERROR(__xludf.DUMMYFUNCTION("GOOGLETRANSLATE($A49,""en"",""fr"")"),"Chili")</f>
        <v>Chili</v>
      </c>
      <c r="E49" s="9" t="str">
        <f>IFERROR(__xludf.DUMMYFUNCTION("GOOGLETRANSLATE($A49,""en"",""es"")"),"Chile")</f>
        <v>Chile</v>
      </c>
      <c r="F49" s="9" t="str">
        <f>IFERROR(__xludf.DUMMYFUNCTION("GOOGLETRANSLATE($A49,""en"",""it"")"),"Chile")</f>
        <v>Chile</v>
      </c>
      <c r="G49" s="9" t="str">
        <f>IFERROR(__xludf.DUMMYFUNCTION("GOOGLETRANSLATE($A49,""en"",""zh-cn"")"),"智利")</f>
        <v>智利</v>
      </c>
      <c r="H49" s="9" t="str">
        <f>IFERROR(__xludf.DUMMYFUNCTION("GOOGLETRANSLATE($A49,""en"",""ja"")"),"チリ")</f>
        <v>チリ</v>
      </c>
      <c r="I49" s="9" t="str">
        <f>IFERROR(__xludf.DUMMYFUNCTION("GOOGLETRANSLATE($A49,""en"",""ko"")"),"칠레")</f>
        <v>칠레</v>
      </c>
      <c r="J49" s="9" t="str">
        <f>IFERROR(__xludf.DUMMYFUNCTION("GOOGLETRANSLATE($A49,""en"",""pt-BR"")"),"Chile")</f>
        <v>Chile</v>
      </c>
    </row>
    <row r="50">
      <c r="A50" s="9" t="str">
        <f>IFERROR(__xludf.DUMMYFUNCTION("""COMPUTED_VALUE"""),"China")</f>
        <v>China</v>
      </c>
      <c r="B50" s="9" t="str">
        <f>IFERROR(__xludf.DUMMYFUNCTION("""COMPUTED_VALUE"""),"cn")</f>
        <v>cn</v>
      </c>
      <c r="C50" s="9" t="str">
        <f>IFERROR(__xludf.DUMMYFUNCTION("GOOGLETRANSLATE($A50,""en"",""de"")"),"China")</f>
        <v>China</v>
      </c>
      <c r="D50" s="9" t="str">
        <f>IFERROR(__xludf.DUMMYFUNCTION("GOOGLETRANSLATE($A50,""en"",""fr"")"),"Chine")</f>
        <v>Chine</v>
      </c>
      <c r="E50" s="9" t="str">
        <f>IFERROR(__xludf.DUMMYFUNCTION("GOOGLETRANSLATE($A50,""en"",""es"")"),"Porcelana")</f>
        <v>Porcelana</v>
      </c>
      <c r="F50" s="9" t="str">
        <f>IFERROR(__xludf.DUMMYFUNCTION("GOOGLETRANSLATE($A50,""en"",""it"")"),"Cina")</f>
        <v>Cina</v>
      </c>
      <c r="G50" s="9" t="str">
        <f>IFERROR(__xludf.DUMMYFUNCTION("GOOGLETRANSLATE($A50,""en"",""zh-cn"")"),"中国")</f>
        <v>中国</v>
      </c>
      <c r="H50" s="9" t="str">
        <f>IFERROR(__xludf.DUMMYFUNCTION("GOOGLETRANSLATE($A50,""en"",""ja"")"),"中国")</f>
        <v>中国</v>
      </c>
      <c r="I50" s="9" t="str">
        <f>IFERROR(__xludf.DUMMYFUNCTION("GOOGLETRANSLATE($A50,""en"",""ko"")"),"중국")</f>
        <v>중국</v>
      </c>
      <c r="J50" s="9" t="str">
        <f>IFERROR(__xludf.DUMMYFUNCTION("GOOGLETRANSLATE($A50,""en"",""pt-BR"")"),"China")</f>
        <v>China</v>
      </c>
    </row>
    <row r="51">
      <c r="A51" s="9" t="str">
        <f>IFERROR(__xludf.DUMMYFUNCTION("""COMPUTED_VALUE"""),"Christmas Island")</f>
        <v>Christmas Island</v>
      </c>
      <c r="B51" s="9" t="str">
        <f>IFERROR(__xludf.DUMMYFUNCTION("""COMPUTED_VALUE"""),"cx")</f>
        <v>cx</v>
      </c>
      <c r="C51" s="9" t="str">
        <f>IFERROR(__xludf.DUMMYFUNCTION("GOOGLETRANSLATE($A51,""en"",""de"")"),"Weihnachtsinsel")</f>
        <v>Weihnachtsinsel</v>
      </c>
      <c r="D51" s="9" t="str">
        <f>IFERROR(__xludf.DUMMYFUNCTION("GOOGLETRANSLATE($A51,""en"",""fr"")"),"Île Christmas")</f>
        <v>Île Christmas</v>
      </c>
      <c r="E51" s="9" t="str">
        <f>IFERROR(__xludf.DUMMYFUNCTION("GOOGLETRANSLATE($A51,""en"",""es"")"),"Isla de Navidad")</f>
        <v>Isla de Navidad</v>
      </c>
      <c r="F51" s="9" t="str">
        <f>IFERROR(__xludf.DUMMYFUNCTION("GOOGLETRANSLATE($A51,""en"",""it"")"),"Isola di Natale")</f>
        <v>Isola di Natale</v>
      </c>
      <c r="G51" s="9" t="str">
        <f>IFERROR(__xludf.DUMMYFUNCTION("GOOGLETRANSLATE($A51,""en"",""zh-cn"")"),"圣诞岛")</f>
        <v>圣诞岛</v>
      </c>
      <c r="H51" s="9" t="str">
        <f>IFERROR(__xludf.DUMMYFUNCTION("GOOGLETRANSLATE($A51,""en"",""ja"")"),"クリスマス島")</f>
        <v>クリスマス島</v>
      </c>
      <c r="I51" s="9" t="str">
        <f>IFERROR(__xludf.DUMMYFUNCTION("GOOGLETRANSLATE($A51,""en"",""ko"")"),"크리스마스 섬")</f>
        <v>크리스마스 섬</v>
      </c>
      <c r="J51" s="9" t="str">
        <f>IFERROR(__xludf.DUMMYFUNCTION("GOOGLETRANSLATE($A51,""en"",""pt-BR"")"),"Ilha Natal")</f>
        <v>Ilha Natal</v>
      </c>
    </row>
    <row r="52">
      <c r="A52" s="9" t="str">
        <f>IFERROR(__xludf.DUMMYFUNCTION("""COMPUTED_VALUE"""),"Cocos (Keeling) Islands")</f>
        <v>Cocos (Keeling) Islands</v>
      </c>
      <c r="B52" s="9" t="str">
        <f>IFERROR(__xludf.DUMMYFUNCTION("""COMPUTED_VALUE"""),"cc")</f>
        <v>cc</v>
      </c>
      <c r="C52" s="9" t="str">
        <f>IFERROR(__xludf.DUMMYFUNCTION("GOOGLETRANSLATE($A52,""en"",""de"")"),"Kokosinseln (Keelinginseln).")</f>
        <v>Kokosinseln (Keelinginseln).</v>
      </c>
      <c r="D52" s="9" t="str">
        <f>IFERROR(__xludf.DUMMYFUNCTION("GOOGLETRANSLATE($A52,""en"",""fr"")"),"Îles Cocos (Keeling)")</f>
        <v>Îles Cocos (Keeling)</v>
      </c>
      <c r="E52" s="9" t="str">
        <f>IFERROR(__xludf.DUMMYFUNCTION("GOOGLETRANSLATE($A52,""en"",""es"")"),"Islas Cocos (Keeling)")</f>
        <v>Islas Cocos (Keeling)</v>
      </c>
      <c r="F52" s="9" t="str">
        <f>IFERROR(__xludf.DUMMYFUNCTION("GOOGLETRANSLATE($A52,""en"",""it"")"),"Isole Cocos (Keeling).")</f>
        <v>Isole Cocos (Keeling).</v>
      </c>
      <c r="G52" s="9" t="str">
        <f>IFERROR(__xludf.DUMMYFUNCTION("GOOGLETRANSLATE($A52,""en"",""zh-cn"")"),"科科斯（基林）群岛")</f>
        <v>科科斯（基林）群岛</v>
      </c>
      <c r="H52" s="9" t="str">
        <f>IFERROR(__xludf.DUMMYFUNCTION("GOOGLETRANSLATE($A52,""en"",""ja"")"),"ココス (キーリング) 諸島")</f>
        <v>ココス (キーリング) 諸島</v>
      </c>
      <c r="I52" s="9" t="str">
        <f>IFERROR(__xludf.DUMMYFUNCTION("GOOGLETRANSLATE($A52,""en"",""ko"")"),"코코스(킬링) 제도")</f>
        <v>코코스(킬링) 제도</v>
      </c>
      <c r="J52" s="9" t="str">
        <f>IFERROR(__xludf.DUMMYFUNCTION("GOOGLETRANSLATE($A52,""en"",""pt-BR"")"),"Ilhas Cocos (Keeling)")</f>
        <v>Ilhas Cocos (Keeling)</v>
      </c>
    </row>
    <row r="53">
      <c r="A53" s="9" t="str">
        <f>IFERROR(__xludf.DUMMYFUNCTION("""COMPUTED_VALUE"""),"Colombia")</f>
        <v>Colombia</v>
      </c>
      <c r="B53" s="9" t="str">
        <f>IFERROR(__xludf.DUMMYFUNCTION("""COMPUTED_VALUE"""),"co")</f>
        <v>co</v>
      </c>
      <c r="C53" s="9" t="str">
        <f>IFERROR(__xludf.DUMMYFUNCTION("GOOGLETRANSLATE($A53,""en"",""de"")"),"Kolumbien")</f>
        <v>Kolumbien</v>
      </c>
      <c r="D53" s="9" t="str">
        <f>IFERROR(__xludf.DUMMYFUNCTION("GOOGLETRANSLATE($A53,""en"",""fr"")"),"Colombie")</f>
        <v>Colombie</v>
      </c>
      <c r="E53" s="9" t="str">
        <f>IFERROR(__xludf.DUMMYFUNCTION("GOOGLETRANSLATE($A53,""en"",""es"")"),"Colombia")</f>
        <v>Colombia</v>
      </c>
      <c r="F53" s="9" t="str">
        <f>IFERROR(__xludf.DUMMYFUNCTION("GOOGLETRANSLATE($A53,""en"",""it"")"),"Colombia")</f>
        <v>Colombia</v>
      </c>
      <c r="G53" s="9" t="str">
        <f>IFERROR(__xludf.DUMMYFUNCTION("GOOGLETRANSLATE($A53,""en"",""zh-cn"")"),"哥伦比亚")</f>
        <v>哥伦比亚</v>
      </c>
      <c r="H53" s="9" t="str">
        <f>IFERROR(__xludf.DUMMYFUNCTION("GOOGLETRANSLATE($A53,""en"",""ja"")"),"コロンビア")</f>
        <v>コロンビア</v>
      </c>
      <c r="I53" s="9" t="str">
        <f>IFERROR(__xludf.DUMMYFUNCTION("GOOGLETRANSLATE($A53,""en"",""ko"")"),"콜롬비아")</f>
        <v>콜롬비아</v>
      </c>
      <c r="J53" s="9" t="str">
        <f>IFERROR(__xludf.DUMMYFUNCTION("GOOGLETRANSLATE($A53,""en"",""pt-BR"")"),"Colômbia")</f>
        <v>Colômbia</v>
      </c>
    </row>
    <row r="54">
      <c r="A54" s="9" t="str">
        <f>IFERROR(__xludf.DUMMYFUNCTION("""COMPUTED_VALUE"""),"Comoros")</f>
        <v>Comoros</v>
      </c>
      <c r="B54" s="9" t="str">
        <f>IFERROR(__xludf.DUMMYFUNCTION("""COMPUTED_VALUE"""),"km")</f>
        <v>km</v>
      </c>
      <c r="C54" s="9" t="str">
        <f>IFERROR(__xludf.DUMMYFUNCTION("GOOGLETRANSLATE($A54,""en"",""de"")"),"Komoren")</f>
        <v>Komoren</v>
      </c>
      <c r="D54" s="9" t="str">
        <f>IFERROR(__xludf.DUMMYFUNCTION("GOOGLETRANSLATE($A54,""en"",""fr"")"),"Comores")</f>
        <v>Comores</v>
      </c>
      <c r="E54" s="9" t="str">
        <f>IFERROR(__xludf.DUMMYFUNCTION("GOOGLETRANSLATE($A54,""en"",""es"")"),"Comoras")</f>
        <v>Comoras</v>
      </c>
      <c r="F54" s="9" t="str">
        <f>IFERROR(__xludf.DUMMYFUNCTION("GOOGLETRANSLATE($A54,""en"",""it"")"),"Comore")</f>
        <v>Comore</v>
      </c>
      <c r="G54" s="9" t="str">
        <f>IFERROR(__xludf.DUMMYFUNCTION("GOOGLETRANSLATE($A54,""en"",""zh-cn"")"),"科摩罗")</f>
        <v>科摩罗</v>
      </c>
      <c r="H54" s="9" t="str">
        <f>IFERROR(__xludf.DUMMYFUNCTION("GOOGLETRANSLATE($A54,""en"",""ja"")"),"コモロ")</f>
        <v>コモロ</v>
      </c>
      <c r="I54" s="9" t="str">
        <f>IFERROR(__xludf.DUMMYFUNCTION("GOOGLETRANSLATE($A54,""en"",""ko"")"),"코모로")</f>
        <v>코모로</v>
      </c>
      <c r="J54" s="9" t="str">
        <f>IFERROR(__xludf.DUMMYFUNCTION("GOOGLETRANSLATE($A54,""en"",""pt-BR"")"),"Comores")</f>
        <v>Comores</v>
      </c>
    </row>
    <row r="55">
      <c r="A55" s="9" t="str">
        <f>IFERROR(__xludf.DUMMYFUNCTION("""COMPUTED_VALUE"""),"Congo, Democratic Republic")</f>
        <v>Congo, Democratic Republic</v>
      </c>
      <c r="B55" s="9" t="str">
        <f>IFERROR(__xludf.DUMMYFUNCTION("""COMPUTED_VALUE"""),"cd")</f>
        <v>cd</v>
      </c>
      <c r="C55" s="9" t="str">
        <f>IFERROR(__xludf.DUMMYFUNCTION("GOOGLETRANSLATE($A55,""en"",""de"")"),"Kongo, Demokratische Republik")</f>
        <v>Kongo, Demokratische Republik</v>
      </c>
      <c r="D55" s="9" t="str">
        <f>IFERROR(__xludf.DUMMYFUNCTION("GOOGLETRANSLATE($A55,""en"",""fr"")"),"Congo, République Démocratique")</f>
        <v>Congo, République Démocratique</v>
      </c>
      <c r="E55" s="9" t="str">
        <f>IFERROR(__xludf.DUMMYFUNCTION("GOOGLETRANSLATE($A55,""en"",""es"")"),"Congo, República Democrática")</f>
        <v>Congo, República Democrática</v>
      </c>
      <c r="F55" s="9" t="str">
        <f>IFERROR(__xludf.DUMMYFUNCTION("GOOGLETRANSLATE($A55,""en"",""it"")"),"Congo, Repubblica Democratica")</f>
        <v>Congo, Repubblica Democratica</v>
      </c>
      <c r="G55" s="9" t="str">
        <f>IFERROR(__xludf.DUMMYFUNCTION("GOOGLETRANSLATE($A55,""en"",""zh-cn"")"),"刚果民主共和国")</f>
        <v>刚果民主共和国</v>
      </c>
      <c r="H55" s="9" t="str">
        <f>IFERROR(__xludf.DUMMYFUNCTION("GOOGLETRANSLATE($A55,""en"",""ja"")"),"コンゴ民主共和国")</f>
        <v>コンゴ民主共和国</v>
      </c>
      <c r="I55" s="9" t="str">
        <f>IFERROR(__xludf.DUMMYFUNCTION("GOOGLETRANSLATE($A55,""en"",""ko"")"),"콩고민주공화국")</f>
        <v>콩고민주공화국</v>
      </c>
      <c r="J55" s="9" t="str">
        <f>IFERROR(__xludf.DUMMYFUNCTION("GOOGLETRANSLATE($A55,""en"",""pt-BR"")"),"Congo, República Democrática")</f>
        <v>Congo, República Democrática</v>
      </c>
    </row>
    <row r="56">
      <c r="A56" s="9" t="str">
        <f>IFERROR(__xludf.DUMMYFUNCTION("""COMPUTED_VALUE"""),"Congo")</f>
        <v>Congo</v>
      </c>
      <c r="B56" s="9" t="str">
        <f>IFERROR(__xludf.DUMMYFUNCTION("""COMPUTED_VALUE"""),"cg")</f>
        <v>cg</v>
      </c>
      <c r="C56" s="9" t="str">
        <f>IFERROR(__xludf.DUMMYFUNCTION("GOOGLETRANSLATE($A56,""en"",""de"")"),"Kongo")</f>
        <v>Kongo</v>
      </c>
      <c r="D56" s="9" t="str">
        <f>IFERROR(__xludf.DUMMYFUNCTION("GOOGLETRANSLATE($A56,""en"",""fr"")"),"Congo")</f>
        <v>Congo</v>
      </c>
      <c r="E56" s="9" t="str">
        <f>IFERROR(__xludf.DUMMYFUNCTION("GOOGLETRANSLATE($A56,""en"",""es"")"),"Congo")</f>
        <v>Congo</v>
      </c>
      <c r="F56" s="9" t="str">
        <f>IFERROR(__xludf.DUMMYFUNCTION("GOOGLETRANSLATE($A56,""en"",""it"")"),"Congo")</f>
        <v>Congo</v>
      </c>
      <c r="G56" s="9" t="str">
        <f>IFERROR(__xludf.DUMMYFUNCTION("GOOGLETRANSLATE($A56,""en"",""zh-cn"")"),"刚果")</f>
        <v>刚果</v>
      </c>
      <c r="H56" s="9" t="str">
        <f>IFERROR(__xludf.DUMMYFUNCTION("GOOGLETRANSLATE($A56,""en"",""ja"")"),"コンゴ")</f>
        <v>コンゴ</v>
      </c>
      <c r="I56" s="9" t="str">
        <f>IFERROR(__xludf.DUMMYFUNCTION("GOOGLETRANSLATE($A56,""en"",""ko"")"),"콩고")</f>
        <v>콩고</v>
      </c>
      <c r="J56" s="9" t="str">
        <f>IFERROR(__xludf.DUMMYFUNCTION("GOOGLETRANSLATE($A56,""en"",""pt-BR"")"),"Congo")</f>
        <v>Congo</v>
      </c>
    </row>
    <row r="57">
      <c r="A57" s="9" t="str">
        <f>IFERROR(__xludf.DUMMYFUNCTION("""COMPUTED_VALUE"""),"Cook Islands")</f>
        <v>Cook Islands</v>
      </c>
      <c r="B57" s="9" t="str">
        <f>IFERROR(__xludf.DUMMYFUNCTION("""COMPUTED_VALUE"""),"ck")</f>
        <v>ck</v>
      </c>
      <c r="C57" s="9" t="str">
        <f>IFERROR(__xludf.DUMMYFUNCTION("GOOGLETRANSLATE($A57,""en"",""de"")"),"Cookinseln")</f>
        <v>Cookinseln</v>
      </c>
      <c r="D57" s="9" t="str">
        <f>IFERROR(__xludf.DUMMYFUNCTION("GOOGLETRANSLATE($A57,""en"",""fr"")"),"Îles Cook")</f>
        <v>Îles Cook</v>
      </c>
      <c r="E57" s="9" t="str">
        <f>IFERROR(__xludf.DUMMYFUNCTION("GOOGLETRANSLATE($A57,""en"",""es"")"),"Islas Cook")</f>
        <v>Islas Cook</v>
      </c>
      <c r="F57" s="9" t="str">
        <f>IFERROR(__xludf.DUMMYFUNCTION("GOOGLETRANSLATE($A57,""en"",""it"")"),"Isole Cook")</f>
        <v>Isole Cook</v>
      </c>
      <c r="G57" s="9" t="str">
        <f>IFERROR(__xludf.DUMMYFUNCTION("GOOGLETRANSLATE($A57,""en"",""zh-cn"")"),"库克群岛")</f>
        <v>库克群岛</v>
      </c>
      <c r="H57" s="9" t="str">
        <f>IFERROR(__xludf.DUMMYFUNCTION("GOOGLETRANSLATE($A57,""en"",""ja"")"),"クック諸島")</f>
        <v>クック諸島</v>
      </c>
      <c r="I57" s="9" t="str">
        <f>IFERROR(__xludf.DUMMYFUNCTION("GOOGLETRANSLATE($A57,""en"",""ko"")"),"쿡 제도")</f>
        <v>쿡 제도</v>
      </c>
      <c r="J57" s="9" t="str">
        <f>IFERROR(__xludf.DUMMYFUNCTION("GOOGLETRANSLATE($A57,""en"",""pt-BR"")"),"Ilhas Cook")</f>
        <v>Ilhas Cook</v>
      </c>
    </row>
    <row r="58">
      <c r="A58" s="9" t="str">
        <f>IFERROR(__xludf.DUMMYFUNCTION("""COMPUTED_VALUE"""),"Costa Rica")</f>
        <v>Costa Rica</v>
      </c>
      <c r="B58" s="9" t="str">
        <f>IFERROR(__xludf.DUMMYFUNCTION("""COMPUTED_VALUE"""),"cr")</f>
        <v>cr</v>
      </c>
      <c r="C58" s="9" t="str">
        <f>IFERROR(__xludf.DUMMYFUNCTION("GOOGLETRANSLATE($A58,""en"",""de"")"),"Costa Rica")</f>
        <v>Costa Rica</v>
      </c>
      <c r="D58" s="9" t="str">
        <f>IFERROR(__xludf.DUMMYFUNCTION("GOOGLETRANSLATE($A58,""en"",""fr"")"),"Costa Rica")</f>
        <v>Costa Rica</v>
      </c>
      <c r="E58" s="9" t="str">
        <f>IFERROR(__xludf.DUMMYFUNCTION("GOOGLETRANSLATE($A58,""en"",""es"")"),"Costa Rica")</f>
        <v>Costa Rica</v>
      </c>
      <c r="F58" s="9" t="str">
        <f>IFERROR(__xludf.DUMMYFUNCTION("GOOGLETRANSLATE($A58,""en"",""it"")"),"Costarica")</f>
        <v>Costarica</v>
      </c>
      <c r="G58" s="9" t="str">
        <f>IFERROR(__xludf.DUMMYFUNCTION("GOOGLETRANSLATE($A58,""en"",""zh-cn"")"),"哥斯达黎加")</f>
        <v>哥斯达黎加</v>
      </c>
      <c r="H58" s="9" t="str">
        <f>IFERROR(__xludf.DUMMYFUNCTION("GOOGLETRANSLATE($A58,""en"",""ja"")"),"コスタリカ")</f>
        <v>コスタリカ</v>
      </c>
      <c r="I58" s="9" t="str">
        <f>IFERROR(__xludf.DUMMYFUNCTION("GOOGLETRANSLATE($A58,""en"",""ko"")"),"코스타리카")</f>
        <v>코스타리카</v>
      </c>
      <c r="J58" s="9" t="str">
        <f>IFERROR(__xludf.DUMMYFUNCTION("GOOGLETRANSLATE($A58,""en"",""pt-BR"")"),"Costa Rica")</f>
        <v>Costa Rica</v>
      </c>
    </row>
    <row r="59">
      <c r="A59" s="9" t="str">
        <f>IFERROR(__xludf.DUMMYFUNCTION("""COMPUTED_VALUE"""),"Côte d'Ivoire")</f>
        <v>Côte d'Ivoire</v>
      </c>
      <c r="B59" s="9" t="str">
        <f>IFERROR(__xludf.DUMMYFUNCTION("""COMPUTED_VALUE"""),"ci")</f>
        <v>ci</v>
      </c>
      <c r="C59" s="9" t="str">
        <f>IFERROR(__xludf.DUMMYFUNCTION("GOOGLETRANSLATE($A59,""en"",""de"")"),"Elfenbeinküste")</f>
        <v>Elfenbeinküste</v>
      </c>
      <c r="D59" s="9" t="str">
        <f>IFERROR(__xludf.DUMMYFUNCTION("GOOGLETRANSLATE($A59,""en"",""fr"")"),"Côte d'Ivoire")</f>
        <v>Côte d'Ivoire</v>
      </c>
      <c r="E59" s="9" t="str">
        <f>IFERROR(__xludf.DUMMYFUNCTION("GOOGLETRANSLATE($A59,""en"",""es"")"),"Costa de Marfil")</f>
        <v>Costa de Marfil</v>
      </c>
      <c r="F59" s="9" t="str">
        <f>IFERROR(__xludf.DUMMYFUNCTION("GOOGLETRANSLATE($A59,""en"",""it"")"),"Costa d'Avorio")</f>
        <v>Costa d'Avorio</v>
      </c>
      <c r="G59" s="9" t="str">
        <f>IFERROR(__xludf.DUMMYFUNCTION("GOOGLETRANSLATE($A59,""en"",""zh-cn"")"),"科特迪瓦")</f>
        <v>科特迪瓦</v>
      </c>
      <c r="H59" s="9" t="str">
        <f>IFERROR(__xludf.DUMMYFUNCTION("GOOGLETRANSLATE($A59,""en"",""ja"")"),"コートジボワール")</f>
        <v>コートジボワール</v>
      </c>
      <c r="I59" s="9" t="str">
        <f>IFERROR(__xludf.DUMMYFUNCTION("GOOGLETRANSLATE($A59,""en"",""ko"")"),"코트디부아르")</f>
        <v>코트디부아르</v>
      </c>
      <c r="J59" s="9" t="str">
        <f>IFERROR(__xludf.DUMMYFUNCTION("GOOGLETRANSLATE($A59,""en"",""pt-BR"")"),"Costa do Marfim")</f>
        <v>Costa do Marfim</v>
      </c>
    </row>
    <row r="60">
      <c r="A60" s="9" t="str">
        <f>IFERROR(__xludf.DUMMYFUNCTION("""COMPUTED_VALUE"""),"Croatia")</f>
        <v>Croatia</v>
      </c>
      <c r="B60" s="9" t="str">
        <f>IFERROR(__xludf.DUMMYFUNCTION("""COMPUTED_VALUE"""),"hr")</f>
        <v>hr</v>
      </c>
      <c r="C60" s="9" t="str">
        <f>IFERROR(__xludf.DUMMYFUNCTION("GOOGLETRANSLATE($A60,""en"",""de"")"),"Kroatien")</f>
        <v>Kroatien</v>
      </c>
      <c r="D60" s="9" t="str">
        <f>IFERROR(__xludf.DUMMYFUNCTION("GOOGLETRANSLATE($A60,""en"",""fr"")"),"Croatie")</f>
        <v>Croatie</v>
      </c>
      <c r="E60" s="9" t="str">
        <f>IFERROR(__xludf.DUMMYFUNCTION("GOOGLETRANSLATE($A60,""en"",""es"")"),"Croacia")</f>
        <v>Croacia</v>
      </c>
      <c r="F60" s="9" t="str">
        <f>IFERROR(__xludf.DUMMYFUNCTION("GOOGLETRANSLATE($A60,""en"",""it"")"),"Croazia")</f>
        <v>Croazia</v>
      </c>
      <c r="G60" s="9" t="str">
        <f>IFERROR(__xludf.DUMMYFUNCTION("GOOGLETRANSLATE($A60,""en"",""zh-cn"")"),"克罗地亚")</f>
        <v>克罗地亚</v>
      </c>
      <c r="H60" s="9" t="str">
        <f>IFERROR(__xludf.DUMMYFUNCTION("GOOGLETRANSLATE($A60,""en"",""ja"")"),"クロアチア")</f>
        <v>クロアチア</v>
      </c>
      <c r="I60" s="9" t="str">
        <f>IFERROR(__xludf.DUMMYFUNCTION("GOOGLETRANSLATE($A60,""en"",""ko"")"),"크로아티아")</f>
        <v>크로아티아</v>
      </c>
      <c r="J60" s="9" t="str">
        <f>IFERROR(__xludf.DUMMYFUNCTION("GOOGLETRANSLATE($A60,""en"",""pt-BR"")"),"Croácia")</f>
        <v>Croácia</v>
      </c>
    </row>
    <row r="61">
      <c r="A61" s="9" t="str">
        <f>IFERROR(__xludf.DUMMYFUNCTION("""COMPUTED_VALUE"""),"Cuba")</f>
        <v>Cuba</v>
      </c>
      <c r="B61" s="9" t="str">
        <f>IFERROR(__xludf.DUMMYFUNCTION("""COMPUTED_VALUE"""),"cu")</f>
        <v>cu</v>
      </c>
      <c r="C61" s="9" t="str">
        <f>IFERROR(__xludf.DUMMYFUNCTION("GOOGLETRANSLATE($A61,""en"",""de"")"),"Kuba")</f>
        <v>Kuba</v>
      </c>
      <c r="D61" s="9" t="str">
        <f>IFERROR(__xludf.DUMMYFUNCTION("GOOGLETRANSLATE($A61,""en"",""fr"")"),"Cuba")</f>
        <v>Cuba</v>
      </c>
      <c r="E61" s="9" t="str">
        <f>IFERROR(__xludf.DUMMYFUNCTION("GOOGLETRANSLATE($A61,""en"",""es"")"),"Cuba")</f>
        <v>Cuba</v>
      </c>
      <c r="F61" s="9" t="str">
        <f>IFERROR(__xludf.DUMMYFUNCTION("GOOGLETRANSLATE($A61,""en"",""it"")"),"Cuba")</f>
        <v>Cuba</v>
      </c>
      <c r="G61" s="9" t="str">
        <f>IFERROR(__xludf.DUMMYFUNCTION("GOOGLETRANSLATE($A61,""en"",""zh-cn"")"),"古巴")</f>
        <v>古巴</v>
      </c>
      <c r="H61" s="9" t="str">
        <f>IFERROR(__xludf.DUMMYFUNCTION("GOOGLETRANSLATE($A61,""en"",""ja"")"),"キューバ")</f>
        <v>キューバ</v>
      </c>
      <c r="I61" s="9" t="str">
        <f>IFERROR(__xludf.DUMMYFUNCTION("GOOGLETRANSLATE($A61,""en"",""ko"")"),"쿠바")</f>
        <v>쿠바</v>
      </c>
      <c r="J61" s="9" t="str">
        <f>IFERROR(__xludf.DUMMYFUNCTION("GOOGLETRANSLATE($A61,""en"",""pt-BR"")"),"Cuba")</f>
        <v>Cuba</v>
      </c>
    </row>
    <row r="62">
      <c r="A62" s="9" t="str">
        <f>IFERROR(__xludf.DUMMYFUNCTION("""COMPUTED_VALUE"""),"Curaçao")</f>
        <v>Curaçao</v>
      </c>
      <c r="B62" s="9" t="str">
        <f>IFERROR(__xludf.DUMMYFUNCTION("""COMPUTED_VALUE"""),"cw")</f>
        <v>cw</v>
      </c>
      <c r="C62" s="9" t="str">
        <f>IFERROR(__xludf.DUMMYFUNCTION("GOOGLETRANSLATE($A62,""en"",""de"")"),"Curaçao")</f>
        <v>Curaçao</v>
      </c>
      <c r="D62" s="9" t="str">
        <f>IFERROR(__xludf.DUMMYFUNCTION("GOOGLETRANSLATE($A62,""en"",""fr"")"),"Curaçao")</f>
        <v>Curaçao</v>
      </c>
      <c r="E62" s="9" t="str">
        <f>IFERROR(__xludf.DUMMYFUNCTION("GOOGLETRANSLATE($A62,""en"",""es"")"),"Curazao")</f>
        <v>Curazao</v>
      </c>
      <c r="F62" s="9" t="str">
        <f>IFERROR(__xludf.DUMMYFUNCTION("GOOGLETRANSLATE($A62,""en"",""it"")"),"Curaçao")</f>
        <v>Curaçao</v>
      </c>
      <c r="G62" s="9" t="str">
        <f>IFERROR(__xludf.DUMMYFUNCTION("GOOGLETRANSLATE($A62,""en"",""zh-cn"")"),"库拉索岛")</f>
        <v>库拉索岛</v>
      </c>
      <c r="H62" s="9" t="str">
        <f>IFERROR(__xludf.DUMMYFUNCTION("GOOGLETRANSLATE($A62,""en"",""ja"")"),"キュラソー")</f>
        <v>キュラソー</v>
      </c>
      <c r="I62" s="9" t="str">
        <f>IFERROR(__xludf.DUMMYFUNCTION("GOOGLETRANSLATE($A62,""en"",""ko"")"),"퀴라소")</f>
        <v>퀴라소</v>
      </c>
      <c r="J62" s="9" t="str">
        <f>IFERROR(__xludf.DUMMYFUNCTION("GOOGLETRANSLATE($A62,""en"",""pt-BR"")"),"Curaçau")</f>
        <v>Curaçau</v>
      </c>
    </row>
    <row r="63">
      <c r="A63" s="9" t="str">
        <f>IFERROR(__xludf.DUMMYFUNCTION("""COMPUTED_VALUE"""),"Cyprus")</f>
        <v>Cyprus</v>
      </c>
      <c r="B63" s="9" t="str">
        <f>IFERROR(__xludf.DUMMYFUNCTION("""COMPUTED_VALUE"""),"cy")</f>
        <v>cy</v>
      </c>
      <c r="C63" s="9" t="str">
        <f>IFERROR(__xludf.DUMMYFUNCTION("GOOGLETRANSLATE($A63,""en"",""de"")"),"Zypern")</f>
        <v>Zypern</v>
      </c>
      <c r="D63" s="9" t="str">
        <f>IFERROR(__xludf.DUMMYFUNCTION("GOOGLETRANSLATE($A63,""en"",""fr"")"),"Chypre")</f>
        <v>Chypre</v>
      </c>
      <c r="E63" s="9" t="str">
        <f>IFERROR(__xludf.DUMMYFUNCTION("GOOGLETRANSLATE($A63,""en"",""es"")"),"Chipre")</f>
        <v>Chipre</v>
      </c>
      <c r="F63" s="9" t="str">
        <f>IFERROR(__xludf.DUMMYFUNCTION("GOOGLETRANSLATE($A63,""en"",""it"")"),"Cipro")</f>
        <v>Cipro</v>
      </c>
      <c r="G63" s="9" t="str">
        <f>IFERROR(__xludf.DUMMYFUNCTION("GOOGLETRANSLATE($A63,""en"",""zh-cn"")"),"塞浦路斯")</f>
        <v>塞浦路斯</v>
      </c>
      <c r="H63" s="9" t="str">
        <f>IFERROR(__xludf.DUMMYFUNCTION("GOOGLETRANSLATE($A63,""en"",""ja"")"),"キプロス")</f>
        <v>キプロス</v>
      </c>
      <c r="I63" s="9" t="str">
        <f>IFERROR(__xludf.DUMMYFUNCTION("GOOGLETRANSLATE($A63,""en"",""ko"")"),"키프로스")</f>
        <v>키프로스</v>
      </c>
      <c r="J63" s="9" t="str">
        <f>IFERROR(__xludf.DUMMYFUNCTION("GOOGLETRANSLATE($A63,""en"",""pt-BR"")"),"Chipre")</f>
        <v>Chipre</v>
      </c>
    </row>
    <row r="64">
      <c r="A64" s="9" t="str">
        <f>IFERROR(__xludf.DUMMYFUNCTION("""COMPUTED_VALUE"""),"Czechia")</f>
        <v>Czechia</v>
      </c>
      <c r="B64" s="9" t="str">
        <f>IFERROR(__xludf.DUMMYFUNCTION("""COMPUTED_VALUE"""),"cz")</f>
        <v>cz</v>
      </c>
      <c r="C64" s="9" t="str">
        <f>IFERROR(__xludf.DUMMYFUNCTION("GOOGLETRANSLATE($A64,""en"",""de"")"),"Tschechien")</f>
        <v>Tschechien</v>
      </c>
      <c r="D64" s="9" t="str">
        <f>IFERROR(__xludf.DUMMYFUNCTION("GOOGLETRANSLATE($A64,""en"",""fr"")"),"Tchéquie")</f>
        <v>Tchéquie</v>
      </c>
      <c r="E64" s="9" t="str">
        <f>IFERROR(__xludf.DUMMYFUNCTION("GOOGLETRANSLATE($A64,""en"",""es"")"),"Chequia")</f>
        <v>Chequia</v>
      </c>
      <c r="F64" s="9" t="str">
        <f>IFERROR(__xludf.DUMMYFUNCTION("GOOGLETRANSLATE($A64,""en"",""it"")"),"Cechia")</f>
        <v>Cechia</v>
      </c>
      <c r="G64" s="9" t="str">
        <f>IFERROR(__xludf.DUMMYFUNCTION("GOOGLETRANSLATE($A64,""en"",""zh-cn"")"),"捷克")</f>
        <v>捷克</v>
      </c>
      <c r="H64" s="9" t="str">
        <f>IFERROR(__xludf.DUMMYFUNCTION("GOOGLETRANSLATE($A64,""en"",""ja"")"),"チェコ")</f>
        <v>チェコ</v>
      </c>
      <c r="I64" s="9" t="str">
        <f>IFERROR(__xludf.DUMMYFUNCTION("GOOGLETRANSLATE($A64,""en"",""ko"")"),"체코")</f>
        <v>체코</v>
      </c>
      <c r="J64" s="9" t="str">
        <f>IFERROR(__xludf.DUMMYFUNCTION("GOOGLETRANSLATE($A64,""en"",""pt-BR"")"),"Tcheca")</f>
        <v>Tcheca</v>
      </c>
    </row>
    <row r="65">
      <c r="A65" s="9" t="str">
        <f>IFERROR(__xludf.DUMMYFUNCTION("""COMPUTED_VALUE"""),"Denmark")</f>
        <v>Denmark</v>
      </c>
      <c r="B65" s="9" t="str">
        <f>IFERROR(__xludf.DUMMYFUNCTION("""COMPUTED_VALUE"""),"dk")</f>
        <v>dk</v>
      </c>
      <c r="C65" s="9" t="str">
        <f>IFERROR(__xludf.DUMMYFUNCTION("GOOGLETRANSLATE($A65,""en"",""de"")"),"Dänemark")</f>
        <v>Dänemark</v>
      </c>
      <c r="D65" s="9" t="str">
        <f>IFERROR(__xludf.DUMMYFUNCTION("GOOGLETRANSLATE($A65,""en"",""fr"")"),"Danemark")</f>
        <v>Danemark</v>
      </c>
      <c r="E65" s="9" t="str">
        <f>IFERROR(__xludf.DUMMYFUNCTION("GOOGLETRANSLATE($A65,""en"",""es"")"),"Dinamarca")</f>
        <v>Dinamarca</v>
      </c>
      <c r="F65" s="9" t="str">
        <f>IFERROR(__xludf.DUMMYFUNCTION("GOOGLETRANSLATE($A65,""en"",""it"")"),"Danimarca")</f>
        <v>Danimarca</v>
      </c>
      <c r="G65" s="9" t="str">
        <f>IFERROR(__xludf.DUMMYFUNCTION("GOOGLETRANSLATE($A65,""en"",""zh-cn"")"),"丹麦")</f>
        <v>丹麦</v>
      </c>
      <c r="H65" s="9" t="str">
        <f>IFERROR(__xludf.DUMMYFUNCTION("GOOGLETRANSLATE($A65,""en"",""ja"")"),"デンマーク")</f>
        <v>デンマーク</v>
      </c>
      <c r="I65" s="9" t="str">
        <f>IFERROR(__xludf.DUMMYFUNCTION("GOOGLETRANSLATE($A65,""en"",""ko"")"),"덴마크")</f>
        <v>덴마크</v>
      </c>
      <c r="J65" s="9" t="str">
        <f>IFERROR(__xludf.DUMMYFUNCTION("GOOGLETRANSLATE($A65,""en"",""pt-BR"")"),"Dinamarca")</f>
        <v>Dinamarca</v>
      </c>
    </row>
    <row r="66">
      <c r="A66" s="9" t="str">
        <f>IFERROR(__xludf.DUMMYFUNCTION("""COMPUTED_VALUE"""),"Djibouti")</f>
        <v>Djibouti</v>
      </c>
      <c r="B66" s="9" t="str">
        <f>IFERROR(__xludf.DUMMYFUNCTION("""COMPUTED_VALUE"""),"dj")</f>
        <v>dj</v>
      </c>
      <c r="C66" s="9" t="str">
        <f>IFERROR(__xludf.DUMMYFUNCTION("GOOGLETRANSLATE($A66,""en"",""de"")"),"Dschibuti")</f>
        <v>Dschibuti</v>
      </c>
      <c r="D66" s="9" t="str">
        <f>IFERROR(__xludf.DUMMYFUNCTION("GOOGLETRANSLATE($A66,""en"",""fr"")"),"Djibouti")</f>
        <v>Djibouti</v>
      </c>
      <c r="E66" s="9" t="str">
        <f>IFERROR(__xludf.DUMMYFUNCTION("GOOGLETRANSLATE($A66,""en"",""es"")"),"Yibuti")</f>
        <v>Yibuti</v>
      </c>
      <c r="F66" s="9" t="str">
        <f>IFERROR(__xludf.DUMMYFUNCTION("GOOGLETRANSLATE($A66,""en"",""it"")"),"Gibuti")</f>
        <v>Gibuti</v>
      </c>
      <c r="G66" s="9" t="str">
        <f>IFERROR(__xludf.DUMMYFUNCTION("GOOGLETRANSLATE($A66,""en"",""zh-cn"")"),"吉布提")</f>
        <v>吉布提</v>
      </c>
      <c r="H66" s="9" t="str">
        <f>IFERROR(__xludf.DUMMYFUNCTION("GOOGLETRANSLATE($A66,""en"",""ja"")"),"ジブチ")</f>
        <v>ジブチ</v>
      </c>
      <c r="I66" s="9" t="str">
        <f>IFERROR(__xludf.DUMMYFUNCTION("GOOGLETRANSLATE($A66,""en"",""ko"")"),"지부티")</f>
        <v>지부티</v>
      </c>
      <c r="J66" s="9" t="str">
        <f>IFERROR(__xludf.DUMMYFUNCTION("GOOGLETRANSLATE($A66,""en"",""pt-BR"")"),"Djibuti")</f>
        <v>Djibuti</v>
      </c>
    </row>
    <row r="67">
      <c r="A67" s="9" t="str">
        <f>IFERROR(__xludf.DUMMYFUNCTION("""COMPUTED_VALUE"""),"Dominica")</f>
        <v>Dominica</v>
      </c>
      <c r="B67" s="9" t="str">
        <f>IFERROR(__xludf.DUMMYFUNCTION("""COMPUTED_VALUE"""),"dm")</f>
        <v>dm</v>
      </c>
      <c r="C67" s="9" t="str">
        <f>IFERROR(__xludf.DUMMYFUNCTION("GOOGLETRANSLATE($A67,""en"",""de"")"),"Dominica")</f>
        <v>Dominica</v>
      </c>
      <c r="D67" s="9" t="str">
        <f>IFERROR(__xludf.DUMMYFUNCTION("GOOGLETRANSLATE($A67,""en"",""fr"")"),"Dominique")</f>
        <v>Dominique</v>
      </c>
      <c r="E67" s="9" t="str">
        <f>IFERROR(__xludf.DUMMYFUNCTION("GOOGLETRANSLATE($A67,""en"",""es"")"),"Dominica")</f>
        <v>Dominica</v>
      </c>
      <c r="F67" s="9" t="str">
        <f>IFERROR(__xludf.DUMMYFUNCTION("GOOGLETRANSLATE($A67,""en"",""it"")"),"Dominica")</f>
        <v>Dominica</v>
      </c>
      <c r="G67" s="9" t="str">
        <f>IFERROR(__xludf.DUMMYFUNCTION("GOOGLETRANSLATE($A67,""en"",""zh-cn"")"),"多米尼加")</f>
        <v>多米尼加</v>
      </c>
      <c r="H67" s="9" t="str">
        <f>IFERROR(__xludf.DUMMYFUNCTION("GOOGLETRANSLATE($A67,""en"",""ja"")"),"ドミニカ")</f>
        <v>ドミニカ</v>
      </c>
      <c r="I67" s="9" t="str">
        <f>IFERROR(__xludf.DUMMYFUNCTION("GOOGLETRANSLATE($A67,""en"",""ko"")"),"도미니카")</f>
        <v>도미니카</v>
      </c>
      <c r="J67" s="9" t="str">
        <f>IFERROR(__xludf.DUMMYFUNCTION("GOOGLETRANSLATE($A67,""en"",""pt-BR"")"),"Domínica")</f>
        <v>Domínica</v>
      </c>
    </row>
    <row r="68">
      <c r="A68" s="9" t="str">
        <f>IFERROR(__xludf.DUMMYFUNCTION("""COMPUTED_VALUE"""),"Dominican Republic")</f>
        <v>Dominican Republic</v>
      </c>
      <c r="B68" s="9" t="str">
        <f>IFERROR(__xludf.DUMMYFUNCTION("""COMPUTED_VALUE"""),"do")</f>
        <v>do</v>
      </c>
      <c r="C68" s="9" t="str">
        <f>IFERROR(__xludf.DUMMYFUNCTION("GOOGLETRANSLATE($A68,""en"",""de"")"),"Dominikanische Republik")</f>
        <v>Dominikanische Republik</v>
      </c>
      <c r="D68" s="9" t="str">
        <f>IFERROR(__xludf.DUMMYFUNCTION("GOOGLETRANSLATE($A68,""en"",""fr"")"),"République dominicaine")</f>
        <v>République dominicaine</v>
      </c>
      <c r="E68" s="9" t="str">
        <f>IFERROR(__xludf.DUMMYFUNCTION("GOOGLETRANSLATE($A68,""en"",""es"")"),"República Dominicana")</f>
        <v>República Dominicana</v>
      </c>
      <c r="F68" s="9" t="str">
        <f>IFERROR(__xludf.DUMMYFUNCTION("GOOGLETRANSLATE($A68,""en"",""it"")"),"Repubblica Dominicana")</f>
        <v>Repubblica Dominicana</v>
      </c>
      <c r="G68" s="9" t="str">
        <f>IFERROR(__xludf.DUMMYFUNCTION("GOOGLETRANSLATE($A68,""en"",""zh-cn"")"),"多明尼加共和国")</f>
        <v>多明尼加共和国</v>
      </c>
      <c r="H68" s="9" t="str">
        <f>IFERROR(__xludf.DUMMYFUNCTION("GOOGLETRANSLATE($A68,""en"",""ja"")"),"ドミニカ共和国")</f>
        <v>ドミニカ共和国</v>
      </c>
      <c r="I68" s="9" t="str">
        <f>IFERROR(__xludf.DUMMYFUNCTION("GOOGLETRANSLATE($A68,""en"",""ko"")"),"도미니카 공화국")</f>
        <v>도미니카 공화국</v>
      </c>
      <c r="J68" s="9" t="str">
        <f>IFERROR(__xludf.DUMMYFUNCTION("GOOGLETRANSLATE($A68,""en"",""pt-BR"")"),"República Dominicana")</f>
        <v>República Dominicana</v>
      </c>
    </row>
    <row r="69">
      <c r="A69" s="9" t="str">
        <f>IFERROR(__xludf.DUMMYFUNCTION("""COMPUTED_VALUE"""),"Ecuador")</f>
        <v>Ecuador</v>
      </c>
      <c r="B69" s="9" t="str">
        <f>IFERROR(__xludf.DUMMYFUNCTION("""COMPUTED_VALUE"""),"ec")</f>
        <v>ec</v>
      </c>
      <c r="C69" s="9" t="str">
        <f>IFERROR(__xludf.DUMMYFUNCTION("GOOGLETRANSLATE($A69,""en"",""de"")"),"Ecuador")</f>
        <v>Ecuador</v>
      </c>
      <c r="D69" s="9" t="str">
        <f>IFERROR(__xludf.DUMMYFUNCTION("GOOGLETRANSLATE($A69,""en"",""fr"")"),"Équateur")</f>
        <v>Équateur</v>
      </c>
      <c r="E69" s="9" t="str">
        <f>IFERROR(__xludf.DUMMYFUNCTION("GOOGLETRANSLATE($A69,""en"",""es"")"),"Ecuador")</f>
        <v>Ecuador</v>
      </c>
      <c r="F69" s="9" t="str">
        <f>IFERROR(__xludf.DUMMYFUNCTION("GOOGLETRANSLATE($A69,""en"",""it"")"),"Ecuador")</f>
        <v>Ecuador</v>
      </c>
      <c r="G69" s="9" t="str">
        <f>IFERROR(__xludf.DUMMYFUNCTION("GOOGLETRANSLATE($A69,""en"",""zh-cn"")"),"厄瓜多尔")</f>
        <v>厄瓜多尔</v>
      </c>
      <c r="H69" s="9" t="str">
        <f>IFERROR(__xludf.DUMMYFUNCTION("GOOGLETRANSLATE($A69,""en"",""ja"")"),"エクアドル")</f>
        <v>エクアドル</v>
      </c>
      <c r="I69" s="9" t="str">
        <f>IFERROR(__xludf.DUMMYFUNCTION("GOOGLETRANSLATE($A69,""en"",""ko"")"),"에콰도르")</f>
        <v>에콰도르</v>
      </c>
      <c r="J69" s="9" t="str">
        <f>IFERROR(__xludf.DUMMYFUNCTION("GOOGLETRANSLATE($A69,""en"",""pt-BR"")"),"Equador")</f>
        <v>Equador</v>
      </c>
    </row>
    <row r="70">
      <c r="A70" s="9" t="str">
        <f>IFERROR(__xludf.DUMMYFUNCTION("""COMPUTED_VALUE"""),"Egypt")</f>
        <v>Egypt</v>
      </c>
      <c r="B70" s="9" t="str">
        <f>IFERROR(__xludf.DUMMYFUNCTION("""COMPUTED_VALUE"""),"eg")</f>
        <v>eg</v>
      </c>
      <c r="C70" s="9" t="str">
        <f>IFERROR(__xludf.DUMMYFUNCTION("GOOGLETRANSLATE($A70,""en"",""de"")"),"Ägypten")</f>
        <v>Ägypten</v>
      </c>
      <c r="D70" s="9" t="str">
        <f>IFERROR(__xludf.DUMMYFUNCTION("GOOGLETRANSLATE($A70,""en"",""fr"")"),"Egypte")</f>
        <v>Egypte</v>
      </c>
      <c r="E70" s="9" t="str">
        <f>IFERROR(__xludf.DUMMYFUNCTION("GOOGLETRANSLATE($A70,""en"",""es"")"),"Egipto")</f>
        <v>Egipto</v>
      </c>
      <c r="F70" s="9" t="str">
        <f>IFERROR(__xludf.DUMMYFUNCTION("GOOGLETRANSLATE($A70,""en"",""it"")"),"Egitto")</f>
        <v>Egitto</v>
      </c>
      <c r="G70" s="9" t="str">
        <f>IFERROR(__xludf.DUMMYFUNCTION("GOOGLETRANSLATE($A70,""en"",""zh-cn"")"),"埃及")</f>
        <v>埃及</v>
      </c>
      <c r="H70" s="9" t="str">
        <f>IFERROR(__xludf.DUMMYFUNCTION("GOOGLETRANSLATE($A70,""en"",""ja"")"),"エジプト")</f>
        <v>エジプト</v>
      </c>
      <c r="I70" s="9" t="str">
        <f>IFERROR(__xludf.DUMMYFUNCTION("GOOGLETRANSLATE($A70,""en"",""ko"")"),"이집트")</f>
        <v>이집트</v>
      </c>
      <c r="J70" s="9" t="str">
        <f>IFERROR(__xludf.DUMMYFUNCTION("GOOGLETRANSLATE($A70,""en"",""pt-BR"")"),"Egito")</f>
        <v>Egito</v>
      </c>
    </row>
    <row r="71">
      <c r="A71" s="9" t="str">
        <f>IFERROR(__xludf.DUMMYFUNCTION("""COMPUTED_VALUE"""),"El Salvador")</f>
        <v>El Salvador</v>
      </c>
      <c r="B71" s="9" t="str">
        <f>IFERROR(__xludf.DUMMYFUNCTION("""COMPUTED_VALUE"""),"sv")</f>
        <v>sv</v>
      </c>
      <c r="C71" s="9" t="str">
        <f>IFERROR(__xludf.DUMMYFUNCTION("GOOGLETRANSLATE($A71,""en"",""de"")"),"El Salvador")</f>
        <v>El Salvador</v>
      </c>
      <c r="D71" s="9" t="str">
        <f>IFERROR(__xludf.DUMMYFUNCTION("GOOGLETRANSLATE($A71,""en"",""fr"")"),"Salvador")</f>
        <v>Salvador</v>
      </c>
      <c r="E71" s="9" t="str">
        <f>IFERROR(__xludf.DUMMYFUNCTION("GOOGLETRANSLATE($A71,""en"",""es"")"),"Salvador")</f>
        <v>Salvador</v>
      </c>
      <c r="F71" s="9" t="str">
        <f>IFERROR(__xludf.DUMMYFUNCTION("GOOGLETRANSLATE($A71,""en"",""it"")"),"El Salvador")</f>
        <v>El Salvador</v>
      </c>
      <c r="G71" s="9" t="str">
        <f>IFERROR(__xludf.DUMMYFUNCTION("GOOGLETRANSLATE($A71,""en"",""zh-cn"")"),"萨尔瓦多")</f>
        <v>萨尔瓦多</v>
      </c>
      <c r="H71" s="9" t="str">
        <f>IFERROR(__xludf.DUMMYFUNCTION("GOOGLETRANSLATE($A71,""en"",""ja"")"),"エルサルバドル")</f>
        <v>エルサルバドル</v>
      </c>
      <c r="I71" s="9" t="str">
        <f>IFERROR(__xludf.DUMMYFUNCTION("GOOGLETRANSLATE($A71,""en"",""ko"")"),"엘살바도르")</f>
        <v>엘살바도르</v>
      </c>
      <c r="J71" s="9" t="str">
        <f>IFERROR(__xludf.DUMMYFUNCTION("GOOGLETRANSLATE($A71,""en"",""pt-BR"")"),"El Salvador")</f>
        <v>El Salvador</v>
      </c>
    </row>
    <row r="72">
      <c r="A72" s="9" t="str">
        <f>IFERROR(__xludf.DUMMYFUNCTION("""COMPUTED_VALUE"""),"Equatorial Guinea")</f>
        <v>Equatorial Guinea</v>
      </c>
      <c r="B72" s="9" t="str">
        <f>IFERROR(__xludf.DUMMYFUNCTION("""COMPUTED_VALUE"""),"gq")</f>
        <v>gq</v>
      </c>
      <c r="C72" s="9" t="str">
        <f>IFERROR(__xludf.DUMMYFUNCTION("GOOGLETRANSLATE($A72,""en"",""de"")"),"Äquatorialguinea")</f>
        <v>Äquatorialguinea</v>
      </c>
      <c r="D72" s="9" t="str">
        <f>IFERROR(__xludf.DUMMYFUNCTION("GOOGLETRANSLATE($A72,""en"",""fr"")"),"Guinée équatoriale")</f>
        <v>Guinée équatoriale</v>
      </c>
      <c r="E72" s="9" t="str">
        <f>IFERROR(__xludf.DUMMYFUNCTION("GOOGLETRANSLATE($A72,""en"",""es"")"),"Guinea Ecuatorial")</f>
        <v>Guinea Ecuatorial</v>
      </c>
      <c r="F72" s="9" t="str">
        <f>IFERROR(__xludf.DUMMYFUNCTION("GOOGLETRANSLATE($A72,""en"",""it"")"),"Guinea Equatoriale")</f>
        <v>Guinea Equatoriale</v>
      </c>
      <c r="G72" s="9" t="str">
        <f>IFERROR(__xludf.DUMMYFUNCTION("GOOGLETRANSLATE($A72,""en"",""zh-cn"")"),"赤道几内亚")</f>
        <v>赤道几内亚</v>
      </c>
      <c r="H72" s="9" t="str">
        <f>IFERROR(__xludf.DUMMYFUNCTION("GOOGLETRANSLATE($A72,""en"",""ja"")"),"赤道ギニア")</f>
        <v>赤道ギニア</v>
      </c>
      <c r="I72" s="9" t="str">
        <f>IFERROR(__xludf.DUMMYFUNCTION("GOOGLETRANSLATE($A72,""en"",""ko"")"),"적도기니")</f>
        <v>적도기니</v>
      </c>
      <c r="J72" s="9" t="str">
        <f>IFERROR(__xludf.DUMMYFUNCTION("GOOGLETRANSLATE($A72,""en"",""pt-BR"")"),"Guiné Equatorial")</f>
        <v>Guiné Equatorial</v>
      </c>
    </row>
    <row r="73">
      <c r="A73" s="9" t="str">
        <f>IFERROR(__xludf.DUMMYFUNCTION("""COMPUTED_VALUE"""),"Eritrea")</f>
        <v>Eritrea</v>
      </c>
      <c r="B73" s="9" t="str">
        <f>IFERROR(__xludf.DUMMYFUNCTION("""COMPUTED_VALUE"""),"er")</f>
        <v>er</v>
      </c>
      <c r="C73" s="9" t="str">
        <f>IFERROR(__xludf.DUMMYFUNCTION("GOOGLETRANSLATE($A73,""en"",""de"")"),"Eritrea")</f>
        <v>Eritrea</v>
      </c>
      <c r="D73" s="9" t="str">
        <f>IFERROR(__xludf.DUMMYFUNCTION("GOOGLETRANSLATE($A73,""en"",""fr"")"),"Érythrée")</f>
        <v>Érythrée</v>
      </c>
      <c r="E73" s="9" t="str">
        <f>IFERROR(__xludf.DUMMYFUNCTION("GOOGLETRANSLATE($A73,""en"",""es"")"),"Eritrea")</f>
        <v>Eritrea</v>
      </c>
      <c r="F73" s="9" t="str">
        <f>IFERROR(__xludf.DUMMYFUNCTION("GOOGLETRANSLATE($A73,""en"",""it"")"),"Eritrea")</f>
        <v>Eritrea</v>
      </c>
      <c r="G73" s="9" t="str">
        <f>IFERROR(__xludf.DUMMYFUNCTION("GOOGLETRANSLATE($A73,""en"",""zh-cn"")"),"厄立特里亚")</f>
        <v>厄立特里亚</v>
      </c>
      <c r="H73" s="9" t="str">
        <f>IFERROR(__xludf.DUMMYFUNCTION("GOOGLETRANSLATE($A73,""en"",""ja"")"),"エリトリア")</f>
        <v>エリトリア</v>
      </c>
      <c r="I73" s="9" t="str">
        <f>IFERROR(__xludf.DUMMYFUNCTION("GOOGLETRANSLATE($A73,""en"",""ko"")"),"에리트레아")</f>
        <v>에리트레아</v>
      </c>
      <c r="J73" s="9" t="str">
        <f>IFERROR(__xludf.DUMMYFUNCTION("GOOGLETRANSLATE($A73,""en"",""pt-BR"")"),"Eritreia")</f>
        <v>Eritreia</v>
      </c>
    </row>
    <row r="74">
      <c r="A74" s="9" t="str">
        <f>IFERROR(__xludf.DUMMYFUNCTION("""COMPUTED_VALUE"""),"Estonia")</f>
        <v>Estonia</v>
      </c>
      <c r="B74" s="9" t="str">
        <f>IFERROR(__xludf.DUMMYFUNCTION("""COMPUTED_VALUE"""),"ee")</f>
        <v>ee</v>
      </c>
      <c r="C74" s="9" t="str">
        <f>IFERROR(__xludf.DUMMYFUNCTION("GOOGLETRANSLATE($A74,""en"",""de"")"),"Estland")</f>
        <v>Estland</v>
      </c>
      <c r="D74" s="9" t="str">
        <f>IFERROR(__xludf.DUMMYFUNCTION("GOOGLETRANSLATE($A74,""en"",""fr"")"),"Estonie")</f>
        <v>Estonie</v>
      </c>
      <c r="E74" s="9" t="str">
        <f>IFERROR(__xludf.DUMMYFUNCTION("GOOGLETRANSLATE($A74,""en"",""es"")"),"Estonia")</f>
        <v>Estonia</v>
      </c>
      <c r="F74" s="9" t="str">
        <f>IFERROR(__xludf.DUMMYFUNCTION("GOOGLETRANSLATE($A74,""en"",""it"")"),"Estonia")</f>
        <v>Estonia</v>
      </c>
      <c r="G74" s="9" t="str">
        <f>IFERROR(__xludf.DUMMYFUNCTION("GOOGLETRANSLATE($A74,""en"",""zh-cn"")"),"爱沙尼亚")</f>
        <v>爱沙尼亚</v>
      </c>
      <c r="H74" s="9" t="str">
        <f>IFERROR(__xludf.DUMMYFUNCTION("GOOGLETRANSLATE($A74,""en"",""ja"")"),"エストニア")</f>
        <v>エストニア</v>
      </c>
      <c r="I74" s="9" t="str">
        <f>IFERROR(__xludf.DUMMYFUNCTION("GOOGLETRANSLATE($A74,""en"",""ko"")"),"에스토니아")</f>
        <v>에스토니아</v>
      </c>
      <c r="J74" s="9" t="str">
        <f>IFERROR(__xludf.DUMMYFUNCTION("GOOGLETRANSLATE($A74,""en"",""pt-BR"")"),"Estônia")</f>
        <v>Estônia</v>
      </c>
    </row>
    <row r="75">
      <c r="A75" s="9" t="str">
        <f>IFERROR(__xludf.DUMMYFUNCTION("""COMPUTED_VALUE"""),"Eswatini")</f>
        <v>Eswatini</v>
      </c>
      <c r="B75" s="9" t="str">
        <f>IFERROR(__xludf.DUMMYFUNCTION("""COMPUTED_VALUE"""),"sz")</f>
        <v>sz</v>
      </c>
      <c r="C75" s="9" t="str">
        <f>IFERROR(__xludf.DUMMYFUNCTION("GOOGLETRANSLATE($A75,""en"",""de"")"),"Eswatini")</f>
        <v>Eswatini</v>
      </c>
      <c r="D75" s="9" t="str">
        <f>IFERROR(__xludf.DUMMYFUNCTION("GOOGLETRANSLATE($A75,""en"",""fr"")"),"Eswatini")</f>
        <v>Eswatini</v>
      </c>
      <c r="E75" s="9" t="str">
        <f>IFERROR(__xludf.DUMMYFUNCTION("GOOGLETRANSLATE($A75,""en"",""es"")"),"Esuatini")</f>
        <v>Esuatini</v>
      </c>
      <c r="F75" s="9" t="str">
        <f>IFERROR(__xludf.DUMMYFUNCTION("GOOGLETRANSLATE($A75,""en"",""it"")"),"Swaziland")</f>
        <v>Swaziland</v>
      </c>
      <c r="G75" s="9" t="str">
        <f>IFERROR(__xludf.DUMMYFUNCTION("GOOGLETRANSLATE($A75,""en"",""zh-cn"")"),"史瓦帝尼")</f>
        <v>史瓦帝尼</v>
      </c>
      <c r="H75" s="9" t="str">
        <f>IFERROR(__xludf.DUMMYFUNCTION("GOOGLETRANSLATE($A75,""en"",""ja"")"),"エスワティニ")</f>
        <v>エスワティニ</v>
      </c>
      <c r="I75" s="9" t="str">
        <f>IFERROR(__xludf.DUMMYFUNCTION("GOOGLETRANSLATE($A75,""en"",""ko"")"),"에스와티니")</f>
        <v>에스와티니</v>
      </c>
      <c r="J75" s="9" t="str">
        <f>IFERROR(__xludf.DUMMYFUNCTION("GOOGLETRANSLATE($A75,""en"",""pt-BR"")"),"Essuatíni")</f>
        <v>Essuatíni</v>
      </c>
    </row>
    <row r="76">
      <c r="A76" s="9" t="str">
        <f>IFERROR(__xludf.DUMMYFUNCTION("""COMPUTED_VALUE"""),"Ethiopia")</f>
        <v>Ethiopia</v>
      </c>
      <c r="B76" s="9" t="str">
        <f>IFERROR(__xludf.DUMMYFUNCTION("""COMPUTED_VALUE"""),"et")</f>
        <v>et</v>
      </c>
      <c r="C76" s="9" t="str">
        <f>IFERROR(__xludf.DUMMYFUNCTION("GOOGLETRANSLATE($A76,""en"",""de"")"),"Äthiopien")</f>
        <v>Äthiopien</v>
      </c>
      <c r="D76" s="9" t="str">
        <f>IFERROR(__xludf.DUMMYFUNCTION("GOOGLETRANSLATE($A76,""en"",""fr"")"),"Ethiopie")</f>
        <v>Ethiopie</v>
      </c>
      <c r="E76" s="9" t="str">
        <f>IFERROR(__xludf.DUMMYFUNCTION("GOOGLETRANSLATE($A76,""en"",""es"")"),"Etiopía")</f>
        <v>Etiopía</v>
      </c>
      <c r="F76" s="9" t="str">
        <f>IFERROR(__xludf.DUMMYFUNCTION("GOOGLETRANSLATE($A76,""en"",""it"")"),"Etiopia")</f>
        <v>Etiopia</v>
      </c>
      <c r="G76" s="9" t="str">
        <f>IFERROR(__xludf.DUMMYFUNCTION("GOOGLETRANSLATE($A76,""en"",""zh-cn"")"),"埃塞俄比亚")</f>
        <v>埃塞俄比亚</v>
      </c>
      <c r="H76" s="9" t="str">
        <f>IFERROR(__xludf.DUMMYFUNCTION("GOOGLETRANSLATE($A76,""en"",""ja"")"),"エチオピア")</f>
        <v>エチオピア</v>
      </c>
      <c r="I76" s="9" t="str">
        <f>IFERROR(__xludf.DUMMYFUNCTION("GOOGLETRANSLATE($A76,""en"",""ko"")"),"에티오피아")</f>
        <v>에티오피아</v>
      </c>
      <c r="J76" s="9" t="str">
        <f>IFERROR(__xludf.DUMMYFUNCTION("GOOGLETRANSLATE($A76,""en"",""pt-BR"")"),"Etiópia")</f>
        <v>Etiópia</v>
      </c>
    </row>
    <row r="77">
      <c r="A77" s="9" t="str">
        <f>IFERROR(__xludf.DUMMYFUNCTION("""COMPUTED_VALUE"""),"Falkland Islands")</f>
        <v>Falkland Islands</v>
      </c>
      <c r="B77" s="9" t="str">
        <f>IFERROR(__xludf.DUMMYFUNCTION("""COMPUTED_VALUE"""),"fk")</f>
        <v>fk</v>
      </c>
      <c r="C77" s="9" t="str">
        <f>IFERROR(__xludf.DUMMYFUNCTION("GOOGLETRANSLATE($A77,""en"",""de"")"),"Falklandinseln")</f>
        <v>Falklandinseln</v>
      </c>
      <c r="D77" s="9" t="str">
        <f>IFERROR(__xludf.DUMMYFUNCTION("GOOGLETRANSLATE($A77,""en"",""fr"")"),"Îles Falkland")</f>
        <v>Îles Falkland</v>
      </c>
      <c r="E77" s="9" t="str">
        <f>IFERROR(__xludf.DUMMYFUNCTION("GOOGLETRANSLATE($A77,""en"",""es"")"),"Islas Malvinas")</f>
        <v>Islas Malvinas</v>
      </c>
      <c r="F77" s="9" t="str">
        <f>IFERROR(__xludf.DUMMYFUNCTION("GOOGLETRANSLATE($A77,""en"",""it"")"),"Isole Falkland")</f>
        <v>Isole Falkland</v>
      </c>
      <c r="G77" s="9" t="str">
        <f>IFERROR(__xludf.DUMMYFUNCTION("GOOGLETRANSLATE($A77,""en"",""zh-cn"")"),"福克兰群岛")</f>
        <v>福克兰群岛</v>
      </c>
      <c r="H77" s="9" t="str">
        <f>IFERROR(__xludf.DUMMYFUNCTION("GOOGLETRANSLATE($A77,""en"",""ja"")"),"フォークランド諸島")</f>
        <v>フォークランド諸島</v>
      </c>
      <c r="I77" s="9" t="str">
        <f>IFERROR(__xludf.DUMMYFUNCTION("GOOGLETRANSLATE($A77,""en"",""ko"")"),"포클랜드 제도")</f>
        <v>포클랜드 제도</v>
      </c>
      <c r="J77" s="9" t="str">
        <f>IFERROR(__xludf.DUMMYFUNCTION("GOOGLETRANSLATE($A77,""en"",""pt-BR"")"),"Ilhas Malvinas")</f>
        <v>Ilhas Malvinas</v>
      </c>
    </row>
    <row r="78">
      <c r="A78" s="9" t="str">
        <f>IFERROR(__xludf.DUMMYFUNCTION("""COMPUTED_VALUE"""),"Faroe Islands")</f>
        <v>Faroe Islands</v>
      </c>
      <c r="B78" s="9" t="str">
        <f>IFERROR(__xludf.DUMMYFUNCTION("""COMPUTED_VALUE"""),"fo")</f>
        <v>fo</v>
      </c>
      <c r="C78" s="9" t="str">
        <f>IFERROR(__xludf.DUMMYFUNCTION("GOOGLETRANSLATE($A78,""en"",""de"")"),"Färöer-Inseln")</f>
        <v>Färöer-Inseln</v>
      </c>
      <c r="D78" s="9" t="str">
        <f>IFERROR(__xludf.DUMMYFUNCTION("GOOGLETRANSLATE($A78,""en"",""fr"")"),"Îles Féroé")</f>
        <v>Îles Féroé</v>
      </c>
      <c r="E78" s="9" t="str">
        <f>IFERROR(__xludf.DUMMYFUNCTION("GOOGLETRANSLATE($A78,""en"",""es"")"),"Islas Feroe")</f>
        <v>Islas Feroe</v>
      </c>
      <c r="F78" s="9" t="str">
        <f>IFERROR(__xludf.DUMMYFUNCTION("GOOGLETRANSLATE($A78,""en"",""it"")"),"Isole Faroe")</f>
        <v>Isole Faroe</v>
      </c>
      <c r="G78" s="9" t="str">
        <f>IFERROR(__xludf.DUMMYFUNCTION("GOOGLETRANSLATE($A78,""en"",""zh-cn"")"),"法罗群岛")</f>
        <v>法罗群岛</v>
      </c>
      <c r="H78" s="9" t="str">
        <f>IFERROR(__xludf.DUMMYFUNCTION("GOOGLETRANSLATE($A78,""en"",""ja"")"),"フェロー諸島")</f>
        <v>フェロー諸島</v>
      </c>
      <c r="I78" s="9" t="str">
        <f>IFERROR(__xludf.DUMMYFUNCTION("GOOGLETRANSLATE($A78,""en"",""ko"")"),"페로 제도")</f>
        <v>페로 제도</v>
      </c>
      <c r="J78" s="9" t="str">
        <f>IFERROR(__xludf.DUMMYFUNCTION("GOOGLETRANSLATE($A78,""en"",""pt-BR"")"),"Ilhas Faroé")</f>
        <v>Ilhas Faroé</v>
      </c>
    </row>
    <row r="79">
      <c r="A79" s="9" t="str">
        <f>IFERROR(__xludf.DUMMYFUNCTION("""COMPUTED_VALUE"""),"Fiji")</f>
        <v>Fiji</v>
      </c>
      <c r="B79" s="9" t="str">
        <f>IFERROR(__xludf.DUMMYFUNCTION("""COMPUTED_VALUE"""),"fj")</f>
        <v>fj</v>
      </c>
      <c r="C79" s="9" t="str">
        <f>IFERROR(__xludf.DUMMYFUNCTION("GOOGLETRANSLATE($A79,""en"",""de"")"),"Fidschi")</f>
        <v>Fidschi</v>
      </c>
      <c r="D79" s="9" t="str">
        <f>IFERROR(__xludf.DUMMYFUNCTION("GOOGLETRANSLATE($A79,""en"",""fr"")"),"Fidji")</f>
        <v>Fidji</v>
      </c>
      <c r="E79" s="9" t="str">
        <f>IFERROR(__xludf.DUMMYFUNCTION("GOOGLETRANSLATE($A79,""en"",""es"")"),"Fiyi")</f>
        <v>Fiyi</v>
      </c>
      <c r="F79" s="9" t="str">
        <f>IFERROR(__xludf.DUMMYFUNCTION("GOOGLETRANSLATE($A79,""en"",""it"")"),"Figi")</f>
        <v>Figi</v>
      </c>
      <c r="G79" s="9" t="str">
        <f>IFERROR(__xludf.DUMMYFUNCTION("GOOGLETRANSLATE($A79,""en"",""zh-cn"")"),"斐济")</f>
        <v>斐济</v>
      </c>
      <c r="H79" s="9" t="str">
        <f>IFERROR(__xludf.DUMMYFUNCTION("GOOGLETRANSLATE($A79,""en"",""ja"")"),"フィジー")</f>
        <v>フィジー</v>
      </c>
      <c r="I79" s="9" t="str">
        <f>IFERROR(__xludf.DUMMYFUNCTION("GOOGLETRANSLATE($A79,""en"",""ko"")"),"피지")</f>
        <v>피지</v>
      </c>
      <c r="J79" s="9" t="str">
        <f>IFERROR(__xludf.DUMMYFUNCTION("GOOGLETRANSLATE($A79,""en"",""pt-BR"")"),"Fiji")</f>
        <v>Fiji</v>
      </c>
    </row>
    <row r="80">
      <c r="A80" s="9" t="str">
        <f>IFERROR(__xludf.DUMMYFUNCTION("""COMPUTED_VALUE"""),"Finland")</f>
        <v>Finland</v>
      </c>
      <c r="B80" s="9" t="str">
        <f>IFERROR(__xludf.DUMMYFUNCTION("""COMPUTED_VALUE"""),"fi")</f>
        <v>fi</v>
      </c>
      <c r="C80" s="9" t="str">
        <f>IFERROR(__xludf.DUMMYFUNCTION("GOOGLETRANSLATE($A80,""en"",""de"")"),"Finnland")</f>
        <v>Finnland</v>
      </c>
      <c r="D80" s="9" t="str">
        <f>IFERROR(__xludf.DUMMYFUNCTION("GOOGLETRANSLATE($A80,""en"",""fr"")"),"Finlande")</f>
        <v>Finlande</v>
      </c>
      <c r="E80" s="9" t="str">
        <f>IFERROR(__xludf.DUMMYFUNCTION("GOOGLETRANSLATE($A80,""en"",""es"")"),"Finlandia")</f>
        <v>Finlandia</v>
      </c>
      <c r="F80" s="9" t="str">
        <f>IFERROR(__xludf.DUMMYFUNCTION("GOOGLETRANSLATE($A80,""en"",""it"")"),"Finlandia")</f>
        <v>Finlandia</v>
      </c>
      <c r="G80" s="9" t="str">
        <f>IFERROR(__xludf.DUMMYFUNCTION("GOOGLETRANSLATE($A80,""en"",""zh-cn"")"),"芬兰")</f>
        <v>芬兰</v>
      </c>
      <c r="H80" s="9" t="str">
        <f>IFERROR(__xludf.DUMMYFUNCTION("GOOGLETRANSLATE($A80,""en"",""ja"")"),"フィンランド")</f>
        <v>フィンランド</v>
      </c>
      <c r="I80" s="9" t="str">
        <f>IFERROR(__xludf.DUMMYFUNCTION("GOOGLETRANSLATE($A80,""en"",""ko"")"),"핀란드")</f>
        <v>핀란드</v>
      </c>
      <c r="J80" s="9" t="str">
        <f>IFERROR(__xludf.DUMMYFUNCTION("GOOGLETRANSLATE($A80,""en"",""pt-BR"")"),"Finlândia")</f>
        <v>Finlândia</v>
      </c>
    </row>
    <row r="81">
      <c r="A81" s="9" t="str">
        <f>IFERROR(__xludf.DUMMYFUNCTION("""COMPUTED_VALUE"""),"France")</f>
        <v>France</v>
      </c>
      <c r="B81" s="9" t="str">
        <f>IFERROR(__xludf.DUMMYFUNCTION("""COMPUTED_VALUE"""),"fr")</f>
        <v>fr</v>
      </c>
      <c r="C81" s="9" t="str">
        <f>IFERROR(__xludf.DUMMYFUNCTION("GOOGLETRANSLATE($A81,""en"",""de"")"),"Frankreich")</f>
        <v>Frankreich</v>
      </c>
      <c r="D81" s="9" t="str">
        <f>IFERROR(__xludf.DUMMYFUNCTION("GOOGLETRANSLATE($A81,""en"",""fr"")"),"France")</f>
        <v>France</v>
      </c>
      <c r="E81" s="9" t="str">
        <f>IFERROR(__xludf.DUMMYFUNCTION("GOOGLETRANSLATE($A81,""en"",""es"")"),"Francia")</f>
        <v>Francia</v>
      </c>
      <c r="F81" s="9" t="str">
        <f>IFERROR(__xludf.DUMMYFUNCTION("GOOGLETRANSLATE($A81,""en"",""it"")"),"Francia")</f>
        <v>Francia</v>
      </c>
      <c r="G81" s="9" t="str">
        <f>IFERROR(__xludf.DUMMYFUNCTION("GOOGLETRANSLATE($A81,""en"",""zh-cn"")"),"法国")</f>
        <v>法国</v>
      </c>
      <c r="H81" s="9" t="str">
        <f>IFERROR(__xludf.DUMMYFUNCTION("GOOGLETRANSLATE($A81,""en"",""ja"")"),"フランス")</f>
        <v>フランス</v>
      </c>
      <c r="I81" s="9" t="str">
        <f>IFERROR(__xludf.DUMMYFUNCTION("GOOGLETRANSLATE($A81,""en"",""ko"")"),"프랑스")</f>
        <v>프랑스</v>
      </c>
      <c r="J81" s="9" t="str">
        <f>IFERROR(__xludf.DUMMYFUNCTION("GOOGLETRANSLATE($A81,""en"",""pt-BR"")"),"França")</f>
        <v>França</v>
      </c>
    </row>
    <row r="82">
      <c r="A82" s="9" t="str">
        <f>IFERROR(__xludf.DUMMYFUNCTION("""COMPUTED_VALUE"""),"French Guiana")</f>
        <v>French Guiana</v>
      </c>
      <c r="B82" s="9" t="str">
        <f>IFERROR(__xludf.DUMMYFUNCTION("""COMPUTED_VALUE"""),"gf")</f>
        <v>gf</v>
      </c>
      <c r="C82" s="9" t="str">
        <f>IFERROR(__xludf.DUMMYFUNCTION("GOOGLETRANSLATE($A82,""en"",""de"")"),"Französisch-Guayana")</f>
        <v>Französisch-Guayana</v>
      </c>
      <c r="D82" s="9" t="str">
        <f>IFERROR(__xludf.DUMMYFUNCTION("GOOGLETRANSLATE($A82,""en"",""fr"")"),"Guyane française")</f>
        <v>Guyane française</v>
      </c>
      <c r="E82" s="9" t="str">
        <f>IFERROR(__xludf.DUMMYFUNCTION("GOOGLETRANSLATE($A82,""en"",""es"")"),"Guayana Francesa")</f>
        <v>Guayana Francesa</v>
      </c>
      <c r="F82" s="9" t="str">
        <f>IFERROR(__xludf.DUMMYFUNCTION("GOOGLETRANSLATE($A82,""en"",""it"")"),"Guiana francese")</f>
        <v>Guiana francese</v>
      </c>
      <c r="G82" s="9" t="str">
        <f>IFERROR(__xludf.DUMMYFUNCTION("GOOGLETRANSLATE($A82,""en"",""zh-cn"")"),"法属圭亚那")</f>
        <v>法属圭亚那</v>
      </c>
      <c r="H82" s="9" t="str">
        <f>IFERROR(__xludf.DUMMYFUNCTION("GOOGLETRANSLATE($A82,""en"",""ja"")"),"フランス領ギアナ")</f>
        <v>フランス領ギアナ</v>
      </c>
      <c r="I82" s="9" t="str">
        <f>IFERROR(__xludf.DUMMYFUNCTION("GOOGLETRANSLATE($A82,""en"",""ko"")"),"프랑스령 기아나")</f>
        <v>프랑스령 기아나</v>
      </c>
      <c r="J82" s="9" t="str">
        <f>IFERROR(__xludf.DUMMYFUNCTION("GOOGLETRANSLATE($A82,""en"",""pt-BR"")"),"Guiana Francesa")</f>
        <v>Guiana Francesa</v>
      </c>
    </row>
    <row r="83">
      <c r="A83" s="9" t="str">
        <f>IFERROR(__xludf.DUMMYFUNCTION("""COMPUTED_VALUE"""),"French Polynesia")</f>
        <v>French Polynesia</v>
      </c>
      <c r="B83" s="9" t="str">
        <f>IFERROR(__xludf.DUMMYFUNCTION("""COMPUTED_VALUE"""),"pf")</f>
        <v>pf</v>
      </c>
      <c r="C83" s="9" t="str">
        <f>IFERROR(__xludf.DUMMYFUNCTION("GOOGLETRANSLATE($A83,""en"",""de"")"),"Französisch-Polynesien")</f>
        <v>Französisch-Polynesien</v>
      </c>
      <c r="D83" s="9" t="str">
        <f>IFERROR(__xludf.DUMMYFUNCTION("GOOGLETRANSLATE($A83,""en"",""fr"")"),"Polynésie française")</f>
        <v>Polynésie française</v>
      </c>
      <c r="E83" s="9" t="str">
        <f>IFERROR(__xludf.DUMMYFUNCTION("GOOGLETRANSLATE($A83,""en"",""es"")"),"Polinesia Francesa")</f>
        <v>Polinesia Francesa</v>
      </c>
      <c r="F83" s="9" t="str">
        <f>IFERROR(__xludf.DUMMYFUNCTION("GOOGLETRANSLATE($A83,""en"",""it"")"),"Polinesia francese")</f>
        <v>Polinesia francese</v>
      </c>
      <c r="G83" s="9" t="str">
        <f>IFERROR(__xludf.DUMMYFUNCTION("GOOGLETRANSLATE($A83,""en"",""zh-cn"")"),"法属波利尼西亚")</f>
        <v>法属波利尼西亚</v>
      </c>
      <c r="H83" s="9" t="str">
        <f>IFERROR(__xludf.DUMMYFUNCTION("GOOGLETRANSLATE($A83,""en"",""ja"")"),"フランス領ポリネシア")</f>
        <v>フランス領ポリネシア</v>
      </c>
      <c r="I83" s="9" t="str">
        <f>IFERROR(__xludf.DUMMYFUNCTION("GOOGLETRANSLATE($A83,""en"",""ko"")"),"프랑스령 폴리네시아")</f>
        <v>프랑스령 폴리네시아</v>
      </c>
      <c r="J83" s="9" t="str">
        <f>IFERROR(__xludf.DUMMYFUNCTION("GOOGLETRANSLATE($A83,""en"",""pt-BR"")"),"Polinésia Francesa")</f>
        <v>Polinésia Francesa</v>
      </c>
    </row>
    <row r="84">
      <c r="A84" s="9" t="str">
        <f>IFERROR(__xludf.DUMMYFUNCTION("""COMPUTED_VALUE"""),"French Southern Territories")</f>
        <v>French Southern Territories</v>
      </c>
      <c r="B84" s="9" t="str">
        <f>IFERROR(__xludf.DUMMYFUNCTION("""COMPUTED_VALUE"""),"tf")</f>
        <v>tf</v>
      </c>
      <c r="C84" s="9" t="str">
        <f>IFERROR(__xludf.DUMMYFUNCTION("GOOGLETRANSLATE($A84,""en"",""de"")"),"Französische Südgebiete")</f>
        <v>Französische Südgebiete</v>
      </c>
      <c r="D84" s="9" t="str">
        <f>IFERROR(__xludf.DUMMYFUNCTION("GOOGLETRANSLATE($A84,""en"",""fr"")"),"Terres australes françaises")</f>
        <v>Terres australes françaises</v>
      </c>
      <c r="E84" s="9" t="str">
        <f>IFERROR(__xludf.DUMMYFUNCTION("GOOGLETRANSLATE($A84,""en"",""es"")"),"Territorios Australes Franceses")</f>
        <v>Territorios Australes Franceses</v>
      </c>
      <c r="F84" s="9" t="str">
        <f>IFERROR(__xludf.DUMMYFUNCTION("GOOGLETRANSLATE($A84,""en"",""it"")"),"Territori francesi del sud")</f>
        <v>Territori francesi del sud</v>
      </c>
      <c r="G84" s="9" t="str">
        <f>IFERROR(__xludf.DUMMYFUNCTION("GOOGLETRANSLATE($A84,""en"",""zh-cn"")"),"法属南部领土")</f>
        <v>法属南部领土</v>
      </c>
      <c r="H84" s="9" t="str">
        <f>IFERROR(__xludf.DUMMYFUNCTION("GOOGLETRANSLATE($A84,""en"",""ja"")"),"フランス領南方領土")</f>
        <v>フランス領南方領土</v>
      </c>
      <c r="I84" s="9" t="str">
        <f>IFERROR(__xludf.DUMMYFUNCTION("GOOGLETRANSLATE($A84,""en"",""ko"")"),"프랑스 남부 지역")</f>
        <v>프랑스 남부 지역</v>
      </c>
      <c r="J84" s="9" t="str">
        <f>IFERROR(__xludf.DUMMYFUNCTION("GOOGLETRANSLATE($A84,""en"",""pt-BR"")"),"Territórios Franceses do Sul")</f>
        <v>Territórios Franceses do Sul</v>
      </c>
    </row>
    <row r="85">
      <c r="A85" s="9" t="str">
        <f>IFERROR(__xludf.DUMMYFUNCTION("""COMPUTED_VALUE"""),"Gabon")</f>
        <v>Gabon</v>
      </c>
      <c r="B85" s="9" t="str">
        <f>IFERROR(__xludf.DUMMYFUNCTION("""COMPUTED_VALUE"""),"ga")</f>
        <v>ga</v>
      </c>
      <c r="C85" s="9" t="str">
        <f>IFERROR(__xludf.DUMMYFUNCTION("GOOGLETRANSLATE($A85,""en"",""de"")"),"Gabun")</f>
        <v>Gabun</v>
      </c>
      <c r="D85" s="9" t="str">
        <f>IFERROR(__xludf.DUMMYFUNCTION("GOOGLETRANSLATE($A85,""en"",""fr"")"),"Gabon")</f>
        <v>Gabon</v>
      </c>
      <c r="E85" s="9" t="str">
        <f>IFERROR(__xludf.DUMMYFUNCTION("GOOGLETRANSLATE($A85,""en"",""es"")"),"Gabón")</f>
        <v>Gabón</v>
      </c>
      <c r="F85" s="9" t="str">
        <f>IFERROR(__xludf.DUMMYFUNCTION("GOOGLETRANSLATE($A85,""en"",""it"")"),"Gabon")</f>
        <v>Gabon</v>
      </c>
      <c r="G85" s="9" t="str">
        <f>IFERROR(__xludf.DUMMYFUNCTION("GOOGLETRANSLATE($A85,""en"",""zh-cn"")"),"加蓬")</f>
        <v>加蓬</v>
      </c>
      <c r="H85" s="9" t="str">
        <f>IFERROR(__xludf.DUMMYFUNCTION("GOOGLETRANSLATE($A85,""en"",""ja"")"),"ガボン")</f>
        <v>ガボン</v>
      </c>
      <c r="I85" s="9" t="str">
        <f>IFERROR(__xludf.DUMMYFUNCTION("GOOGLETRANSLATE($A85,""en"",""ko"")"),"가봉")</f>
        <v>가봉</v>
      </c>
      <c r="J85" s="9" t="str">
        <f>IFERROR(__xludf.DUMMYFUNCTION("GOOGLETRANSLATE($A85,""en"",""pt-BR"")"),"Gabão")</f>
        <v>Gabão</v>
      </c>
    </row>
    <row r="86">
      <c r="A86" s="9" t="str">
        <f>IFERROR(__xludf.DUMMYFUNCTION("""COMPUTED_VALUE"""),"Gambia")</f>
        <v>Gambia</v>
      </c>
      <c r="B86" s="9" t="str">
        <f>IFERROR(__xludf.DUMMYFUNCTION("""COMPUTED_VALUE"""),"gm")</f>
        <v>gm</v>
      </c>
      <c r="C86" s="9" t="str">
        <f>IFERROR(__xludf.DUMMYFUNCTION("GOOGLETRANSLATE($A86,""en"",""de"")"),"Gambia")</f>
        <v>Gambia</v>
      </c>
      <c r="D86" s="9" t="str">
        <f>IFERROR(__xludf.DUMMYFUNCTION("GOOGLETRANSLATE($A86,""en"",""fr"")"),"Gambie")</f>
        <v>Gambie</v>
      </c>
      <c r="E86" s="9" t="str">
        <f>IFERROR(__xludf.DUMMYFUNCTION("GOOGLETRANSLATE($A86,""en"",""es"")"),"Gambia")</f>
        <v>Gambia</v>
      </c>
      <c r="F86" s="9" t="str">
        <f>IFERROR(__xludf.DUMMYFUNCTION("GOOGLETRANSLATE($A86,""en"",""it"")"),"Gambia")</f>
        <v>Gambia</v>
      </c>
      <c r="G86" s="9" t="str">
        <f>IFERROR(__xludf.DUMMYFUNCTION("GOOGLETRANSLATE($A86,""en"",""zh-cn"")"),"冈比亚")</f>
        <v>冈比亚</v>
      </c>
      <c r="H86" s="9" t="str">
        <f>IFERROR(__xludf.DUMMYFUNCTION("GOOGLETRANSLATE($A86,""en"",""ja"")"),"ガンビア")</f>
        <v>ガンビア</v>
      </c>
      <c r="I86" s="9" t="str">
        <f>IFERROR(__xludf.DUMMYFUNCTION("GOOGLETRANSLATE($A86,""en"",""ko"")"),"감비아")</f>
        <v>감비아</v>
      </c>
      <c r="J86" s="9" t="str">
        <f>IFERROR(__xludf.DUMMYFUNCTION("GOOGLETRANSLATE($A86,""en"",""pt-BR"")"),"Gâmbia")</f>
        <v>Gâmbia</v>
      </c>
    </row>
    <row r="87">
      <c r="A87" s="9" t="str">
        <f>IFERROR(__xludf.DUMMYFUNCTION("""COMPUTED_VALUE"""),"Georgia")</f>
        <v>Georgia</v>
      </c>
      <c r="B87" s="9" t="str">
        <f>IFERROR(__xludf.DUMMYFUNCTION("""COMPUTED_VALUE"""),"ge")</f>
        <v>ge</v>
      </c>
      <c r="C87" s="9" t="str">
        <f>IFERROR(__xludf.DUMMYFUNCTION("GOOGLETRANSLATE($A87,""en"",""de"")"),"Georgia")</f>
        <v>Georgia</v>
      </c>
      <c r="D87" s="9" t="str">
        <f>IFERROR(__xludf.DUMMYFUNCTION("GOOGLETRANSLATE($A87,""en"",""fr"")"),"Géorgie")</f>
        <v>Géorgie</v>
      </c>
      <c r="E87" s="9" t="str">
        <f>IFERROR(__xludf.DUMMYFUNCTION("GOOGLETRANSLATE($A87,""en"",""es"")"),"Georgia")</f>
        <v>Georgia</v>
      </c>
      <c r="F87" s="9" t="str">
        <f>IFERROR(__xludf.DUMMYFUNCTION("GOOGLETRANSLATE($A87,""en"",""it"")"),"Georgia")</f>
        <v>Georgia</v>
      </c>
      <c r="G87" s="9" t="str">
        <f>IFERROR(__xludf.DUMMYFUNCTION("GOOGLETRANSLATE($A87,""en"",""zh-cn"")"),"乔治亚州")</f>
        <v>乔治亚州</v>
      </c>
      <c r="H87" s="9" t="str">
        <f>IFERROR(__xludf.DUMMYFUNCTION("GOOGLETRANSLATE($A87,""en"",""ja"")"),"ジョージア")</f>
        <v>ジョージア</v>
      </c>
      <c r="I87" s="9" t="str">
        <f>IFERROR(__xludf.DUMMYFUNCTION("GOOGLETRANSLATE($A87,""en"",""ko"")"),"그루지야")</f>
        <v>그루지야</v>
      </c>
      <c r="J87" s="9" t="str">
        <f>IFERROR(__xludf.DUMMYFUNCTION("GOOGLETRANSLATE($A87,""en"",""pt-BR"")"),"Geórgia")</f>
        <v>Geórgia</v>
      </c>
    </row>
    <row r="88">
      <c r="A88" s="9" t="str">
        <f>IFERROR(__xludf.DUMMYFUNCTION("""COMPUTED_VALUE"""),"Germany")</f>
        <v>Germany</v>
      </c>
      <c r="B88" s="9" t="str">
        <f>IFERROR(__xludf.DUMMYFUNCTION("""COMPUTED_VALUE"""),"de")</f>
        <v>de</v>
      </c>
      <c r="C88" s="9" t="str">
        <f>IFERROR(__xludf.DUMMYFUNCTION("GOOGLETRANSLATE($A88,""en"",""de"")"),"Deutschland")</f>
        <v>Deutschland</v>
      </c>
      <c r="D88" s="9" t="str">
        <f>IFERROR(__xludf.DUMMYFUNCTION("GOOGLETRANSLATE($A88,""en"",""fr"")"),"Allemagne")</f>
        <v>Allemagne</v>
      </c>
      <c r="E88" s="9" t="str">
        <f>IFERROR(__xludf.DUMMYFUNCTION("GOOGLETRANSLATE($A88,""en"",""es"")"),"Alemania")</f>
        <v>Alemania</v>
      </c>
      <c r="F88" s="9" t="str">
        <f>IFERROR(__xludf.DUMMYFUNCTION("GOOGLETRANSLATE($A88,""en"",""it"")"),"Germania")</f>
        <v>Germania</v>
      </c>
      <c r="G88" s="9" t="str">
        <f>IFERROR(__xludf.DUMMYFUNCTION("GOOGLETRANSLATE($A88,""en"",""zh-cn"")"),"德国")</f>
        <v>德国</v>
      </c>
      <c r="H88" s="9" t="str">
        <f>IFERROR(__xludf.DUMMYFUNCTION("GOOGLETRANSLATE($A88,""en"",""ja"")"),"ドイツ")</f>
        <v>ドイツ</v>
      </c>
      <c r="I88" s="9" t="str">
        <f>IFERROR(__xludf.DUMMYFUNCTION("GOOGLETRANSLATE($A88,""en"",""ko"")"),"독일")</f>
        <v>독일</v>
      </c>
      <c r="J88" s="9" t="str">
        <f>IFERROR(__xludf.DUMMYFUNCTION("GOOGLETRANSLATE($A88,""en"",""pt-BR"")"),"Alemanha")</f>
        <v>Alemanha</v>
      </c>
    </row>
    <row r="89">
      <c r="A89" s="9" t="str">
        <f>IFERROR(__xludf.DUMMYFUNCTION("""COMPUTED_VALUE"""),"Ghana")</f>
        <v>Ghana</v>
      </c>
      <c r="B89" s="9" t="str">
        <f>IFERROR(__xludf.DUMMYFUNCTION("""COMPUTED_VALUE"""),"gh")</f>
        <v>gh</v>
      </c>
      <c r="C89" s="9" t="str">
        <f>IFERROR(__xludf.DUMMYFUNCTION("GOOGLETRANSLATE($A89,""en"",""de"")"),"Ghana")</f>
        <v>Ghana</v>
      </c>
      <c r="D89" s="9" t="str">
        <f>IFERROR(__xludf.DUMMYFUNCTION("GOOGLETRANSLATE($A89,""en"",""fr"")"),"Ghana")</f>
        <v>Ghana</v>
      </c>
      <c r="E89" s="9" t="str">
        <f>IFERROR(__xludf.DUMMYFUNCTION("GOOGLETRANSLATE($A89,""en"",""es"")"),"Ghana")</f>
        <v>Ghana</v>
      </c>
      <c r="F89" s="9" t="str">
        <f>IFERROR(__xludf.DUMMYFUNCTION("GOOGLETRANSLATE($A89,""en"",""it"")"),"Ghana")</f>
        <v>Ghana</v>
      </c>
      <c r="G89" s="9" t="str">
        <f>IFERROR(__xludf.DUMMYFUNCTION("GOOGLETRANSLATE($A89,""en"",""zh-cn"")"),"加纳")</f>
        <v>加纳</v>
      </c>
      <c r="H89" s="9" t="str">
        <f>IFERROR(__xludf.DUMMYFUNCTION("GOOGLETRANSLATE($A89,""en"",""ja"")"),"ガーナ")</f>
        <v>ガーナ</v>
      </c>
      <c r="I89" s="9" t="str">
        <f>IFERROR(__xludf.DUMMYFUNCTION("GOOGLETRANSLATE($A89,""en"",""ko"")"),"가나")</f>
        <v>가나</v>
      </c>
      <c r="J89" s="9" t="str">
        <f>IFERROR(__xludf.DUMMYFUNCTION("GOOGLETRANSLATE($A89,""en"",""pt-BR"")"),"Gana")</f>
        <v>Gana</v>
      </c>
    </row>
    <row r="90">
      <c r="A90" s="9" t="str">
        <f>IFERROR(__xludf.DUMMYFUNCTION("""COMPUTED_VALUE"""),"Gibraltar")</f>
        <v>Gibraltar</v>
      </c>
      <c r="B90" s="9" t="str">
        <f>IFERROR(__xludf.DUMMYFUNCTION("""COMPUTED_VALUE"""),"gi")</f>
        <v>gi</v>
      </c>
      <c r="C90" s="9" t="str">
        <f>IFERROR(__xludf.DUMMYFUNCTION("GOOGLETRANSLATE($A90,""en"",""de"")"),"Gibraltar")</f>
        <v>Gibraltar</v>
      </c>
      <c r="D90" s="9" t="str">
        <f>IFERROR(__xludf.DUMMYFUNCTION("GOOGLETRANSLATE($A90,""en"",""fr"")"),"Gibraltar")</f>
        <v>Gibraltar</v>
      </c>
      <c r="E90" s="9" t="str">
        <f>IFERROR(__xludf.DUMMYFUNCTION("GOOGLETRANSLATE($A90,""en"",""es"")"),"Gibraltar")</f>
        <v>Gibraltar</v>
      </c>
      <c r="F90" s="9" t="str">
        <f>IFERROR(__xludf.DUMMYFUNCTION("GOOGLETRANSLATE($A90,""en"",""it"")"),"Gibilterra")</f>
        <v>Gibilterra</v>
      </c>
      <c r="G90" s="9" t="str">
        <f>IFERROR(__xludf.DUMMYFUNCTION("GOOGLETRANSLATE($A90,""en"",""zh-cn"")"),"直布罗陀")</f>
        <v>直布罗陀</v>
      </c>
      <c r="H90" s="9" t="str">
        <f>IFERROR(__xludf.DUMMYFUNCTION("GOOGLETRANSLATE($A90,""en"",""ja"")"),"ジブラルタル")</f>
        <v>ジブラルタル</v>
      </c>
      <c r="I90" s="9" t="str">
        <f>IFERROR(__xludf.DUMMYFUNCTION("GOOGLETRANSLATE($A90,""en"",""ko"")"),"지브롤터")</f>
        <v>지브롤터</v>
      </c>
      <c r="J90" s="9" t="str">
        <f>IFERROR(__xludf.DUMMYFUNCTION("GOOGLETRANSLATE($A90,""en"",""pt-BR"")"),"Gibraltar")</f>
        <v>Gibraltar</v>
      </c>
    </row>
    <row r="91">
      <c r="A91" s="9" t="str">
        <f>IFERROR(__xludf.DUMMYFUNCTION("""COMPUTED_VALUE"""),"Greece")</f>
        <v>Greece</v>
      </c>
      <c r="B91" s="9" t="str">
        <f>IFERROR(__xludf.DUMMYFUNCTION("""COMPUTED_VALUE"""),"gr")</f>
        <v>gr</v>
      </c>
      <c r="C91" s="9" t="str">
        <f>IFERROR(__xludf.DUMMYFUNCTION("GOOGLETRANSLATE($A91,""en"",""de"")"),"Griechenland")</f>
        <v>Griechenland</v>
      </c>
      <c r="D91" s="9" t="str">
        <f>IFERROR(__xludf.DUMMYFUNCTION("GOOGLETRANSLATE($A91,""en"",""fr"")"),"Grèce")</f>
        <v>Grèce</v>
      </c>
      <c r="E91" s="9" t="str">
        <f>IFERROR(__xludf.DUMMYFUNCTION("GOOGLETRANSLATE($A91,""en"",""es"")"),"Grecia")</f>
        <v>Grecia</v>
      </c>
      <c r="F91" s="9" t="str">
        <f>IFERROR(__xludf.DUMMYFUNCTION("GOOGLETRANSLATE($A91,""en"",""it"")"),"Grecia")</f>
        <v>Grecia</v>
      </c>
      <c r="G91" s="9" t="str">
        <f>IFERROR(__xludf.DUMMYFUNCTION("GOOGLETRANSLATE($A91,""en"",""zh-cn"")"),"希腊")</f>
        <v>希腊</v>
      </c>
      <c r="H91" s="9" t="str">
        <f>IFERROR(__xludf.DUMMYFUNCTION("GOOGLETRANSLATE($A91,""en"",""ja"")"),"ギリシャ")</f>
        <v>ギリシャ</v>
      </c>
      <c r="I91" s="9" t="str">
        <f>IFERROR(__xludf.DUMMYFUNCTION("GOOGLETRANSLATE($A91,""en"",""ko"")"),"그리스")</f>
        <v>그리스</v>
      </c>
      <c r="J91" s="9" t="str">
        <f>IFERROR(__xludf.DUMMYFUNCTION("GOOGLETRANSLATE($A91,""en"",""pt-BR"")"),"Grécia")</f>
        <v>Grécia</v>
      </c>
    </row>
    <row r="92">
      <c r="A92" s="9" t="str">
        <f>IFERROR(__xludf.DUMMYFUNCTION("""COMPUTED_VALUE"""),"Greenland")</f>
        <v>Greenland</v>
      </c>
      <c r="B92" s="9" t="str">
        <f>IFERROR(__xludf.DUMMYFUNCTION("""COMPUTED_VALUE"""),"gl")</f>
        <v>gl</v>
      </c>
      <c r="C92" s="9" t="str">
        <f>IFERROR(__xludf.DUMMYFUNCTION("GOOGLETRANSLATE($A92,""en"",""de"")"),"Grönland")</f>
        <v>Grönland</v>
      </c>
      <c r="D92" s="9" t="str">
        <f>IFERROR(__xludf.DUMMYFUNCTION("GOOGLETRANSLATE($A92,""en"",""fr"")"),"Groenland")</f>
        <v>Groenland</v>
      </c>
      <c r="E92" s="9" t="str">
        <f>IFERROR(__xludf.DUMMYFUNCTION("GOOGLETRANSLATE($A92,""en"",""es"")"),"Tierra Verde")</f>
        <v>Tierra Verde</v>
      </c>
      <c r="F92" s="9" t="str">
        <f>IFERROR(__xludf.DUMMYFUNCTION("GOOGLETRANSLATE($A92,""en"",""it"")"),"Groenlandia")</f>
        <v>Groenlandia</v>
      </c>
      <c r="G92" s="9" t="str">
        <f>IFERROR(__xludf.DUMMYFUNCTION("GOOGLETRANSLATE($A92,""en"",""zh-cn"")"),"格陵兰")</f>
        <v>格陵兰</v>
      </c>
      <c r="H92" s="9" t="str">
        <f>IFERROR(__xludf.DUMMYFUNCTION("GOOGLETRANSLATE($A92,""en"",""ja"")"),"グリーンランド")</f>
        <v>グリーンランド</v>
      </c>
      <c r="I92" s="9" t="str">
        <f>IFERROR(__xludf.DUMMYFUNCTION("GOOGLETRANSLATE($A92,""en"",""ko"")"),"그린란드")</f>
        <v>그린란드</v>
      </c>
      <c r="J92" s="9" t="str">
        <f>IFERROR(__xludf.DUMMYFUNCTION("GOOGLETRANSLATE($A92,""en"",""pt-BR"")"),"Groenlândia")</f>
        <v>Groenlândia</v>
      </c>
    </row>
    <row r="93">
      <c r="A93" s="9" t="str">
        <f>IFERROR(__xludf.DUMMYFUNCTION("""COMPUTED_VALUE"""),"Grenada")</f>
        <v>Grenada</v>
      </c>
      <c r="B93" s="9" t="str">
        <f>IFERROR(__xludf.DUMMYFUNCTION("""COMPUTED_VALUE"""),"gd")</f>
        <v>gd</v>
      </c>
      <c r="C93" s="9" t="str">
        <f>IFERROR(__xludf.DUMMYFUNCTION("GOOGLETRANSLATE($A93,""en"",""de"")"),"Grenada")</f>
        <v>Grenada</v>
      </c>
      <c r="D93" s="9" t="str">
        <f>IFERROR(__xludf.DUMMYFUNCTION("GOOGLETRANSLATE($A93,""en"",""fr"")"),"Grenade")</f>
        <v>Grenade</v>
      </c>
      <c r="E93" s="9" t="str">
        <f>IFERROR(__xludf.DUMMYFUNCTION("GOOGLETRANSLATE($A93,""en"",""es"")"),"Granada")</f>
        <v>Granada</v>
      </c>
      <c r="F93" s="9" t="str">
        <f>IFERROR(__xludf.DUMMYFUNCTION("GOOGLETRANSLATE($A93,""en"",""it"")"),"Grenada")</f>
        <v>Grenada</v>
      </c>
      <c r="G93" s="9" t="str">
        <f>IFERROR(__xludf.DUMMYFUNCTION("GOOGLETRANSLATE($A93,""en"",""zh-cn"")"),"格林纳达")</f>
        <v>格林纳达</v>
      </c>
      <c r="H93" s="9" t="str">
        <f>IFERROR(__xludf.DUMMYFUNCTION("GOOGLETRANSLATE($A93,""en"",""ja"")"),"グレナダ")</f>
        <v>グレナダ</v>
      </c>
      <c r="I93" s="9" t="str">
        <f>IFERROR(__xludf.DUMMYFUNCTION("GOOGLETRANSLATE($A93,""en"",""ko"")"),"그레나다")</f>
        <v>그레나다</v>
      </c>
      <c r="J93" s="9" t="str">
        <f>IFERROR(__xludf.DUMMYFUNCTION("GOOGLETRANSLATE($A93,""en"",""pt-BR"")"),"Granada")</f>
        <v>Granada</v>
      </c>
    </row>
    <row r="94">
      <c r="A94" s="9" t="str">
        <f>IFERROR(__xludf.DUMMYFUNCTION("""COMPUTED_VALUE"""),"Guadeloupe")</f>
        <v>Guadeloupe</v>
      </c>
      <c r="B94" s="9" t="str">
        <f>IFERROR(__xludf.DUMMYFUNCTION("""COMPUTED_VALUE"""),"gp")</f>
        <v>gp</v>
      </c>
      <c r="C94" s="9" t="str">
        <f>IFERROR(__xludf.DUMMYFUNCTION("GOOGLETRANSLATE($A94,""en"",""de"")"),"Guadeloupe")</f>
        <v>Guadeloupe</v>
      </c>
      <c r="D94" s="9" t="str">
        <f>IFERROR(__xludf.DUMMYFUNCTION("GOOGLETRANSLATE($A94,""en"",""fr"")"),"Guadeloupe")</f>
        <v>Guadeloupe</v>
      </c>
      <c r="E94" s="9" t="str">
        <f>IFERROR(__xludf.DUMMYFUNCTION("GOOGLETRANSLATE($A94,""en"",""es"")"),"Guadalupe")</f>
        <v>Guadalupe</v>
      </c>
      <c r="F94" s="9" t="str">
        <f>IFERROR(__xludf.DUMMYFUNCTION("GOOGLETRANSLATE($A94,""en"",""it"")"),"Guadalupa")</f>
        <v>Guadalupa</v>
      </c>
      <c r="G94" s="9" t="str">
        <f>IFERROR(__xludf.DUMMYFUNCTION("GOOGLETRANSLATE($A94,""en"",""zh-cn"")"),"瓜德罗普岛")</f>
        <v>瓜德罗普岛</v>
      </c>
      <c r="H94" s="9" t="str">
        <f>IFERROR(__xludf.DUMMYFUNCTION("GOOGLETRANSLATE($A94,""en"",""ja"")"),"グアドループ")</f>
        <v>グアドループ</v>
      </c>
      <c r="I94" s="9" t="str">
        <f>IFERROR(__xludf.DUMMYFUNCTION("GOOGLETRANSLATE($A94,""en"",""ko"")"),"과들루프")</f>
        <v>과들루프</v>
      </c>
      <c r="J94" s="9" t="str">
        <f>IFERROR(__xludf.DUMMYFUNCTION("GOOGLETRANSLATE($A94,""en"",""pt-BR"")"),"Guadalupe")</f>
        <v>Guadalupe</v>
      </c>
    </row>
    <row r="95">
      <c r="A95" s="9" t="str">
        <f>IFERROR(__xludf.DUMMYFUNCTION("""COMPUTED_VALUE"""),"Guam")</f>
        <v>Guam</v>
      </c>
      <c r="B95" s="9" t="str">
        <f>IFERROR(__xludf.DUMMYFUNCTION("""COMPUTED_VALUE"""),"gu")</f>
        <v>gu</v>
      </c>
      <c r="C95" s="9" t="str">
        <f>IFERROR(__xludf.DUMMYFUNCTION("GOOGLETRANSLATE($A95,""en"",""de"")"),"Guam")</f>
        <v>Guam</v>
      </c>
      <c r="D95" s="9" t="str">
        <f>IFERROR(__xludf.DUMMYFUNCTION("GOOGLETRANSLATE($A95,""en"",""fr"")"),"Guam")</f>
        <v>Guam</v>
      </c>
      <c r="E95" s="9" t="str">
        <f>IFERROR(__xludf.DUMMYFUNCTION("GOOGLETRANSLATE($A95,""en"",""es"")"),"Guam")</f>
        <v>Guam</v>
      </c>
      <c r="F95" s="9" t="str">
        <f>IFERROR(__xludf.DUMMYFUNCTION("GOOGLETRANSLATE($A95,""en"",""it"")"),"Guam")</f>
        <v>Guam</v>
      </c>
      <c r="G95" s="9" t="str">
        <f>IFERROR(__xludf.DUMMYFUNCTION("GOOGLETRANSLATE($A95,""en"",""zh-cn"")"),"关岛")</f>
        <v>关岛</v>
      </c>
      <c r="H95" s="9" t="str">
        <f>IFERROR(__xludf.DUMMYFUNCTION("GOOGLETRANSLATE($A95,""en"",""ja"")"),"グアム")</f>
        <v>グアム</v>
      </c>
      <c r="I95" s="9" t="str">
        <f>IFERROR(__xludf.DUMMYFUNCTION("GOOGLETRANSLATE($A95,""en"",""ko"")"),"괌")</f>
        <v>괌</v>
      </c>
      <c r="J95" s="9" t="str">
        <f>IFERROR(__xludf.DUMMYFUNCTION("GOOGLETRANSLATE($A95,""en"",""pt-BR"")"),"Guam")</f>
        <v>Guam</v>
      </c>
    </row>
    <row r="96">
      <c r="A96" s="9" t="str">
        <f>IFERROR(__xludf.DUMMYFUNCTION("""COMPUTED_VALUE"""),"Guatemala")</f>
        <v>Guatemala</v>
      </c>
      <c r="B96" s="9" t="str">
        <f>IFERROR(__xludf.DUMMYFUNCTION("""COMPUTED_VALUE"""),"gt")</f>
        <v>gt</v>
      </c>
      <c r="C96" s="9" t="str">
        <f>IFERROR(__xludf.DUMMYFUNCTION("GOOGLETRANSLATE($A96,""en"",""de"")"),"Guatemala")</f>
        <v>Guatemala</v>
      </c>
      <c r="D96" s="9" t="str">
        <f>IFERROR(__xludf.DUMMYFUNCTION("GOOGLETRANSLATE($A96,""en"",""fr"")"),"Guatemala")</f>
        <v>Guatemala</v>
      </c>
      <c r="E96" s="9" t="str">
        <f>IFERROR(__xludf.DUMMYFUNCTION("GOOGLETRANSLATE($A96,""en"",""es"")"),"Guatemala")</f>
        <v>Guatemala</v>
      </c>
      <c r="F96" s="9" t="str">
        <f>IFERROR(__xludf.DUMMYFUNCTION("GOOGLETRANSLATE($A96,""en"",""it"")"),"Guatemala")</f>
        <v>Guatemala</v>
      </c>
      <c r="G96" s="9" t="str">
        <f>IFERROR(__xludf.DUMMYFUNCTION("GOOGLETRANSLATE($A96,""en"",""zh-cn"")"),"危地马拉")</f>
        <v>危地马拉</v>
      </c>
      <c r="H96" s="9" t="str">
        <f>IFERROR(__xludf.DUMMYFUNCTION("GOOGLETRANSLATE($A96,""en"",""ja"")"),"グアテマラ")</f>
        <v>グアテマラ</v>
      </c>
      <c r="I96" s="9" t="str">
        <f>IFERROR(__xludf.DUMMYFUNCTION("GOOGLETRANSLATE($A96,""en"",""ko"")"),"과테말라")</f>
        <v>과테말라</v>
      </c>
      <c r="J96" s="9" t="str">
        <f>IFERROR(__xludf.DUMMYFUNCTION("GOOGLETRANSLATE($A96,""en"",""pt-BR"")"),"Guatemala")</f>
        <v>Guatemala</v>
      </c>
    </row>
    <row r="97">
      <c r="A97" s="9" t="str">
        <f>IFERROR(__xludf.DUMMYFUNCTION("""COMPUTED_VALUE"""),"Guernsey")</f>
        <v>Guernsey</v>
      </c>
      <c r="B97" s="9" t="str">
        <f>IFERROR(__xludf.DUMMYFUNCTION("""COMPUTED_VALUE"""),"gg")</f>
        <v>gg</v>
      </c>
      <c r="C97" s="9" t="str">
        <f>IFERROR(__xludf.DUMMYFUNCTION("GOOGLETRANSLATE($A97,""en"",""de"")"),"Guernsey")</f>
        <v>Guernsey</v>
      </c>
      <c r="D97" s="9" t="str">
        <f>IFERROR(__xludf.DUMMYFUNCTION("GOOGLETRANSLATE($A97,""en"",""fr"")"),"Guernesey")</f>
        <v>Guernesey</v>
      </c>
      <c r="E97" s="9" t="str">
        <f>IFERROR(__xludf.DUMMYFUNCTION("GOOGLETRANSLATE($A97,""en"",""es"")"),"Guernesey")</f>
        <v>Guernesey</v>
      </c>
      <c r="F97" s="9" t="str">
        <f>IFERROR(__xludf.DUMMYFUNCTION("GOOGLETRANSLATE($A97,""en"",""it"")"),"Guernsey")</f>
        <v>Guernsey</v>
      </c>
      <c r="G97" s="9" t="str">
        <f>IFERROR(__xludf.DUMMYFUNCTION("GOOGLETRANSLATE($A97,""en"",""zh-cn"")"),"根西岛")</f>
        <v>根西岛</v>
      </c>
      <c r="H97" s="9" t="str">
        <f>IFERROR(__xludf.DUMMYFUNCTION("GOOGLETRANSLATE($A97,""en"",""ja"")"),"ガーンジー島")</f>
        <v>ガーンジー島</v>
      </c>
      <c r="I97" s="9" t="str">
        <f>IFERROR(__xludf.DUMMYFUNCTION("GOOGLETRANSLATE($A97,""en"",""ko"")"),"건지")</f>
        <v>건지</v>
      </c>
      <c r="J97" s="9" t="str">
        <f>IFERROR(__xludf.DUMMYFUNCTION("GOOGLETRANSLATE($A97,""en"",""pt-BR"")"),"Guernsey")</f>
        <v>Guernsey</v>
      </c>
    </row>
    <row r="98">
      <c r="A98" s="9" t="str">
        <f>IFERROR(__xludf.DUMMYFUNCTION("""COMPUTED_VALUE"""),"Guinea")</f>
        <v>Guinea</v>
      </c>
      <c r="B98" s="9" t="str">
        <f>IFERROR(__xludf.DUMMYFUNCTION("""COMPUTED_VALUE"""),"gn")</f>
        <v>gn</v>
      </c>
      <c r="C98" s="9" t="str">
        <f>IFERROR(__xludf.DUMMYFUNCTION("GOOGLETRANSLATE($A98,""en"",""de"")"),"Guinea")</f>
        <v>Guinea</v>
      </c>
      <c r="D98" s="9" t="str">
        <f>IFERROR(__xludf.DUMMYFUNCTION("GOOGLETRANSLATE($A98,""en"",""fr"")"),"Guinée")</f>
        <v>Guinée</v>
      </c>
      <c r="E98" s="9" t="str">
        <f>IFERROR(__xludf.DUMMYFUNCTION("GOOGLETRANSLATE($A98,""en"",""es"")"),"Guinea")</f>
        <v>Guinea</v>
      </c>
      <c r="F98" s="9" t="str">
        <f>IFERROR(__xludf.DUMMYFUNCTION("GOOGLETRANSLATE($A98,""en"",""it"")"),"Guinea")</f>
        <v>Guinea</v>
      </c>
      <c r="G98" s="9" t="str">
        <f>IFERROR(__xludf.DUMMYFUNCTION("GOOGLETRANSLATE($A98,""en"",""zh-cn"")"),"几内亚")</f>
        <v>几内亚</v>
      </c>
      <c r="H98" s="9" t="str">
        <f>IFERROR(__xludf.DUMMYFUNCTION("GOOGLETRANSLATE($A98,""en"",""ja"")"),"ギニア")</f>
        <v>ギニア</v>
      </c>
      <c r="I98" s="9" t="str">
        <f>IFERROR(__xludf.DUMMYFUNCTION("GOOGLETRANSLATE($A98,""en"",""ko"")"),"기니")</f>
        <v>기니</v>
      </c>
      <c r="J98" s="9" t="str">
        <f>IFERROR(__xludf.DUMMYFUNCTION("GOOGLETRANSLATE($A98,""en"",""pt-BR"")"),"Guiné")</f>
        <v>Guiné</v>
      </c>
    </row>
    <row r="99">
      <c r="A99" s="9" t="str">
        <f>IFERROR(__xludf.DUMMYFUNCTION("""COMPUTED_VALUE"""),"Guinea-Bissau")</f>
        <v>Guinea-Bissau</v>
      </c>
      <c r="B99" s="9" t="str">
        <f>IFERROR(__xludf.DUMMYFUNCTION("""COMPUTED_VALUE"""),"gw")</f>
        <v>gw</v>
      </c>
      <c r="C99" s="9" t="str">
        <f>IFERROR(__xludf.DUMMYFUNCTION("GOOGLETRANSLATE($A99,""en"",""de"")"),"Guinea-Bissau")</f>
        <v>Guinea-Bissau</v>
      </c>
      <c r="D99" s="9" t="str">
        <f>IFERROR(__xludf.DUMMYFUNCTION("GOOGLETRANSLATE($A99,""en"",""fr"")"),"Guinée-Bissau")</f>
        <v>Guinée-Bissau</v>
      </c>
      <c r="E99" s="9" t="str">
        <f>IFERROR(__xludf.DUMMYFUNCTION("GOOGLETRANSLATE($A99,""en"",""es"")"),"Guinea-Bisáu")</f>
        <v>Guinea-Bisáu</v>
      </c>
      <c r="F99" s="9" t="str">
        <f>IFERROR(__xludf.DUMMYFUNCTION("GOOGLETRANSLATE($A99,""en"",""it"")"),"Guinea-Bissau")</f>
        <v>Guinea-Bissau</v>
      </c>
      <c r="G99" s="9" t="str">
        <f>IFERROR(__xludf.DUMMYFUNCTION("GOOGLETRANSLATE($A99,""en"",""zh-cn"")"),"几内亚比绍")</f>
        <v>几内亚比绍</v>
      </c>
      <c r="H99" s="9" t="str">
        <f>IFERROR(__xludf.DUMMYFUNCTION("GOOGLETRANSLATE($A99,""en"",""ja"")"),"ギニアビサウ")</f>
        <v>ギニアビサウ</v>
      </c>
      <c r="I99" s="9" t="str">
        <f>IFERROR(__xludf.DUMMYFUNCTION("GOOGLETRANSLATE($A99,""en"",""ko"")"),"기니비사우")</f>
        <v>기니비사우</v>
      </c>
      <c r="J99" s="9" t="str">
        <f>IFERROR(__xludf.DUMMYFUNCTION("GOOGLETRANSLATE($A99,""en"",""pt-BR"")"),"Guiné-Bissau")</f>
        <v>Guiné-Bissau</v>
      </c>
    </row>
    <row r="100">
      <c r="A100" s="9" t="str">
        <f>IFERROR(__xludf.DUMMYFUNCTION("""COMPUTED_VALUE"""),"Guyana")</f>
        <v>Guyana</v>
      </c>
      <c r="B100" s="9" t="str">
        <f>IFERROR(__xludf.DUMMYFUNCTION("""COMPUTED_VALUE"""),"gy")</f>
        <v>gy</v>
      </c>
      <c r="C100" s="9" t="str">
        <f>IFERROR(__xludf.DUMMYFUNCTION("GOOGLETRANSLATE($A100,""en"",""de"")"),"Guyana")</f>
        <v>Guyana</v>
      </c>
      <c r="D100" s="9" t="str">
        <f>IFERROR(__xludf.DUMMYFUNCTION("GOOGLETRANSLATE($A100,""en"",""fr"")"),"Guyane")</f>
        <v>Guyane</v>
      </c>
      <c r="E100" s="9" t="str">
        <f>IFERROR(__xludf.DUMMYFUNCTION("GOOGLETRANSLATE($A100,""en"",""es"")"),"Guayana")</f>
        <v>Guayana</v>
      </c>
      <c r="F100" s="9" t="str">
        <f>IFERROR(__xludf.DUMMYFUNCTION("GOOGLETRANSLATE($A100,""en"",""it"")"),"Guyana")</f>
        <v>Guyana</v>
      </c>
      <c r="G100" s="9" t="str">
        <f>IFERROR(__xludf.DUMMYFUNCTION("GOOGLETRANSLATE($A100,""en"",""zh-cn"")"),"圭亚那")</f>
        <v>圭亚那</v>
      </c>
      <c r="H100" s="9" t="str">
        <f>IFERROR(__xludf.DUMMYFUNCTION("GOOGLETRANSLATE($A100,""en"",""ja"")"),"ガイアナ")</f>
        <v>ガイアナ</v>
      </c>
      <c r="I100" s="9" t="str">
        <f>IFERROR(__xludf.DUMMYFUNCTION("GOOGLETRANSLATE($A100,""en"",""ko"")"),"가이아나")</f>
        <v>가이아나</v>
      </c>
      <c r="J100" s="9" t="str">
        <f>IFERROR(__xludf.DUMMYFUNCTION("GOOGLETRANSLATE($A100,""en"",""pt-BR"")"),"Guiana")</f>
        <v>Guiana</v>
      </c>
    </row>
    <row r="101">
      <c r="A101" s="9" t="str">
        <f>IFERROR(__xludf.DUMMYFUNCTION("""COMPUTED_VALUE"""),"Haiti")</f>
        <v>Haiti</v>
      </c>
      <c r="B101" s="9" t="str">
        <f>IFERROR(__xludf.DUMMYFUNCTION("""COMPUTED_VALUE"""),"ht")</f>
        <v>ht</v>
      </c>
      <c r="C101" s="9" t="str">
        <f>IFERROR(__xludf.DUMMYFUNCTION("GOOGLETRANSLATE($A101,""en"",""de"")"),"Haiti")</f>
        <v>Haiti</v>
      </c>
      <c r="D101" s="9" t="str">
        <f>IFERROR(__xludf.DUMMYFUNCTION("GOOGLETRANSLATE($A101,""en"",""fr"")"),"Haïti")</f>
        <v>Haïti</v>
      </c>
      <c r="E101" s="9" t="str">
        <f>IFERROR(__xludf.DUMMYFUNCTION("GOOGLETRANSLATE($A101,""en"",""es"")"),"Haití")</f>
        <v>Haití</v>
      </c>
      <c r="F101" s="9" t="str">
        <f>IFERROR(__xludf.DUMMYFUNCTION("GOOGLETRANSLATE($A101,""en"",""it"")"),"Haiti")</f>
        <v>Haiti</v>
      </c>
      <c r="G101" s="9" t="str">
        <f>IFERROR(__xludf.DUMMYFUNCTION("GOOGLETRANSLATE($A101,""en"",""zh-cn"")"),"海地")</f>
        <v>海地</v>
      </c>
      <c r="H101" s="9" t="str">
        <f>IFERROR(__xludf.DUMMYFUNCTION("GOOGLETRANSLATE($A101,""en"",""ja"")"),"ハイチ")</f>
        <v>ハイチ</v>
      </c>
      <c r="I101" s="9" t="str">
        <f>IFERROR(__xludf.DUMMYFUNCTION("GOOGLETRANSLATE($A101,""en"",""ko"")"),"아이티")</f>
        <v>아이티</v>
      </c>
      <c r="J101" s="9" t="str">
        <f>IFERROR(__xludf.DUMMYFUNCTION("GOOGLETRANSLATE($A101,""en"",""pt-BR"")"),"Haiti")</f>
        <v>Haiti</v>
      </c>
    </row>
    <row r="102">
      <c r="A102" s="9" t="str">
        <f>IFERROR(__xludf.DUMMYFUNCTION("""COMPUTED_VALUE"""),"Heard Island and McDonald Islands")</f>
        <v>Heard Island and McDonald Islands</v>
      </c>
      <c r="B102" s="9" t="str">
        <f>IFERROR(__xludf.DUMMYFUNCTION("""COMPUTED_VALUE"""),"hm")</f>
        <v>hm</v>
      </c>
      <c r="C102" s="9" t="str">
        <f>IFERROR(__xludf.DUMMYFUNCTION("GOOGLETRANSLATE($A102,""en"",""de"")"),"Heard-Insel und McDonald-Inseln")</f>
        <v>Heard-Insel und McDonald-Inseln</v>
      </c>
      <c r="D102" s="9" t="str">
        <f>IFERROR(__xludf.DUMMYFUNCTION("GOOGLETRANSLATE($A102,""en"",""fr"")"),"Île Heard et îles McDonald")</f>
        <v>Île Heard et îles McDonald</v>
      </c>
      <c r="E102" s="9" t="str">
        <f>IFERROR(__xludf.DUMMYFUNCTION("GOOGLETRANSLATE($A102,""en"",""es"")"),"Islas Heard y McDonald")</f>
        <v>Islas Heard y McDonald</v>
      </c>
      <c r="F102" s="9" t="str">
        <f>IFERROR(__xludf.DUMMYFUNCTION("GOOGLETRANSLATE($A102,""en"",""it"")"),"Isole Heard e McDonald")</f>
        <v>Isole Heard e McDonald</v>
      </c>
      <c r="G102" s="9" t="str">
        <f>IFERROR(__xludf.DUMMYFUNCTION("GOOGLETRANSLATE($A102,""en"",""zh-cn"")"),"赫德岛和麦克唐纳群岛")</f>
        <v>赫德岛和麦克唐纳群岛</v>
      </c>
      <c r="H102" s="9" t="str">
        <f>IFERROR(__xludf.DUMMYFUNCTION("GOOGLETRANSLATE($A102,""en"",""ja"")"),"ハード島とマクドナルド諸島")</f>
        <v>ハード島とマクドナルド諸島</v>
      </c>
      <c r="I102" s="9" t="str">
        <f>IFERROR(__xludf.DUMMYFUNCTION("GOOGLETRANSLATE($A102,""en"",""ko"")"),"허드섬과 맥도날드 제도")</f>
        <v>허드섬과 맥도날드 제도</v>
      </c>
      <c r="J102" s="9" t="str">
        <f>IFERROR(__xludf.DUMMYFUNCTION("GOOGLETRANSLATE($A102,""en"",""pt-BR"")"),"Ilha Heard e Ilhas McDonald")</f>
        <v>Ilha Heard e Ilhas McDonald</v>
      </c>
    </row>
    <row r="103">
      <c r="A103" s="9" t="str">
        <f>IFERROR(__xludf.DUMMYFUNCTION("""COMPUTED_VALUE"""),"Holy See")</f>
        <v>Holy See</v>
      </c>
      <c r="B103" s="9" t="str">
        <f>IFERROR(__xludf.DUMMYFUNCTION("""COMPUTED_VALUE"""),"va")</f>
        <v>va</v>
      </c>
      <c r="C103" s="9" t="str">
        <f>IFERROR(__xludf.DUMMYFUNCTION("GOOGLETRANSLATE($A103,""en"",""de"")"),"Heiliger Stuhl")</f>
        <v>Heiliger Stuhl</v>
      </c>
      <c r="D103" s="9" t="str">
        <f>IFERROR(__xludf.DUMMYFUNCTION("GOOGLETRANSLATE($A103,""en"",""fr"")"),"Saint-Siège")</f>
        <v>Saint-Siège</v>
      </c>
      <c r="E103" s="9" t="str">
        <f>IFERROR(__xludf.DUMMYFUNCTION("GOOGLETRANSLATE($A103,""en"",""es"")"),"Santa Sede")</f>
        <v>Santa Sede</v>
      </c>
      <c r="F103" s="9" t="str">
        <f>IFERROR(__xludf.DUMMYFUNCTION("GOOGLETRANSLATE($A103,""en"",""it"")"),"Santa Sede")</f>
        <v>Santa Sede</v>
      </c>
      <c r="G103" s="9" t="str">
        <f>IFERROR(__xludf.DUMMYFUNCTION("GOOGLETRANSLATE($A103,""en"",""zh-cn"")"),"教廷")</f>
        <v>教廷</v>
      </c>
      <c r="H103" s="9" t="str">
        <f>IFERROR(__xludf.DUMMYFUNCTION("GOOGLETRANSLATE($A103,""en"",""ja"")"),"教皇庁")</f>
        <v>教皇庁</v>
      </c>
      <c r="I103" s="9" t="str">
        <f>IFERROR(__xludf.DUMMYFUNCTION("GOOGLETRANSLATE($A103,""en"",""ko"")"),"교황청")</f>
        <v>교황청</v>
      </c>
      <c r="J103" s="9" t="str">
        <f>IFERROR(__xludf.DUMMYFUNCTION("GOOGLETRANSLATE($A103,""en"",""pt-BR"")"),"Santa Sé")</f>
        <v>Santa Sé</v>
      </c>
    </row>
    <row r="104">
      <c r="A104" s="9" t="str">
        <f>IFERROR(__xludf.DUMMYFUNCTION("""COMPUTED_VALUE"""),"Honduras")</f>
        <v>Honduras</v>
      </c>
      <c r="B104" s="9" t="str">
        <f>IFERROR(__xludf.DUMMYFUNCTION("""COMPUTED_VALUE"""),"hn")</f>
        <v>hn</v>
      </c>
      <c r="C104" s="9" t="str">
        <f>IFERROR(__xludf.DUMMYFUNCTION("GOOGLETRANSLATE($A104,""en"",""de"")"),"Honduras")</f>
        <v>Honduras</v>
      </c>
      <c r="D104" s="9" t="str">
        <f>IFERROR(__xludf.DUMMYFUNCTION("GOOGLETRANSLATE($A104,""en"",""fr"")"),"Honduras")</f>
        <v>Honduras</v>
      </c>
      <c r="E104" s="9" t="str">
        <f>IFERROR(__xludf.DUMMYFUNCTION("GOOGLETRANSLATE($A104,""en"",""es"")"),"Honduras")</f>
        <v>Honduras</v>
      </c>
      <c r="F104" s="9" t="str">
        <f>IFERROR(__xludf.DUMMYFUNCTION("GOOGLETRANSLATE($A104,""en"",""it"")"),"Honduras")</f>
        <v>Honduras</v>
      </c>
      <c r="G104" s="9" t="str">
        <f>IFERROR(__xludf.DUMMYFUNCTION("GOOGLETRANSLATE($A104,""en"",""zh-cn"")"),"洪都拉斯")</f>
        <v>洪都拉斯</v>
      </c>
      <c r="H104" s="9" t="str">
        <f>IFERROR(__xludf.DUMMYFUNCTION("GOOGLETRANSLATE($A104,""en"",""ja"")"),"ホンジュラス")</f>
        <v>ホンジュラス</v>
      </c>
      <c r="I104" s="9" t="str">
        <f>IFERROR(__xludf.DUMMYFUNCTION("GOOGLETRANSLATE($A104,""en"",""ko"")"),"온두라스")</f>
        <v>온두라스</v>
      </c>
      <c r="J104" s="9" t="str">
        <f>IFERROR(__xludf.DUMMYFUNCTION("GOOGLETRANSLATE($A104,""en"",""pt-BR"")"),"Honduras")</f>
        <v>Honduras</v>
      </c>
    </row>
    <row r="105">
      <c r="A105" s="9" t="str">
        <f>IFERROR(__xludf.DUMMYFUNCTION("""COMPUTED_VALUE"""),"Hong Kong")</f>
        <v>Hong Kong</v>
      </c>
      <c r="B105" s="9" t="str">
        <f>IFERROR(__xludf.DUMMYFUNCTION("""COMPUTED_VALUE"""),"hk")</f>
        <v>hk</v>
      </c>
      <c r="C105" s="9" t="str">
        <f>IFERROR(__xludf.DUMMYFUNCTION("GOOGLETRANSLATE($A105,""en"",""de"")"),"Hongkong")</f>
        <v>Hongkong</v>
      </c>
      <c r="D105" s="9" t="str">
        <f>IFERROR(__xludf.DUMMYFUNCTION("GOOGLETRANSLATE($A105,""en"",""fr"")"),"Hong Kong")</f>
        <v>Hong Kong</v>
      </c>
      <c r="E105" s="9" t="str">
        <f>IFERROR(__xludf.DUMMYFUNCTION("GOOGLETRANSLATE($A105,""en"",""es"")"),"Hong Kong")</f>
        <v>Hong Kong</v>
      </c>
      <c r="F105" s="9" t="str">
        <f>IFERROR(__xludf.DUMMYFUNCTION("GOOGLETRANSLATE($A105,""en"",""it"")"),"Hong Kong")</f>
        <v>Hong Kong</v>
      </c>
      <c r="G105" s="9" t="str">
        <f>IFERROR(__xludf.DUMMYFUNCTION("GOOGLETRANSLATE($A105,""en"",""zh-cn"")"),"香港")</f>
        <v>香港</v>
      </c>
      <c r="H105" s="9" t="str">
        <f>IFERROR(__xludf.DUMMYFUNCTION("GOOGLETRANSLATE($A105,""en"",""ja"")"),"香港")</f>
        <v>香港</v>
      </c>
      <c r="I105" s="9" t="str">
        <f>IFERROR(__xludf.DUMMYFUNCTION("GOOGLETRANSLATE($A105,""en"",""ko"")"),"홍콩")</f>
        <v>홍콩</v>
      </c>
      <c r="J105" s="9" t="str">
        <f>IFERROR(__xludf.DUMMYFUNCTION("GOOGLETRANSLATE($A105,""en"",""pt-BR"")"),"Hong Kong")</f>
        <v>Hong Kong</v>
      </c>
    </row>
    <row r="106">
      <c r="A106" s="9" t="str">
        <f>IFERROR(__xludf.DUMMYFUNCTION("""COMPUTED_VALUE"""),"Hungary")</f>
        <v>Hungary</v>
      </c>
      <c r="B106" s="9" t="str">
        <f>IFERROR(__xludf.DUMMYFUNCTION("""COMPUTED_VALUE"""),"hu")</f>
        <v>hu</v>
      </c>
      <c r="C106" s="9" t="str">
        <f>IFERROR(__xludf.DUMMYFUNCTION("GOOGLETRANSLATE($A106,""en"",""de"")"),"Ungarn")</f>
        <v>Ungarn</v>
      </c>
      <c r="D106" s="9" t="str">
        <f>IFERROR(__xludf.DUMMYFUNCTION("GOOGLETRANSLATE($A106,""en"",""fr"")"),"Hongrie")</f>
        <v>Hongrie</v>
      </c>
      <c r="E106" s="9" t="str">
        <f>IFERROR(__xludf.DUMMYFUNCTION("GOOGLETRANSLATE($A106,""en"",""es"")"),"Hungría")</f>
        <v>Hungría</v>
      </c>
      <c r="F106" s="9" t="str">
        <f>IFERROR(__xludf.DUMMYFUNCTION("GOOGLETRANSLATE($A106,""en"",""it"")"),"Ungheria")</f>
        <v>Ungheria</v>
      </c>
      <c r="G106" s="9" t="str">
        <f>IFERROR(__xludf.DUMMYFUNCTION("GOOGLETRANSLATE($A106,""en"",""zh-cn"")"),"匈牙利")</f>
        <v>匈牙利</v>
      </c>
      <c r="H106" s="9" t="str">
        <f>IFERROR(__xludf.DUMMYFUNCTION("GOOGLETRANSLATE($A106,""en"",""ja"")"),"ハンガリー")</f>
        <v>ハンガリー</v>
      </c>
      <c r="I106" s="9" t="str">
        <f>IFERROR(__xludf.DUMMYFUNCTION("GOOGLETRANSLATE($A106,""en"",""ko"")"),"헝가리")</f>
        <v>헝가리</v>
      </c>
      <c r="J106" s="9" t="str">
        <f>IFERROR(__xludf.DUMMYFUNCTION("GOOGLETRANSLATE($A106,""en"",""pt-BR"")"),"Hungria")</f>
        <v>Hungria</v>
      </c>
    </row>
    <row r="107">
      <c r="A107" s="9" t="str">
        <f>IFERROR(__xludf.DUMMYFUNCTION("""COMPUTED_VALUE"""),"Iceland")</f>
        <v>Iceland</v>
      </c>
      <c r="B107" s="9" t="str">
        <f>IFERROR(__xludf.DUMMYFUNCTION("""COMPUTED_VALUE"""),"is")</f>
        <v>is</v>
      </c>
      <c r="C107" s="9" t="str">
        <f>IFERROR(__xludf.DUMMYFUNCTION("GOOGLETRANSLATE($A107,""en"",""de"")"),"Island")</f>
        <v>Island</v>
      </c>
      <c r="D107" s="9" t="str">
        <f>IFERROR(__xludf.DUMMYFUNCTION("GOOGLETRANSLATE($A107,""en"",""fr"")"),"Islande")</f>
        <v>Islande</v>
      </c>
      <c r="E107" s="9" t="str">
        <f>IFERROR(__xludf.DUMMYFUNCTION("GOOGLETRANSLATE($A107,""en"",""es"")"),"Islandia")</f>
        <v>Islandia</v>
      </c>
      <c r="F107" s="9" t="str">
        <f>IFERROR(__xludf.DUMMYFUNCTION("GOOGLETRANSLATE($A107,""en"",""it"")"),"Islanda")</f>
        <v>Islanda</v>
      </c>
      <c r="G107" s="9" t="str">
        <f>IFERROR(__xludf.DUMMYFUNCTION("GOOGLETRANSLATE($A107,""en"",""zh-cn"")"),"冰岛")</f>
        <v>冰岛</v>
      </c>
      <c r="H107" s="9" t="str">
        <f>IFERROR(__xludf.DUMMYFUNCTION("GOOGLETRANSLATE($A107,""en"",""ja"")"),"アイスランド")</f>
        <v>アイスランド</v>
      </c>
      <c r="I107" s="9" t="str">
        <f>IFERROR(__xludf.DUMMYFUNCTION("GOOGLETRANSLATE($A107,""en"",""ko"")"),"아이슬란드")</f>
        <v>아이슬란드</v>
      </c>
      <c r="J107" s="9" t="str">
        <f>IFERROR(__xludf.DUMMYFUNCTION("GOOGLETRANSLATE($A107,""en"",""pt-BR"")"),"Islândia")</f>
        <v>Islândia</v>
      </c>
    </row>
    <row r="108">
      <c r="A108" s="9" t="str">
        <f>IFERROR(__xludf.DUMMYFUNCTION("""COMPUTED_VALUE"""),"India")</f>
        <v>India</v>
      </c>
      <c r="B108" s="9" t="str">
        <f>IFERROR(__xludf.DUMMYFUNCTION("""COMPUTED_VALUE"""),"in")</f>
        <v>in</v>
      </c>
      <c r="C108" s="9" t="str">
        <f>IFERROR(__xludf.DUMMYFUNCTION("GOOGLETRANSLATE($A108,""en"",""de"")"),"Indien")</f>
        <v>Indien</v>
      </c>
      <c r="D108" s="9" t="str">
        <f>IFERROR(__xludf.DUMMYFUNCTION("GOOGLETRANSLATE($A108,""en"",""fr"")"),"Inde")</f>
        <v>Inde</v>
      </c>
      <c r="E108" s="9" t="str">
        <f>IFERROR(__xludf.DUMMYFUNCTION("GOOGLETRANSLATE($A108,""en"",""es"")"),"India")</f>
        <v>India</v>
      </c>
      <c r="F108" s="9" t="str">
        <f>IFERROR(__xludf.DUMMYFUNCTION("GOOGLETRANSLATE($A108,""en"",""it"")"),"India")</f>
        <v>India</v>
      </c>
      <c r="G108" s="9" t="str">
        <f>IFERROR(__xludf.DUMMYFUNCTION("GOOGLETRANSLATE($A108,""en"",""zh-cn"")"),"印度")</f>
        <v>印度</v>
      </c>
      <c r="H108" s="9" t="str">
        <f>IFERROR(__xludf.DUMMYFUNCTION("GOOGLETRANSLATE($A108,""en"",""ja"")"),"インド")</f>
        <v>インド</v>
      </c>
      <c r="I108" s="9" t="str">
        <f>IFERROR(__xludf.DUMMYFUNCTION("GOOGLETRANSLATE($A108,""en"",""ko"")"),"인도")</f>
        <v>인도</v>
      </c>
      <c r="J108" s="9" t="str">
        <f>IFERROR(__xludf.DUMMYFUNCTION("GOOGLETRANSLATE($A108,""en"",""pt-BR"")"),"Índia")</f>
        <v>Índia</v>
      </c>
    </row>
    <row r="109">
      <c r="A109" s="9" t="str">
        <f>IFERROR(__xludf.DUMMYFUNCTION("""COMPUTED_VALUE"""),"Indonesia")</f>
        <v>Indonesia</v>
      </c>
      <c r="B109" s="9" t="str">
        <f>IFERROR(__xludf.DUMMYFUNCTION("""COMPUTED_VALUE"""),"id")</f>
        <v>id</v>
      </c>
      <c r="C109" s="9" t="str">
        <f>IFERROR(__xludf.DUMMYFUNCTION("GOOGLETRANSLATE($A109,""en"",""de"")"),"Indonesien")</f>
        <v>Indonesien</v>
      </c>
      <c r="D109" s="9" t="str">
        <f>IFERROR(__xludf.DUMMYFUNCTION("GOOGLETRANSLATE($A109,""en"",""fr"")"),"Indonésie")</f>
        <v>Indonésie</v>
      </c>
      <c r="E109" s="9" t="str">
        <f>IFERROR(__xludf.DUMMYFUNCTION("GOOGLETRANSLATE($A109,""en"",""es"")"),"Indonesia")</f>
        <v>Indonesia</v>
      </c>
      <c r="F109" s="9" t="str">
        <f>IFERROR(__xludf.DUMMYFUNCTION("GOOGLETRANSLATE($A109,""en"",""it"")"),"Indonesia")</f>
        <v>Indonesia</v>
      </c>
      <c r="G109" s="9" t="str">
        <f>IFERROR(__xludf.DUMMYFUNCTION("GOOGLETRANSLATE($A109,""en"",""zh-cn"")"),"印度尼西亚")</f>
        <v>印度尼西亚</v>
      </c>
      <c r="H109" s="9" t="str">
        <f>IFERROR(__xludf.DUMMYFUNCTION("GOOGLETRANSLATE($A109,""en"",""ja"")"),"インドネシア")</f>
        <v>インドネシア</v>
      </c>
      <c r="I109" s="9" t="str">
        <f>IFERROR(__xludf.DUMMYFUNCTION("GOOGLETRANSLATE($A109,""en"",""ko"")"),"인도네시아 공화국")</f>
        <v>인도네시아 공화국</v>
      </c>
      <c r="J109" s="9" t="str">
        <f>IFERROR(__xludf.DUMMYFUNCTION("GOOGLETRANSLATE($A109,""en"",""pt-BR"")"),"Indonésia")</f>
        <v>Indonésia</v>
      </c>
    </row>
    <row r="110">
      <c r="A110" s="9" t="str">
        <f>IFERROR(__xludf.DUMMYFUNCTION("""COMPUTED_VALUE"""),"Iran")</f>
        <v>Iran</v>
      </c>
      <c r="B110" s="9" t="str">
        <f>IFERROR(__xludf.DUMMYFUNCTION("""COMPUTED_VALUE"""),"ir")</f>
        <v>ir</v>
      </c>
      <c r="C110" s="9" t="str">
        <f>IFERROR(__xludf.DUMMYFUNCTION("GOOGLETRANSLATE($A110,""en"",""de"")"),"Iran")</f>
        <v>Iran</v>
      </c>
      <c r="D110" s="9" t="str">
        <f>IFERROR(__xludf.DUMMYFUNCTION("GOOGLETRANSLATE($A110,""en"",""fr"")"),"L'Iran")</f>
        <v>L'Iran</v>
      </c>
      <c r="E110" s="9" t="str">
        <f>IFERROR(__xludf.DUMMYFUNCTION("GOOGLETRANSLATE($A110,""en"",""es"")"),"Irán")</f>
        <v>Irán</v>
      </c>
      <c r="F110" s="9" t="str">
        <f>IFERROR(__xludf.DUMMYFUNCTION("GOOGLETRANSLATE($A110,""en"",""it"")"),"Iran")</f>
        <v>Iran</v>
      </c>
      <c r="G110" s="9" t="str">
        <f>IFERROR(__xludf.DUMMYFUNCTION("GOOGLETRANSLATE($A110,""en"",""zh-cn"")"),"伊朗")</f>
        <v>伊朗</v>
      </c>
      <c r="H110" s="9" t="str">
        <f>IFERROR(__xludf.DUMMYFUNCTION("GOOGLETRANSLATE($A110,""en"",""ja"")"),"イラン")</f>
        <v>イラン</v>
      </c>
      <c r="I110" s="9" t="str">
        <f>IFERROR(__xludf.DUMMYFUNCTION("GOOGLETRANSLATE($A110,""en"",""ko"")"),"이란")</f>
        <v>이란</v>
      </c>
      <c r="J110" s="9" t="str">
        <f>IFERROR(__xludf.DUMMYFUNCTION("GOOGLETRANSLATE($A110,""en"",""pt-BR"")"),"Irã")</f>
        <v>Irã</v>
      </c>
    </row>
    <row r="111">
      <c r="A111" s="9" t="str">
        <f>IFERROR(__xludf.DUMMYFUNCTION("""COMPUTED_VALUE"""),"Iraq")</f>
        <v>Iraq</v>
      </c>
      <c r="B111" s="9" t="str">
        <f>IFERROR(__xludf.DUMMYFUNCTION("""COMPUTED_VALUE"""),"iq")</f>
        <v>iq</v>
      </c>
      <c r="C111" s="9" t="str">
        <f>IFERROR(__xludf.DUMMYFUNCTION("GOOGLETRANSLATE($A111,""en"",""de"")"),"Irak")</f>
        <v>Irak</v>
      </c>
      <c r="D111" s="9" t="str">
        <f>IFERROR(__xludf.DUMMYFUNCTION("GOOGLETRANSLATE($A111,""en"",""fr"")"),"Irak")</f>
        <v>Irak</v>
      </c>
      <c r="E111" s="9" t="str">
        <f>IFERROR(__xludf.DUMMYFUNCTION("GOOGLETRANSLATE($A111,""en"",""es"")"),"Irak")</f>
        <v>Irak</v>
      </c>
      <c r="F111" s="9" t="str">
        <f>IFERROR(__xludf.DUMMYFUNCTION("GOOGLETRANSLATE($A111,""en"",""it"")"),"Iraq")</f>
        <v>Iraq</v>
      </c>
      <c r="G111" s="9" t="str">
        <f>IFERROR(__xludf.DUMMYFUNCTION("GOOGLETRANSLATE($A111,""en"",""zh-cn"")"),"伊拉克")</f>
        <v>伊拉克</v>
      </c>
      <c r="H111" s="9" t="str">
        <f>IFERROR(__xludf.DUMMYFUNCTION("GOOGLETRANSLATE($A111,""en"",""ja"")"),"イラク")</f>
        <v>イラク</v>
      </c>
      <c r="I111" s="9" t="str">
        <f>IFERROR(__xludf.DUMMYFUNCTION("GOOGLETRANSLATE($A111,""en"",""ko"")"),"이라크")</f>
        <v>이라크</v>
      </c>
      <c r="J111" s="9" t="str">
        <f>IFERROR(__xludf.DUMMYFUNCTION("GOOGLETRANSLATE($A111,""en"",""pt-BR"")"),"Iraque")</f>
        <v>Iraque</v>
      </c>
    </row>
    <row r="112">
      <c r="A112" s="9" t="str">
        <f>IFERROR(__xludf.DUMMYFUNCTION("""COMPUTED_VALUE"""),"Ireland")</f>
        <v>Ireland</v>
      </c>
      <c r="B112" s="9" t="str">
        <f>IFERROR(__xludf.DUMMYFUNCTION("""COMPUTED_VALUE"""),"ie")</f>
        <v>ie</v>
      </c>
      <c r="C112" s="9" t="str">
        <f>IFERROR(__xludf.DUMMYFUNCTION("GOOGLETRANSLATE($A112,""en"",""de"")"),"Irland")</f>
        <v>Irland</v>
      </c>
      <c r="D112" s="9" t="str">
        <f>IFERROR(__xludf.DUMMYFUNCTION("GOOGLETRANSLATE($A112,""en"",""fr"")"),"Irlande")</f>
        <v>Irlande</v>
      </c>
      <c r="E112" s="9" t="str">
        <f>IFERROR(__xludf.DUMMYFUNCTION("GOOGLETRANSLATE($A112,""en"",""es"")"),"Irlanda")</f>
        <v>Irlanda</v>
      </c>
      <c r="F112" s="9" t="str">
        <f>IFERROR(__xludf.DUMMYFUNCTION("GOOGLETRANSLATE($A112,""en"",""it"")"),"Irlanda")</f>
        <v>Irlanda</v>
      </c>
      <c r="G112" s="9" t="str">
        <f>IFERROR(__xludf.DUMMYFUNCTION("GOOGLETRANSLATE($A112,""en"",""zh-cn"")"),"爱尔兰")</f>
        <v>爱尔兰</v>
      </c>
      <c r="H112" s="9" t="str">
        <f>IFERROR(__xludf.DUMMYFUNCTION("GOOGLETRANSLATE($A112,""en"",""ja"")"),"アイルランド")</f>
        <v>アイルランド</v>
      </c>
      <c r="I112" s="9" t="str">
        <f>IFERROR(__xludf.DUMMYFUNCTION("GOOGLETRANSLATE($A112,""en"",""ko"")"),"아일랜드")</f>
        <v>아일랜드</v>
      </c>
      <c r="J112" s="9" t="str">
        <f>IFERROR(__xludf.DUMMYFUNCTION("GOOGLETRANSLATE($A112,""en"",""pt-BR"")"),"Irlanda")</f>
        <v>Irlanda</v>
      </c>
    </row>
    <row r="113">
      <c r="A113" s="9" t="str">
        <f>IFERROR(__xludf.DUMMYFUNCTION("""COMPUTED_VALUE"""),"Isle of Man")</f>
        <v>Isle of Man</v>
      </c>
      <c r="B113" s="9" t="str">
        <f>IFERROR(__xludf.DUMMYFUNCTION("""COMPUTED_VALUE"""),"im")</f>
        <v>im</v>
      </c>
      <c r="C113" s="9" t="str">
        <f>IFERROR(__xludf.DUMMYFUNCTION("GOOGLETRANSLATE($A113,""en"",""de"")"),"Insel Man")</f>
        <v>Insel Man</v>
      </c>
      <c r="D113" s="9" t="str">
        <f>IFERROR(__xludf.DUMMYFUNCTION("GOOGLETRANSLATE($A113,""en"",""fr"")"),"Île de Man")</f>
        <v>Île de Man</v>
      </c>
      <c r="E113" s="9" t="str">
        <f>IFERROR(__xludf.DUMMYFUNCTION("GOOGLETRANSLATE($A113,""en"",""es"")"),"isla de man")</f>
        <v>isla de man</v>
      </c>
      <c r="F113" s="9" t="str">
        <f>IFERROR(__xludf.DUMMYFUNCTION("GOOGLETRANSLATE($A113,""en"",""it"")"),"Isola di Man")</f>
        <v>Isola di Man</v>
      </c>
      <c r="G113" s="9" t="str">
        <f>IFERROR(__xludf.DUMMYFUNCTION("GOOGLETRANSLATE($A113,""en"",""zh-cn"")"),"马恩岛")</f>
        <v>马恩岛</v>
      </c>
      <c r="H113" s="9" t="str">
        <f>IFERROR(__xludf.DUMMYFUNCTION("GOOGLETRANSLATE($A113,""en"",""ja"")"),"マン島")</f>
        <v>マン島</v>
      </c>
      <c r="I113" s="9" t="str">
        <f>IFERROR(__xludf.DUMMYFUNCTION("GOOGLETRANSLATE($A113,""en"",""ko"")"),"맨 섬")</f>
        <v>맨 섬</v>
      </c>
      <c r="J113" s="9" t="str">
        <f>IFERROR(__xludf.DUMMYFUNCTION("GOOGLETRANSLATE($A113,""en"",""pt-BR"")"),"Ilha de Man")</f>
        <v>Ilha de Man</v>
      </c>
    </row>
    <row r="114">
      <c r="A114" s="9" t="str">
        <f>IFERROR(__xludf.DUMMYFUNCTION("""COMPUTED_VALUE"""),"Israel")</f>
        <v>Israel</v>
      </c>
      <c r="B114" s="9" t="str">
        <f>IFERROR(__xludf.DUMMYFUNCTION("""COMPUTED_VALUE"""),"il")</f>
        <v>il</v>
      </c>
      <c r="C114" s="9" t="str">
        <f>IFERROR(__xludf.DUMMYFUNCTION("GOOGLETRANSLATE($A114,""en"",""de"")"),"Israel")</f>
        <v>Israel</v>
      </c>
      <c r="D114" s="9" t="str">
        <f>IFERROR(__xludf.DUMMYFUNCTION("GOOGLETRANSLATE($A114,""en"",""fr"")"),"Israël")</f>
        <v>Israël</v>
      </c>
      <c r="E114" s="9" t="str">
        <f>IFERROR(__xludf.DUMMYFUNCTION("GOOGLETRANSLATE($A114,""en"",""es"")"),"Israel")</f>
        <v>Israel</v>
      </c>
      <c r="F114" s="9" t="str">
        <f>IFERROR(__xludf.DUMMYFUNCTION("GOOGLETRANSLATE($A114,""en"",""it"")"),"Israele")</f>
        <v>Israele</v>
      </c>
      <c r="G114" s="9" t="str">
        <f>IFERROR(__xludf.DUMMYFUNCTION("GOOGLETRANSLATE($A114,""en"",""zh-cn"")"),"以色列")</f>
        <v>以色列</v>
      </c>
      <c r="H114" s="9" t="str">
        <f>IFERROR(__xludf.DUMMYFUNCTION("GOOGLETRANSLATE($A114,""en"",""ja"")"),"イスラエル")</f>
        <v>イスラエル</v>
      </c>
      <c r="I114" s="9" t="str">
        <f>IFERROR(__xludf.DUMMYFUNCTION("GOOGLETRANSLATE($A114,""en"",""ko"")"),"이스라엘")</f>
        <v>이스라엘</v>
      </c>
      <c r="J114" s="9" t="str">
        <f>IFERROR(__xludf.DUMMYFUNCTION("GOOGLETRANSLATE($A114,""en"",""pt-BR"")"),"Israel")</f>
        <v>Israel</v>
      </c>
    </row>
    <row r="115">
      <c r="A115" s="9" t="str">
        <f>IFERROR(__xludf.DUMMYFUNCTION("""COMPUTED_VALUE"""),"Italy")</f>
        <v>Italy</v>
      </c>
      <c r="B115" s="9" t="str">
        <f>IFERROR(__xludf.DUMMYFUNCTION("""COMPUTED_VALUE"""),"it")</f>
        <v>it</v>
      </c>
      <c r="C115" s="9" t="str">
        <f>IFERROR(__xludf.DUMMYFUNCTION("GOOGLETRANSLATE($A115,""en"",""de"")"),"Italien")</f>
        <v>Italien</v>
      </c>
      <c r="D115" s="9" t="str">
        <f>IFERROR(__xludf.DUMMYFUNCTION("GOOGLETRANSLATE($A115,""en"",""fr"")"),"Italie")</f>
        <v>Italie</v>
      </c>
      <c r="E115" s="9" t="str">
        <f>IFERROR(__xludf.DUMMYFUNCTION("GOOGLETRANSLATE($A115,""en"",""es"")"),"Italia")</f>
        <v>Italia</v>
      </c>
      <c r="F115" s="9" t="str">
        <f>IFERROR(__xludf.DUMMYFUNCTION("GOOGLETRANSLATE($A115,""en"",""it"")"),"Italia")</f>
        <v>Italia</v>
      </c>
      <c r="G115" s="9" t="str">
        <f>IFERROR(__xludf.DUMMYFUNCTION("GOOGLETRANSLATE($A115,""en"",""zh-cn"")"),"意大利")</f>
        <v>意大利</v>
      </c>
      <c r="H115" s="9" t="str">
        <f>IFERROR(__xludf.DUMMYFUNCTION("GOOGLETRANSLATE($A115,""en"",""ja"")"),"イタリア")</f>
        <v>イタリア</v>
      </c>
      <c r="I115" s="9" t="str">
        <f>IFERROR(__xludf.DUMMYFUNCTION("GOOGLETRANSLATE($A115,""en"",""ko"")"),"이탈리아")</f>
        <v>이탈리아</v>
      </c>
      <c r="J115" s="9" t="str">
        <f>IFERROR(__xludf.DUMMYFUNCTION("GOOGLETRANSLATE($A115,""en"",""pt-BR"")"),"Itália")</f>
        <v>Itália</v>
      </c>
    </row>
    <row r="116">
      <c r="A116" s="9" t="str">
        <f>IFERROR(__xludf.DUMMYFUNCTION("""COMPUTED_VALUE"""),"Jamaica")</f>
        <v>Jamaica</v>
      </c>
      <c r="B116" s="9" t="str">
        <f>IFERROR(__xludf.DUMMYFUNCTION("""COMPUTED_VALUE"""),"jm")</f>
        <v>jm</v>
      </c>
      <c r="C116" s="9" t="str">
        <f>IFERROR(__xludf.DUMMYFUNCTION("GOOGLETRANSLATE($A116,""en"",""de"")"),"Jamaika")</f>
        <v>Jamaika</v>
      </c>
      <c r="D116" s="9" t="str">
        <f>IFERROR(__xludf.DUMMYFUNCTION("GOOGLETRANSLATE($A116,""en"",""fr"")"),"Jamaïque")</f>
        <v>Jamaïque</v>
      </c>
      <c r="E116" s="9" t="str">
        <f>IFERROR(__xludf.DUMMYFUNCTION("GOOGLETRANSLATE($A116,""en"",""es"")"),"Jamaica")</f>
        <v>Jamaica</v>
      </c>
      <c r="F116" s="9" t="str">
        <f>IFERROR(__xludf.DUMMYFUNCTION("GOOGLETRANSLATE($A116,""en"",""it"")"),"Giamaica")</f>
        <v>Giamaica</v>
      </c>
      <c r="G116" s="9" t="str">
        <f>IFERROR(__xludf.DUMMYFUNCTION("GOOGLETRANSLATE($A116,""en"",""zh-cn"")"),"牙买加")</f>
        <v>牙买加</v>
      </c>
      <c r="H116" s="9" t="str">
        <f>IFERROR(__xludf.DUMMYFUNCTION("GOOGLETRANSLATE($A116,""en"",""ja"")"),"ジャマイカ")</f>
        <v>ジャマイカ</v>
      </c>
      <c r="I116" s="9" t="str">
        <f>IFERROR(__xludf.DUMMYFUNCTION("GOOGLETRANSLATE($A116,""en"",""ko"")"),"자메이카")</f>
        <v>자메이카</v>
      </c>
      <c r="J116" s="9" t="str">
        <f>IFERROR(__xludf.DUMMYFUNCTION("GOOGLETRANSLATE($A116,""en"",""pt-BR"")"),"Jamaica")</f>
        <v>Jamaica</v>
      </c>
    </row>
    <row r="117">
      <c r="A117" s="9" t="str">
        <f>IFERROR(__xludf.DUMMYFUNCTION("""COMPUTED_VALUE"""),"Japan")</f>
        <v>Japan</v>
      </c>
      <c r="B117" s="9" t="str">
        <f>IFERROR(__xludf.DUMMYFUNCTION("""COMPUTED_VALUE"""),"jp")</f>
        <v>jp</v>
      </c>
      <c r="C117" s="9" t="str">
        <f>IFERROR(__xludf.DUMMYFUNCTION("GOOGLETRANSLATE($A117,""en"",""de"")"),"Japan")</f>
        <v>Japan</v>
      </c>
      <c r="D117" s="9" t="str">
        <f>IFERROR(__xludf.DUMMYFUNCTION("GOOGLETRANSLATE($A117,""en"",""fr"")"),"Japon")</f>
        <v>Japon</v>
      </c>
      <c r="E117" s="9" t="str">
        <f>IFERROR(__xludf.DUMMYFUNCTION("GOOGLETRANSLATE($A117,""en"",""es"")"),"Japón")</f>
        <v>Japón</v>
      </c>
      <c r="F117" s="9" t="str">
        <f>IFERROR(__xludf.DUMMYFUNCTION("GOOGLETRANSLATE($A117,""en"",""it"")"),"Giappone")</f>
        <v>Giappone</v>
      </c>
      <c r="G117" s="9" t="str">
        <f>IFERROR(__xludf.DUMMYFUNCTION("GOOGLETRANSLATE($A117,""en"",""zh-cn"")"),"日本")</f>
        <v>日本</v>
      </c>
      <c r="H117" s="9" t="str">
        <f>IFERROR(__xludf.DUMMYFUNCTION("GOOGLETRANSLATE($A117,""en"",""ja"")"),"日本")</f>
        <v>日本</v>
      </c>
      <c r="I117" s="9" t="str">
        <f>IFERROR(__xludf.DUMMYFUNCTION("GOOGLETRANSLATE($A117,""en"",""ko"")"),"일본")</f>
        <v>일본</v>
      </c>
      <c r="J117" s="9" t="str">
        <f>IFERROR(__xludf.DUMMYFUNCTION("GOOGLETRANSLATE($A117,""en"",""pt-BR"")"),"Japão")</f>
        <v>Japão</v>
      </c>
    </row>
    <row r="118">
      <c r="A118" s="9" t="str">
        <f>IFERROR(__xludf.DUMMYFUNCTION("""COMPUTED_VALUE"""),"Jersey")</f>
        <v>Jersey</v>
      </c>
      <c r="B118" s="9" t="str">
        <f>IFERROR(__xludf.DUMMYFUNCTION("""COMPUTED_VALUE"""),"je")</f>
        <v>je</v>
      </c>
      <c r="C118" s="9" t="str">
        <f>IFERROR(__xludf.DUMMYFUNCTION("GOOGLETRANSLATE($A118,""en"",""de"")"),"Jersey")</f>
        <v>Jersey</v>
      </c>
      <c r="D118" s="9" t="str">
        <f>IFERROR(__xludf.DUMMYFUNCTION("GOOGLETRANSLATE($A118,""en"",""fr"")"),"Jersey")</f>
        <v>Jersey</v>
      </c>
      <c r="E118" s="9" t="str">
        <f>IFERROR(__xludf.DUMMYFUNCTION("GOOGLETRANSLATE($A118,""en"",""es"")"),"Jersey")</f>
        <v>Jersey</v>
      </c>
      <c r="F118" s="9" t="str">
        <f>IFERROR(__xludf.DUMMYFUNCTION("GOOGLETRANSLATE($A118,""en"",""it"")"),"Maglia")</f>
        <v>Maglia</v>
      </c>
      <c r="G118" s="9" t="str">
        <f>IFERROR(__xludf.DUMMYFUNCTION("GOOGLETRANSLATE($A118,""en"",""zh-cn"")"),"球衣")</f>
        <v>球衣</v>
      </c>
      <c r="H118" s="9" t="str">
        <f>IFERROR(__xludf.DUMMYFUNCTION("GOOGLETRANSLATE($A118,""en"",""ja"")"),"ジャージー")</f>
        <v>ジャージー</v>
      </c>
      <c r="I118" s="9" t="str">
        <f>IFERROR(__xludf.DUMMYFUNCTION("GOOGLETRANSLATE($A118,""en"",""ko"")"),"저지")</f>
        <v>저지</v>
      </c>
      <c r="J118" s="9" t="str">
        <f>IFERROR(__xludf.DUMMYFUNCTION("GOOGLETRANSLATE($A118,""en"",""pt-BR"")"),"Jersey")</f>
        <v>Jersey</v>
      </c>
    </row>
    <row r="119">
      <c r="A119" s="9" t="str">
        <f>IFERROR(__xludf.DUMMYFUNCTION("""COMPUTED_VALUE"""),"Jordan")</f>
        <v>Jordan</v>
      </c>
      <c r="B119" s="9" t="str">
        <f>IFERROR(__xludf.DUMMYFUNCTION("""COMPUTED_VALUE"""),"jo")</f>
        <v>jo</v>
      </c>
      <c r="C119" s="9" t="str">
        <f>IFERROR(__xludf.DUMMYFUNCTION("GOOGLETRANSLATE($A119,""en"",""de"")"),"Jordanien")</f>
        <v>Jordanien</v>
      </c>
      <c r="D119" s="9" t="str">
        <f>IFERROR(__xludf.DUMMYFUNCTION("GOOGLETRANSLATE($A119,""en"",""fr"")"),"Jordanie")</f>
        <v>Jordanie</v>
      </c>
      <c r="E119" s="9" t="str">
        <f>IFERROR(__xludf.DUMMYFUNCTION("GOOGLETRANSLATE($A119,""en"",""es"")"),"Jordán")</f>
        <v>Jordán</v>
      </c>
      <c r="F119" s="9" t="str">
        <f>IFERROR(__xludf.DUMMYFUNCTION("GOOGLETRANSLATE($A119,""en"",""it"")"),"Giordania")</f>
        <v>Giordania</v>
      </c>
      <c r="G119" s="9" t="str">
        <f>IFERROR(__xludf.DUMMYFUNCTION("GOOGLETRANSLATE($A119,""en"",""zh-cn"")"),"约旦")</f>
        <v>约旦</v>
      </c>
      <c r="H119" s="9" t="str">
        <f>IFERROR(__xludf.DUMMYFUNCTION("GOOGLETRANSLATE($A119,""en"",""ja"")"),"ヨルダン")</f>
        <v>ヨルダン</v>
      </c>
      <c r="I119" s="9" t="str">
        <f>IFERROR(__xludf.DUMMYFUNCTION("GOOGLETRANSLATE($A119,""en"",""ko"")"),"요르단")</f>
        <v>요르단</v>
      </c>
      <c r="J119" s="9" t="str">
        <f>IFERROR(__xludf.DUMMYFUNCTION("GOOGLETRANSLATE($A119,""en"",""pt-BR"")"),"Jordânia")</f>
        <v>Jordânia</v>
      </c>
    </row>
    <row r="120">
      <c r="A120" s="9" t="str">
        <f>IFERROR(__xludf.DUMMYFUNCTION("""COMPUTED_VALUE"""),"Kazakhstan")</f>
        <v>Kazakhstan</v>
      </c>
      <c r="B120" s="9" t="str">
        <f>IFERROR(__xludf.DUMMYFUNCTION("""COMPUTED_VALUE"""),"kz")</f>
        <v>kz</v>
      </c>
      <c r="C120" s="9" t="str">
        <f>IFERROR(__xludf.DUMMYFUNCTION("GOOGLETRANSLATE($A120,""en"",""de"")"),"Kasachstan")</f>
        <v>Kasachstan</v>
      </c>
      <c r="D120" s="9" t="str">
        <f>IFERROR(__xludf.DUMMYFUNCTION("GOOGLETRANSLATE($A120,""en"",""fr"")"),"Kazakhstan")</f>
        <v>Kazakhstan</v>
      </c>
      <c r="E120" s="9" t="str">
        <f>IFERROR(__xludf.DUMMYFUNCTION("GOOGLETRANSLATE($A120,""en"",""es"")"),"Kazajstán")</f>
        <v>Kazajstán</v>
      </c>
      <c r="F120" s="9" t="str">
        <f>IFERROR(__xludf.DUMMYFUNCTION("GOOGLETRANSLATE($A120,""en"",""it"")"),"Kazakistan")</f>
        <v>Kazakistan</v>
      </c>
      <c r="G120" s="9" t="str">
        <f>IFERROR(__xludf.DUMMYFUNCTION("GOOGLETRANSLATE($A120,""en"",""zh-cn"")"),"哈萨克斯坦")</f>
        <v>哈萨克斯坦</v>
      </c>
      <c r="H120" s="9" t="str">
        <f>IFERROR(__xludf.DUMMYFUNCTION("GOOGLETRANSLATE($A120,""en"",""ja"")"),"カザフスタン")</f>
        <v>カザフスタン</v>
      </c>
      <c r="I120" s="9" t="str">
        <f>IFERROR(__xludf.DUMMYFUNCTION("GOOGLETRANSLATE($A120,""en"",""ko"")"),"카자흐스탄")</f>
        <v>카자흐스탄</v>
      </c>
      <c r="J120" s="9" t="str">
        <f>IFERROR(__xludf.DUMMYFUNCTION("GOOGLETRANSLATE($A120,""en"",""pt-BR"")"),"Cazaquistão")</f>
        <v>Cazaquistão</v>
      </c>
    </row>
    <row r="121">
      <c r="A121" s="9" t="str">
        <f>IFERROR(__xludf.DUMMYFUNCTION("""COMPUTED_VALUE"""),"Kenya")</f>
        <v>Kenya</v>
      </c>
      <c r="B121" s="9" t="str">
        <f>IFERROR(__xludf.DUMMYFUNCTION("""COMPUTED_VALUE"""),"ke")</f>
        <v>ke</v>
      </c>
      <c r="C121" s="9" t="str">
        <f>IFERROR(__xludf.DUMMYFUNCTION("GOOGLETRANSLATE($A121,""en"",""de"")"),"Kenia")</f>
        <v>Kenia</v>
      </c>
      <c r="D121" s="9" t="str">
        <f>IFERROR(__xludf.DUMMYFUNCTION("GOOGLETRANSLATE($A121,""en"",""fr"")"),"Kenya")</f>
        <v>Kenya</v>
      </c>
      <c r="E121" s="9" t="str">
        <f>IFERROR(__xludf.DUMMYFUNCTION("GOOGLETRANSLATE($A121,""en"",""es"")"),"Kenia")</f>
        <v>Kenia</v>
      </c>
      <c r="F121" s="9" t="str">
        <f>IFERROR(__xludf.DUMMYFUNCTION("GOOGLETRANSLATE($A121,""en"",""it"")"),"Kenia")</f>
        <v>Kenia</v>
      </c>
      <c r="G121" s="9" t="str">
        <f>IFERROR(__xludf.DUMMYFUNCTION("GOOGLETRANSLATE($A121,""en"",""zh-cn"")"),"肯尼亚")</f>
        <v>肯尼亚</v>
      </c>
      <c r="H121" s="9" t="str">
        <f>IFERROR(__xludf.DUMMYFUNCTION("GOOGLETRANSLATE($A121,""en"",""ja"")"),"ケニア")</f>
        <v>ケニア</v>
      </c>
      <c r="I121" s="9" t="str">
        <f>IFERROR(__xludf.DUMMYFUNCTION("GOOGLETRANSLATE($A121,""en"",""ko"")"),"케냐")</f>
        <v>케냐</v>
      </c>
      <c r="J121" s="9" t="str">
        <f>IFERROR(__xludf.DUMMYFUNCTION("GOOGLETRANSLATE($A121,""en"",""pt-BR"")"),"Quênia")</f>
        <v>Quênia</v>
      </c>
    </row>
    <row r="122">
      <c r="A122" s="9" t="str">
        <f>IFERROR(__xludf.DUMMYFUNCTION("""COMPUTED_VALUE"""),"Kiribati")</f>
        <v>Kiribati</v>
      </c>
      <c r="B122" s="9" t="str">
        <f>IFERROR(__xludf.DUMMYFUNCTION("""COMPUTED_VALUE"""),"ki")</f>
        <v>ki</v>
      </c>
      <c r="C122" s="9" t="str">
        <f>IFERROR(__xludf.DUMMYFUNCTION("GOOGLETRANSLATE($A122,""en"",""de"")"),"Kiribati")</f>
        <v>Kiribati</v>
      </c>
      <c r="D122" s="9" t="str">
        <f>IFERROR(__xludf.DUMMYFUNCTION("GOOGLETRANSLATE($A122,""en"",""fr"")"),"Kiribati")</f>
        <v>Kiribati</v>
      </c>
      <c r="E122" s="9" t="str">
        <f>IFERROR(__xludf.DUMMYFUNCTION("GOOGLETRANSLATE($A122,""en"",""es"")"),"Kiribati")</f>
        <v>Kiribati</v>
      </c>
      <c r="F122" s="9" t="str">
        <f>IFERROR(__xludf.DUMMYFUNCTION("GOOGLETRANSLATE($A122,""en"",""it"")"),"Kiribati")</f>
        <v>Kiribati</v>
      </c>
      <c r="G122" s="9" t="str">
        <f>IFERROR(__xludf.DUMMYFUNCTION("GOOGLETRANSLATE($A122,""en"",""zh-cn"")"),"基里巴斯")</f>
        <v>基里巴斯</v>
      </c>
      <c r="H122" s="9" t="str">
        <f>IFERROR(__xludf.DUMMYFUNCTION("GOOGLETRANSLATE($A122,""en"",""ja"")"),"キリバス")</f>
        <v>キリバス</v>
      </c>
      <c r="I122" s="9" t="str">
        <f>IFERROR(__xludf.DUMMYFUNCTION("GOOGLETRANSLATE($A122,""en"",""ko"")"),"키리바시")</f>
        <v>키리바시</v>
      </c>
      <c r="J122" s="9" t="str">
        <f>IFERROR(__xludf.DUMMYFUNCTION("GOOGLETRANSLATE($A122,""en"",""pt-BR"")"),"Quiribáti")</f>
        <v>Quiribáti</v>
      </c>
    </row>
    <row r="123">
      <c r="A123" s="9" t="str">
        <f>IFERROR(__xludf.DUMMYFUNCTION("""COMPUTED_VALUE"""),"Korea, North")</f>
        <v>Korea, North</v>
      </c>
      <c r="B123" s="9" t="str">
        <f>IFERROR(__xludf.DUMMYFUNCTION("""COMPUTED_VALUE"""),"kp")</f>
        <v>kp</v>
      </c>
      <c r="C123" s="9" t="str">
        <f>IFERROR(__xludf.DUMMYFUNCTION("GOOGLETRANSLATE($A123,""en"",""de"")"),"Korea, Norden")</f>
        <v>Korea, Norden</v>
      </c>
      <c r="D123" s="9" t="str">
        <f>IFERROR(__xludf.DUMMYFUNCTION("GOOGLETRANSLATE($A123,""en"",""fr"")"),"Corée du Nord")</f>
        <v>Corée du Nord</v>
      </c>
      <c r="E123" s="9" t="str">
        <f>IFERROR(__xludf.DUMMYFUNCTION("GOOGLETRANSLATE($A123,""en"",""es"")"),"Corea del Norte")</f>
        <v>Corea del Norte</v>
      </c>
      <c r="F123" s="9" t="str">
        <f>IFERROR(__xludf.DUMMYFUNCTION("GOOGLETRANSLATE($A123,""en"",""it"")"),"Corea del Nord")</f>
        <v>Corea del Nord</v>
      </c>
      <c r="G123" s="9" t="str">
        <f>IFERROR(__xludf.DUMMYFUNCTION("GOOGLETRANSLATE($A123,""en"",""zh-cn"")"),"朝鲜、北朝鲜")</f>
        <v>朝鲜、北朝鲜</v>
      </c>
      <c r="H123" s="9" t="str">
        <f>IFERROR(__xludf.DUMMYFUNCTION("GOOGLETRANSLATE($A123,""en"",""ja"")"),"韓国、北朝鮮")</f>
        <v>韓国、北朝鮮</v>
      </c>
      <c r="I123" s="9" t="str">
        <f>IFERROR(__xludf.DUMMYFUNCTION("GOOGLETRANSLATE($A123,""en"",""ko"")"),"한국, 북한")</f>
        <v>한국, 북한</v>
      </c>
      <c r="J123" s="9" t="str">
        <f>IFERROR(__xludf.DUMMYFUNCTION("GOOGLETRANSLATE($A123,""en"",""pt-BR"")"),"Coreia, Norte")</f>
        <v>Coreia, Norte</v>
      </c>
    </row>
    <row r="124">
      <c r="A124" s="9" t="str">
        <f>IFERROR(__xludf.DUMMYFUNCTION("""COMPUTED_VALUE"""),"Korea, South")</f>
        <v>Korea, South</v>
      </c>
      <c r="B124" s="9" t="str">
        <f>IFERROR(__xludf.DUMMYFUNCTION("""COMPUTED_VALUE"""),"kr")</f>
        <v>kr</v>
      </c>
      <c r="C124" s="9" t="str">
        <f>IFERROR(__xludf.DUMMYFUNCTION("GOOGLETRANSLATE($A124,""en"",""de"")"),"Korea, Süden")</f>
        <v>Korea, Süden</v>
      </c>
      <c r="D124" s="9" t="str">
        <f>IFERROR(__xludf.DUMMYFUNCTION("GOOGLETRANSLATE($A124,""en"",""fr"")"),"Corée du Sud")</f>
        <v>Corée du Sud</v>
      </c>
      <c r="E124" s="9" t="str">
        <f>IFERROR(__xludf.DUMMYFUNCTION("GOOGLETRANSLATE($A124,""en"",""es"")"),"Corea del Sur")</f>
        <v>Corea del Sur</v>
      </c>
      <c r="F124" s="9" t="str">
        <f>IFERROR(__xludf.DUMMYFUNCTION("GOOGLETRANSLATE($A124,""en"",""it"")"),"Corea del Sud")</f>
        <v>Corea del Sud</v>
      </c>
      <c r="G124" s="9" t="str">
        <f>IFERROR(__xludf.DUMMYFUNCTION("GOOGLETRANSLATE($A124,""en"",""zh-cn"")"),"韩国、韩国")</f>
        <v>韩国、韩国</v>
      </c>
      <c r="H124" s="9" t="str">
        <f>IFERROR(__xludf.DUMMYFUNCTION("GOOGLETRANSLATE($A124,""en"",""ja"")"),"韓国、南")</f>
        <v>韓国、南</v>
      </c>
      <c r="I124" s="9" t="str">
        <f>IFERROR(__xludf.DUMMYFUNCTION("GOOGLETRANSLATE($A124,""en"",""ko"")"),"한국, 대한민국")</f>
        <v>한국, 대한민국</v>
      </c>
      <c r="J124" s="9" t="str">
        <f>IFERROR(__xludf.DUMMYFUNCTION("GOOGLETRANSLATE($A124,""en"",""pt-BR"")"),"Coreia, Sul")</f>
        <v>Coreia, Sul</v>
      </c>
    </row>
    <row r="125">
      <c r="A125" s="9" t="str">
        <f>IFERROR(__xludf.DUMMYFUNCTION("""COMPUTED_VALUE"""),"Kuwait")</f>
        <v>Kuwait</v>
      </c>
      <c r="B125" s="9" t="str">
        <f>IFERROR(__xludf.DUMMYFUNCTION("""COMPUTED_VALUE"""),"kw")</f>
        <v>kw</v>
      </c>
      <c r="C125" s="9" t="str">
        <f>IFERROR(__xludf.DUMMYFUNCTION("GOOGLETRANSLATE($A125,""en"",""de"")"),"Kuwait")</f>
        <v>Kuwait</v>
      </c>
      <c r="D125" s="9" t="str">
        <f>IFERROR(__xludf.DUMMYFUNCTION("GOOGLETRANSLATE($A125,""en"",""fr"")"),"Koweit")</f>
        <v>Koweit</v>
      </c>
      <c r="E125" s="9" t="str">
        <f>IFERROR(__xludf.DUMMYFUNCTION("GOOGLETRANSLATE($A125,""en"",""es"")"),"Kuwait")</f>
        <v>Kuwait</v>
      </c>
      <c r="F125" s="9" t="str">
        <f>IFERROR(__xludf.DUMMYFUNCTION("GOOGLETRANSLATE($A125,""en"",""it"")"),"Kuwait")</f>
        <v>Kuwait</v>
      </c>
      <c r="G125" s="9" t="str">
        <f>IFERROR(__xludf.DUMMYFUNCTION("GOOGLETRANSLATE($A125,""en"",""zh-cn"")"),"科威特")</f>
        <v>科威特</v>
      </c>
      <c r="H125" s="9" t="str">
        <f>IFERROR(__xludf.DUMMYFUNCTION("GOOGLETRANSLATE($A125,""en"",""ja"")"),"クウェート")</f>
        <v>クウェート</v>
      </c>
      <c r="I125" s="9" t="str">
        <f>IFERROR(__xludf.DUMMYFUNCTION("GOOGLETRANSLATE($A125,""en"",""ko"")"),"쿠웨이트")</f>
        <v>쿠웨이트</v>
      </c>
      <c r="J125" s="9" t="str">
        <f>IFERROR(__xludf.DUMMYFUNCTION("GOOGLETRANSLATE($A125,""en"",""pt-BR"")"),"Kuwait")</f>
        <v>Kuwait</v>
      </c>
    </row>
    <row r="126">
      <c r="A126" s="9" t="str">
        <f>IFERROR(__xludf.DUMMYFUNCTION("""COMPUTED_VALUE"""),"Kyrgyzstan")</f>
        <v>Kyrgyzstan</v>
      </c>
      <c r="B126" s="9" t="str">
        <f>IFERROR(__xludf.DUMMYFUNCTION("""COMPUTED_VALUE"""),"kg")</f>
        <v>kg</v>
      </c>
      <c r="C126" s="9" t="str">
        <f>IFERROR(__xludf.DUMMYFUNCTION("GOOGLETRANSLATE($A126,""en"",""de"")"),"Kirgisistan")</f>
        <v>Kirgisistan</v>
      </c>
      <c r="D126" s="9" t="str">
        <f>IFERROR(__xludf.DUMMYFUNCTION("GOOGLETRANSLATE($A126,""en"",""fr"")"),"Kirghizistan")</f>
        <v>Kirghizistan</v>
      </c>
      <c r="E126" s="9" t="str">
        <f>IFERROR(__xludf.DUMMYFUNCTION("GOOGLETRANSLATE($A126,""en"",""es"")"),"Kirguistán")</f>
        <v>Kirguistán</v>
      </c>
      <c r="F126" s="9" t="str">
        <f>IFERROR(__xludf.DUMMYFUNCTION("GOOGLETRANSLATE($A126,""en"",""it"")"),"Kirghizistan")</f>
        <v>Kirghizistan</v>
      </c>
      <c r="G126" s="9" t="str">
        <f>IFERROR(__xludf.DUMMYFUNCTION("GOOGLETRANSLATE($A126,""en"",""zh-cn"")"),"吉尔吉斯斯坦")</f>
        <v>吉尔吉斯斯坦</v>
      </c>
      <c r="H126" s="9" t="str">
        <f>IFERROR(__xludf.DUMMYFUNCTION("GOOGLETRANSLATE($A126,""en"",""ja"")"),"キルギス")</f>
        <v>キルギス</v>
      </c>
      <c r="I126" s="9" t="str">
        <f>IFERROR(__xludf.DUMMYFUNCTION("GOOGLETRANSLATE($A126,""en"",""ko"")"),"키르기스스탄")</f>
        <v>키르기스스탄</v>
      </c>
      <c r="J126" s="9" t="str">
        <f>IFERROR(__xludf.DUMMYFUNCTION("GOOGLETRANSLATE($A126,""en"",""pt-BR"")"),"Quirguistão")</f>
        <v>Quirguistão</v>
      </c>
    </row>
    <row r="127">
      <c r="A127" s="9" t="str">
        <f>IFERROR(__xludf.DUMMYFUNCTION("""COMPUTED_VALUE"""),"Lao")</f>
        <v>Lao</v>
      </c>
      <c r="B127" s="9" t="str">
        <f>IFERROR(__xludf.DUMMYFUNCTION("""COMPUTED_VALUE"""),"la")</f>
        <v>la</v>
      </c>
      <c r="C127" s="9" t="str">
        <f>IFERROR(__xludf.DUMMYFUNCTION("GOOGLETRANSLATE($A127,""en"",""de"")"),"Laotisch")</f>
        <v>Laotisch</v>
      </c>
      <c r="D127" s="9" t="str">
        <f>IFERROR(__xludf.DUMMYFUNCTION("GOOGLETRANSLATE($A127,""en"",""fr"")"),"Laotien")</f>
        <v>Laotien</v>
      </c>
      <c r="E127" s="9" t="str">
        <f>IFERROR(__xludf.DUMMYFUNCTION("GOOGLETRANSLATE($A127,""en"",""es"")"),"laosiano")</f>
        <v>laosiano</v>
      </c>
      <c r="F127" s="9" t="str">
        <f>IFERROR(__xludf.DUMMYFUNCTION("GOOGLETRANSLATE($A127,""en"",""it"")"),"Laotiano")</f>
        <v>Laotiano</v>
      </c>
      <c r="G127" s="9" t="str">
        <f>IFERROR(__xludf.DUMMYFUNCTION("GOOGLETRANSLATE($A127,""en"",""zh-cn"")"),"老挝")</f>
        <v>老挝</v>
      </c>
      <c r="H127" s="9" t="str">
        <f>IFERROR(__xludf.DUMMYFUNCTION("GOOGLETRANSLATE($A127,""en"",""ja"")"),"ラオ語")</f>
        <v>ラオ語</v>
      </c>
      <c r="I127" s="9" t="str">
        <f>IFERROR(__xludf.DUMMYFUNCTION("GOOGLETRANSLATE($A127,""en"",""ko"")"),"라오스")</f>
        <v>라오스</v>
      </c>
      <c r="J127" s="9" t="str">
        <f>IFERROR(__xludf.DUMMYFUNCTION("GOOGLETRANSLATE($A127,""en"",""pt-BR"")"),"Laos")</f>
        <v>Laos</v>
      </c>
    </row>
    <row r="128">
      <c r="A128" s="9" t="str">
        <f>IFERROR(__xludf.DUMMYFUNCTION("""COMPUTED_VALUE"""),"Latvia")</f>
        <v>Latvia</v>
      </c>
      <c r="B128" s="9" t="str">
        <f>IFERROR(__xludf.DUMMYFUNCTION("""COMPUTED_VALUE"""),"lv")</f>
        <v>lv</v>
      </c>
      <c r="C128" s="9" t="str">
        <f>IFERROR(__xludf.DUMMYFUNCTION("GOOGLETRANSLATE($A128,""en"",""de"")"),"Lettland")</f>
        <v>Lettland</v>
      </c>
      <c r="D128" s="9" t="str">
        <f>IFERROR(__xludf.DUMMYFUNCTION("GOOGLETRANSLATE($A128,""en"",""fr"")"),"Lettonie")</f>
        <v>Lettonie</v>
      </c>
      <c r="E128" s="9" t="str">
        <f>IFERROR(__xludf.DUMMYFUNCTION("GOOGLETRANSLATE($A128,""en"",""es"")"),"Letonia")</f>
        <v>Letonia</v>
      </c>
      <c r="F128" s="9" t="str">
        <f>IFERROR(__xludf.DUMMYFUNCTION("GOOGLETRANSLATE($A128,""en"",""it"")"),"Lettonia")</f>
        <v>Lettonia</v>
      </c>
      <c r="G128" s="9" t="str">
        <f>IFERROR(__xludf.DUMMYFUNCTION("GOOGLETRANSLATE($A128,""en"",""zh-cn"")"),"拉脱维亚")</f>
        <v>拉脱维亚</v>
      </c>
      <c r="H128" s="9" t="str">
        <f>IFERROR(__xludf.DUMMYFUNCTION("GOOGLETRANSLATE($A128,""en"",""ja"")"),"ラトビア")</f>
        <v>ラトビア</v>
      </c>
      <c r="I128" s="9" t="str">
        <f>IFERROR(__xludf.DUMMYFUNCTION("GOOGLETRANSLATE($A128,""en"",""ko"")"),"라트비아")</f>
        <v>라트비아</v>
      </c>
      <c r="J128" s="9" t="str">
        <f>IFERROR(__xludf.DUMMYFUNCTION("GOOGLETRANSLATE($A128,""en"",""pt-BR"")"),"Letónia")</f>
        <v>Letónia</v>
      </c>
    </row>
    <row r="129">
      <c r="A129" s="9" t="str">
        <f>IFERROR(__xludf.DUMMYFUNCTION("""COMPUTED_VALUE"""),"Lebanon")</f>
        <v>Lebanon</v>
      </c>
      <c r="B129" s="9" t="str">
        <f>IFERROR(__xludf.DUMMYFUNCTION("""COMPUTED_VALUE"""),"lb")</f>
        <v>lb</v>
      </c>
      <c r="C129" s="9" t="str">
        <f>IFERROR(__xludf.DUMMYFUNCTION("GOOGLETRANSLATE($A129,""en"",""de"")"),"Libanon")</f>
        <v>Libanon</v>
      </c>
      <c r="D129" s="9" t="str">
        <f>IFERROR(__xludf.DUMMYFUNCTION("GOOGLETRANSLATE($A129,""en"",""fr"")"),"Liban")</f>
        <v>Liban</v>
      </c>
      <c r="E129" s="9" t="str">
        <f>IFERROR(__xludf.DUMMYFUNCTION("GOOGLETRANSLATE($A129,""en"",""es"")"),"Líbano")</f>
        <v>Líbano</v>
      </c>
      <c r="F129" s="9" t="str">
        <f>IFERROR(__xludf.DUMMYFUNCTION("GOOGLETRANSLATE($A129,""en"",""it"")"),"Libano")</f>
        <v>Libano</v>
      </c>
      <c r="G129" s="9" t="str">
        <f>IFERROR(__xludf.DUMMYFUNCTION("GOOGLETRANSLATE($A129,""en"",""zh-cn"")"),"黎巴嫩")</f>
        <v>黎巴嫩</v>
      </c>
      <c r="H129" s="9" t="str">
        <f>IFERROR(__xludf.DUMMYFUNCTION("GOOGLETRANSLATE($A129,""en"",""ja"")"),"レバノン")</f>
        <v>レバノン</v>
      </c>
      <c r="I129" s="9" t="str">
        <f>IFERROR(__xludf.DUMMYFUNCTION("GOOGLETRANSLATE($A129,""en"",""ko"")"),"레바논")</f>
        <v>레바논</v>
      </c>
      <c r="J129" s="9" t="str">
        <f>IFERROR(__xludf.DUMMYFUNCTION("GOOGLETRANSLATE($A129,""en"",""pt-BR"")"),"Líbano")</f>
        <v>Líbano</v>
      </c>
    </row>
    <row r="130">
      <c r="A130" s="9" t="str">
        <f>IFERROR(__xludf.DUMMYFUNCTION("""COMPUTED_VALUE"""),"Lesotho")</f>
        <v>Lesotho</v>
      </c>
      <c r="B130" s="9" t="str">
        <f>IFERROR(__xludf.DUMMYFUNCTION("""COMPUTED_VALUE"""),"ls")</f>
        <v>ls</v>
      </c>
      <c r="C130" s="9" t="str">
        <f>IFERROR(__xludf.DUMMYFUNCTION("GOOGLETRANSLATE($A130,""en"",""de"")"),"Lesotho")</f>
        <v>Lesotho</v>
      </c>
      <c r="D130" s="9" t="str">
        <f>IFERROR(__xludf.DUMMYFUNCTION("GOOGLETRANSLATE($A130,""en"",""fr"")"),"Lesotho")</f>
        <v>Lesotho</v>
      </c>
      <c r="E130" s="9" t="str">
        <f>IFERROR(__xludf.DUMMYFUNCTION("GOOGLETRANSLATE($A130,""en"",""es"")"),"Lesoto")</f>
        <v>Lesoto</v>
      </c>
      <c r="F130" s="9" t="str">
        <f>IFERROR(__xludf.DUMMYFUNCTION("GOOGLETRANSLATE($A130,""en"",""it"")"),"Lesoto")</f>
        <v>Lesoto</v>
      </c>
      <c r="G130" s="9" t="str">
        <f>IFERROR(__xludf.DUMMYFUNCTION("GOOGLETRANSLATE($A130,""en"",""zh-cn"")"),"莱索托")</f>
        <v>莱索托</v>
      </c>
      <c r="H130" s="9" t="str">
        <f>IFERROR(__xludf.DUMMYFUNCTION("GOOGLETRANSLATE($A130,""en"",""ja"")"),"レソト")</f>
        <v>レソト</v>
      </c>
      <c r="I130" s="9" t="str">
        <f>IFERROR(__xludf.DUMMYFUNCTION("GOOGLETRANSLATE($A130,""en"",""ko"")"),"레소토")</f>
        <v>레소토</v>
      </c>
      <c r="J130" s="9" t="str">
        <f>IFERROR(__xludf.DUMMYFUNCTION("GOOGLETRANSLATE($A130,""en"",""pt-BR"")"),"Lesoto")</f>
        <v>Lesoto</v>
      </c>
    </row>
    <row r="131">
      <c r="A131" s="9" t="str">
        <f>IFERROR(__xludf.DUMMYFUNCTION("""COMPUTED_VALUE"""),"Liberia")</f>
        <v>Liberia</v>
      </c>
      <c r="B131" s="9" t="str">
        <f>IFERROR(__xludf.DUMMYFUNCTION("""COMPUTED_VALUE"""),"lr")</f>
        <v>lr</v>
      </c>
      <c r="C131" s="9" t="str">
        <f>IFERROR(__xludf.DUMMYFUNCTION("GOOGLETRANSLATE($A131,""en"",""de"")"),"Liberia")</f>
        <v>Liberia</v>
      </c>
      <c r="D131" s="9" t="str">
        <f>IFERROR(__xludf.DUMMYFUNCTION("GOOGLETRANSLATE($A131,""en"",""fr"")"),"Libéria")</f>
        <v>Libéria</v>
      </c>
      <c r="E131" s="9" t="str">
        <f>IFERROR(__xludf.DUMMYFUNCTION("GOOGLETRANSLATE($A131,""en"",""es"")"),"Liberia")</f>
        <v>Liberia</v>
      </c>
      <c r="F131" s="9" t="str">
        <f>IFERROR(__xludf.DUMMYFUNCTION("GOOGLETRANSLATE($A131,""en"",""it"")"),"Liberia")</f>
        <v>Liberia</v>
      </c>
      <c r="G131" s="9" t="str">
        <f>IFERROR(__xludf.DUMMYFUNCTION("GOOGLETRANSLATE($A131,""en"",""zh-cn"")"),"利比里亚")</f>
        <v>利比里亚</v>
      </c>
      <c r="H131" s="9" t="str">
        <f>IFERROR(__xludf.DUMMYFUNCTION("GOOGLETRANSLATE($A131,""en"",""ja"")"),"リベリア")</f>
        <v>リベリア</v>
      </c>
      <c r="I131" s="9" t="str">
        <f>IFERROR(__xludf.DUMMYFUNCTION("GOOGLETRANSLATE($A131,""en"",""ko"")"),"라이베리아")</f>
        <v>라이베리아</v>
      </c>
      <c r="J131" s="9" t="str">
        <f>IFERROR(__xludf.DUMMYFUNCTION("GOOGLETRANSLATE($A131,""en"",""pt-BR"")"),"Libéria")</f>
        <v>Libéria</v>
      </c>
    </row>
    <row r="132">
      <c r="A132" s="9" t="str">
        <f>IFERROR(__xludf.DUMMYFUNCTION("""COMPUTED_VALUE"""),"Libya")</f>
        <v>Libya</v>
      </c>
      <c r="B132" s="9" t="str">
        <f>IFERROR(__xludf.DUMMYFUNCTION("""COMPUTED_VALUE"""),"ly")</f>
        <v>ly</v>
      </c>
      <c r="C132" s="9" t="str">
        <f>IFERROR(__xludf.DUMMYFUNCTION("GOOGLETRANSLATE($A132,""en"",""de"")"),"Libyen")</f>
        <v>Libyen</v>
      </c>
      <c r="D132" s="9" t="str">
        <f>IFERROR(__xludf.DUMMYFUNCTION("GOOGLETRANSLATE($A132,""en"",""fr"")"),"Libye")</f>
        <v>Libye</v>
      </c>
      <c r="E132" s="9" t="str">
        <f>IFERROR(__xludf.DUMMYFUNCTION("GOOGLETRANSLATE($A132,""en"",""es"")"),"Libia")</f>
        <v>Libia</v>
      </c>
      <c r="F132" s="9" t="str">
        <f>IFERROR(__xludf.DUMMYFUNCTION("GOOGLETRANSLATE($A132,""en"",""it"")"),"Libia")</f>
        <v>Libia</v>
      </c>
      <c r="G132" s="9" t="str">
        <f>IFERROR(__xludf.DUMMYFUNCTION("GOOGLETRANSLATE($A132,""en"",""zh-cn"")"),"利比亚")</f>
        <v>利比亚</v>
      </c>
      <c r="H132" s="9" t="str">
        <f>IFERROR(__xludf.DUMMYFUNCTION("GOOGLETRANSLATE($A132,""en"",""ja"")"),"リビア")</f>
        <v>リビア</v>
      </c>
      <c r="I132" s="9" t="str">
        <f>IFERROR(__xludf.DUMMYFUNCTION("GOOGLETRANSLATE($A132,""en"",""ko"")"),"리비아")</f>
        <v>리비아</v>
      </c>
      <c r="J132" s="9" t="str">
        <f>IFERROR(__xludf.DUMMYFUNCTION("GOOGLETRANSLATE($A132,""en"",""pt-BR"")"),"Líbia")</f>
        <v>Líbia</v>
      </c>
    </row>
    <row r="133">
      <c r="A133" s="9" t="str">
        <f>IFERROR(__xludf.DUMMYFUNCTION("""COMPUTED_VALUE"""),"Liechtenstein")</f>
        <v>Liechtenstein</v>
      </c>
      <c r="B133" s="9" t="str">
        <f>IFERROR(__xludf.DUMMYFUNCTION("""COMPUTED_VALUE"""),"li")</f>
        <v>li</v>
      </c>
      <c r="C133" s="9" t="str">
        <f>IFERROR(__xludf.DUMMYFUNCTION("GOOGLETRANSLATE($A133,""en"",""de"")"),"Liechtenstein")</f>
        <v>Liechtenstein</v>
      </c>
      <c r="D133" s="9" t="str">
        <f>IFERROR(__xludf.DUMMYFUNCTION("GOOGLETRANSLATE($A133,""en"",""fr"")"),"Liechtenstein")</f>
        <v>Liechtenstein</v>
      </c>
      <c r="E133" s="9" t="str">
        <f>IFERROR(__xludf.DUMMYFUNCTION("GOOGLETRANSLATE($A133,""en"",""es"")"),"Liechtenstein")</f>
        <v>Liechtenstein</v>
      </c>
      <c r="F133" s="9" t="str">
        <f>IFERROR(__xludf.DUMMYFUNCTION("GOOGLETRANSLATE($A133,""en"",""it"")"),"Liechtenstein")</f>
        <v>Liechtenstein</v>
      </c>
      <c r="G133" s="9" t="str">
        <f>IFERROR(__xludf.DUMMYFUNCTION("GOOGLETRANSLATE($A133,""en"",""zh-cn"")"),"列支敦士登")</f>
        <v>列支敦士登</v>
      </c>
      <c r="H133" s="9" t="str">
        <f>IFERROR(__xludf.DUMMYFUNCTION("GOOGLETRANSLATE($A133,""en"",""ja"")"),"リヒテンシュタイン")</f>
        <v>リヒテンシュタイン</v>
      </c>
      <c r="I133" s="9" t="str">
        <f>IFERROR(__xludf.DUMMYFUNCTION("GOOGLETRANSLATE($A133,""en"",""ko"")"),"리히텐슈타인")</f>
        <v>리히텐슈타인</v>
      </c>
      <c r="J133" s="9" t="str">
        <f>IFERROR(__xludf.DUMMYFUNCTION("GOOGLETRANSLATE($A133,""en"",""pt-BR"")"),"Liechtenstein")</f>
        <v>Liechtenstein</v>
      </c>
    </row>
    <row r="134">
      <c r="A134" s="9" t="str">
        <f>IFERROR(__xludf.DUMMYFUNCTION("""COMPUTED_VALUE"""),"Lithuania")</f>
        <v>Lithuania</v>
      </c>
      <c r="B134" s="9" t="str">
        <f>IFERROR(__xludf.DUMMYFUNCTION("""COMPUTED_VALUE"""),"lt")</f>
        <v>lt</v>
      </c>
      <c r="C134" s="9" t="str">
        <f>IFERROR(__xludf.DUMMYFUNCTION("GOOGLETRANSLATE($A134,""en"",""de"")"),"Litauen")</f>
        <v>Litauen</v>
      </c>
      <c r="D134" s="9" t="str">
        <f>IFERROR(__xludf.DUMMYFUNCTION("GOOGLETRANSLATE($A134,""en"",""fr"")"),"Lituanie")</f>
        <v>Lituanie</v>
      </c>
      <c r="E134" s="9" t="str">
        <f>IFERROR(__xludf.DUMMYFUNCTION("GOOGLETRANSLATE($A134,""en"",""es"")"),"Lituania")</f>
        <v>Lituania</v>
      </c>
      <c r="F134" s="9" t="str">
        <f>IFERROR(__xludf.DUMMYFUNCTION("GOOGLETRANSLATE($A134,""en"",""it"")"),"Lituania")</f>
        <v>Lituania</v>
      </c>
      <c r="G134" s="9" t="str">
        <f>IFERROR(__xludf.DUMMYFUNCTION("GOOGLETRANSLATE($A134,""en"",""zh-cn"")"),"立陶宛")</f>
        <v>立陶宛</v>
      </c>
      <c r="H134" s="9" t="str">
        <f>IFERROR(__xludf.DUMMYFUNCTION("GOOGLETRANSLATE($A134,""en"",""ja"")"),"リトアニア")</f>
        <v>リトアニア</v>
      </c>
      <c r="I134" s="9" t="str">
        <f>IFERROR(__xludf.DUMMYFUNCTION("GOOGLETRANSLATE($A134,""en"",""ko"")"),"리투아니아")</f>
        <v>리투아니아</v>
      </c>
      <c r="J134" s="9" t="str">
        <f>IFERROR(__xludf.DUMMYFUNCTION("GOOGLETRANSLATE($A134,""en"",""pt-BR"")"),"Lituânia")</f>
        <v>Lituânia</v>
      </c>
    </row>
    <row r="135">
      <c r="A135" s="9" t="str">
        <f>IFERROR(__xludf.DUMMYFUNCTION("""COMPUTED_VALUE"""),"Luxembourg")</f>
        <v>Luxembourg</v>
      </c>
      <c r="B135" s="9" t="str">
        <f>IFERROR(__xludf.DUMMYFUNCTION("""COMPUTED_VALUE"""),"lu")</f>
        <v>lu</v>
      </c>
      <c r="C135" s="9" t="str">
        <f>IFERROR(__xludf.DUMMYFUNCTION("GOOGLETRANSLATE($A135,""en"",""de"")"),"Luxemburg")</f>
        <v>Luxemburg</v>
      </c>
      <c r="D135" s="9" t="str">
        <f>IFERROR(__xludf.DUMMYFUNCTION("GOOGLETRANSLATE($A135,""en"",""fr"")"),"Luxembourg")</f>
        <v>Luxembourg</v>
      </c>
      <c r="E135" s="9" t="str">
        <f>IFERROR(__xludf.DUMMYFUNCTION("GOOGLETRANSLATE($A135,""en"",""es"")"),"Luxemburgo")</f>
        <v>Luxemburgo</v>
      </c>
      <c r="F135" s="9" t="str">
        <f>IFERROR(__xludf.DUMMYFUNCTION("GOOGLETRANSLATE($A135,""en"",""it"")"),"Lussemburgo")</f>
        <v>Lussemburgo</v>
      </c>
      <c r="G135" s="9" t="str">
        <f>IFERROR(__xludf.DUMMYFUNCTION("GOOGLETRANSLATE($A135,""en"",""zh-cn"")"),"卢森堡")</f>
        <v>卢森堡</v>
      </c>
      <c r="H135" s="9" t="str">
        <f>IFERROR(__xludf.DUMMYFUNCTION("GOOGLETRANSLATE($A135,""en"",""ja"")"),"ルクセンブルク")</f>
        <v>ルクセンブルク</v>
      </c>
      <c r="I135" s="9" t="str">
        <f>IFERROR(__xludf.DUMMYFUNCTION("GOOGLETRANSLATE($A135,""en"",""ko"")"),"룩셈부르크")</f>
        <v>룩셈부르크</v>
      </c>
      <c r="J135" s="9" t="str">
        <f>IFERROR(__xludf.DUMMYFUNCTION("GOOGLETRANSLATE($A135,""en"",""pt-BR"")"),"Luxemburgo")</f>
        <v>Luxemburgo</v>
      </c>
    </row>
    <row r="136">
      <c r="A136" s="9" t="str">
        <f>IFERROR(__xludf.DUMMYFUNCTION("""COMPUTED_VALUE"""),"Macao")</f>
        <v>Macao</v>
      </c>
      <c r="B136" s="9" t="str">
        <f>IFERROR(__xludf.DUMMYFUNCTION("""COMPUTED_VALUE"""),"mo")</f>
        <v>mo</v>
      </c>
      <c r="C136" s="9" t="str">
        <f>IFERROR(__xludf.DUMMYFUNCTION("GOOGLETRANSLATE($A136,""en"",""de"")"),"Macau")</f>
        <v>Macau</v>
      </c>
      <c r="D136" s="9" t="str">
        <f>IFERROR(__xludf.DUMMYFUNCTION("GOOGLETRANSLATE($A136,""en"",""fr"")"),"Macao")</f>
        <v>Macao</v>
      </c>
      <c r="E136" s="9" t="str">
        <f>IFERROR(__xludf.DUMMYFUNCTION("GOOGLETRANSLATE($A136,""en"",""es"")"),"macao")</f>
        <v>macao</v>
      </c>
      <c r="F136" s="9" t="str">
        <f>IFERROR(__xludf.DUMMYFUNCTION("GOOGLETRANSLATE($A136,""en"",""it"")"),"Macao")</f>
        <v>Macao</v>
      </c>
      <c r="G136" s="9" t="str">
        <f>IFERROR(__xludf.DUMMYFUNCTION("GOOGLETRANSLATE($A136,""en"",""zh-cn"")"),"澳门")</f>
        <v>澳门</v>
      </c>
      <c r="H136" s="9" t="str">
        <f>IFERROR(__xludf.DUMMYFUNCTION("GOOGLETRANSLATE($A136,""en"",""ja"")"),"マカオ")</f>
        <v>マカオ</v>
      </c>
      <c r="I136" s="9" t="str">
        <f>IFERROR(__xludf.DUMMYFUNCTION("GOOGLETRANSLATE($A136,""en"",""ko"")"),"마카오")</f>
        <v>마카오</v>
      </c>
      <c r="J136" s="9" t="str">
        <f>IFERROR(__xludf.DUMMYFUNCTION("GOOGLETRANSLATE($A136,""en"",""pt-BR"")"),"Macau")</f>
        <v>Macau</v>
      </c>
    </row>
    <row r="137">
      <c r="A137" s="9" t="str">
        <f>IFERROR(__xludf.DUMMYFUNCTION("""COMPUTED_VALUE"""),"Madagascar")</f>
        <v>Madagascar</v>
      </c>
      <c r="B137" s="9" t="str">
        <f>IFERROR(__xludf.DUMMYFUNCTION("""COMPUTED_VALUE"""),"mg")</f>
        <v>mg</v>
      </c>
      <c r="C137" s="9" t="str">
        <f>IFERROR(__xludf.DUMMYFUNCTION("GOOGLETRANSLATE($A137,""en"",""de"")"),"Madagaskar")</f>
        <v>Madagaskar</v>
      </c>
      <c r="D137" s="9" t="str">
        <f>IFERROR(__xludf.DUMMYFUNCTION("GOOGLETRANSLATE($A137,""en"",""fr"")"),"Madagascar")</f>
        <v>Madagascar</v>
      </c>
      <c r="E137" s="9" t="str">
        <f>IFERROR(__xludf.DUMMYFUNCTION("GOOGLETRANSLATE($A137,""en"",""es"")"),"Madagascar")</f>
        <v>Madagascar</v>
      </c>
      <c r="F137" s="9" t="str">
        <f>IFERROR(__xludf.DUMMYFUNCTION("GOOGLETRANSLATE($A137,""en"",""it"")"),"Madagascar")</f>
        <v>Madagascar</v>
      </c>
      <c r="G137" s="9" t="str">
        <f>IFERROR(__xludf.DUMMYFUNCTION("GOOGLETRANSLATE($A137,""en"",""zh-cn"")"),"马达加斯加")</f>
        <v>马达加斯加</v>
      </c>
      <c r="H137" s="9" t="str">
        <f>IFERROR(__xludf.DUMMYFUNCTION("GOOGLETRANSLATE($A137,""en"",""ja"")"),"マダガスカル")</f>
        <v>マダガスカル</v>
      </c>
      <c r="I137" s="9" t="str">
        <f>IFERROR(__xludf.DUMMYFUNCTION("GOOGLETRANSLATE($A137,""en"",""ko"")"),"마다가스카르")</f>
        <v>마다가스카르</v>
      </c>
      <c r="J137" s="9" t="str">
        <f>IFERROR(__xludf.DUMMYFUNCTION("GOOGLETRANSLATE($A137,""en"",""pt-BR"")"),"Madagáscar")</f>
        <v>Madagáscar</v>
      </c>
    </row>
    <row r="138">
      <c r="A138" s="9" t="str">
        <f>IFERROR(__xludf.DUMMYFUNCTION("""COMPUTED_VALUE"""),"Malawi")</f>
        <v>Malawi</v>
      </c>
      <c r="B138" s="9" t="str">
        <f>IFERROR(__xludf.DUMMYFUNCTION("""COMPUTED_VALUE"""),"mw")</f>
        <v>mw</v>
      </c>
      <c r="C138" s="9" t="str">
        <f>IFERROR(__xludf.DUMMYFUNCTION("GOOGLETRANSLATE($A138,""en"",""de"")"),"Malawi")</f>
        <v>Malawi</v>
      </c>
      <c r="D138" s="9" t="str">
        <f>IFERROR(__xludf.DUMMYFUNCTION("GOOGLETRANSLATE($A138,""en"",""fr"")"),"Malawi")</f>
        <v>Malawi</v>
      </c>
      <c r="E138" s="9" t="str">
        <f>IFERROR(__xludf.DUMMYFUNCTION("GOOGLETRANSLATE($A138,""en"",""es"")"),"Malaui")</f>
        <v>Malaui</v>
      </c>
      <c r="F138" s="9" t="str">
        <f>IFERROR(__xludf.DUMMYFUNCTION("GOOGLETRANSLATE($A138,""en"",""it"")"),"Malawi")</f>
        <v>Malawi</v>
      </c>
      <c r="G138" s="9" t="str">
        <f>IFERROR(__xludf.DUMMYFUNCTION("GOOGLETRANSLATE($A138,""en"",""zh-cn"")"),"马拉维")</f>
        <v>马拉维</v>
      </c>
      <c r="H138" s="9" t="str">
        <f>IFERROR(__xludf.DUMMYFUNCTION("GOOGLETRANSLATE($A138,""en"",""ja"")"),"マラウイ")</f>
        <v>マラウイ</v>
      </c>
      <c r="I138" s="9" t="str">
        <f>IFERROR(__xludf.DUMMYFUNCTION("GOOGLETRANSLATE($A138,""en"",""ko"")"),"말라위")</f>
        <v>말라위</v>
      </c>
      <c r="J138" s="9" t="str">
        <f>IFERROR(__xludf.DUMMYFUNCTION("GOOGLETRANSLATE($A138,""en"",""pt-BR"")"),"Maláui")</f>
        <v>Maláui</v>
      </c>
    </row>
    <row r="139">
      <c r="A139" s="9" t="str">
        <f>IFERROR(__xludf.DUMMYFUNCTION("""COMPUTED_VALUE"""),"Malaysia")</f>
        <v>Malaysia</v>
      </c>
      <c r="B139" s="9" t="str">
        <f>IFERROR(__xludf.DUMMYFUNCTION("""COMPUTED_VALUE"""),"my")</f>
        <v>my</v>
      </c>
      <c r="C139" s="9" t="str">
        <f>IFERROR(__xludf.DUMMYFUNCTION("GOOGLETRANSLATE($A139,""en"",""de"")"),"Malaysia")</f>
        <v>Malaysia</v>
      </c>
      <c r="D139" s="9" t="str">
        <f>IFERROR(__xludf.DUMMYFUNCTION("GOOGLETRANSLATE($A139,""en"",""fr"")"),"Malaisie")</f>
        <v>Malaisie</v>
      </c>
      <c r="E139" s="9" t="str">
        <f>IFERROR(__xludf.DUMMYFUNCTION("GOOGLETRANSLATE($A139,""en"",""es"")"),"Malasia")</f>
        <v>Malasia</v>
      </c>
      <c r="F139" s="9" t="str">
        <f>IFERROR(__xludf.DUMMYFUNCTION("GOOGLETRANSLATE($A139,""en"",""it"")"),"Malaysia")</f>
        <v>Malaysia</v>
      </c>
      <c r="G139" s="9" t="str">
        <f>IFERROR(__xludf.DUMMYFUNCTION("GOOGLETRANSLATE($A139,""en"",""zh-cn"")"),"马来西亚")</f>
        <v>马来西亚</v>
      </c>
      <c r="H139" s="9" t="str">
        <f>IFERROR(__xludf.DUMMYFUNCTION("GOOGLETRANSLATE($A139,""en"",""ja"")"),"マレーシア")</f>
        <v>マレーシア</v>
      </c>
      <c r="I139" s="9" t="str">
        <f>IFERROR(__xludf.DUMMYFUNCTION("GOOGLETRANSLATE($A139,""en"",""ko"")"),"말레이시아")</f>
        <v>말레이시아</v>
      </c>
      <c r="J139" s="9" t="str">
        <f>IFERROR(__xludf.DUMMYFUNCTION("GOOGLETRANSLATE($A139,""en"",""pt-BR"")"),"Malásia")</f>
        <v>Malásia</v>
      </c>
    </row>
    <row r="140">
      <c r="A140" s="9" t="str">
        <f>IFERROR(__xludf.DUMMYFUNCTION("""COMPUTED_VALUE"""),"Maldives")</f>
        <v>Maldives</v>
      </c>
      <c r="B140" s="9" t="str">
        <f>IFERROR(__xludf.DUMMYFUNCTION("""COMPUTED_VALUE"""),"mv")</f>
        <v>mv</v>
      </c>
      <c r="C140" s="9" t="str">
        <f>IFERROR(__xludf.DUMMYFUNCTION("GOOGLETRANSLATE($A140,""en"",""de"")"),"Malediven")</f>
        <v>Malediven</v>
      </c>
      <c r="D140" s="9" t="str">
        <f>IFERROR(__xludf.DUMMYFUNCTION("GOOGLETRANSLATE($A140,""en"",""fr"")"),"Maldives")</f>
        <v>Maldives</v>
      </c>
      <c r="E140" s="9" t="str">
        <f>IFERROR(__xludf.DUMMYFUNCTION("GOOGLETRANSLATE($A140,""en"",""es"")"),"Maldivas")</f>
        <v>Maldivas</v>
      </c>
      <c r="F140" s="9" t="str">
        <f>IFERROR(__xludf.DUMMYFUNCTION("GOOGLETRANSLATE($A140,""en"",""it"")"),"Maldive")</f>
        <v>Maldive</v>
      </c>
      <c r="G140" s="9" t="str">
        <f>IFERROR(__xludf.DUMMYFUNCTION("GOOGLETRANSLATE($A140,""en"",""zh-cn"")"),"马尔代夫")</f>
        <v>马尔代夫</v>
      </c>
      <c r="H140" s="9" t="str">
        <f>IFERROR(__xludf.DUMMYFUNCTION("GOOGLETRANSLATE($A140,""en"",""ja"")"),"モルディブ")</f>
        <v>モルディブ</v>
      </c>
      <c r="I140" s="9" t="str">
        <f>IFERROR(__xludf.DUMMYFUNCTION("GOOGLETRANSLATE($A140,""en"",""ko"")"),"몰디브")</f>
        <v>몰디브</v>
      </c>
      <c r="J140" s="9" t="str">
        <f>IFERROR(__xludf.DUMMYFUNCTION("GOOGLETRANSLATE($A140,""en"",""pt-BR"")"),"Maldivas")</f>
        <v>Maldivas</v>
      </c>
    </row>
    <row r="141">
      <c r="A141" s="9" t="str">
        <f>IFERROR(__xludf.DUMMYFUNCTION("""COMPUTED_VALUE"""),"Mali")</f>
        <v>Mali</v>
      </c>
      <c r="B141" s="9" t="str">
        <f>IFERROR(__xludf.DUMMYFUNCTION("""COMPUTED_VALUE"""),"ml")</f>
        <v>ml</v>
      </c>
      <c r="C141" s="9" t="str">
        <f>IFERROR(__xludf.DUMMYFUNCTION("GOOGLETRANSLATE($A141,""en"",""de"")"),"Mali")</f>
        <v>Mali</v>
      </c>
      <c r="D141" s="9" t="str">
        <f>IFERROR(__xludf.DUMMYFUNCTION("GOOGLETRANSLATE($A141,""en"",""fr"")"),"Mali")</f>
        <v>Mali</v>
      </c>
      <c r="E141" s="9" t="str">
        <f>IFERROR(__xludf.DUMMYFUNCTION("GOOGLETRANSLATE($A141,""en"",""es"")"),"Malí")</f>
        <v>Malí</v>
      </c>
      <c r="F141" s="9" t="str">
        <f>IFERROR(__xludf.DUMMYFUNCTION("GOOGLETRANSLATE($A141,""en"",""it"")"),"Mali")</f>
        <v>Mali</v>
      </c>
      <c r="G141" s="9" t="str">
        <f>IFERROR(__xludf.DUMMYFUNCTION("GOOGLETRANSLATE($A141,""en"",""zh-cn"")"),"马里")</f>
        <v>马里</v>
      </c>
      <c r="H141" s="9" t="str">
        <f>IFERROR(__xludf.DUMMYFUNCTION("GOOGLETRANSLATE($A141,""en"",""ja"")"),"マリ")</f>
        <v>マリ</v>
      </c>
      <c r="I141" s="9" t="str">
        <f>IFERROR(__xludf.DUMMYFUNCTION("GOOGLETRANSLATE($A141,""en"",""ko"")"),"말리")</f>
        <v>말리</v>
      </c>
      <c r="J141" s="9" t="str">
        <f>IFERROR(__xludf.DUMMYFUNCTION("GOOGLETRANSLATE($A141,""en"",""pt-BR"")"),"Mali")</f>
        <v>Mali</v>
      </c>
    </row>
    <row r="142">
      <c r="A142" s="9" t="str">
        <f>IFERROR(__xludf.DUMMYFUNCTION("""COMPUTED_VALUE"""),"Malta")</f>
        <v>Malta</v>
      </c>
      <c r="B142" s="9" t="str">
        <f>IFERROR(__xludf.DUMMYFUNCTION("""COMPUTED_VALUE"""),"mt")</f>
        <v>mt</v>
      </c>
      <c r="C142" s="9" t="str">
        <f>IFERROR(__xludf.DUMMYFUNCTION("GOOGLETRANSLATE($A142,""en"",""de"")"),"Malta")</f>
        <v>Malta</v>
      </c>
      <c r="D142" s="9" t="str">
        <f>IFERROR(__xludf.DUMMYFUNCTION("GOOGLETRANSLATE($A142,""en"",""fr"")"),"Malte")</f>
        <v>Malte</v>
      </c>
      <c r="E142" s="9" t="str">
        <f>IFERROR(__xludf.DUMMYFUNCTION("GOOGLETRANSLATE($A142,""en"",""es"")"),"Malta")</f>
        <v>Malta</v>
      </c>
      <c r="F142" s="9" t="str">
        <f>IFERROR(__xludf.DUMMYFUNCTION("GOOGLETRANSLATE($A142,""en"",""it"")"),"Malta")</f>
        <v>Malta</v>
      </c>
      <c r="G142" s="9" t="str">
        <f>IFERROR(__xludf.DUMMYFUNCTION("GOOGLETRANSLATE($A142,""en"",""zh-cn"")"),"马耳他")</f>
        <v>马耳他</v>
      </c>
      <c r="H142" s="9" t="str">
        <f>IFERROR(__xludf.DUMMYFUNCTION("GOOGLETRANSLATE($A142,""en"",""ja"")"),"マルタ")</f>
        <v>マルタ</v>
      </c>
      <c r="I142" s="9" t="str">
        <f>IFERROR(__xludf.DUMMYFUNCTION("GOOGLETRANSLATE($A142,""en"",""ko"")"),"몰타")</f>
        <v>몰타</v>
      </c>
      <c r="J142" s="9" t="str">
        <f>IFERROR(__xludf.DUMMYFUNCTION("GOOGLETRANSLATE($A142,""en"",""pt-BR"")"),"Malta")</f>
        <v>Malta</v>
      </c>
    </row>
    <row r="143">
      <c r="A143" s="9" t="str">
        <f>IFERROR(__xludf.DUMMYFUNCTION("""COMPUTED_VALUE"""),"Marshall Islands")</f>
        <v>Marshall Islands</v>
      </c>
      <c r="B143" s="9" t="str">
        <f>IFERROR(__xludf.DUMMYFUNCTION("""COMPUTED_VALUE"""),"mh")</f>
        <v>mh</v>
      </c>
      <c r="C143" s="9" t="str">
        <f>IFERROR(__xludf.DUMMYFUNCTION("GOOGLETRANSLATE($A143,""en"",""de"")"),"Marshallinseln")</f>
        <v>Marshallinseln</v>
      </c>
      <c r="D143" s="9" t="str">
        <f>IFERROR(__xludf.DUMMYFUNCTION("GOOGLETRANSLATE($A143,""en"",""fr"")"),"Îles Marshall")</f>
        <v>Îles Marshall</v>
      </c>
      <c r="E143" s="9" t="str">
        <f>IFERROR(__xludf.DUMMYFUNCTION("GOOGLETRANSLATE($A143,""en"",""es"")"),"Islas Marshall")</f>
        <v>Islas Marshall</v>
      </c>
      <c r="F143" s="9" t="str">
        <f>IFERROR(__xludf.DUMMYFUNCTION("GOOGLETRANSLATE($A143,""en"",""it"")"),"Isole Marshall")</f>
        <v>Isole Marshall</v>
      </c>
      <c r="G143" s="9" t="str">
        <f>IFERROR(__xludf.DUMMYFUNCTION("GOOGLETRANSLATE($A143,""en"",""zh-cn"")"),"马绍尔群岛")</f>
        <v>马绍尔群岛</v>
      </c>
      <c r="H143" s="9" t="str">
        <f>IFERROR(__xludf.DUMMYFUNCTION("GOOGLETRANSLATE($A143,""en"",""ja"")"),"マーシャル諸島")</f>
        <v>マーシャル諸島</v>
      </c>
      <c r="I143" s="9" t="str">
        <f>IFERROR(__xludf.DUMMYFUNCTION("GOOGLETRANSLATE($A143,""en"",""ko"")"),"마샬 군도")</f>
        <v>마샬 군도</v>
      </c>
      <c r="J143" s="9" t="str">
        <f>IFERROR(__xludf.DUMMYFUNCTION("GOOGLETRANSLATE($A143,""en"",""pt-BR"")"),"Ilhas Marshall")</f>
        <v>Ilhas Marshall</v>
      </c>
    </row>
    <row r="144">
      <c r="A144" s="9" t="str">
        <f>IFERROR(__xludf.DUMMYFUNCTION("""COMPUTED_VALUE"""),"Martinique")</f>
        <v>Martinique</v>
      </c>
      <c r="B144" s="9" t="str">
        <f>IFERROR(__xludf.DUMMYFUNCTION("""COMPUTED_VALUE"""),"mq")</f>
        <v>mq</v>
      </c>
      <c r="C144" s="9" t="str">
        <f>IFERROR(__xludf.DUMMYFUNCTION("GOOGLETRANSLATE($A144,""en"",""de"")"),"Martinique")</f>
        <v>Martinique</v>
      </c>
      <c r="D144" s="9" t="str">
        <f>IFERROR(__xludf.DUMMYFUNCTION("GOOGLETRANSLATE($A144,""en"",""fr"")"),"Martinique")</f>
        <v>Martinique</v>
      </c>
      <c r="E144" s="9" t="str">
        <f>IFERROR(__xludf.DUMMYFUNCTION("GOOGLETRANSLATE($A144,""en"",""es"")"),"Martinica")</f>
        <v>Martinica</v>
      </c>
      <c r="F144" s="9" t="str">
        <f>IFERROR(__xludf.DUMMYFUNCTION("GOOGLETRANSLATE($A144,""en"",""it"")"),"Martinica")</f>
        <v>Martinica</v>
      </c>
      <c r="G144" s="9" t="str">
        <f>IFERROR(__xludf.DUMMYFUNCTION("GOOGLETRANSLATE($A144,""en"",""zh-cn"")"),"马提尼克岛")</f>
        <v>马提尼克岛</v>
      </c>
      <c r="H144" s="9" t="str">
        <f>IFERROR(__xludf.DUMMYFUNCTION("GOOGLETRANSLATE($A144,""en"",""ja"")"),"マルティニーク")</f>
        <v>マルティニーク</v>
      </c>
      <c r="I144" s="9" t="str">
        <f>IFERROR(__xludf.DUMMYFUNCTION("GOOGLETRANSLATE($A144,""en"",""ko"")"),"마르티니크")</f>
        <v>마르티니크</v>
      </c>
      <c r="J144" s="9" t="str">
        <f>IFERROR(__xludf.DUMMYFUNCTION("GOOGLETRANSLATE($A144,""en"",""pt-BR"")"),"Martinica")</f>
        <v>Martinica</v>
      </c>
    </row>
    <row r="145">
      <c r="A145" s="9" t="str">
        <f>IFERROR(__xludf.DUMMYFUNCTION("""COMPUTED_VALUE"""),"Mauritania")</f>
        <v>Mauritania</v>
      </c>
      <c r="B145" s="9" t="str">
        <f>IFERROR(__xludf.DUMMYFUNCTION("""COMPUTED_VALUE"""),"mr")</f>
        <v>mr</v>
      </c>
      <c r="C145" s="9" t="str">
        <f>IFERROR(__xludf.DUMMYFUNCTION("GOOGLETRANSLATE($A145,""en"",""de"")"),"Mauretanien")</f>
        <v>Mauretanien</v>
      </c>
      <c r="D145" s="9" t="str">
        <f>IFERROR(__xludf.DUMMYFUNCTION("GOOGLETRANSLATE($A145,""en"",""fr"")"),"Mauritanie")</f>
        <v>Mauritanie</v>
      </c>
      <c r="E145" s="9" t="str">
        <f>IFERROR(__xludf.DUMMYFUNCTION("GOOGLETRANSLATE($A145,""en"",""es"")"),"Mauritania")</f>
        <v>Mauritania</v>
      </c>
      <c r="F145" s="9" t="str">
        <f>IFERROR(__xludf.DUMMYFUNCTION("GOOGLETRANSLATE($A145,""en"",""it"")"),"La Mauritania")</f>
        <v>La Mauritania</v>
      </c>
      <c r="G145" s="9" t="str">
        <f>IFERROR(__xludf.DUMMYFUNCTION("GOOGLETRANSLATE($A145,""en"",""zh-cn"")"),"毛里塔尼亚")</f>
        <v>毛里塔尼亚</v>
      </c>
      <c r="H145" s="9" t="str">
        <f>IFERROR(__xludf.DUMMYFUNCTION("GOOGLETRANSLATE($A145,""en"",""ja"")"),"モーリタニア")</f>
        <v>モーリタニア</v>
      </c>
      <c r="I145" s="9" t="str">
        <f>IFERROR(__xludf.DUMMYFUNCTION("GOOGLETRANSLATE($A145,""en"",""ko"")"),"모리타니")</f>
        <v>모리타니</v>
      </c>
      <c r="J145" s="9" t="str">
        <f>IFERROR(__xludf.DUMMYFUNCTION("GOOGLETRANSLATE($A145,""en"",""pt-BR"")"),"Mauritânia")</f>
        <v>Mauritânia</v>
      </c>
    </row>
    <row r="146">
      <c r="A146" s="9" t="str">
        <f>IFERROR(__xludf.DUMMYFUNCTION("""COMPUTED_VALUE"""),"Mauritius")</f>
        <v>Mauritius</v>
      </c>
      <c r="B146" s="9" t="str">
        <f>IFERROR(__xludf.DUMMYFUNCTION("""COMPUTED_VALUE"""),"mu")</f>
        <v>mu</v>
      </c>
      <c r="C146" s="9" t="str">
        <f>IFERROR(__xludf.DUMMYFUNCTION("GOOGLETRANSLATE($A146,""en"",""de"")"),"Mauritius")</f>
        <v>Mauritius</v>
      </c>
      <c r="D146" s="9" t="str">
        <f>IFERROR(__xludf.DUMMYFUNCTION("GOOGLETRANSLATE($A146,""en"",""fr"")"),"Maurice")</f>
        <v>Maurice</v>
      </c>
      <c r="E146" s="9" t="str">
        <f>IFERROR(__xludf.DUMMYFUNCTION("GOOGLETRANSLATE($A146,""en"",""es"")"),"Mauricio")</f>
        <v>Mauricio</v>
      </c>
      <c r="F146" s="9" t="str">
        <f>IFERROR(__xludf.DUMMYFUNCTION("GOOGLETRANSLATE($A146,""en"",""it"")"),"Maurizio")</f>
        <v>Maurizio</v>
      </c>
      <c r="G146" s="9" t="str">
        <f>IFERROR(__xludf.DUMMYFUNCTION("GOOGLETRANSLATE($A146,""en"",""zh-cn"")"),"毛里求斯")</f>
        <v>毛里求斯</v>
      </c>
      <c r="H146" s="9" t="str">
        <f>IFERROR(__xludf.DUMMYFUNCTION("GOOGLETRANSLATE($A146,""en"",""ja"")"),"モーリシャス")</f>
        <v>モーリシャス</v>
      </c>
      <c r="I146" s="9" t="str">
        <f>IFERROR(__xludf.DUMMYFUNCTION("GOOGLETRANSLATE($A146,""en"",""ko"")"),"모리셔스")</f>
        <v>모리셔스</v>
      </c>
      <c r="J146" s="9" t="str">
        <f>IFERROR(__xludf.DUMMYFUNCTION("GOOGLETRANSLATE($A146,""en"",""pt-BR"")"),"Maurício")</f>
        <v>Maurício</v>
      </c>
    </row>
    <row r="147">
      <c r="A147" s="9" t="str">
        <f>IFERROR(__xludf.DUMMYFUNCTION("""COMPUTED_VALUE"""),"Mayotte")</f>
        <v>Mayotte</v>
      </c>
      <c r="B147" s="9" t="str">
        <f>IFERROR(__xludf.DUMMYFUNCTION("""COMPUTED_VALUE"""),"yt")</f>
        <v>yt</v>
      </c>
      <c r="C147" s="9" t="str">
        <f>IFERROR(__xludf.DUMMYFUNCTION("GOOGLETRANSLATE($A147,""en"",""de"")"),"Mayotte")</f>
        <v>Mayotte</v>
      </c>
      <c r="D147" s="9" t="str">
        <f>IFERROR(__xludf.DUMMYFUNCTION("GOOGLETRANSLATE($A147,""en"",""fr"")"),"Mayotte")</f>
        <v>Mayotte</v>
      </c>
      <c r="E147" s="9" t="str">
        <f>IFERROR(__xludf.DUMMYFUNCTION("GOOGLETRANSLATE($A147,""en"",""es"")"),"Mayotte")</f>
        <v>Mayotte</v>
      </c>
      <c r="F147" s="9" t="str">
        <f>IFERROR(__xludf.DUMMYFUNCTION("GOOGLETRANSLATE($A147,""en"",""it"")"),"Mayotte")</f>
        <v>Mayotte</v>
      </c>
      <c r="G147" s="9" t="str">
        <f>IFERROR(__xludf.DUMMYFUNCTION("GOOGLETRANSLATE($A147,""en"",""zh-cn"")"),"马约特岛")</f>
        <v>马约特岛</v>
      </c>
      <c r="H147" s="9" t="str">
        <f>IFERROR(__xludf.DUMMYFUNCTION("GOOGLETRANSLATE($A147,""en"",""ja"")"),"マヨット")</f>
        <v>マヨット</v>
      </c>
      <c r="I147" s="9" t="str">
        <f>IFERROR(__xludf.DUMMYFUNCTION("GOOGLETRANSLATE($A147,""en"",""ko"")"),"마요트")</f>
        <v>마요트</v>
      </c>
      <c r="J147" s="9" t="str">
        <f>IFERROR(__xludf.DUMMYFUNCTION("GOOGLETRANSLATE($A147,""en"",""pt-BR"")"),"Maiote")</f>
        <v>Maiote</v>
      </c>
    </row>
    <row r="148">
      <c r="A148" s="9" t="str">
        <f>IFERROR(__xludf.DUMMYFUNCTION("""COMPUTED_VALUE"""),"Mexico")</f>
        <v>Mexico</v>
      </c>
      <c r="B148" s="9" t="str">
        <f>IFERROR(__xludf.DUMMYFUNCTION("""COMPUTED_VALUE"""),"mx")</f>
        <v>mx</v>
      </c>
      <c r="C148" s="9" t="str">
        <f>IFERROR(__xludf.DUMMYFUNCTION("GOOGLETRANSLATE($A148,""en"",""de"")"),"Mexiko")</f>
        <v>Mexiko</v>
      </c>
      <c r="D148" s="9" t="str">
        <f>IFERROR(__xludf.DUMMYFUNCTION("GOOGLETRANSLATE($A148,""en"",""fr"")"),"Mexique")</f>
        <v>Mexique</v>
      </c>
      <c r="E148" s="9" t="str">
        <f>IFERROR(__xludf.DUMMYFUNCTION("GOOGLETRANSLATE($A148,""en"",""es"")"),"México")</f>
        <v>México</v>
      </c>
      <c r="F148" s="9" t="str">
        <f>IFERROR(__xludf.DUMMYFUNCTION("GOOGLETRANSLATE($A148,""en"",""it"")"),"Messico")</f>
        <v>Messico</v>
      </c>
      <c r="G148" s="9" t="str">
        <f>IFERROR(__xludf.DUMMYFUNCTION("GOOGLETRANSLATE($A148,""en"",""zh-cn"")"),"墨西哥")</f>
        <v>墨西哥</v>
      </c>
      <c r="H148" s="9" t="str">
        <f>IFERROR(__xludf.DUMMYFUNCTION("GOOGLETRANSLATE($A148,""en"",""ja"")"),"メキシコ")</f>
        <v>メキシコ</v>
      </c>
      <c r="I148" s="9" t="str">
        <f>IFERROR(__xludf.DUMMYFUNCTION("GOOGLETRANSLATE($A148,""en"",""ko"")"),"멕시코")</f>
        <v>멕시코</v>
      </c>
      <c r="J148" s="9" t="str">
        <f>IFERROR(__xludf.DUMMYFUNCTION("GOOGLETRANSLATE($A148,""en"",""pt-BR"")"),"México")</f>
        <v>México</v>
      </c>
    </row>
    <row r="149">
      <c r="A149" s="9" t="str">
        <f>IFERROR(__xludf.DUMMYFUNCTION("""COMPUTED_VALUE"""),"Micronesia")</f>
        <v>Micronesia</v>
      </c>
      <c r="B149" s="9" t="str">
        <f>IFERROR(__xludf.DUMMYFUNCTION("""COMPUTED_VALUE"""),"fm")</f>
        <v>fm</v>
      </c>
      <c r="C149" s="9" t="str">
        <f>IFERROR(__xludf.DUMMYFUNCTION("GOOGLETRANSLATE($A149,""en"",""de"")"),"Mikronesien")</f>
        <v>Mikronesien</v>
      </c>
      <c r="D149" s="9" t="str">
        <f>IFERROR(__xludf.DUMMYFUNCTION("GOOGLETRANSLATE($A149,""en"",""fr"")"),"Micronésie")</f>
        <v>Micronésie</v>
      </c>
      <c r="E149" s="9" t="str">
        <f>IFERROR(__xludf.DUMMYFUNCTION("GOOGLETRANSLATE($A149,""en"",""es"")"),"Micronesia")</f>
        <v>Micronesia</v>
      </c>
      <c r="F149" s="9" t="str">
        <f>IFERROR(__xludf.DUMMYFUNCTION("GOOGLETRANSLATE($A149,""en"",""it"")"),"Micronesia")</f>
        <v>Micronesia</v>
      </c>
      <c r="G149" s="9" t="str">
        <f>IFERROR(__xludf.DUMMYFUNCTION("GOOGLETRANSLATE($A149,""en"",""zh-cn"")"),"密克罗尼西亚")</f>
        <v>密克罗尼西亚</v>
      </c>
      <c r="H149" s="9" t="str">
        <f>IFERROR(__xludf.DUMMYFUNCTION("GOOGLETRANSLATE($A149,""en"",""ja"")"),"ミクロネシア")</f>
        <v>ミクロネシア</v>
      </c>
      <c r="I149" s="9" t="str">
        <f>IFERROR(__xludf.DUMMYFUNCTION("GOOGLETRANSLATE($A149,""en"",""ko"")"),"미크로네시아")</f>
        <v>미크로네시아</v>
      </c>
      <c r="J149" s="9" t="str">
        <f>IFERROR(__xludf.DUMMYFUNCTION("GOOGLETRANSLATE($A149,""en"",""pt-BR"")"),"Micronésia")</f>
        <v>Micronésia</v>
      </c>
    </row>
    <row r="150">
      <c r="A150" s="9" t="str">
        <f>IFERROR(__xludf.DUMMYFUNCTION("""COMPUTED_VALUE"""),"Moldova")</f>
        <v>Moldova</v>
      </c>
      <c r="B150" s="9" t="str">
        <f>IFERROR(__xludf.DUMMYFUNCTION("""COMPUTED_VALUE"""),"md")</f>
        <v>md</v>
      </c>
      <c r="C150" s="9" t="str">
        <f>IFERROR(__xludf.DUMMYFUNCTION("GOOGLETRANSLATE($A150,""en"",""de"")"),"Moldawien")</f>
        <v>Moldawien</v>
      </c>
      <c r="D150" s="9" t="str">
        <f>IFERROR(__xludf.DUMMYFUNCTION("GOOGLETRANSLATE($A150,""en"",""fr"")"),"Moldavie")</f>
        <v>Moldavie</v>
      </c>
      <c r="E150" s="9" t="str">
        <f>IFERROR(__xludf.DUMMYFUNCTION("GOOGLETRANSLATE($A150,""en"",""es"")"),"Moldavia")</f>
        <v>Moldavia</v>
      </c>
      <c r="F150" s="9" t="str">
        <f>IFERROR(__xludf.DUMMYFUNCTION("GOOGLETRANSLATE($A150,""en"",""it"")"),"Moldavia")</f>
        <v>Moldavia</v>
      </c>
      <c r="G150" s="9" t="str">
        <f>IFERROR(__xludf.DUMMYFUNCTION("GOOGLETRANSLATE($A150,""en"",""zh-cn"")"),"摩尔多瓦")</f>
        <v>摩尔多瓦</v>
      </c>
      <c r="H150" s="9" t="str">
        <f>IFERROR(__xludf.DUMMYFUNCTION("GOOGLETRANSLATE($A150,""en"",""ja"")"),"モルドバ")</f>
        <v>モルドバ</v>
      </c>
      <c r="I150" s="9" t="str">
        <f>IFERROR(__xludf.DUMMYFUNCTION("GOOGLETRANSLATE($A150,""en"",""ko"")"),"몰도바")</f>
        <v>몰도바</v>
      </c>
      <c r="J150" s="9" t="str">
        <f>IFERROR(__xludf.DUMMYFUNCTION("GOOGLETRANSLATE($A150,""en"",""pt-BR"")"),"Moldávia")</f>
        <v>Moldávia</v>
      </c>
    </row>
    <row r="151">
      <c r="A151" s="9" t="str">
        <f>IFERROR(__xludf.DUMMYFUNCTION("""COMPUTED_VALUE"""),"Monaco")</f>
        <v>Monaco</v>
      </c>
      <c r="B151" s="9" t="str">
        <f>IFERROR(__xludf.DUMMYFUNCTION("""COMPUTED_VALUE"""),"mc")</f>
        <v>mc</v>
      </c>
      <c r="C151" s="9" t="str">
        <f>IFERROR(__xludf.DUMMYFUNCTION("GOOGLETRANSLATE($A151,""en"",""de"")"),"Monaco")</f>
        <v>Monaco</v>
      </c>
      <c r="D151" s="9" t="str">
        <f>IFERROR(__xludf.DUMMYFUNCTION("GOOGLETRANSLATE($A151,""en"",""fr"")"),"Monaco")</f>
        <v>Monaco</v>
      </c>
      <c r="E151" s="9" t="str">
        <f>IFERROR(__xludf.DUMMYFUNCTION("GOOGLETRANSLATE($A151,""en"",""es"")"),"Mónaco")</f>
        <v>Mónaco</v>
      </c>
      <c r="F151" s="9" t="str">
        <f>IFERROR(__xludf.DUMMYFUNCTION("GOOGLETRANSLATE($A151,""en"",""it"")"),"Monaco")</f>
        <v>Monaco</v>
      </c>
      <c r="G151" s="9" t="str">
        <f>IFERROR(__xludf.DUMMYFUNCTION("GOOGLETRANSLATE($A151,""en"",""zh-cn"")"),"摩纳哥")</f>
        <v>摩纳哥</v>
      </c>
      <c r="H151" s="9" t="str">
        <f>IFERROR(__xludf.DUMMYFUNCTION("GOOGLETRANSLATE($A151,""en"",""ja"")"),"モナコ")</f>
        <v>モナコ</v>
      </c>
      <c r="I151" s="9" t="str">
        <f>IFERROR(__xludf.DUMMYFUNCTION("GOOGLETRANSLATE($A151,""en"",""ko"")"),"모나코")</f>
        <v>모나코</v>
      </c>
      <c r="J151" s="9" t="str">
        <f>IFERROR(__xludf.DUMMYFUNCTION("GOOGLETRANSLATE($A151,""en"",""pt-BR"")"),"Mônaco")</f>
        <v>Mônaco</v>
      </c>
    </row>
    <row r="152">
      <c r="A152" s="9" t="str">
        <f>IFERROR(__xludf.DUMMYFUNCTION("""COMPUTED_VALUE"""),"Mongolia")</f>
        <v>Mongolia</v>
      </c>
      <c r="B152" s="9" t="str">
        <f>IFERROR(__xludf.DUMMYFUNCTION("""COMPUTED_VALUE"""),"mn")</f>
        <v>mn</v>
      </c>
      <c r="C152" s="9" t="str">
        <f>IFERROR(__xludf.DUMMYFUNCTION("GOOGLETRANSLATE($A152,""en"",""de"")"),"Mongolei")</f>
        <v>Mongolei</v>
      </c>
      <c r="D152" s="9" t="str">
        <f>IFERROR(__xludf.DUMMYFUNCTION("GOOGLETRANSLATE($A152,""en"",""fr"")"),"Mongolie")</f>
        <v>Mongolie</v>
      </c>
      <c r="E152" s="9" t="str">
        <f>IFERROR(__xludf.DUMMYFUNCTION("GOOGLETRANSLATE($A152,""en"",""es"")"),"Mongolia")</f>
        <v>Mongolia</v>
      </c>
      <c r="F152" s="9" t="str">
        <f>IFERROR(__xludf.DUMMYFUNCTION("GOOGLETRANSLATE($A152,""en"",""it"")"),"Mongolia")</f>
        <v>Mongolia</v>
      </c>
      <c r="G152" s="9" t="str">
        <f>IFERROR(__xludf.DUMMYFUNCTION("GOOGLETRANSLATE($A152,""en"",""zh-cn"")"),"蒙古")</f>
        <v>蒙古</v>
      </c>
      <c r="H152" s="9" t="str">
        <f>IFERROR(__xludf.DUMMYFUNCTION("GOOGLETRANSLATE($A152,""en"",""ja"")"),"モンゴル")</f>
        <v>モンゴル</v>
      </c>
      <c r="I152" s="9" t="str">
        <f>IFERROR(__xludf.DUMMYFUNCTION("GOOGLETRANSLATE($A152,""en"",""ko"")"),"몽골리아")</f>
        <v>몽골리아</v>
      </c>
      <c r="J152" s="9" t="str">
        <f>IFERROR(__xludf.DUMMYFUNCTION("GOOGLETRANSLATE($A152,""en"",""pt-BR"")"),"Mongólia")</f>
        <v>Mongólia</v>
      </c>
    </row>
    <row r="153">
      <c r="A153" s="9" t="str">
        <f>IFERROR(__xludf.DUMMYFUNCTION("""COMPUTED_VALUE"""),"Montenegro")</f>
        <v>Montenegro</v>
      </c>
      <c r="B153" s="9" t="str">
        <f>IFERROR(__xludf.DUMMYFUNCTION("""COMPUTED_VALUE"""),"me")</f>
        <v>me</v>
      </c>
      <c r="C153" s="9" t="str">
        <f>IFERROR(__xludf.DUMMYFUNCTION("GOOGLETRANSLATE($A153,""en"",""de"")"),"Montenegro")</f>
        <v>Montenegro</v>
      </c>
      <c r="D153" s="9" t="str">
        <f>IFERROR(__xludf.DUMMYFUNCTION("GOOGLETRANSLATE($A153,""en"",""fr"")"),"Monténégro")</f>
        <v>Monténégro</v>
      </c>
      <c r="E153" s="9" t="str">
        <f>IFERROR(__xludf.DUMMYFUNCTION("GOOGLETRANSLATE($A153,""en"",""es"")"),"Montenegro")</f>
        <v>Montenegro</v>
      </c>
      <c r="F153" s="9" t="str">
        <f>IFERROR(__xludf.DUMMYFUNCTION("GOOGLETRANSLATE($A153,""en"",""it"")"),"Montenegro")</f>
        <v>Montenegro</v>
      </c>
      <c r="G153" s="9" t="str">
        <f>IFERROR(__xludf.DUMMYFUNCTION("GOOGLETRANSLATE($A153,""en"",""zh-cn"")"),"黑山")</f>
        <v>黑山</v>
      </c>
      <c r="H153" s="9" t="str">
        <f>IFERROR(__xludf.DUMMYFUNCTION("GOOGLETRANSLATE($A153,""en"",""ja"")"),"モンテネグロ")</f>
        <v>モンテネグロ</v>
      </c>
      <c r="I153" s="9" t="str">
        <f>IFERROR(__xludf.DUMMYFUNCTION("GOOGLETRANSLATE($A153,""en"",""ko"")"),"몬테네그로")</f>
        <v>몬테네그로</v>
      </c>
      <c r="J153" s="9" t="str">
        <f>IFERROR(__xludf.DUMMYFUNCTION("GOOGLETRANSLATE($A153,""en"",""pt-BR"")"),"Montenegro")</f>
        <v>Montenegro</v>
      </c>
    </row>
    <row r="154">
      <c r="A154" s="9" t="str">
        <f>IFERROR(__xludf.DUMMYFUNCTION("""COMPUTED_VALUE"""),"Montserrat")</f>
        <v>Montserrat</v>
      </c>
      <c r="B154" s="9" t="str">
        <f>IFERROR(__xludf.DUMMYFUNCTION("""COMPUTED_VALUE"""),"ms")</f>
        <v>ms</v>
      </c>
      <c r="C154" s="9" t="str">
        <f>IFERROR(__xludf.DUMMYFUNCTION("GOOGLETRANSLATE($A154,""en"",""de"")"),"Montserrat")</f>
        <v>Montserrat</v>
      </c>
      <c r="D154" s="9" t="str">
        <f>IFERROR(__xludf.DUMMYFUNCTION("GOOGLETRANSLATE($A154,""en"",""fr"")"),"Montserrat")</f>
        <v>Montserrat</v>
      </c>
      <c r="E154" s="9" t="str">
        <f>IFERROR(__xludf.DUMMYFUNCTION("GOOGLETRANSLATE($A154,""en"",""es"")"),"Montserrat")</f>
        <v>Montserrat</v>
      </c>
      <c r="F154" s="9" t="str">
        <f>IFERROR(__xludf.DUMMYFUNCTION("GOOGLETRANSLATE($A154,""en"",""it"")"),"Montserrat")</f>
        <v>Montserrat</v>
      </c>
      <c r="G154" s="9" t="str">
        <f>IFERROR(__xludf.DUMMYFUNCTION("GOOGLETRANSLATE($A154,""en"",""zh-cn"")"),"蒙特塞拉特")</f>
        <v>蒙特塞拉特</v>
      </c>
      <c r="H154" s="9" t="str">
        <f>IFERROR(__xludf.DUMMYFUNCTION("GOOGLETRANSLATE($A154,""en"",""ja"")"),"モントセラト")</f>
        <v>モントセラト</v>
      </c>
      <c r="I154" s="9" t="str">
        <f>IFERROR(__xludf.DUMMYFUNCTION("GOOGLETRANSLATE($A154,""en"",""ko"")"),"몬세라트")</f>
        <v>몬세라트</v>
      </c>
      <c r="J154" s="9" t="str">
        <f>IFERROR(__xludf.DUMMYFUNCTION("GOOGLETRANSLATE($A154,""en"",""pt-BR"")"),"Montserrate")</f>
        <v>Montserrate</v>
      </c>
    </row>
    <row r="155">
      <c r="A155" s="9" t="str">
        <f>IFERROR(__xludf.DUMMYFUNCTION("""COMPUTED_VALUE"""),"Morocco")</f>
        <v>Morocco</v>
      </c>
      <c r="B155" s="9" t="str">
        <f>IFERROR(__xludf.DUMMYFUNCTION("""COMPUTED_VALUE"""),"ma")</f>
        <v>ma</v>
      </c>
      <c r="C155" s="9" t="str">
        <f>IFERROR(__xludf.DUMMYFUNCTION("GOOGLETRANSLATE($A155,""en"",""de"")"),"Marokko")</f>
        <v>Marokko</v>
      </c>
      <c r="D155" s="9" t="str">
        <f>IFERROR(__xludf.DUMMYFUNCTION("GOOGLETRANSLATE($A155,""en"",""fr"")"),"Maroc")</f>
        <v>Maroc</v>
      </c>
      <c r="E155" s="9" t="str">
        <f>IFERROR(__xludf.DUMMYFUNCTION("GOOGLETRANSLATE($A155,""en"",""es"")"),"Marruecos")</f>
        <v>Marruecos</v>
      </c>
      <c r="F155" s="9" t="str">
        <f>IFERROR(__xludf.DUMMYFUNCTION("GOOGLETRANSLATE($A155,""en"",""it"")"),"Marocco")</f>
        <v>Marocco</v>
      </c>
      <c r="G155" s="9" t="str">
        <f>IFERROR(__xludf.DUMMYFUNCTION("GOOGLETRANSLATE($A155,""en"",""zh-cn"")"),"摩洛哥")</f>
        <v>摩洛哥</v>
      </c>
      <c r="H155" s="9" t="str">
        <f>IFERROR(__xludf.DUMMYFUNCTION("GOOGLETRANSLATE($A155,""en"",""ja"")"),"モロッコ")</f>
        <v>モロッコ</v>
      </c>
      <c r="I155" s="9" t="str">
        <f>IFERROR(__xludf.DUMMYFUNCTION("GOOGLETRANSLATE($A155,""en"",""ko"")"),"모로코 가죽")</f>
        <v>모로코 가죽</v>
      </c>
      <c r="J155" s="9" t="str">
        <f>IFERROR(__xludf.DUMMYFUNCTION("GOOGLETRANSLATE($A155,""en"",""pt-BR"")"),"Marrocos")</f>
        <v>Marrocos</v>
      </c>
    </row>
    <row r="156">
      <c r="A156" s="9" t="str">
        <f>IFERROR(__xludf.DUMMYFUNCTION("""COMPUTED_VALUE"""),"Mozambique")</f>
        <v>Mozambique</v>
      </c>
      <c r="B156" s="9" t="str">
        <f>IFERROR(__xludf.DUMMYFUNCTION("""COMPUTED_VALUE"""),"mz")</f>
        <v>mz</v>
      </c>
      <c r="C156" s="9" t="str">
        <f>IFERROR(__xludf.DUMMYFUNCTION("GOOGLETRANSLATE($A156,""en"",""de"")"),"Mosambik")</f>
        <v>Mosambik</v>
      </c>
      <c r="D156" s="9" t="str">
        <f>IFERROR(__xludf.DUMMYFUNCTION("GOOGLETRANSLATE($A156,""en"",""fr"")"),"Mozambique")</f>
        <v>Mozambique</v>
      </c>
      <c r="E156" s="9" t="str">
        <f>IFERROR(__xludf.DUMMYFUNCTION("GOOGLETRANSLATE($A156,""en"",""es"")"),"Mozambique")</f>
        <v>Mozambique</v>
      </c>
      <c r="F156" s="9" t="str">
        <f>IFERROR(__xludf.DUMMYFUNCTION("GOOGLETRANSLATE($A156,""en"",""it"")"),"Mozambico")</f>
        <v>Mozambico</v>
      </c>
      <c r="G156" s="9" t="str">
        <f>IFERROR(__xludf.DUMMYFUNCTION("GOOGLETRANSLATE($A156,""en"",""zh-cn"")"),"莫桑比克")</f>
        <v>莫桑比克</v>
      </c>
      <c r="H156" s="9" t="str">
        <f>IFERROR(__xludf.DUMMYFUNCTION("GOOGLETRANSLATE($A156,""en"",""ja"")"),"モザンビーク")</f>
        <v>モザンビーク</v>
      </c>
      <c r="I156" s="9" t="str">
        <f>IFERROR(__xludf.DUMMYFUNCTION("GOOGLETRANSLATE($A156,""en"",""ko"")"),"모잠비크")</f>
        <v>모잠비크</v>
      </c>
      <c r="J156" s="9" t="str">
        <f>IFERROR(__xludf.DUMMYFUNCTION("GOOGLETRANSLATE($A156,""en"",""pt-BR"")"),"Moçambique")</f>
        <v>Moçambique</v>
      </c>
    </row>
    <row r="157">
      <c r="A157" s="9" t="str">
        <f>IFERROR(__xludf.DUMMYFUNCTION("""COMPUTED_VALUE"""),"Myanmar")</f>
        <v>Myanmar</v>
      </c>
      <c r="B157" s="9" t="str">
        <f>IFERROR(__xludf.DUMMYFUNCTION("""COMPUTED_VALUE"""),"mm")</f>
        <v>mm</v>
      </c>
      <c r="C157" s="9" t="str">
        <f>IFERROR(__xludf.DUMMYFUNCTION("GOOGLETRANSLATE($A157,""en"",""de"")"),"Myanmar")</f>
        <v>Myanmar</v>
      </c>
      <c r="D157" s="9" t="str">
        <f>IFERROR(__xludf.DUMMYFUNCTION("GOOGLETRANSLATE($A157,""en"",""fr"")"),"Birmanie")</f>
        <v>Birmanie</v>
      </c>
      <c r="E157" s="9" t="str">
        <f>IFERROR(__xludf.DUMMYFUNCTION("GOOGLETRANSLATE($A157,""en"",""es"")"),"Birmania")</f>
        <v>Birmania</v>
      </c>
      <c r="F157" s="9" t="str">
        <f>IFERROR(__xludf.DUMMYFUNCTION("GOOGLETRANSLATE($A157,""en"",""it"")"),"Myanmar")</f>
        <v>Myanmar</v>
      </c>
      <c r="G157" s="9" t="str">
        <f>IFERROR(__xludf.DUMMYFUNCTION("GOOGLETRANSLATE($A157,""en"",""zh-cn"")"),"缅甸")</f>
        <v>缅甸</v>
      </c>
      <c r="H157" s="9" t="str">
        <f>IFERROR(__xludf.DUMMYFUNCTION("GOOGLETRANSLATE($A157,""en"",""ja"")"),"ミャンマー")</f>
        <v>ミャンマー</v>
      </c>
      <c r="I157" s="9" t="str">
        <f>IFERROR(__xludf.DUMMYFUNCTION("GOOGLETRANSLATE($A157,""en"",""ko"")"),"미얀마")</f>
        <v>미얀마</v>
      </c>
      <c r="J157" s="9" t="str">
        <f>IFERROR(__xludf.DUMMYFUNCTION("GOOGLETRANSLATE($A157,""en"",""pt-BR"")"),"Mianmar")</f>
        <v>Mianmar</v>
      </c>
    </row>
    <row r="158">
      <c r="A158" s="9" t="str">
        <f>IFERROR(__xludf.DUMMYFUNCTION("""COMPUTED_VALUE"""),"Namibia")</f>
        <v>Namibia</v>
      </c>
      <c r="B158" s="9" t="str">
        <f>IFERROR(__xludf.DUMMYFUNCTION("""COMPUTED_VALUE"""),"na")</f>
        <v>na</v>
      </c>
      <c r="C158" s="9" t="str">
        <f>IFERROR(__xludf.DUMMYFUNCTION("GOOGLETRANSLATE($A158,""en"",""de"")"),"Namibia")</f>
        <v>Namibia</v>
      </c>
      <c r="D158" s="9" t="str">
        <f>IFERROR(__xludf.DUMMYFUNCTION("GOOGLETRANSLATE($A158,""en"",""fr"")"),"Namibie")</f>
        <v>Namibie</v>
      </c>
      <c r="E158" s="9" t="str">
        <f>IFERROR(__xludf.DUMMYFUNCTION("GOOGLETRANSLATE($A158,""en"",""es"")"),"Namibia")</f>
        <v>Namibia</v>
      </c>
      <c r="F158" s="9" t="str">
        <f>IFERROR(__xludf.DUMMYFUNCTION("GOOGLETRANSLATE($A158,""en"",""it"")"),"Namibia")</f>
        <v>Namibia</v>
      </c>
      <c r="G158" s="9" t="str">
        <f>IFERROR(__xludf.DUMMYFUNCTION("GOOGLETRANSLATE($A158,""en"",""zh-cn"")"),"纳米比亚")</f>
        <v>纳米比亚</v>
      </c>
      <c r="H158" s="9" t="str">
        <f>IFERROR(__xludf.DUMMYFUNCTION("GOOGLETRANSLATE($A158,""en"",""ja"")"),"ナミビア")</f>
        <v>ナミビア</v>
      </c>
      <c r="I158" s="9" t="str">
        <f>IFERROR(__xludf.DUMMYFUNCTION("GOOGLETRANSLATE($A158,""en"",""ko"")"),"나미비아")</f>
        <v>나미비아</v>
      </c>
      <c r="J158" s="9" t="str">
        <f>IFERROR(__xludf.DUMMYFUNCTION("GOOGLETRANSLATE($A158,""en"",""pt-BR"")"),"Namíbia")</f>
        <v>Namíbia</v>
      </c>
    </row>
    <row r="159">
      <c r="A159" s="9" t="str">
        <f>IFERROR(__xludf.DUMMYFUNCTION("""COMPUTED_VALUE"""),"Nauru")</f>
        <v>Nauru</v>
      </c>
      <c r="B159" s="9" t="str">
        <f>IFERROR(__xludf.DUMMYFUNCTION("""COMPUTED_VALUE"""),"nr")</f>
        <v>nr</v>
      </c>
      <c r="C159" s="9" t="str">
        <f>IFERROR(__xludf.DUMMYFUNCTION("GOOGLETRANSLATE($A159,""en"",""de"")"),"Nauru")</f>
        <v>Nauru</v>
      </c>
      <c r="D159" s="9" t="str">
        <f>IFERROR(__xludf.DUMMYFUNCTION("GOOGLETRANSLATE($A159,""en"",""fr"")"),"Nauru")</f>
        <v>Nauru</v>
      </c>
      <c r="E159" s="9" t="str">
        <f>IFERROR(__xludf.DUMMYFUNCTION("GOOGLETRANSLATE($A159,""en"",""es"")"),"Nauru")</f>
        <v>Nauru</v>
      </c>
      <c r="F159" s="9" t="str">
        <f>IFERROR(__xludf.DUMMYFUNCTION("GOOGLETRANSLATE($A159,""en"",""it"")"),"Nauru")</f>
        <v>Nauru</v>
      </c>
      <c r="G159" s="9" t="str">
        <f>IFERROR(__xludf.DUMMYFUNCTION("GOOGLETRANSLATE($A159,""en"",""zh-cn"")"),"瑙鲁")</f>
        <v>瑙鲁</v>
      </c>
      <c r="H159" s="9" t="str">
        <f>IFERROR(__xludf.DUMMYFUNCTION("GOOGLETRANSLATE($A159,""en"",""ja"")"),"ナウル")</f>
        <v>ナウル</v>
      </c>
      <c r="I159" s="9" t="str">
        <f>IFERROR(__xludf.DUMMYFUNCTION("GOOGLETRANSLATE($A159,""en"",""ko"")"),"나우루")</f>
        <v>나우루</v>
      </c>
      <c r="J159" s="9" t="str">
        <f>IFERROR(__xludf.DUMMYFUNCTION("GOOGLETRANSLATE($A159,""en"",""pt-BR"")"),"Nauru")</f>
        <v>Nauru</v>
      </c>
    </row>
    <row r="160">
      <c r="A160" s="9" t="str">
        <f>IFERROR(__xludf.DUMMYFUNCTION("""COMPUTED_VALUE"""),"Nepal")</f>
        <v>Nepal</v>
      </c>
      <c r="B160" s="9" t="str">
        <f>IFERROR(__xludf.DUMMYFUNCTION("""COMPUTED_VALUE"""),"np")</f>
        <v>np</v>
      </c>
      <c r="C160" s="9" t="str">
        <f>IFERROR(__xludf.DUMMYFUNCTION("GOOGLETRANSLATE($A160,""en"",""de"")"),"Nepal")</f>
        <v>Nepal</v>
      </c>
      <c r="D160" s="9" t="str">
        <f>IFERROR(__xludf.DUMMYFUNCTION("GOOGLETRANSLATE($A160,""en"",""fr"")"),"Népal")</f>
        <v>Népal</v>
      </c>
      <c r="E160" s="9" t="str">
        <f>IFERROR(__xludf.DUMMYFUNCTION("GOOGLETRANSLATE($A160,""en"",""es"")"),"Nepal")</f>
        <v>Nepal</v>
      </c>
      <c r="F160" s="9" t="str">
        <f>IFERROR(__xludf.DUMMYFUNCTION("GOOGLETRANSLATE($A160,""en"",""it"")"),"Nepal")</f>
        <v>Nepal</v>
      </c>
      <c r="G160" s="9" t="str">
        <f>IFERROR(__xludf.DUMMYFUNCTION("GOOGLETRANSLATE($A160,""en"",""zh-cn"")"),"尼泊尔")</f>
        <v>尼泊尔</v>
      </c>
      <c r="H160" s="9" t="str">
        <f>IFERROR(__xludf.DUMMYFUNCTION("GOOGLETRANSLATE($A160,""en"",""ja"")"),"ネパール")</f>
        <v>ネパール</v>
      </c>
      <c r="I160" s="9" t="str">
        <f>IFERROR(__xludf.DUMMYFUNCTION("GOOGLETRANSLATE($A160,""en"",""ko"")"),"네팔")</f>
        <v>네팔</v>
      </c>
      <c r="J160" s="9" t="str">
        <f>IFERROR(__xludf.DUMMYFUNCTION("GOOGLETRANSLATE($A160,""en"",""pt-BR"")"),"Nepal")</f>
        <v>Nepal</v>
      </c>
    </row>
    <row r="161">
      <c r="A161" s="9" t="str">
        <f>IFERROR(__xludf.DUMMYFUNCTION("""COMPUTED_VALUE"""),"Netherlands")</f>
        <v>Netherlands</v>
      </c>
      <c r="B161" s="9" t="str">
        <f>IFERROR(__xludf.DUMMYFUNCTION("""COMPUTED_VALUE"""),"nl")</f>
        <v>nl</v>
      </c>
      <c r="C161" s="9" t="str">
        <f>IFERROR(__xludf.DUMMYFUNCTION("GOOGLETRANSLATE($A161,""en"",""de"")"),"Niederlande")</f>
        <v>Niederlande</v>
      </c>
      <c r="D161" s="9" t="str">
        <f>IFERROR(__xludf.DUMMYFUNCTION("GOOGLETRANSLATE($A161,""en"",""fr"")"),"Pays-Bas")</f>
        <v>Pays-Bas</v>
      </c>
      <c r="E161" s="9" t="str">
        <f>IFERROR(__xludf.DUMMYFUNCTION("GOOGLETRANSLATE($A161,""en"",""es"")"),"Países Bajos")</f>
        <v>Países Bajos</v>
      </c>
      <c r="F161" s="9" t="str">
        <f>IFERROR(__xludf.DUMMYFUNCTION("GOOGLETRANSLATE($A161,""en"",""it"")"),"Paesi Bassi")</f>
        <v>Paesi Bassi</v>
      </c>
      <c r="G161" s="9" t="str">
        <f>IFERROR(__xludf.DUMMYFUNCTION("GOOGLETRANSLATE($A161,""en"",""zh-cn"")"),"荷兰")</f>
        <v>荷兰</v>
      </c>
      <c r="H161" s="9" t="str">
        <f>IFERROR(__xludf.DUMMYFUNCTION("GOOGLETRANSLATE($A161,""en"",""ja"")"),"オランダ")</f>
        <v>オランダ</v>
      </c>
      <c r="I161" s="9" t="str">
        <f>IFERROR(__xludf.DUMMYFUNCTION("GOOGLETRANSLATE($A161,""en"",""ko"")"),"네덜란드")</f>
        <v>네덜란드</v>
      </c>
      <c r="J161" s="9" t="str">
        <f>IFERROR(__xludf.DUMMYFUNCTION("GOOGLETRANSLATE($A161,""en"",""pt-BR"")"),"Holanda")</f>
        <v>Holanda</v>
      </c>
    </row>
    <row r="162">
      <c r="A162" s="9" t="str">
        <f>IFERROR(__xludf.DUMMYFUNCTION("""COMPUTED_VALUE"""),"New Caledonia")</f>
        <v>New Caledonia</v>
      </c>
      <c r="B162" s="9" t="str">
        <f>IFERROR(__xludf.DUMMYFUNCTION("""COMPUTED_VALUE"""),"nc")</f>
        <v>nc</v>
      </c>
      <c r="C162" s="9" t="str">
        <f>IFERROR(__xludf.DUMMYFUNCTION("GOOGLETRANSLATE($A162,""en"",""de"")"),"Neukaledonien")</f>
        <v>Neukaledonien</v>
      </c>
      <c r="D162" s="9" t="str">
        <f>IFERROR(__xludf.DUMMYFUNCTION("GOOGLETRANSLATE($A162,""en"",""fr"")"),"Nouvelle-Calédonie")</f>
        <v>Nouvelle-Calédonie</v>
      </c>
      <c r="E162" s="9" t="str">
        <f>IFERROR(__xludf.DUMMYFUNCTION("GOOGLETRANSLATE($A162,""en"",""es"")"),"Nueva Caledonia")</f>
        <v>Nueva Caledonia</v>
      </c>
      <c r="F162" s="9" t="str">
        <f>IFERROR(__xludf.DUMMYFUNCTION("GOOGLETRANSLATE($A162,""en"",""it"")"),"Nuova Caledonia")</f>
        <v>Nuova Caledonia</v>
      </c>
      <c r="G162" s="9" t="str">
        <f>IFERROR(__xludf.DUMMYFUNCTION("GOOGLETRANSLATE($A162,""en"",""zh-cn"")"),"新喀里多尼亚")</f>
        <v>新喀里多尼亚</v>
      </c>
      <c r="H162" s="9" t="str">
        <f>IFERROR(__xludf.DUMMYFUNCTION("GOOGLETRANSLATE($A162,""en"",""ja"")"),"ニューカレドニア")</f>
        <v>ニューカレドニア</v>
      </c>
      <c r="I162" s="9" t="str">
        <f>IFERROR(__xludf.DUMMYFUNCTION("GOOGLETRANSLATE($A162,""en"",""ko"")"),"뉴칼레도니아")</f>
        <v>뉴칼레도니아</v>
      </c>
      <c r="J162" s="9" t="str">
        <f>IFERROR(__xludf.DUMMYFUNCTION("GOOGLETRANSLATE($A162,""en"",""pt-BR"")"),"Nova Caledônia")</f>
        <v>Nova Caledônia</v>
      </c>
    </row>
    <row r="163">
      <c r="A163" s="9" t="str">
        <f>IFERROR(__xludf.DUMMYFUNCTION("""COMPUTED_VALUE"""),"New Zealand")</f>
        <v>New Zealand</v>
      </c>
      <c r="B163" s="9" t="str">
        <f>IFERROR(__xludf.DUMMYFUNCTION("""COMPUTED_VALUE"""),"nz")</f>
        <v>nz</v>
      </c>
      <c r="C163" s="9" t="str">
        <f>IFERROR(__xludf.DUMMYFUNCTION("GOOGLETRANSLATE($A163,""en"",""de"")"),"Neuseeland")</f>
        <v>Neuseeland</v>
      </c>
      <c r="D163" s="9" t="str">
        <f>IFERROR(__xludf.DUMMYFUNCTION("GOOGLETRANSLATE($A163,""en"",""fr"")"),"Nouvelle-Zélande")</f>
        <v>Nouvelle-Zélande</v>
      </c>
      <c r="E163" s="9" t="str">
        <f>IFERROR(__xludf.DUMMYFUNCTION("GOOGLETRANSLATE($A163,""en"",""es"")"),"Nueva Zelanda")</f>
        <v>Nueva Zelanda</v>
      </c>
      <c r="F163" s="9" t="str">
        <f>IFERROR(__xludf.DUMMYFUNCTION("GOOGLETRANSLATE($A163,""en"",""it"")"),"Nuova Zelanda")</f>
        <v>Nuova Zelanda</v>
      </c>
      <c r="G163" s="9" t="str">
        <f>IFERROR(__xludf.DUMMYFUNCTION("GOOGLETRANSLATE($A163,""en"",""zh-cn"")"),"新西兰")</f>
        <v>新西兰</v>
      </c>
      <c r="H163" s="9" t="str">
        <f>IFERROR(__xludf.DUMMYFUNCTION("GOOGLETRANSLATE($A163,""en"",""ja"")"),"ニュージーランド")</f>
        <v>ニュージーランド</v>
      </c>
      <c r="I163" s="9" t="str">
        <f>IFERROR(__xludf.DUMMYFUNCTION("GOOGLETRANSLATE($A163,""en"",""ko"")"),"뉴질랜드")</f>
        <v>뉴질랜드</v>
      </c>
      <c r="J163" s="9" t="str">
        <f>IFERROR(__xludf.DUMMYFUNCTION("GOOGLETRANSLATE($A163,""en"",""pt-BR"")"),"Nova Zelândia")</f>
        <v>Nova Zelândia</v>
      </c>
    </row>
    <row r="164">
      <c r="A164" s="9" t="str">
        <f>IFERROR(__xludf.DUMMYFUNCTION("""COMPUTED_VALUE"""),"Nicaragua")</f>
        <v>Nicaragua</v>
      </c>
      <c r="B164" s="9" t="str">
        <f>IFERROR(__xludf.DUMMYFUNCTION("""COMPUTED_VALUE"""),"ni")</f>
        <v>ni</v>
      </c>
      <c r="C164" s="9" t="str">
        <f>IFERROR(__xludf.DUMMYFUNCTION("GOOGLETRANSLATE($A164,""en"",""de"")"),"Nicaragua")</f>
        <v>Nicaragua</v>
      </c>
      <c r="D164" s="9" t="str">
        <f>IFERROR(__xludf.DUMMYFUNCTION("GOOGLETRANSLATE($A164,""en"",""fr"")"),"Nicaragua")</f>
        <v>Nicaragua</v>
      </c>
      <c r="E164" s="9" t="str">
        <f>IFERROR(__xludf.DUMMYFUNCTION("GOOGLETRANSLATE($A164,""en"",""es"")"),"Nicaragua")</f>
        <v>Nicaragua</v>
      </c>
      <c r="F164" s="9" t="str">
        <f>IFERROR(__xludf.DUMMYFUNCTION("GOOGLETRANSLATE($A164,""en"",""it"")"),"Nicaragua")</f>
        <v>Nicaragua</v>
      </c>
      <c r="G164" s="9" t="str">
        <f>IFERROR(__xludf.DUMMYFUNCTION("GOOGLETRANSLATE($A164,""en"",""zh-cn"")"),"尼加拉瓜")</f>
        <v>尼加拉瓜</v>
      </c>
      <c r="H164" s="9" t="str">
        <f>IFERROR(__xludf.DUMMYFUNCTION("GOOGLETRANSLATE($A164,""en"",""ja"")"),"ニカラグア")</f>
        <v>ニカラグア</v>
      </c>
      <c r="I164" s="9" t="str">
        <f>IFERROR(__xludf.DUMMYFUNCTION("GOOGLETRANSLATE($A164,""en"",""ko"")"),"니카라과")</f>
        <v>니카라과</v>
      </c>
      <c r="J164" s="9" t="str">
        <f>IFERROR(__xludf.DUMMYFUNCTION("GOOGLETRANSLATE($A164,""en"",""pt-BR"")"),"Nicarágua")</f>
        <v>Nicarágua</v>
      </c>
    </row>
    <row r="165">
      <c r="A165" s="9" t="str">
        <f>IFERROR(__xludf.DUMMYFUNCTION("""COMPUTED_VALUE"""),"Niger")</f>
        <v>Niger</v>
      </c>
      <c r="B165" s="9" t="str">
        <f>IFERROR(__xludf.DUMMYFUNCTION("""COMPUTED_VALUE"""),"ne")</f>
        <v>ne</v>
      </c>
      <c r="C165" s="9" t="str">
        <f>IFERROR(__xludf.DUMMYFUNCTION("GOOGLETRANSLATE($A165,""en"",""de"")"),"Niger")</f>
        <v>Niger</v>
      </c>
      <c r="D165" s="9" t="str">
        <f>IFERROR(__xludf.DUMMYFUNCTION("GOOGLETRANSLATE($A165,""en"",""fr"")"),"Niger")</f>
        <v>Niger</v>
      </c>
      <c r="E165" s="9" t="str">
        <f>IFERROR(__xludf.DUMMYFUNCTION("GOOGLETRANSLATE($A165,""en"",""es"")"),"Níger")</f>
        <v>Níger</v>
      </c>
      <c r="F165" s="9" t="str">
        <f>IFERROR(__xludf.DUMMYFUNCTION("GOOGLETRANSLATE($A165,""en"",""it"")"),"Niger")</f>
        <v>Niger</v>
      </c>
      <c r="G165" s="9" t="str">
        <f>IFERROR(__xludf.DUMMYFUNCTION("GOOGLETRANSLATE($A165,""en"",""zh-cn"")"),"尼日尔")</f>
        <v>尼日尔</v>
      </c>
      <c r="H165" s="9" t="str">
        <f>IFERROR(__xludf.DUMMYFUNCTION("GOOGLETRANSLATE($A165,""en"",""ja"")"),"ニジェール")</f>
        <v>ニジェール</v>
      </c>
      <c r="I165" s="9" t="str">
        <f>IFERROR(__xludf.DUMMYFUNCTION("GOOGLETRANSLATE($A165,""en"",""ko"")"),"니제르")</f>
        <v>니제르</v>
      </c>
      <c r="J165" s="9" t="str">
        <f>IFERROR(__xludf.DUMMYFUNCTION("GOOGLETRANSLATE($A165,""en"",""pt-BR"")"),"Níger")</f>
        <v>Níger</v>
      </c>
    </row>
    <row r="166">
      <c r="A166" s="9" t="str">
        <f>IFERROR(__xludf.DUMMYFUNCTION("""COMPUTED_VALUE"""),"Nigeria")</f>
        <v>Nigeria</v>
      </c>
      <c r="B166" s="9" t="str">
        <f>IFERROR(__xludf.DUMMYFUNCTION("""COMPUTED_VALUE"""),"ng")</f>
        <v>ng</v>
      </c>
      <c r="C166" s="9" t="str">
        <f>IFERROR(__xludf.DUMMYFUNCTION("GOOGLETRANSLATE($A166,""en"",""de"")"),"Nigeria")</f>
        <v>Nigeria</v>
      </c>
      <c r="D166" s="9" t="str">
        <f>IFERROR(__xludf.DUMMYFUNCTION("GOOGLETRANSLATE($A166,""en"",""fr"")"),"Nigeria")</f>
        <v>Nigeria</v>
      </c>
      <c r="E166" s="9" t="str">
        <f>IFERROR(__xludf.DUMMYFUNCTION("GOOGLETRANSLATE($A166,""en"",""es"")"),"Nigeria")</f>
        <v>Nigeria</v>
      </c>
      <c r="F166" s="9" t="str">
        <f>IFERROR(__xludf.DUMMYFUNCTION("GOOGLETRANSLATE($A166,""en"",""it"")"),"Nigeria")</f>
        <v>Nigeria</v>
      </c>
      <c r="G166" s="9" t="str">
        <f>IFERROR(__xludf.DUMMYFUNCTION("GOOGLETRANSLATE($A166,""en"",""zh-cn"")"),"尼日利亚")</f>
        <v>尼日利亚</v>
      </c>
      <c r="H166" s="9" t="str">
        <f>IFERROR(__xludf.DUMMYFUNCTION("GOOGLETRANSLATE($A166,""en"",""ja"")"),"ナイジェリア")</f>
        <v>ナイジェリア</v>
      </c>
      <c r="I166" s="9" t="str">
        <f>IFERROR(__xludf.DUMMYFUNCTION("GOOGLETRANSLATE($A166,""en"",""ko"")"),"나이지리아")</f>
        <v>나이지리아</v>
      </c>
      <c r="J166" s="9" t="str">
        <f>IFERROR(__xludf.DUMMYFUNCTION("GOOGLETRANSLATE($A166,""en"",""pt-BR"")"),"Nigéria")</f>
        <v>Nigéria</v>
      </c>
    </row>
    <row r="167">
      <c r="A167" s="9" t="str">
        <f>IFERROR(__xludf.DUMMYFUNCTION("""COMPUTED_VALUE"""),"Niue")</f>
        <v>Niue</v>
      </c>
      <c r="B167" s="9" t="str">
        <f>IFERROR(__xludf.DUMMYFUNCTION("""COMPUTED_VALUE"""),"nu")</f>
        <v>nu</v>
      </c>
      <c r="C167" s="9" t="str">
        <f>IFERROR(__xludf.DUMMYFUNCTION("GOOGLETRANSLATE($A167,""en"",""de"")"),"Niue")</f>
        <v>Niue</v>
      </c>
      <c r="D167" s="9" t="str">
        <f>IFERROR(__xludf.DUMMYFUNCTION("GOOGLETRANSLATE($A167,""en"",""fr"")"),"Nioué")</f>
        <v>Nioué</v>
      </c>
      <c r="E167" s="9" t="str">
        <f>IFERROR(__xludf.DUMMYFUNCTION("GOOGLETRANSLATE($A167,""en"",""es"")"),"Niue")</f>
        <v>Niue</v>
      </c>
      <c r="F167" s="9" t="str">
        <f>IFERROR(__xludf.DUMMYFUNCTION("GOOGLETRANSLATE($A167,""en"",""it"")"),"Niue")</f>
        <v>Niue</v>
      </c>
      <c r="G167" s="9" t="str">
        <f>IFERROR(__xludf.DUMMYFUNCTION("GOOGLETRANSLATE($A167,""en"",""zh-cn"")"),"纽埃")</f>
        <v>纽埃</v>
      </c>
      <c r="H167" s="9" t="str">
        <f>IFERROR(__xludf.DUMMYFUNCTION("GOOGLETRANSLATE($A167,""en"",""ja"")"),"ニウエ")</f>
        <v>ニウエ</v>
      </c>
      <c r="I167" s="9" t="str">
        <f>IFERROR(__xludf.DUMMYFUNCTION("GOOGLETRANSLATE($A167,""en"",""ko"")"),"니우에")</f>
        <v>니우에</v>
      </c>
      <c r="J167" s="9" t="str">
        <f>IFERROR(__xludf.DUMMYFUNCTION("GOOGLETRANSLATE($A167,""en"",""pt-BR"")"),"Niue")</f>
        <v>Niue</v>
      </c>
    </row>
    <row r="168">
      <c r="A168" s="9" t="str">
        <f>IFERROR(__xludf.DUMMYFUNCTION("""COMPUTED_VALUE"""),"Norfolk Island")</f>
        <v>Norfolk Island</v>
      </c>
      <c r="B168" s="9" t="str">
        <f>IFERROR(__xludf.DUMMYFUNCTION("""COMPUTED_VALUE"""),"nf")</f>
        <v>nf</v>
      </c>
      <c r="C168" s="9" t="str">
        <f>IFERROR(__xludf.DUMMYFUNCTION("GOOGLETRANSLATE($A168,""en"",""de"")"),"Norfolkinsel")</f>
        <v>Norfolkinsel</v>
      </c>
      <c r="D168" s="9" t="str">
        <f>IFERROR(__xludf.DUMMYFUNCTION("GOOGLETRANSLATE($A168,""en"",""fr"")"),"Île Norfolk")</f>
        <v>Île Norfolk</v>
      </c>
      <c r="E168" s="9" t="str">
        <f>IFERROR(__xludf.DUMMYFUNCTION("GOOGLETRANSLATE($A168,""en"",""es"")"),"Isla Norfolk")</f>
        <v>Isla Norfolk</v>
      </c>
      <c r="F168" s="9" t="str">
        <f>IFERROR(__xludf.DUMMYFUNCTION("GOOGLETRANSLATE($A168,""en"",""it"")"),"Isola Norfolk")</f>
        <v>Isola Norfolk</v>
      </c>
      <c r="G168" s="9" t="str">
        <f>IFERROR(__xludf.DUMMYFUNCTION("GOOGLETRANSLATE($A168,""en"",""zh-cn"")"),"诺福克岛")</f>
        <v>诺福克岛</v>
      </c>
      <c r="H168" s="9" t="str">
        <f>IFERROR(__xludf.DUMMYFUNCTION("GOOGLETRANSLATE($A168,""en"",""ja"")"),"ノーフォーク島")</f>
        <v>ノーフォーク島</v>
      </c>
      <c r="I168" s="9" t="str">
        <f>IFERROR(__xludf.DUMMYFUNCTION("GOOGLETRANSLATE($A168,""en"",""ko"")"),"노퍽 섬")</f>
        <v>노퍽 섬</v>
      </c>
      <c r="J168" s="9" t="str">
        <f>IFERROR(__xludf.DUMMYFUNCTION("GOOGLETRANSLATE($A168,""en"",""pt-BR"")"),"Ilha Norfolk")</f>
        <v>Ilha Norfolk</v>
      </c>
    </row>
    <row r="169">
      <c r="A169" s="9" t="str">
        <f>IFERROR(__xludf.DUMMYFUNCTION("""COMPUTED_VALUE"""),"North Macedonia")</f>
        <v>North Macedonia</v>
      </c>
      <c r="B169" s="9" t="str">
        <f>IFERROR(__xludf.DUMMYFUNCTION("""COMPUTED_VALUE"""),"mk")</f>
        <v>mk</v>
      </c>
      <c r="C169" s="9" t="str">
        <f>IFERROR(__xludf.DUMMYFUNCTION("GOOGLETRANSLATE($A169,""en"",""de"")"),"Nordmazedonien")</f>
        <v>Nordmazedonien</v>
      </c>
      <c r="D169" s="9" t="str">
        <f>IFERROR(__xludf.DUMMYFUNCTION("GOOGLETRANSLATE($A169,""en"",""fr"")"),"Macédoine du Nord")</f>
        <v>Macédoine du Nord</v>
      </c>
      <c r="E169" s="9" t="str">
        <f>IFERROR(__xludf.DUMMYFUNCTION("GOOGLETRANSLATE($A169,""en"",""es"")"),"Macedonia del Norte")</f>
        <v>Macedonia del Norte</v>
      </c>
      <c r="F169" s="9" t="str">
        <f>IFERROR(__xludf.DUMMYFUNCTION("GOOGLETRANSLATE($A169,""en"",""it"")"),"Macedonia del Nord")</f>
        <v>Macedonia del Nord</v>
      </c>
      <c r="G169" s="9" t="str">
        <f>IFERROR(__xludf.DUMMYFUNCTION("GOOGLETRANSLATE($A169,""en"",""zh-cn"")"),"北马其顿")</f>
        <v>北马其顿</v>
      </c>
      <c r="H169" s="9" t="str">
        <f>IFERROR(__xludf.DUMMYFUNCTION("GOOGLETRANSLATE($A169,""en"",""ja"")"),"北マケドニア")</f>
        <v>北マケドニア</v>
      </c>
      <c r="I169" s="9" t="str">
        <f>IFERROR(__xludf.DUMMYFUNCTION("GOOGLETRANSLATE($A169,""en"",""ko"")"),"북마케도니아")</f>
        <v>북마케도니아</v>
      </c>
      <c r="J169" s="9" t="str">
        <f>IFERROR(__xludf.DUMMYFUNCTION("GOOGLETRANSLATE($A169,""en"",""pt-BR"")"),"Macedônia do Norte")</f>
        <v>Macedônia do Norte</v>
      </c>
    </row>
    <row r="170">
      <c r="A170" s="9" t="str">
        <f>IFERROR(__xludf.DUMMYFUNCTION("""COMPUTED_VALUE"""),"Northern Mariana Islands")</f>
        <v>Northern Mariana Islands</v>
      </c>
      <c r="B170" s="9" t="str">
        <f>IFERROR(__xludf.DUMMYFUNCTION("""COMPUTED_VALUE"""),"mp")</f>
        <v>mp</v>
      </c>
      <c r="C170" s="9" t="str">
        <f>IFERROR(__xludf.DUMMYFUNCTION("GOOGLETRANSLATE($A170,""en"",""de"")"),"Nördliche Marianen")</f>
        <v>Nördliche Marianen</v>
      </c>
      <c r="D170" s="9" t="str">
        <f>IFERROR(__xludf.DUMMYFUNCTION("GOOGLETRANSLATE($A170,""en"",""fr"")"),"Îles Mariannes du Nord")</f>
        <v>Îles Mariannes du Nord</v>
      </c>
      <c r="E170" s="9" t="str">
        <f>IFERROR(__xludf.DUMMYFUNCTION("GOOGLETRANSLATE($A170,""en"",""es"")"),"Islas Marianas del Norte")</f>
        <v>Islas Marianas del Norte</v>
      </c>
      <c r="F170" s="9" t="str">
        <f>IFERROR(__xludf.DUMMYFUNCTION("GOOGLETRANSLATE($A170,""en"",""it"")"),"Isole Marianne Settentrionali")</f>
        <v>Isole Marianne Settentrionali</v>
      </c>
      <c r="G170" s="9" t="str">
        <f>IFERROR(__xludf.DUMMYFUNCTION("GOOGLETRANSLATE($A170,""en"",""zh-cn"")"),"北马里亚纳群岛")</f>
        <v>北马里亚纳群岛</v>
      </c>
      <c r="H170" s="9" t="str">
        <f>IFERROR(__xludf.DUMMYFUNCTION("GOOGLETRANSLATE($A170,""en"",""ja"")"),"北マリアナ諸島")</f>
        <v>北マリアナ諸島</v>
      </c>
      <c r="I170" s="9" t="str">
        <f>IFERROR(__xludf.DUMMYFUNCTION("GOOGLETRANSLATE($A170,""en"",""ko"")"),"북마리아나 제도")</f>
        <v>북마리아나 제도</v>
      </c>
      <c r="J170" s="9" t="str">
        <f>IFERROR(__xludf.DUMMYFUNCTION("GOOGLETRANSLATE($A170,""en"",""pt-BR"")"),"Ilhas Marianas do Norte")</f>
        <v>Ilhas Marianas do Norte</v>
      </c>
    </row>
    <row r="171">
      <c r="A171" s="9" t="str">
        <f>IFERROR(__xludf.DUMMYFUNCTION("""COMPUTED_VALUE"""),"Norway")</f>
        <v>Norway</v>
      </c>
      <c r="B171" s="9" t="str">
        <f>IFERROR(__xludf.DUMMYFUNCTION("""COMPUTED_VALUE"""),"no")</f>
        <v>no</v>
      </c>
      <c r="C171" s="9" t="str">
        <f>IFERROR(__xludf.DUMMYFUNCTION("GOOGLETRANSLATE($A171,""en"",""de"")"),"Norwegen")</f>
        <v>Norwegen</v>
      </c>
      <c r="D171" s="9" t="str">
        <f>IFERROR(__xludf.DUMMYFUNCTION("GOOGLETRANSLATE($A171,""en"",""fr"")"),"Norvège")</f>
        <v>Norvège</v>
      </c>
      <c r="E171" s="9" t="str">
        <f>IFERROR(__xludf.DUMMYFUNCTION("GOOGLETRANSLATE($A171,""en"",""es"")"),"Noruega")</f>
        <v>Noruega</v>
      </c>
      <c r="F171" s="9" t="str">
        <f>IFERROR(__xludf.DUMMYFUNCTION("GOOGLETRANSLATE($A171,""en"",""it"")"),"Norvegia")</f>
        <v>Norvegia</v>
      </c>
      <c r="G171" s="9" t="str">
        <f>IFERROR(__xludf.DUMMYFUNCTION("GOOGLETRANSLATE($A171,""en"",""zh-cn"")"),"挪威")</f>
        <v>挪威</v>
      </c>
      <c r="H171" s="9" t="str">
        <f>IFERROR(__xludf.DUMMYFUNCTION("GOOGLETRANSLATE($A171,""en"",""ja"")"),"ノルウェー")</f>
        <v>ノルウェー</v>
      </c>
      <c r="I171" s="9" t="str">
        <f>IFERROR(__xludf.DUMMYFUNCTION("GOOGLETRANSLATE($A171,""en"",""ko"")"),"노르웨이")</f>
        <v>노르웨이</v>
      </c>
      <c r="J171" s="9" t="str">
        <f>IFERROR(__xludf.DUMMYFUNCTION("GOOGLETRANSLATE($A171,""en"",""pt-BR"")"),"Noruega")</f>
        <v>Noruega</v>
      </c>
    </row>
    <row r="172">
      <c r="A172" s="9" t="str">
        <f>IFERROR(__xludf.DUMMYFUNCTION("""COMPUTED_VALUE"""),"Oman")</f>
        <v>Oman</v>
      </c>
      <c r="B172" s="9" t="str">
        <f>IFERROR(__xludf.DUMMYFUNCTION("""COMPUTED_VALUE"""),"om")</f>
        <v>om</v>
      </c>
      <c r="C172" s="9" t="str">
        <f>IFERROR(__xludf.DUMMYFUNCTION("GOOGLETRANSLATE($A172,""en"",""de"")"),"Oman")</f>
        <v>Oman</v>
      </c>
      <c r="D172" s="9" t="str">
        <f>IFERROR(__xludf.DUMMYFUNCTION("GOOGLETRANSLATE($A172,""en"",""fr"")"),"Oman")</f>
        <v>Oman</v>
      </c>
      <c r="E172" s="9" t="str">
        <f>IFERROR(__xludf.DUMMYFUNCTION("GOOGLETRANSLATE($A172,""en"",""es"")"),"Omán")</f>
        <v>Omán</v>
      </c>
      <c r="F172" s="9" t="str">
        <f>IFERROR(__xludf.DUMMYFUNCTION("GOOGLETRANSLATE($A172,""en"",""it"")"),"Oman")</f>
        <v>Oman</v>
      </c>
      <c r="G172" s="9" t="str">
        <f>IFERROR(__xludf.DUMMYFUNCTION("GOOGLETRANSLATE($A172,""en"",""zh-cn"")"),"阿曼")</f>
        <v>阿曼</v>
      </c>
      <c r="H172" s="9" t="str">
        <f>IFERROR(__xludf.DUMMYFUNCTION("GOOGLETRANSLATE($A172,""en"",""ja"")"),"オマーン")</f>
        <v>オマーン</v>
      </c>
      <c r="I172" s="9" t="str">
        <f>IFERROR(__xludf.DUMMYFUNCTION("GOOGLETRANSLATE($A172,""en"",""ko"")"),"오만")</f>
        <v>오만</v>
      </c>
      <c r="J172" s="9" t="str">
        <f>IFERROR(__xludf.DUMMYFUNCTION("GOOGLETRANSLATE($A172,""en"",""pt-BR"")"),"Omã")</f>
        <v>Omã</v>
      </c>
    </row>
    <row r="173">
      <c r="A173" s="9" t="str">
        <f>IFERROR(__xludf.DUMMYFUNCTION("""COMPUTED_VALUE"""),"Pakistan")</f>
        <v>Pakistan</v>
      </c>
      <c r="B173" s="9" t="str">
        <f>IFERROR(__xludf.DUMMYFUNCTION("""COMPUTED_VALUE"""),"pk")</f>
        <v>pk</v>
      </c>
      <c r="C173" s="9" t="str">
        <f>IFERROR(__xludf.DUMMYFUNCTION("GOOGLETRANSLATE($A173,""en"",""de"")"),"Pakistan")</f>
        <v>Pakistan</v>
      </c>
      <c r="D173" s="9" t="str">
        <f>IFERROR(__xludf.DUMMYFUNCTION("GOOGLETRANSLATE($A173,""en"",""fr"")"),"Pakistan")</f>
        <v>Pakistan</v>
      </c>
      <c r="E173" s="9" t="str">
        <f>IFERROR(__xludf.DUMMYFUNCTION("GOOGLETRANSLATE($A173,""en"",""es"")"),"Pakistán")</f>
        <v>Pakistán</v>
      </c>
      <c r="F173" s="9" t="str">
        <f>IFERROR(__xludf.DUMMYFUNCTION("GOOGLETRANSLATE($A173,""en"",""it"")"),"Pakistan")</f>
        <v>Pakistan</v>
      </c>
      <c r="G173" s="9" t="str">
        <f>IFERROR(__xludf.DUMMYFUNCTION("GOOGLETRANSLATE($A173,""en"",""zh-cn"")"),"巴基斯坦")</f>
        <v>巴基斯坦</v>
      </c>
      <c r="H173" s="9" t="str">
        <f>IFERROR(__xludf.DUMMYFUNCTION("GOOGLETRANSLATE($A173,""en"",""ja"")"),"パキスタン")</f>
        <v>パキスタン</v>
      </c>
      <c r="I173" s="9" t="str">
        <f>IFERROR(__xludf.DUMMYFUNCTION("GOOGLETRANSLATE($A173,""en"",""ko"")"),"파키스탄")</f>
        <v>파키스탄</v>
      </c>
      <c r="J173" s="9" t="str">
        <f>IFERROR(__xludf.DUMMYFUNCTION("GOOGLETRANSLATE($A173,""en"",""pt-BR"")"),"Paquistão")</f>
        <v>Paquistão</v>
      </c>
    </row>
    <row r="174">
      <c r="A174" s="9" t="str">
        <f>IFERROR(__xludf.DUMMYFUNCTION("""COMPUTED_VALUE"""),"Palau")</f>
        <v>Palau</v>
      </c>
      <c r="B174" s="9" t="str">
        <f>IFERROR(__xludf.DUMMYFUNCTION("""COMPUTED_VALUE"""),"pw")</f>
        <v>pw</v>
      </c>
      <c r="C174" s="9" t="str">
        <f>IFERROR(__xludf.DUMMYFUNCTION("GOOGLETRANSLATE($A174,""en"",""de"")"),"Palau")</f>
        <v>Palau</v>
      </c>
      <c r="D174" s="9" t="str">
        <f>IFERROR(__xludf.DUMMYFUNCTION("GOOGLETRANSLATE($A174,""en"",""fr"")"),"Palaos")</f>
        <v>Palaos</v>
      </c>
      <c r="E174" s="9" t="str">
        <f>IFERROR(__xludf.DUMMYFUNCTION("GOOGLETRANSLATE($A174,""en"",""es"")"),"Palaos")</f>
        <v>Palaos</v>
      </c>
      <c r="F174" s="9" t="str">
        <f>IFERROR(__xludf.DUMMYFUNCTION("GOOGLETRANSLATE($A174,""en"",""it"")"),"Palau")</f>
        <v>Palau</v>
      </c>
      <c r="G174" s="9" t="str">
        <f>IFERROR(__xludf.DUMMYFUNCTION("GOOGLETRANSLATE($A174,""en"",""zh-cn"")"),"帕劳")</f>
        <v>帕劳</v>
      </c>
      <c r="H174" s="9" t="str">
        <f>IFERROR(__xludf.DUMMYFUNCTION("GOOGLETRANSLATE($A174,""en"",""ja"")"),"パラオ")</f>
        <v>パラオ</v>
      </c>
      <c r="I174" s="9" t="str">
        <f>IFERROR(__xludf.DUMMYFUNCTION("GOOGLETRANSLATE($A174,""en"",""ko"")"),"팔라우")</f>
        <v>팔라우</v>
      </c>
      <c r="J174" s="9" t="str">
        <f>IFERROR(__xludf.DUMMYFUNCTION("GOOGLETRANSLATE($A174,""en"",""pt-BR"")"),"Palau")</f>
        <v>Palau</v>
      </c>
    </row>
    <row r="175">
      <c r="A175" s="9" t="str">
        <f>IFERROR(__xludf.DUMMYFUNCTION("""COMPUTED_VALUE"""),"Palestine, State of")</f>
        <v>Palestine, State of</v>
      </c>
      <c r="B175" s="9" t="str">
        <f>IFERROR(__xludf.DUMMYFUNCTION("""COMPUTED_VALUE"""),"ps")</f>
        <v>ps</v>
      </c>
      <c r="C175" s="9" t="str">
        <f>IFERROR(__xludf.DUMMYFUNCTION("GOOGLETRANSLATE($A175,""en"",""de"")"),"Palästina, Bundesstaat")</f>
        <v>Palästina, Bundesstaat</v>
      </c>
      <c r="D175" s="9" t="str">
        <f>IFERROR(__xludf.DUMMYFUNCTION("GOOGLETRANSLATE($A175,""en"",""fr"")"),"Palestine, État de")</f>
        <v>Palestine, État de</v>
      </c>
      <c r="E175" s="9" t="str">
        <f>IFERROR(__xludf.DUMMYFUNCTION("GOOGLETRANSLATE($A175,""en"",""es"")"),"Palestina, Estado de")</f>
        <v>Palestina, Estado de</v>
      </c>
      <c r="F175" s="9" t="str">
        <f>IFERROR(__xludf.DUMMYFUNCTION("GOOGLETRANSLATE($A175,""en"",""it"")"),"Palestina, Stato di")</f>
        <v>Palestina, Stato di</v>
      </c>
      <c r="G175" s="9" t="str">
        <f>IFERROR(__xludf.DUMMYFUNCTION("GOOGLETRANSLATE($A175,""en"",""zh-cn"")"),"巴勒斯坦国")</f>
        <v>巴勒斯坦国</v>
      </c>
      <c r="H175" s="9" t="str">
        <f>IFERROR(__xludf.DUMMYFUNCTION("GOOGLETRANSLATE($A175,""en"",""ja"")"),"パレスチナ州")</f>
        <v>パレスチナ州</v>
      </c>
      <c r="I175" s="9" t="str">
        <f>IFERROR(__xludf.DUMMYFUNCTION("GOOGLETRANSLATE($A175,""en"",""ko"")"),"팔레스타인")</f>
        <v>팔레스타인</v>
      </c>
      <c r="J175" s="9" t="str">
        <f>IFERROR(__xludf.DUMMYFUNCTION("GOOGLETRANSLATE($A175,""en"",""pt-BR"")"),"Palestina, Estado de")</f>
        <v>Palestina, Estado de</v>
      </c>
    </row>
    <row r="176">
      <c r="A176" s="9" t="str">
        <f>IFERROR(__xludf.DUMMYFUNCTION("""COMPUTED_VALUE"""),"Panama")</f>
        <v>Panama</v>
      </c>
      <c r="B176" s="9" t="str">
        <f>IFERROR(__xludf.DUMMYFUNCTION("""COMPUTED_VALUE"""),"pa")</f>
        <v>pa</v>
      </c>
      <c r="C176" s="9" t="str">
        <f>IFERROR(__xludf.DUMMYFUNCTION("GOOGLETRANSLATE($A176,""en"",""de"")"),"Panama")</f>
        <v>Panama</v>
      </c>
      <c r="D176" s="9" t="str">
        <f>IFERROR(__xludf.DUMMYFUNCTION("GOOGLETRANSLATE($A176,""en"",""fr"")"),"Panama")</f>
        <v>Panama</v>
      </c>
      <c r="E176" s="9" t="str">
        <f>IFERROR(__xludf.DUMMYFUNCTION("GOOGLETRANSLATE($A176,""en"",""es"")"),"Panamá")</f>
        <v>Panamá</v>
      </c>
      <c r="F176" s="9" t="str">
        <f>IFERROR(__xludf.DUMMYFUNCTION("GOOGLETRANSLATE($A176,""en"",""it"")"),"Panama")</f>
        <v>Panama</v>
      </c>
      <c r="G176" s="9" t="str">
        <f>IFERROR(__xludf.DUMMYFUNCTION("GOOGLETRANSLATE($A176,""en"",""zh-cn"")"),"巴拿马")</f>
        <v>巴拿马</v>
      </c>
      <c r="H176" s="9" t="str">
        <f>IFERROR(__xludf.DUMMYFUNCTION("GOOGLETRANSLATE($A176,""en"",""ja"")"),"パナマ")</f>
        <v>パナマ</v>
      </c>
      <c r="I176" s="9" t="str">
        <f>IFERROR(__xludf.DUMMYFUNCTION("GOOGLETRANSLATE($A176,""en"",""ko"")"),"파나마")</f>
        <v>파나마</v>
      </c>
      <c r="J176" s="9" t="str">
        <f>IFERROR(__xludf.DUMMYFUNCTION("GOOGLETRANSLATE($A176,""en"",""pt-BR"")"),"Panamá")</f>
        <v>Panamá</v>
      </c>
    </row>
    <row r="177">
      <c r="A177" s="9" t="str">
        <f>IFERROR(__xludf.DUMMYFUNCTION("""COMPUTED_VALUE"""),"Papua New Guinea")</f>
        <v>Papua New Guinea</v>
      </c>
      <c r="B177" s="9" t="str">
        <f>IFERROR(__xludf.DUMMYFUNCTION("""COMPUTED_VALUE"""),"pg")</f>
        <v>pg</v>
      </c>
      <c r="C177" s="9" t="str">
        <f>IFERROR(__xludf.DUMMYFUNCTION("GOOGLETRANSLATE($A177,""en"",""de"")"),"Papua-Neuguinea")</f>
        <v>Papua-Neuguinea</v>
      </c>
      <c r="D177" s="9" t="str">
        <f>IFERROR(__xludf.DUMMYFUNCTION("GOOGLETRANSLATE($A177,""en"",""fr"")"),"Papouasie-Nouvelle-Guinée")</f>
        <v>Papouasie-Nouvelle-Guinée</v>
      </c>
      <c r="E177" s="9" t="str">
        <f>IFERROR(__xludf.DUMMYFUNCTION("GOOGLETRANSLATE($A177,""en"",""es"")"),"Papúa Nueva Guinea")</f>
        <v>Papúa Nueva Guinea</v>
      </c>
      <c r="F177" s="9" t="str">
        <f>IFERROR(__xludf.DUMMYFUNCTION("GOOGLETRANSLATE($A177,""en"",""it"")"),"Papua Nuova Guinea")</f>
        <v>Papua Nuova Guinea</v>
      </c>
      <c r="G177" s="9" t="str">
        <f>IFERROR(__xludf.DUMMYFUNCTION("GOOGLETRANSLATE($A177,""en"",""zh-cn"")"),"巴布亚新几内亚")</f>
        <v>巴布亚新几内亚</v>
      </c>
      <c r="H177" s="9" t="str">
        <f>IFERROR(__xludf.DUMMYFUNCTION("GOOGLETRANSLATE($A177,""en"",""ja"")"),"パプアニューギニア")</f>
        <v>パプアニューギニア</v>
      </c>
      <c r="I177" s="9" t="str">
        <f>IFERROR(__xludf.DUMMYFUNCTION("GOOGLETRANSLATE($A177,""en"",""ko"")"),"파푸아뉴기니")</f>
        <v>파푸아뉴기니</v>
      </c>
      <c r="J177" s="9" t="str">
        <f>IFERROR(__xludf.DUMMYFUNCTION("GOOGLETRANSLATE($A177,""en"",""pt-BR"")"),"Papua Nova Guiné")</f>
        <v>Papua Nova Guiné</v>
      </c>
    </row>
    <row r="178">
      <c r="A178" s="9" t="str">
        <f>IFERROR(__xludf.DUMMYFUNCTION("""COMPUTED_VALUE"""),"Paraguay")</f>
        <v>Paraguay</v>
      </c>
      <c r="B178" s="9" t="str">
        <f>IFERROR(__xludf.DUMMYFUNCTION("""COMPUTED_VALUE"""),"py")</f>
        <v>py</v>
      </c>
      <c r="C178" s="9" t="str">
        <f>IFERROR(__xludf.DUMMYFUNCTION("GOOGLETRANSLATE($A178,""en"",""de"")"),"Paraguay")</f>
        <v>Paraguay</v>
      </c>
      <c r="D178" s="9" t="str">
        <f>IFERROR(__xludf.DUMMYFUNCTION("GOOGLETRANSLATE($A178,""en"",""fr"")"),"Paraguay")</f>
        <v>Paraguay</v>
      </c>
      <c r="E178" s="9" t="str">
        <f>IFERROR(__xludf.DUMMYFUNCTION("GOOGLETRANSLATE($A178,""en"",""es"")"),"Paraguay")</f>
        <v>Paraguay</v>
      </c>
      <c r="F178" s="9" t="str">
        <f>IFERROR(__xludf.DUMMYFUNCTION("GOOGLETRANSLATE($A178,""en"",""it"")"),"Paraguay")</f>
        <v>Paraguay</v>
      </c>
      <c r="G178" s="9" t="str">
        <f>IFERROR(__xludf.DUMMYFUNCTION("GOOGLETRANSLATE($A178,""en"",""zh-cn"")"),"巴拉圭")</f>
        <v>巴拉圭</v>
      </c>
      <c r="H178" s="9" t="str">
        <f>IFERROR(__xludf.DUMMYFUNCTION("GOOGLETRANSLATE($A178,""en"",""ja"")"),"パラグアイ")</f>
        <v>パラグアイ</v>
      </c>
      <c r="I178" s="9" t="str">
        <f>IFERROR(__xludf.DUMMYFUNCTION("GOOGLETRANSLATE($A178,""en"",""ko"")"),"파라과이")</f>
        <v>파라과이</v>
      </c>
      <c r="J178" s="9" t="str">
        <f>IFERROR(__xludf.DUMMYFUNCTION("GOOGLETRANSLATE($A178,""en"",""pt-BR"")"),"Paraguai")</f>
        <v>Paraguai</v>
      </c>
    </row>
    <row r="179">
      <c r="A179" s="9" t="str">
        <f>IFERROR(__xludf.DUMMYFUNCTION("""COMPUTED_VALUE"""),"Peru")</f>
        <v>Peru</v>
      </c>
      <c r="B179" s="9" t="str">
        <f>IFERROR(__xludf.DUMMYFUNCTION("""COMPUTED_VALUE"""),"pe")</f>
        <v>pe</v>
      </c>
      <c r="C179" s="9" t="str">
        <f>IFERROR(__xludf.DUMMYFUNCTION("GOOGLETRANSLATE($A179,""en"",""de"")"),"Peru")</f>
        <v>Peru</v>
      </c>
      <c r="D179" s="9" t="str">
        <f>IFERROR(__xludf.DUMMYFUNCTION("GOOGLETRANSLATE($A179,""en"",""fr"")"),"Pérou")</f>
        <v>Pérou</v>
      </c>
      <c r="E179" s="9" t="str">
        <f>IFERROR(__xludf.DUMMYFUNCTION("GOOGLETRANSLATE($A179,""en"",""es"")"),"Perú")</f>
        <v>Perú</v>
      </c>
      <c r="F179" s="9" t="str">
        <f>IFERROR(__xludf.DUMMYFUNCTION("GOOGLETRANSLATE($A179,""en"",""it"")"),"Perù")</f>
        <v>Perù</v>
      </c>
      <c r="G179" s="9" t="str">
        <f>IFERROR(__xludf.DUMMYFUNCTION("GOOGLETRANSLATE($A179,""en"",""zh-cn"")"),"秘鲁")</f>
        <v>秘鲁</v>
      </c>
      <c r="H179" s="9" t="str">
        <f>IFERROR(__xludf.DUMMYFUNCTION("GOOGLETRANSLATE($A179,""en"",""ja"")"),"ペルー")</f>
        <v>ペルー</v>
      </c>
      <c r="I179" s="9" t="str">
        <f>IFERROR(__xludf.DUMMYFUNCTION("GOOGLETRANSLATE($A179,""en"",""ko"")"),"페루")</f>
        <v>페루</v>
      </c>
      <c r="J179" s="9" t="str">
        <f>IFERROR(__xludf.DUMMYFUNCTION("GOOGLETRANSLATE($A179,""en"",""pt-BR"")"),"Peru")</f>
        <v>Peru</v>
      </c>
    </row>
    <row r="180">
      <c r="A180" s="9" t="str">
        <f>IFERROR(__xludf.DUMMYFUNCTION("""COMPUTED_VALUE"""),"Philippines")</f>
        <v>Philippines</v>
      </c>
      <c r="B180" s="9" t="str">
        <f>IFERROR(__xludf.DUMMYFUNCTION("""COMPUTED_VALUE"""),"ph")</f>
        <v>ph</v>
      </c>
      <c r="C180" s="9" t="str">
        <f>IFERROR(__xludf.DUMMYFUNCTION("GOOGLETRANSLATE($A180,""en"",""de"")"),"Philippinen")</f>
        <v>Philippinen</v>
      </c>
      <c r="D180" s="9" t="str">
        <f>IFERROR(__xludf.DUMMYFUNCTION("GOOGLETRANSLATE($A180,""en"",""fr"")"),"Philippines")</f>
        <v>Philippines</v>
      </c>
      <c r="E180" s="9" t="str">
        <f>IFERROR(__xludf.DUMMYFUNCTION("GOOGLETRANSLATE($A180,""en"",""es"")"),"Filipinas")</f>
        <v>Filipinas</v>
      </c>
      <c r="F180" s="9" t="str">
        <f>IFERROR(__xludf.DUMMYFUNCTION("GOOGLETRANSLATE($A180,""en"",""it"")"),"Filippine")</f>
        <v>Filippine</v>
      </c>
      <c r="G180" s="9" t="str">
        <f>IFERROR(__xludf.DUMMYFUNCTION("GOOGLETRANSLATE($A180,""en"",""zh-cn"")"),"菲律宾")</f>
        <v>菲律宾</v>
      </c>
      <c r="H180" s="9" t="str">
        <f>IFERROR(__xludf.DUMMYFUNCTION("GOOGLETRANSLATE($A180,""en"",""ja"")"),"フィリピン")</f>
        <v>フィリピン</v>
      </c>
      <c r="I180" s="9" t="str">
        <f>IFERROR(__xludf.DUMMYFUNCTION("GOOGLETRANSLATE($A180,""en"",""ko"")"),"필리핀 제도")</f>
        <v>필리핀 제도</v>
      </c>
      <c r="J180" s="9" t="str">
        <f>IFERROR(__xludf.DUMMYFUNCTION("GOOGLETRANSLATE($A180,""en"",""pt-BR"")"),"Filipinas")</f>
        <v>Filipinas</v>
      </c>
    </row>
    <row r="181">
      <c r="A181" s="9" t="str">
        <f>IFERROR(__xludf.DUMMYFUNCTION("""COMPUTED_VALUE"""),"Pitcairn")</f>
        <v>Pitcairn</v>
      </c>
      <c r="B181" s="9" t="str">
        <f>IFERROR(__xludf.DUMMYFUNCTION("""COMPUTED_VALUE"""),"pn")</f>
        <v>pn</v>
      </c>
      <c r="C181" s="9" t="str">
        <f>IFERROR(__xludf.DUMMYFUNCTION("GOOGLETRANSLATE($A181,""en"",""de"")"),"Pitcairn")</f>
        <v>Pitcairn</v>
      </c>
      <c r="D181" s="9" t="str">
        <f>IFERROR(__xludf.DUMMYFUNCTION("GOOGLETRANSLATE($A181,""en"",""fr"")"),"Pitcairn")</f>
        <v>Pitcairn</v>
      </c>
      <c r="E181" s="9" t="str">
        <f>IFERROR(__xludf.DUMMYFUNCTION("GOOGLETRANSLATE($A181,""en"",""es"")"),"Pitcairn")</f>
        <v>Pitcairn</v>
      </c>
      <c r="F181" s="9" t="str">
        <f>IFERROR(__xludf.DUMMYFUNCTION("GOOGLETRANSLATE($A181,""en"",""it"")"),"Pitcairn")</f>
        <v>Pitcairn</v>
      </c>
      <c r="G181" s="9" t="str">
        <f>IFERROR(__xludf.DUMMYFUNCTION("GOOGLETRANSLATE($A181,""en"",""zh-cn"")"),"皮特凯恩")</f>
        <v>皮特凯恩</v>
      </c>
      <c r="H181" s="9" t="str">
        <f>IFERROR(__xludf.DUMMYFUNCTION("GOOGLETRANSLATE($A181,""en"",""ja"")"),"ピトケアン")</f>
        <v>ピトケアン</v>
      </c>
      <c r="I181" s="9" t="str">
        <f>IFERROR(__xludf.DUMMYFUNCTION("GOOGLETRANSLATE($A181,""en"",""ko"")"),"핏케언")</f>
        <v>핏케언</v>
      </c>
      <c r="J181" s="9" t="str">
        <f>IFERROR(__xludf.DUMMYFUNCTION("GOOGLETRANSLATE($A181,""en"",""pt-BR"")"),"Pitcairn")</f>
        <v>Pitcairn</v>
      </c>
    </row>
    <row r="182">
      <c r="A182" s="9" t="str">
        <f>IFERROR(__xludf.DUMMYFUNCTION("""COMPUTED_VALUE"""),"Poland")</f>
        <v>Poland</v>
      </c>
      <c r="B182" s="9" t="str">
        <f>IFERROR(__xludf.DUMMYFUNCTION("""COMPUTED_VALUE"""),"pl")</f>
        <v>pl</v>
      </c>
      <c r="C182" s="9" t="str">
        <f>IFERROR(__xludf.DUMMYFUNCTION("GOOGLETRANSLATE($A182,""en"",""de"")"),"Polen")</f>
        <v>Polen</v>
      </c>
      <c r="D182" s="9" t="str">
        <f>IFERROR(__xludf.DUMMYFUNCTION("GOOGLETRANSLATE($A182,""en"",""fr"")"),"Pologne")</f>
        <v>Pologne</v>
      </c>
      <c r="E182" s="9" t="str">
        <f>IFERROR(__xludf.DUMMYFUNCTION("GOOGLETRANSLATE($A182,""en"",""es"")"),"Polonia")</f>
        <v>Polonia</v>
      </c>
      <c r="F182" s="9" t="str">
        <f>IFERROR(__xludf.DUMMYFUNCTION("GOOGLETRANSLATE($A182,""en"",""it"")"),"Polonia")</f>
        <v>Polonia</v>
      </c>
      <c r="G182" s="9" t="str">
        <f>IFERROR(__xludf.DUMMYFUNCTION("GOOGLETRANSLATE($A182,""en"",""zh-cn"")"),"波兰")</f>
        <v>波兰</v>
      </c>
      <c r="H182" s="9" t="str">
        <f>IFERROR(__xludf.DUMMYFUNCTION("GOOGLETRANSLATE($A182,""en"",""ja"")"),"ポーランド")</f>
        <v>ポーランド</v>
      </c>
      <c r="I182" s="9" t="str">
        <f>IFERROR(__xludf.DUMMYFUNCTION("GOOGLETRANSLATE($A182,""en"",""ko"")"),"폴란드")</f>
        <v>폴란드</v>
      </c>
      <c r="J182" s="9" t="str">
        <f>IFERROR(__xludf.DUMMYFUNCTION("GOOGLETRANSLATE($A182,""en"",""pt-BR"")"),"Polônia")</f>
        <v>Polônia</v>
      </c>
    </row>
    <row r="183">
      <c r="A183" s="9" t="str">
        <f>IFERROR(__xludf.DUMMYFUNCTION("""COMPUTED_VALUE"""),"Portugal")</f>
        <v>Portugal</v>
      </c>
      <c r="B183" s="9" t="str">
        <f>IFERROR(__xludf.DUMMYFUNCTION("""COMPUTED_VALUE"""),"pt")</f>
        <v>pt</v>
      </c>
      <c r="C183" s="9" t="str">
        <f>IFERROR(__xludf.DUMMYFUNCTION("GOOGLETRANSLATE($A183,""en"",""de"")"),"Portugal")</f>
        <v>Portugal</v>
      </c>
      <c r="D183" s="9" t="str">
        <f>IFERROR(__xludf.DUMMYFUNCTION("GOOGLETRANSLATE($A183,""en"",""fr"")"),"Portugal")</f>
        <v>Portugal</v>
      </c>
      <c r="E183" s="9" t="str">
        <f>IFERROR(__xludf.DUMMYFUNCTION("GOOGLETRANSLATE($A183,""en"",""es"")"),"Portugal")</f>
        <v>Portugal</v>
      </c>
      <c r="F183" s="9" t="str">
        <f>IFERROR(__xludf.DUMMYFUNCTION("GOOGLETRANSLATE($A183,""en"",""it"")"),"Portogallo")</f>
        <v>Portogallo</v>
      </c>
      <c r="G183" s="9" t="str">
        <f>IFERROR(__xludf.DUMMYFUNCTION("GOOGLETRANSLATE($A183,""en"",""zh-cn"")"),"葡萄牙")</f>
        <v>葡萄牙</v>
      </c>
      <c r="H183" s="9" t="str">
        <f>IFERROR(__xludf.DUMMYFUNCTION("GOOGLETRANSLATE($A183,""en"",""ja"")"),"ポルトガル")</f>
        <v>ポルトガル</v>
      </c>
      <c r="I183" s="9" t="str">
        <f>IFERROR(__xludf.DUMMYFUNCTION("GOOGLETRANSLATE($A183,""en"",""ko"")"),"포르투갈")</f>
        <v>포르투갈</v>
      </c>
      <c r="J183" s="9" t="str">
        <f>IFERROR(__xludf.DUMMYFUNCTION("GOOGLETRANSLATE($A183,""en"",""pt-BR"")"),"Portugal")</f>
        <v>Portugal</v>
      </c>
    </row>
    <row r="184">
      <c r="A184" s="9" t="str">
        <f>IFERROR(__xludf.DUMMYFUNCTION("""COMPUTED_VALUE"""),"Puerto Rico")</f>
        <v>Puerto Rico</v>
      </c>
      <c r="B184" s="9" t="str">
        <f>IFERROR(__xludf.DUMMYFUNCTION("""COMPUTED_VALUE"""),"pr")</f>
        <v>pr</v>
      </c>
      <c r="C184" s="9" t="str">
        <f>IFERROR(__xludf.DUMMYFUNCTION("GOOGLETRANSLATE($A184,""en"",""de"")"),"Puerto Rico")</f>
        <v>Puerto Rico</v>
      </c>
      <c r="D184" s="9" t="str">
        <f>IFERROR(__xludf.DUMMYFUNCTION("GOOGLETRANSLATE($A184,""en"",""fr"")"),"Porto Rico")</f>
        <v>Porto Rico</v>
      </c>
      <c r="E184" s="9" t="str">
        <f>IFERROR(__xludf.DUMMYFUNCTION("GOOGLETRANSLATE($A184,""en"",""es"")"),"Puerto Rico")</f>
        <v>Puerto Rico</v>
      </c>
      <c r="F184" s="9" t="str">
        <f>IFERROR(__xludf.DUMMYFUNCTION("GOOGLETRANSLATE($A184,""en"",""it"")"),"Porto Rico")</f>
        <v>Porto Rico</v>
      </c>
      <c r="G184" s="9" t="str">
        <f>IFERROR(__xludf.DUMMYFUNCTION("GOOGLETRANSLATE($A184,""en"",""zh-cn"")"),"波多黎各")</f>
        <v>波多黎各</v>
      </c>
      <c r="H184" s="9" t="str">
        <f>IFERROR(__xludf.DUMMYFUNCTION("GOOGLETRANSLATE($A184,""en"",""ja"")"),"プエルトリコ")</f>
        <v>プエルトリコ</v>
      </c>
      <c r="I184" s="9" t="str">
        <f>IFERROR(__xludf.DUMMYFUNCTION("GOOGLETRANSLATE($A184,""en"",""ko"")"),"푸에르토리코")</f>
        <v>푸에르토리코</v>
      </c>
      <c r="J184" s="9" t="str">
        <f>IFERROR(__xludf.DUMMYFUNCTION("GOOGLETRANSLATE($A184,""en"",""pt-BR"")"),"Porto Rico")</f>
        <v>Porto Rico</v>
      </c>
    </row>
    <row r="185">
      <c r="A185" s="9" t="str">
        <f>IFERROR(__xludf.DUMMYFUNCTION("""COMPUTED_VALUE"""),"Qatar")</f>
        <v>Qatar</v>
      </c>
      <c r="B185" s="9" t="str">
        <f>IFERROR(__xludf.DUMMYFUNCTION("""COMPUTED_VALUE"""),"qa")</f>
        <v>qa</v>
      </c>
      <c r="C185" s="9" t="str">
        <f>IFERROR(__xludf.DUMMYFUNCTION("GOOGLETRANSLATE($A185,""en"",""de"")"),"Katar")</f>
        <v>Katar</v>
      </c>
      <c r="D185" s="9" t="str">
        <f>IFERROR(__xludf.DUMMYFUNCTION("GOOGLETRANSLATE($A185,""en"",""fr"")"),"Qatar")</f>
        <v>Qatar</v>
      </c>
      <c r="E185" s="9" t="str">
        <f>IFERROR(__xludf.DUMMYFUNCTION("GOOGLETRANSLATE($A185,""en"",""es"")"),"Katar")</f>
        <v>Katar</v>
      </c>
      <c r="F185" s="9" t="str">
        <f>IFERROR(__xludf.DUMMYFUNCTION("GOOGLETRANSLATE($A185,""en"",""it"")"),"Qatar")</f>
        <v>Qatar</v>
      </c>
      <c r="G185" s="9" t="str">
        <f>IFERROR(__xludf.DUMMYFUNCTION("GOOGLETRANSLATE($A185,""en"",""zh-cn"")"),"卡塔尔")</f>
        <v>卡塔尔</v>
      </c>
      <c r="H185" s="9" t="str">
        <f>IFERROR(__xludf.DUMMYFUNCTION("GOOGLETRANSLATE($A185,""en"",""ja"")"),"カタール")</f>
        <v>カタール</v>
      </c>
      <c r="I185" s="9" t="str">
        <f>IFERROR(__xludf.DUMMYFUNCTION("GOOGLETRANSLATE($A185,""en"",""ko"")"),"카타르")</f>
        <v>카타르</v>
      </c>
      <c r="J185" s="9" t="str">
        <f>IFERROR(__xludf.DUMMYFUNCTION("GOOGLETRANSLATE($A185,""en"",""pt-BR"")"),"Catar")</f>
        <v>Catar</v>
      </c>
    </row>
    <row r="186">
      <c r="A186" s="9" t="str">
        <f>IFERROR(__xludf.DUMMYFUNCTION("""COMPUTED_VALUE"""),"Réunion")</f>
        <v>Réunion</v>
      </c>
      <c r="B186" s="9" t="str">
        <f>IFERROR(__xludf.DUMMYFUNCTION("""COMPUTED_VALUE"""),"re")</f>
        <v>re</v>
      </c>
      <c r="C186" s="9" t="str">
        <f>IFERROR(__xludf.DUMMYFUNCTION("GOOGLETRANSLATE($A186,""en"",""de"")"),"Wiedervereinigung")</f>
        <v>Wiedervereinigung</v>
      </c>
      <c r="D186" s="9" t="str">
        <f>IFERROR(__xludf.DUMMYFUNCTION("GOOGLETRANSLATE($A186,""en"",""fr"")"),"Réunion")</f>
        <v>Réunion</v>
      </c>
      <c r="E186" s="9" t="str">
        <f>IFERROR(__xludf.DUMMYFUNCTION("GOOGLETRANSLATE($A186,""en"",""es"")"),"Reunión")</f>
        <v>Reunión</v>
      </c>
      <c r="F186" s="9" t="str">
        <f>IFERROR(__xludf.DUMMYFUNCTION("GOOGLETRANSLATE($A186,""en"",""it"")"),"Riunione")</f>
        <v>Riunione</v>
      </c>
      <c r="G186" s="9" t="str">
        <f>IFERROR(__xludf.DUMMYFUNCTION("GOOGLETRANSLATE($A186,""en"",""zh-cn"")"),"团圆")</f>
        <v>团圆</v>
      </c>
      <c r="H186" s="9" t="str">
        <f>IFERROR(__xludf.DUMMYFUNCTION("GOOGLETRANSLATE($A186,""en"",""ja"")"),"再会")</f>
        <v>再会</v>
      </c>
      <c r="I186" s="9" t="str">
        <f>IFERROR(__xludf.DUMMYFUNCTION("GOOGLETRANSLATE($A186,""en"",""ko"")"),"재결합")</f>
        <v>재결합</v>
      </c>
      <c r="J186" s="9" t="str">
        <f>IFERROR(__xludf.DUMMYFUNCTION("GOOGLETRANSLATE($A186,""en"",""pt-BR"")"),"Reunião")</f>
        <v>Reunião</v>
      </c>
    </row>
    <row r="187">
      <c r="A187" s="9" t="str">
        <f>IFERROR(__xludf.DUMMYFUNCTION("""COMPUTED_VALUE"""),"Romania")</f>
        <v>Romania</v>
      </c>
      <c r="B187" s="9" t="str">
        <f>IFERROR(__xludf.DUMMYFUNCTION("""COMPUTED_VALUE"""),"ro")</f>
        <v>ro</v>
      </c>
      <c r="C187" s="9" t="str">
        <f>IFERROR(__xludf.DUMMYFUNCTION("GOOGLETRANSLATE($A187,""en"",""de"")"),"Rumänien")</f>
        <v>Rumänien</v>
      </c>
      <c r="D187" s="9" t="str">
        <f>IFERROR(__xludf.DUMMYFUNCTION("GOOGLETRANSLATE($A187,""en"",""fr"")"),"Roumanie")</f>
        <v>Roumanie</v>
      </c>
      <c r="E187" s="9" t="str">
        <f>IFERROR(__xludf.DUMMYFUNCTION("GOOGLETRANSLATE($A187,""en"",""es"")"),"Rumania")</f>
        <v>Rumania</v>
      </c>
      <c r="F187" s="9" t="str">
        <f>IFERROR(__xludf.DUMMYFUNCTION("GOOGLETRANSLATE($A187,""en"",""it"")"),"Romania")</f>
        <v>Romania</v>
      </c>
      <c r="G187" s="9" t="str">
        <f>IFERROR(__xludf.DUMMYFUNCTION("GOOGLETRANSLATE($A187,""en"",""zh-cn"")"),"罗马尼亚")</f>
        <v>罗马尼亚</v>
      </c>
      <c r="H187" s="9" t="str">
        <f>IFERROR(__xludf.DUMMYFUNCTION("GOOGLETRANSLATE($A187,""en"",""ja"")"),"ルーマニア")</f>
        <v>ルーマニア</v>
      </c>
      <c r="I187" s="9" t="str">
        <f>IFERROR(__xludf.DUMMYFUNCTION("GOOGLETRANSLATE($A187,""en"",""ko"")"),"루마니아")</f>
        <v>루마니아</v>
      </c>
      <c r="J187" s="9" t="str">
        <f>IFERROR(__xludf.DUMMYFUNCTION("GOOGLETRANSLATE($A187,""en"",""pt-BR"")"),"Romênia")</f>
        <v>Romênia</v>
      </c>
    </row>
    <row r="188">
      <c r="A188" s="9" t="str">
        <f>IFERROR(__xludf.DUMMYFUNCTION("""COMPUTED_VALUE"""),"Russia")</f>
        <v>Russia</v>
      </c>
      <c r="B188" s="9" t="str">
        <f>IFERROR(__xludf.DUMMYFUNCTION("""COMPUTED_VALUE"""),"ru")</f>
        <v>ru</v>
      </c>
      <c r="C188" s="9" t="str">
        <f>IFERROR(__xludf.DUMMYFUNCTION("GOOGLETRANSLATE($A188,""en"",""de"")"),"Russland")</f>
        <v>Russland</v>
      </c>
      <c r="D188" s="9" t="str">
        <f>IFERROR(__xludf.DUMMYFUNCTION("GOOGLETRANSLATE($A188,""en"",""fr"")"),"Russie")</f>
        <v>Russie</v>
      </c>
      <c r="E188" s="9" t="str">
        <f>IFERROR(__xludf.DUMMYFUNCTION("GOOGLETRANSLATE($A188,""en"",""es"")"),"Rusia")</f>
        <v>Rusia</v>
      </c>
      <c r="F188" s="9" t="str">
        <f>IFERROR(__xludf.DUMMYFUNCTION("GOOGLETRANSLATE($A188,""en"",""it"")"),"Russia")</f>
        <v>Russia</v>
      </c>
      <c r="G188" s="9" t="str">
        <f>IFERROR(__xludf.DUMMYFUNCTION("GOOGLETRANSLATE($A188,""en"",""zh-cn"")"),"俄罗斯")</f>
        <v>俄罗斯</v>
      </c>
      <c r="H188" s="9" t="str">
        <f>IFERROR(__xludf.DUMMYFUNCTION("GOOGLETRANSLATE($A188,""en"",""ja"")"),"ロシア")</f>
        <v>ロシア</v>
      </c>
      <c r="I188" s="9" t="str">
        <f>IFERROR(__xludf.DUMMYFUNCTION("GOOGLETRANSLATE($A188,""en"",""ko"")"),"러시아 제국")</f>
        <v>러시아 제국</v>
      </c>
      <c r="J188" s="9" t="str">
        <f>IFERROR(__xludf.DUMMYFUNCTION("GOOGLETRANSLATE($A188,""en"",""pt-BR"")"),"Rússia")</f>
        <v>Rússia</v>
      </c>
    </row>
    <row r="189">
      <c r="A189" s="9" t="str">
        <f>IFERROR(__xludf.DUMMYFUNCTION("""COMPUTED_VALUE"""),"Rwanda")</f>
        <v>Rwanda</v>
      </c>
      <c r="B189" s="9" t="str">
        <f>IFERROR(__xludf.DUMMYFUNCTION("""COMPUTED_VALUE"""),"rw")</f>
        <v>rw</v>
      </c>
      <c r="C189" s="9" t="str">
        <f>IFERROR(__xludf.DUMMYFUNCTION("GOOGLETRANSLATE($A189,""en"",""de"")"),"Ruanda")</f>
        <v>Ruanda</v>
      </c>
      <c r="D189" s="9" t="str">
        <f>IFERROR(__xludf.DUMMYFUNCTION("GOOGLETRANSLATE($A189,""en"",""fr"")"),"Rwanda")</f>
        <v>Rwanda</v>
      </c>
      <c r="E189" s="9" t="str">
        <f>IFERROR(__xludf.DUMMYFUNCTION("GOOGLETRANSLATE($A189,""en"",""es"")"),"Ruanda")</f>
        <v>Ruanda</v>
      </c>
      <c r="F189" s="9" t="str">
        <f>IFERROR(__xludf.DUMMYFUNCTION("GOOGLETRANSLATE($A189,""en"",""it"")"),"Ruanda")</f>
        <v>Ruanda</v>
      </c>
      <c r="G189" s="9" t="str">
        <f>IFERROR(__xludf.DUMMYFUNCTION("GOOGLETRANSLATE($A189,""en"",""zh-cn"")"),"卢旺达")</f>
        <v>卢旺达</v>
      </c>
      <c r="H189" s="9" t="str">
        <f>IFERROR(__xludf.DUMMYFUNCTION("GOOGLETRANSLATE($A189,""en"",""ja"")"),"ルワンダ")</f>
        <v>ルワンダ</v>
      </c>
      <c r="I189" s="9" t="str">
        <f>IFERROR(__xludf.DUMMYFUNCTION("GOOGLETRANSLATE($A189,""en"",""ko"")"),"르완다")</f>
        <v>르완다</v>
      </c>
      <c r="J189" s="9" t="str">
        <f>IFERROR(__xludf.DUMMYFUNCTION("GOOGLETRANSLATE($A189,""en"",""pt-BR"")"),"Ruanda")</f>
        <v>Ruanda</v>
      </c>
    </row>
    <row r="190">
      <c r="A190" s="9" t="str">
        <f>IFERROR(__xludf.DUMMYFUNCTION("""COMPUTED_VALUE"""),"Saint Barthélemy")</f>
        <v>Saint Barthélemy</v>
      </c>
      <c r="B190" s="9" t="str">
        <f>IFERROR(__xludf.DUMMYFUNCTION("""COMPUTED_VALUE"""),"bl")</f>
        <v>bl</v>
      </c>
      <c r="C190" s="9" t="str">
        <f>IFERROR(__xludf.DUMMYFUNCTION("GOOGLETRANSLATE($A190,""en"",""de"")"),"St. Barthélemy")</f>
        <v>St. Barthélemy</v>
      </c>
      <c r="D190" s="9" t="str">
        <f>IFERROR(__xludf.DUMMYFUNCTION("GOOGLETRANSLATE($A190,""en"",""fr"")"),"Saint Barthélemy")</f>
        <v>Saint Barthélemy</v>
      </c>
      <c r="E190" s="9" t="str">
        <f>IFERROR(__xludf.DUMMYFUNCTION("GOOGLETRANSLATE($A190,""en"",""es"")"),"San Bartolomé")</f>
        <v>San Bartolomé</v>
      </c>
      <c r="F190" s="9" t="str">
        <f>IFERROR(__xludf.DUMMYFUNCTION("GOOGLETRANSLATE($A190,""en"",""it"")"),"San Bartolomeo")</f>
        <v>San Bartolomeo</v>
      </c>
      <c r="G190" s="9" t="str">
        <f>IFERROR(__xludf.DUMMYFUNCTION("GOOGLETRANSLATE($A190,""en"",""zh-cn"")"),"圣巴泰勒米岛")</f>
        <v>圣巴泰勒米岛</v>
      </c>
      <c r="H190" s="9" t="str">
        <f>IFERROR(__xludf.DUMMYFUNCTION("GOOGLETRANSLATE($A190,""en"",""ja"")"),"サン・バルテルミー島")</f>
        <v>サン・バルテルミー島</v>
      </c>
      <c r="I190" s="9" t="str">
        <f>IFERROR(__xludf.DUMMYFUNCTION("GOOGLETRANSLATE($A190,""en"",""ko"")"),"생 바르텔레미")</f>
        <v>생 바르텔레미</v>
      </c>
      <c r="J190" s="9" t="str">
        <f>IFERROR(__xludf.DUMMYFUNCTION("GOOGLETRANSLATE($A190,""en"",""pt-BR"")"),"São Bartolomeu")</f>
        <v>São Bartolomeu</v>
      </c>
    </row>
    <row r="191">
      <c r="A191" s="9" t="str">
        <f>IFERROR(__xludf.DUMMYFUNCTION("""COMPUTED_VALUE"""),"Saint Helena, Ascension Island, Tristan da Cunha")</f>
        <v>Saint Helena, Ascension Island, Tristan da Cunha</v>
      </c>
      <c r="B191" s="9" t="str">
        <f>IFERROR(__xludf.DUMMYFUNCTION("""COMPUTED_VALUE"""),"sh")</f>
        <v>sh</v>
      </c>
      <c r="C191" s="9" t="str">
        <f>IFERROR(__xludf.DUMMYFUNCTION("GOOGLETRANSLATE($A191,""en"",""de"")"),"St. Helena, Ascension Island, Tristan da Cunha")</f>
        <v>St. Helena, Ascension Island, Tristan da Cunha</v>
      </c>
      <c r="D191" s="9" t="str">
        <f>IFERROR(__xludf.DUMMYFUNCTION("GOOGLETRANSLATE($A191,""en"",""fr"")"),"Sainte-Hélène, Île de l'Ascension, Tristan da Cunha")</f>
        <v>Sainte-Hélène, Île de l'Ascension, Tristan da Cunha</v>
      </c>
      <c r="E191" s="9" t="str">
        <f>IFERROR(__xludf.DUMMYFUNCTION("GOOGLETRANSLATE($A191,""en"",""es"")"),"Santa Elena, Isla Ascensión, Tristán da Cunha")</f>
        <v>Santa Elena, Isla Ascensión, Tristán da Cunha</v>
      </c>
      <c r="F191" s="9" t="str">
        <f>IFERROR(__xludf.DUMMYFUNCTION("GOOGLETRANSLATE($A191,""en"",""it"")"),"Sant'Elena, Isola dell'Ascensione, Tristan da Cunha")</f>
        <v>Sant'Elena, Isola dell'Ascensione, Tristan da Cunha</v>
      </c>
      <c r="G191" s="9" t="str">
        <f>IFERROR(__xludf.DUMMYFUNCTION("GOOGLETRANSLATE($A191,""en"",""zh-cn"")"),"圣赫勒拿岛, 阿森松岛, 特里斯坦达库尼亚")</f>
        <v>圣赫勒拿岛, 阿森松岛, 特里斯坦达库尼亚</v>
      </c>
      <c r="H191" s="9" t="str">
        <f>IFERROR(__xludf.DUMMYFUNCTION("GOOGLETRANSLATE($A191,""en"",""ja"")"),"セントヘレナ、アセンション島、トリスタン・ダ・クーニャ")</f>
        <v>セントヘレナ、アセンション島、トリスタン・ダ・クーニャ</v>
      </c>
      <c r="I191" s="9" t="str">
        <f>IFERROR(__xludf.DUMMYFUNCTION("GOOGLETRANSLATE($A191,""en"",""ko"")"),"세인트헬레나, 어센션 섬, 트리스탄다쿠냐")</f>
        <v>세인트헬레나, 어센션 섬, 트리스탄다쿠냐</v>
      </c>
      <c r="J191" s="9" t="str">
        <f>IFERROR(__xludf.DUMMYFUNCTION("GOOGLETRANSLATE($A191,""en"",""pt-BR"")"),"Santa Helena, Ilha da Ascensão, Tristão da Cunha")</f>
        <v>Santa Helena, Ilha da Ascensão, Tristão da Cunha</v>
      </c>
    </row>
    <row r="192">
      <c r="A192" s="9" t="str">
        <f>IFERROR(__xludf.DUMMYFUNCTION("""COMPUTED_VALUE"""),"Saint Kitts and Nevis")</f>
        <v>Saint Kitts and Nevis</v>
      </c>
      <c r="B192" s="9" t="str">
        <f>IFERROR(__xludf.DUMMYFUNCTION("""COMPUTED_VALUE"""),"kn")</f>
        <v>kn</v>
      </c>
      <c r="C192" s="9" t="str">
        <f>IFERROR(__xludf.DUMMYFUNCTION("GOOGLETRANSLATE($A192,""en"",""de"")"),"St. Kitts und Nevis")</f>
        <v>St. Kitts und Nevis</v>
      </c>
      <c r="D192" s="9" t="str">
        <f>IFERROR(__xludf.DUMMYFUNCTION("GOOGLETRANSLATE($A192,""en"",""fr"")"),"Saint-Kitts-et-Nevis")</f>
        <v>Saint-Kitts-et-Nevis</v>
      </c>
      <c r="E192" s="9" t="str">
        <f>IFERROR(__xludf.DUMMYFUNCTION("GOOGLETRANSLATE($A192,""en"",""es"")"),"San Cristóbal y Nieves")</f>
        <v>San Cristóbal y Nieves</v>
      </c>
      <c r="F192" s="9" t="str">
        <f>IFERROR(__xludf.DUMMYFUNCTION("GOOGLETRANSLATE($A192,""en"",""it"")"),"Saint Kitts e Nevis")</f>
        <v>Saint Kitts e Nevis</v>
      </c>
      <c r="G192" s="9" t="str">
        <f>IFERROR(__xludf.DUMMYFUNCTION("GOOGLETRANSLATE($A192,""en"",""zh-cn"")"),"圣基茨和尼维斯")</f>
        <v>圣基茨和尼维斯</v>
      </c>
      <c r="H192" s="9" t="str">
        <f>IFERROR(__xludf.DUMMYFUNCTION("GOOGLETRANSLATE($A192,""en"",""ja"")"),"セントクリストファー・ネイビス")</f>
        <v>セントクリストファー・ネイビス</v>
      </c>
      <c r="I192" s="9" t="str">
        <f>IFERROR(__xludf.DUMMYFUNCTION("GOOGLETRANSLATE($A192,""en"",""ko"")"),"세인트키츠네비스")</f>
        <v>세인트키츠네비스</v>
      </c>
      <c r="J192" s="9" t="str">
        <f>IFERROR(__xludf.DUMMYFUNCTION("GOOGLETRANSLATE($A192,""en"",""pt-BR"")"),"São Cristóvão e Nevis")</f>
        <v>São Cristóvão e Nevis</v>
      </c>
    </row>
    <row r="193">
      <c r="A193" s="9" t="str">
        <f>IFERROR(__xludf.DUMMYFUNCTION("""COMPUTED_VALUE"""),"Saint Lucia")</f>
        <v>Saint Lucia</v>
      </c>
      <c r="B193" s="9" t="str">
        <f>IFERROR(__xludf.DUMMYFUNCTION("""COMPUTED_VALUE"""),"lc")</f>
        <v>lc</v>
      </c>
      <c r="C193" s="9" t="str">
        <f>IFERROR(__xludf.DUMMYFUNCTION("GOOGLETRANSLATE($A193,""en"",""de"")"),"St. Lucia")</f>
        <v>St. Lucia</v>
      </c>
      <c r="D193" s="9" t="str">
        <f>IFERROR(__xludf.DUMMYFUNCTION("GOOGLETRANSLATE($A193,""en"",""fr"")"),"Sainte-Lucie")</f>
        <v>Sainte-Lucie</v>
      </c>
      <c r="E193" s="9" t="str">
        <f>IFERROR(__xludf.DUMMYFUNCTION("GOOGLETRANSLATE($A193,""en"",""es"")"),"Santa Lucía")</f>
        <v>Santa Lucía</v>
      </c>
      <c r="F193" s="9" t="str">
        <f>IFERROR(__xludf.DUMMYFUNCTION("GOOGLETRANSLATE($A193,""en"",""it"")"),"Santa Lucia")</f>
        <v>Santa Lucia</v>
      </c>
      <c r="G193" s="9" t="str">
        <f>IFERROR(__xludf.DUMMYFUNCTION("GOOGLETRANSLATE($A193,""en"",""zh-cn"")"),"圣卢西亚")</f>
        <v>圣卢西亚</v>
      </c>
      <c r="H193" s="9" t="str">
        <f>IFERROR(__xludf.DUMMYFUNCTION("GOOGLETRANSLATE($A193,""en"",""ja"")"),"セントルシア")</f>
        <v>セントルシア</v>
      </c>
      <c r="I193" s="9" t="str">
        <f>IFERROR(__xludf.DUMMYFUNCTION("GOOGLETRANSLATE($A193,""en"",""ko"")"),"세인트루시아")</f>
        <v>세인트루시아</v>
      </c>
      <c r="J193" s="9" t="str">
        <f>IFERROR(__xludf.DUMMYFUNCTION("GOOGLETRANSLATE($A193,""en"",""pt-BR"")"),"Santa Lúcia")</f>
        <v>Santa Lúcia</v>
      </c>
    </row>
    <row r="194">
      <c r="A194" s="9" t="str">
        <f>IFERROR(__xludf.DUMMYFUNCTION("""COMPUTED_VALUE"""),"Saint Martin")</f>
        <v>Saint Martin</v>
      </c>
      <c r="B194" s="9" t="str">
        <f>IFERROR(__xludf.DUMMYFUNCTION("""COMPUTED_VALUE"""),"mf")</f>
        <v>mf</v>
      </c>
      <c r="C194" s="9" t="str">
        <f>IFERROR(__xludf.DUMMYFUNCTION("GOOGLETRANSLATE($A194,""en"",""de"")"),"Sankt Martin")</f>
        <v>Sankt Martin</v>
      </c>
      <c r="D194" s="9" t="str">
        <f>IFERROR(__xludf.DUMMYFUNCTION("GOOGLETRANSLATE($A194,""en"",""fr"")"),"Saint-Martin")</f>
        <v>Saint-Martin</v>
      </c>
      <c r="E194" s="9" t="str">
        <f>IFERROR(__xludf.DUMMYFUNCTION("GOOGLETRANSLATE($A194,""en"",""es"")"),"San Martín")</f>
        <v>San Martín</v>
      </c>
      <c r="F194" s="9" t="str">
        <f>IFERROR(__xludf.DUMMYFUNCTION("GOOGLETRANSLATE($A194,""en"",""it"")"),"San Martino")</f>
        <v>San Martino</v>
      </c>
      <c r="G194" s="9" t="str">
        <f>IFERROR(__xludf.DUMMYFUNCTION("GOOGLETRANSLATE($A194,""en"",""zh-cn"")"),"圣马丁岛")</f>
        <v>圣马丁岛</v>
      </c>
      <c r="H194" s="9" t="str">
        <f>IFERROR(__xludf.DUMMYFUNCTION("GOOGLETRANSLATE($A194,""en"",""ja"")"),"セント・マーチン島")</f>
        <v>セント・マーチン島</v>
      </c>
      <c r="I194" s="9" t="str">
        <f>IFERROR(__xludf.DUMMYFUNCTION("GOOGLETRANSLATE($A194,""en"",""ko"")"),"세인트 마틴")</f>
        <v>세인트 마틴</v>
      </c>
      <c r="J194" s="9" t="str">
        <f>IFERROR(__xludf.DUMMYFUNCTION("GOOGLETRANSLATE($A194,""en"",""pt-BR"")"),"São Martinho")</f>
        <v>São Martinho</v>
      </c>
    </row>
    <row r="195">
      <c r="A195" s="9" t="str">
        <f>IFERROR(__xludf.DUMMYFUNCTION("""COMPUTED_VALUE"""),"Saint Pierre and Miquelon")</f>
        <v>Saint Pierre and Miquelon</v>
      </c>
      <c r="B195" s="9" t="str">
        <f>IFERROR(__xludf.DUMMYFUNCTION("""COMPUTED_VALUE"""),"pm")</f>
        <v>pm</v>
      </c>
      <c r="C195" s="9" t="str">
        <f>IFERROR(__xludf.DUMMYFUNCTION("GOOGLETRANSLATE($A195,""en"",""de"")"),"Saint-Pierre und Miquelon")</f>
        <v>Saint-Pierre und Miquelon</v>
      </c>
      <c r="D195" s="9" t="str">
        <f>IFERROR(__xludf.DUMMYFUNCTION("GOOGLETRANSLATE($A195,""en"",""fr"")"),"Saint-Pierre-et-Miquelon")</f>
        <v>Saint-Pierre-et-Miquelon</v>
      </c>
      <c r="E195" s="9" t="str">
        <f>IFERROR(__xludf.DUMMYFUNCTION("GOOGLETRANSLATE($A195,""en"",""es"")"),"San Pedro y Miquelón")</f>
        <v>San Pedro y Miquelón</v>
      </c>
      <c r="F195" s="9" t="str">
        <f>IFERROR(__xludf.DUMMYFUNCTION("GOOGLETRANSLATE($A195,""en"",""it"")"),"Saint Pierre e Miquelon")</f>
        <v>Saint Pierre e Miquelon</v>
      </c>
      <c r="G195" s="9" t="str">
        <f>IFERROR(__xludf.DUMMYFUNCTION("GOOGLETRANSLATE($A195,""en"",""zh-cn"")"),"圣皮埃尔和密克隆群岛")</f>
        <v>圣皮埃尔和密克隆群岛</v>
      </c>
      <c r="H195" s="9" t="str">
        <f>IFERROR(__xludf.DUMMYFUNCTION("GOOGLETRANSLATE($A195,""en"",""ja"")"),"サンピエール島ミクロン島")</f>
        <v>サンピエール島ミクロン島</v>
      </c>
      <c r="I195" s="9" t="str">
        <f>IFERROR(__xludf.DUMMYFUNCTION("GOOGLETRANSLATE($A195,""en"",""ko"")"),"생 피에르 앤 미클롱")</f>
        <v>생 피에르 앤 미클롱</v>
      </c>
      <c r="J195" s="9" t="str">
        <f>IFERROR(__xludf.DUMMYFUNCTION("GOOGLETRANSLATE($A195,""en"",""pt-BR"")"),"São Pedro e Miquelon")</f>
        <v>São Pedro e Miquelon</v>
      </c>
    </row>
    <row r="196">
      <c r="A196" s="9" t="str">
        <f>IFERROR(__xludf.DUMMYFUNCTION("""COMPUTED_VALUE"""),"Saint Vincent and the Grenadines")</f>
        <v>Saint Vincent and the Grenadines</v>
      </c>
      <c r="B196" s="9" t="str">
        <f>IFERROR(__xludf.DUMMYFUNCTION("""COMPUTED_VALUE"""),"vc")</f>
        <v>vc</v>
      </c>
      <c r="C196" s="9" t="str">
        <f>IFERROR(__xludf.DUMMYFUNCTION("GOOGLETRANSLATE($A196,""en"",""de"")"),"St. Vincent und die Grenadinen")</f>
        <v>St. Vincent und die Grenadinen</v>
      </c>
      <c r="D196" s="9" t="str">
        <f>IFERROR(__xludf.DUMMYFUNCTION("GOOGLETRANSLATE($A196,""en"",""fr"")"),"Saint-Vincent-et-les Grenadines")</f>
        <v>Saint-Vincent-et-les Grenadines</v>
      </c>
      <c r="E196" s="9" t="str">
        <f>IFERROR(__xludf.DUMMYFUNCTION("GOOGLETRANSLATE($A196,""en"",""es"")"),"San Vicente y las Granadinas")</f>
        <v>San Vicente y las Granadinas</v>
      </c>
      <c r="F196" s="9" t="str">
        <f>IFERROR(__xludf.DUMMYFUNCTION("GOOGLETRANSLATE($A196,""en"",""it"")"),"Saint Vincent e Grenadine")</f>
        <v>Saint Vincent e Grenadine</v>
      </c>
      <c r="G196" s="9" t="str">
        <f>IFERROR(__xludf.DUMMYFUNCTION("GOOGLETRANSLATE($A196,""en"",""zh-cn"")"),"圣文森特和格林纳丁斯")</f>
        <v>圣文森特和格林纳丁斯</v>
      </c>
      <c r="H196" s="9" t="str">
        <f>IFERROR(__xludf.DUMMYFUNCTION("GOOGLETRANSLATE($A196,""en"",""ja"")"),"セントビンセントおよびグレナディーン諸島")</f>
        <v>セントビンセントおよびグレナディーン諸島</v>
      </c>
      <c r="I196" s="9" t="str">
        <f>IFERROR(__xludf.DUMMYFUNCTION("GOOGLETRANSLATE($A196,""en"",""ko"")"),"세인트 빈센트 그레나딘")</f>
        <v>세인트 빈센트 그레나딘</v>
      </c>
      <c r="J196" s="9" t="str">
        <f>IFERROR(__xludf.DUMMYFUNCTION("GOOGLETRANSLATE($A196,""en"",""pt-BR"")"),"São Vicente e Granadinas")</f>
        <v>São Vicente e Granadinas</v>
      </c>
    </row>
    <row r="197">
      <c r="A197" s="9" t="str">
        <f>IFERROR(__xludf.DUMMYFUNCTION("""COMPUTED_VALUE"""),"Samoa")</f>
        <v>Samoa</v>
      </c>
      <c r="B197" s="9" t="str">
        <f>IFERROR(__xludf.DUMMYFUNCTION("""COMPUTED_VALUE"""),"ws")</f>
        <v>ws</v>
      </c>
      <c r="C197" s="9" t="str">
        <f>IFERROR(__xludf.DUMMYFUNCTION("GOOGLETRANSLATE($A197,""en"",""de"")"),"Samoa")</f>
        <v>Samoa</v>
      </c>
      <c r="D197" s="9" t="str">
        <f>IFERROR(__xludf.DUMMYFUNCTION("GOOGLETRANSLATE($A197,""en"",""fr"")"),"Samoa")</f>
        <v>Samoa</v>
      </c>
      <c r="E197" s="9" t="str">
        <f>IFERROR(__xludf.DUMMYFUNCTION("GOOGLETRANSLATE($A197,""en"",""es"")"),"Samoa")</f>
        <v>Samoa</v>
      </c>
      <c r="F197" s="9" t="str">
        <f>IFERROR(__xludf.DUMMYFUNCTION("GOOGLETRANSLATE($A197,""en"",""it"")"),"Samoa")</f>
        <v>Samoa</v>
      </c>
      <c r="G197" s="9" t="str">
        <f>IFERROR(__xludf.DUMMYFUNCTION("GOOGLETRANSLATE($A197,""en"",""zh-cn"")"),"萨摩亚")</f>
        <v>萨摩亚</v>
      </c>
      <c r="H197" s="9" t="str">
        <f>IFERROR(__xludf.DUMMYFUNCTION("GOOGLETRANSLATE($A197,""en"",""ja"")"),"サモア")</f>
        <v>サモア</v>
      </c>
      <c r="I197" s="9" t="str">
        <f>IFERROR(__xludf.DUMMYFUNCTION("GOOGLETRANSLATE($A197,""en"",""ko"")"),"사모아")</f>
        <v>사모아</v>
      </c>
      <c r="J197" s="9" t="str">
        <f>IFERROR(__xludf.DUMMYFUNCTION("GOOGLETRANSLATE($A197,""en"",""pt-BR"")"),"Samoa")</f>
        <v>Samoa</v>
      </c>
    </row>
    <row r="198">
      <c r="A198" s="9" t="str">
        <f>IFERROR(__xludf.DUMMYFUNCTION("""COMPUTED_VALUE"""),"San Marino")</f>
        <v>San Marino</v>
      </c>
      <c r="B198" s="9" t="str">
        <f>IFERROR(__xludf.DUMMYFUNCTION("""COMPUTED_VALUE"""),"sm")</f>
        <v>sm</v>
      </c>
      <c r="C198" s="9" t="str">
        <f>IFERROR(__xludf.DUMMYFUNCTION("GOOGLETRANSLATE($A198,""en"",""de"")"),"San Marino")</f>
        <v>San Marino</v>
      </c>
      <c r="D198" s="9" t="str">
        <f>IFERROR(__xludf.DUMMYFUNCTION("GOOGLETRANSLATE($A198,""en"",""fr"")"),"Saint-Marin")</f>
        <v>Saint-Marin</v>
      </c>
      <c r="E198" s="9" t="str">
        <f>IFERROR(__xludf.DUMMYFUNCTION("GOOGLETRANSLATE($A198,""en"",""es"")"),"San Marino")</f>
        <v>San Marino</v>
      </c>
      <c r="F198" s="9" t="str">
        <f>IFERROR(__xludf.DUMMYFUNCTION("GOOGLETRANSLATE($A198,""en"",""it"")"),"San Marino")</f>
        <v>San Marino</v>
      </c>
      <c r="G198" s="9" t="str">
        <f>IFERROR(__xludf.DUMMYFUNCTION("GOOGLETRANSLATE($A198,""en"",""zh-cn"")"),"圣马力诺")</f>
        <v>圣马力诺</v>
      </c>
      <c r="H198" s="9" t="str">
        <f>IFERROR(__xludf.DUMMYFUNCTION("GOOGLETRANSLATE($A198,""en"",""ja"")"),"サンマリノ")</f>
        <v>サンマリノ</v>
      </c>
      <c r="I198" s="9" t="str">
        <f>IFERROR(__xludf.DUMMYFUNCTION("GOOGLETRANSLATE($A198,""en"",""ko"")"),"산마리노")</f>
        <v>산마리노</v>
      </c>
      <c r="J198" s="9" t="str">
        <f>IFERROR(__xludf.DUMMYFUNCTION("GOOGLETRANSLATE($A198,""en"",""pt-BR"")"),"São Marino")</f>
        <v>São Marino</v>
      </c>
    </row>
    <row r="199">
      <c r="A199" s="9" t="str">
        <f>IFERROR(__xludf.DUMMYFUNCTION("""COMPUTED_VALUE"""),"Sao Tome and Principe")</f>
        <v>Sao Tome and Principe</v>
      </c>
      <c r="B199" s="9" t="str">
        <f>IFERROR(__xludf.DUMMYFUNCTION("""COMPUTED_VALUE"""),"st")</f>
        <v>st</v>
      </c>
      <c r="C199" s="9" t="str">
        <f>IFERROR(__xludf.DUMMYFUNCTION("GOOGLETRANSLATE($A199,""en"",""de"")"),"São Tomé und Príncipe")</f>
        <v>São Tomé und Príncipe</v>
      </c>
      <c r="D199" s="9" t="str">
        <f>IFERROR(__xludf.DUMMYFUNCTION("GOOGLETRANSLATE($A199,""en"",""fr"")"),"Sao Tomé et Principe")</f>
        <v>Sao Tomé et Principe</v>
      </c>
      <c r="E199" s="9" t="str">
        <f>IFERROR(__xludf.DUMMYFUNCTION("GOOGLETRANSLATE($A199,""en"",""es"")"),"Santo Tomé y Príncipe")</f>
        <v>Santo Tomé y Príncipe</v>
      </c>
      <c r="F199" s="9" t="str">
        <f>IFERROR(__xludf.DUMMYFUNCTION("GOOGLETRANSLATE($A199,""en"",""it"")"),"Sao Tomé e Principe")</f>
        <v>Sao Tomé e Principe</v>
      </c>
      <c r="G199" s="9" t="str">
        <f>IFERROR(__xludf.DUMMYFUNCTION("GOOGLETRANSLATE($A199,""en"",""zh-cn"")"),"圣多美和普林西比")</f>
        <v>圣多美和普林西比</v>
      </c>
      <c r="H199" s="9" t="str">
        <f>IFERROR(__xludf.DUMMYFUNCTION("GOOGLETRANSLATE($A199,""en"",""ja"")"),"サントメ・プリンシペ")</f>
        <v>サントメ・プリンシペ</v>
      </c>
      <c r="I199" s="9" t="str">
        <f>IFERROR(__xludf.DUMMYFUNCTION("GOOGLETRANSLATE($A199,""en"",""ko"")"),"상투메 프린시페")</f>
        <v>상투메 프린시페</v>
      </c>
      <c r="J199" s="9" t="str">
        <f>IFERROR(__xludf.DUMMYFUNCTION("GOOGLETRANSLATE($A199,""en"",""pt-BR"")"),"São Tomé e Príncipe")</f>
        <v>São Tomé e Príncipe</v>
      </c>
    </row>
    <row r="200">
      <c r="A200" s="9" t="str">
        <f>IFERROR(__xludf.DUMMYFUNCTION("""COMPUTED_VALUE"""),"Saudi Arabia")</f>
        <v>Saudi Arabia</v>
      </c>
      <c r="B200" s="9" t="str">
        <f>IFERROR(__xludf.DUMMYFUNCTION("""COMPUTED_VALUE"""),"sa")</f>
        <v>sa</v>
      </c>
      <c r="C200" s="9" t="str">
        <f>IFERROR(__xludf.DUMMYFUNCTION("GOOGLETRANSLATE($A200,""en"",""de"")"),"Saudi-Arabien")</f>
        <v>Saudi-Arabien</v>
      </c>
      <c r="D200" s="9" t="str">
        <f>IFERROR(__xludf.DUMMYFUNCTION("GOOGLETRANSLATE($A200,""en"",""fr"")"),"Arabie Saoudite")</f>
        <v>Arabie Saoudite</v>
      </c>
      <c r="E200" s="9" t="str">
        <f>IFERROR(__xludf.DUMMYFUNCTION("GOOGLETRANSLATE($A200,""en"",""es"")"),"Arabia Saudita")</f>
        <v>Arabia Saudita</v>
      </c>
      <c r="F200" s="9" t="str">
        <f>IFERROR(__xludf.DUMMYFUNCTION("GOOGLETRANSLATE($A200,""en"",""it"")"),"Arabia Saudita")</f>
        <v>Arabia Saudita</v>
      </c>
      <c r="G200" s="9" t="str">
        <f>IFERROR(__xludf.DUMMYFUNCTION("GOOGLETRANSLATE($A200,""en"",""zh-cn"")"),"沙特阿拉伯")</f>
        <v>沙特阿拉伯</v>
      </c>
      <c r="H200" s="9" t="str">
        <f>IFERROR(__xludf.DUMMYFUNCTION("GOOGLETRANSLATE($A200,""en"",""ja"")"),"サウジアラビア")</f>
        <v>サウジアラビア</v>
      </c>
      <c r="I200" s="9" t="str">
        <f>IFERROR(__xludf.DUMMYFUNCTION("GOOGLETRANSLATE($A200,""en"",""ko"")"),"사우디아라비아")</f>
        <v>사우디아라비아</v>
      </c>
      <c r="J200" s="9" t="str">
        <f>IFERROR(__xludf.DUMMYFUNCTION("GOOGLETRANSLATE($A200,""en"",""pt-BR"")"),"Arábia Saudita")</f>
        <v>Arábia Saudita</v>
      </c>
    </row>
    <row r="201">
      <c r="A201" s="9" t="str">
        <f>IFERROR(__xludf.DUMMYFUNCTION("""COMPUTED_VALUE"""),"Senegal")</f>
        <v>Senegal</v>
      </c>
      <c r="B201" s="9" t="str">
        <f>IFERROR(__xludf.DUMMYFUNCTION("""COMPUTED_VALUE"""),"sn")</f>
        <v>sn</v>
      </c>
      <c r="C201" s="9" t="str">
        <f>IFERROR(__xludf.DUMMYFUNCTION("GOOGLETRANSLATE($A201,""en"",""de"")"),"Senegal")</f>
        <v>Senegal</v>
      </c>
      <c r="D201" s="9" t="str">
        <f>IFERROR(__xludf.DUMMYFUNCTION("GOOGLETRANSLATE($A201,""en"",""fr"")"),"Sénégal")</f>
        <v>Sénégal</v>
      </c>
      <c r="E201" s="9" t="str">
        <f>IFERROR(__xludf.DUMMYFUNCTION("GOOGLETRANSLATE($A201,""en"",""es"")"),"Senegal")</f>
        <v>Senegal</v>
      </c>
      <c r="F201" s="9" t="str">
        <f>IFERROR(__xludf.DUMMYFUNCTION("GOOGLETRANSLATE($A201,""en"",""it"")"),"Senegal")</f>
        <v>Senegal</v>
      </c>
      <c r="G201" s="9" t="str">
        <f>IFERROR(__xludf.DUMMYFUNCTION("GOOGLETRANSLATE($A201,""en"",""zh-cn"")"),"塞内加尔")</f>
        <v>塞内加尔</v>
      </c>
      <c r="H201" s="9" t="str">
        <f>IFERROR(__xludf.DUMMYFUNCTION("GOOGLETRANSLATE($A201,""en"",""ja"")"),"セネガル")</f>
        <v>セネガル</v>
      </c>
      <c r="I201" s="9" t="str">
        <f>IFERROR(__xludf.DUMMYFUNCTION("GOOGLETRANSLATE($A201,""en"",""ko"")"),"세네갈")</f>
        <v>세네갈</v>
      </c>
      <c r="J201" s="9" t="str">
        <f>IFERROR(__xludf.DUMMYFUNCTION("GOOGLETRANSLATE($A201,""en"",""pt-BR"")"),"Senegal")</f>
        <v>Senegal</v>
      </c>
    </row>
    <row r="202">
      <c r="A202" s="9" t="str">
        <f>IFERROR(__xludf.DUMMYFUNCTION("""COMPUTED_VALUE"""),"Serbia")</f>
        <v>Serbia</v>
      </c>
      <c r="B202" s="9" t="str">
        <f>IFERROR(__xludf.DUMMYFUNCTION("""COMPUTED_VALUE"""),"rs")</f>
        <v>rs</v>
      </c>
      <c r="C202" s="9" t="str">
        <f>IFERROR(__xludf.DUMMYFUNCTION("GOOGLETRANSLATE($A202,""en"",""de"")"),"Serbien")</f>
        <v>Serbien</v>
      </c>
      <c r="D202" s="9" t="str">
        <f>IFERROR(__xludf.DUMMYFUNCTION("GOOGLETRANSLATE($A202,""en"",""fr"")"),"Serbie")</f>
        <v>Serbie</v>
      </c>
      <c r="E202" s="9" t="str">
        <f>IFERROR(__xludf.DUMMYFUNCTION("GOOGLETRANSLATE($A202,""en"",""es"")"),"Serbia")</f>
        <v>Serbia</v>
      </c>
      <c r="F202" s="9" t="str">
        <f>IFERROR(__xludf.DUMMYFUNCTION("GOOGLETRANSLATE($A202,""en"",""it"")"),"Serbia")</f>
        <v>Serbia</v>
      </c>
      <c r="G202" s="9" t="str">
        <f>IFERROR(__xludf.DUMMYFUNCTION("GOOGLETRANSLATE($A202,""en"",""zh-cn"")"),"塞尔维亚")</f>
        <v>塞尔维亚</v>
      </c>
      <c r="H202" s="9" t="str">
        <f>IFERROR(__xludf.DUMMYFUNCTION("GOOGLETRANSLATE($A202,""en"",""ja"")"),"セルビア")</f>
        <v>セルビア</v>
      </c>
      <c r="I202" s="9" t="str">
        <f>IFERROR(__xludf.DUMMYFUNCTION("GOOGLETRANSLATE($A202,""en"",""ko"")"),"세르비아")</f>
        <v>세르비아</v>
      </c>
      <c r="J202" s="9" t="str">
        <f>IFERROR(__xludf.DUMMYFUNCTION("GOOGLETRANSLATE($A202,""en"",""pt-BR"")"),"Sérvia")</f>
        <v>Sérvia</v>
      </c>
    </row>
    <row r="203">
      <c r="A203" s="9" t="str">
        <f>IFERROR(__xludf.DUMMYFUNCTION("""COMPUTED_VALUE"""),"Seychelles")</f>
        <v>Seychelles</v>
      </c>
      <c r="B203" s="9" t="str">
        <f>IFERROR(__xludf.DUMMYFUNCTION("""COMPUTED_VALUE"""),"sc")</f>
        <v>sc</v>
      </c>
      <c r="C203" s="9" t="str">
        <f>IFERROR(__xludf.DUMMYFUNCTION("GOOGLETRANSLATE($A203,""en"",""de"")"),"Seychellen")</f>
        <v>Seychellen</v>
      </c>
      <c r="D203" s="9" t="str">
        <f>IFERROR(__xludf.DUMMYFUNCTION("GOOGLETRANSLATE($A203,""en"",""fr"")"),"Seychelles")</f>
        <v>Seychelles</v>
      </c>
      <c r="E203" s="9" t="str">
        <f>IFERROR(__xludf.DUMMYFUNCTION("GOOGLETRANSLATE($A203,""en"",""es"")"),"Seychelles")</f>
        <v>Seychelles</v>
      </c>
      <c r="F203" s="9" t="str">
        <f>IFERROR(__xludf.DUMMYFUNCTION("GOOGLETRANSLATE($A203,""en"",""it"")"),"Seychelles")</f>
        <v>Seychelles</v>
      </c>
      <c r="G203" s="9" t="str">
        <f>IFERROR(__xludf.DUMMYFUNCTION("GOOGLETRANSLATE($A203,""en"",""zh-cn"")"),"塞舌尔")</f>
        <v>塞舌尔</v>
      </c>
      <c r="H203" s="9" t="str">
        <f>IFERROR(__xludf.DUMMYFUNCTION("GOOGLETRANSLATE($A203,""en"",""ja"")"),"セーシェル")</f>
        <v>セーシェル</v>
      </c>
      <c r="I203" s="9" t="str">
        <f>IFERROR(__xludf.DUMMYFUNCTION("GOOGLETRANSLATE($A203,""en"",""ko"")"),"세이셸")</f>
        <v>세이셸</v>
      </c>
      <c r="J203" s="9" t="str">
        <f>IFERROR(__xludf.DUMMYFUNCTION("GOOGLETRANSLATE($A203,""en"",""pt-BR"")"),"Seicheles")</f>
        <v>Seicheles</v>
      </c>
    </row>
    <row r="204">
      <c r="A204" s="9" t="str">
        <f>IFERROR(__xludf.DUMMYFUNCTION("""COMPUTED_VALUE"""),"Sierra Leone")</f>
        <v>Sierra Leone</v>
      </c>
      <c r="B204" s="9" t="str">
        <f>IFERROR(__xludf.DUMMYFUNCTION("""COMPUTED_VALUE"""),"sl")</f>
        <v>sl</v>
      </c>
      <c r="C204" s="9" t="str">
        <f>IFERROR(__xludf.DUMMYFUNCTION("GOOGLETRANSLATE($A204,""en"",""de"")"),"Sierra Leone")</f>
        <v>Sierra Leone</v>
      </c>
      <c r="D204" s="9" t="str">
        <f>IFERROR(__xludf.DUMMYFUNCTION("GOOGLETRANSLATE($A204,""en"",""fr"")"),"Sierra Leone")</f>
        <v>Sierra Leone</v>
      </c>
      <c r="E204" s="9" t="str">
        <f>IFERROR(__xludf.DUMMYFUNCTION("GOOGLETRANSLATE($A204,""en"",""es"")"),"Sierra Leona")</f>
        <v>Sierra Leona</v>
      </c>
      <c r="F204" s="9" t="str">
        <f>IFERROR(__xludf.DUMMYFUNCTION("GOOGLETRANSLATE($A204,""en"",""it"")"),"Sierra Leone")</f>
        <v>Sierra Leone</v>
      </c>
      <c r="G204" s="9" t="str">
        <f>IFERROR(__xludf.DUMMYFUNCTION("GOOGLETRANSLATE($A204,""en"",""zh-cn"")"),"塞拉利昂")</f>
        <v>塞拉利昂</v>
      </c>
      <c r="H204" s="9" t="str">
        <f>IFERROR(__xludf.DUMMYFUNCTION("GOOGLETRANSLATE($A204,""en"",""ja"")"),"シエラレオネ")</f>
        <v>シエラレオネ</v>
      </c>
      <c r="I204" s="9" t="str">
        <f>IFERROR(__xludf.DUMMYFUNCTION("GOOGLETRANSLATE($A204,""en"",""ko"")"),"시에라리온")</f>
        <v>시에라리온</v>
      </c>
      <c r="J204" s="9" t="str">
        <f>IFERROR(__xludf.DUMMYFUNCTION("GOOGLETRANSLATE($A204,""en"",""pt-BR"")"),"Serra Leoa")</f>
        <v>Serra Leoa</v>
      </c>
    </row>
    <row r="205">
      <c r="A205" s="9" t="str">
        <f>IFERROR(__xludf.DUMMYFUNCTION("""COMPUTED_VALUE"""),"Singapore")</f>
        <v>Singapore</v>
      </c>
      <c r="B205" s="9" t="str">
        <f>IFERROR(__xludf.DUMMYFUNCTION("""COMPUTED_VALUE"""),"sg")</f>
        <v>sg</v>
      </c>
      <c r="C205" s="9" t="str">
        <f>IFERROR(__xludf.DUMMYFUNCTION("GOOGLETRANSLATE($A205,""en"",""de"")"),"Singapur")</f>
        <v>Singapur</v>
      </c>
      <c r="D205" s="9" t="str">
        <f>IFERROR(__xludf.DUMMYFUNCTION("GOOGLETRANSLATE($A205,""en"",""fr"")"),"Singapour")</f>
        <v>Singapour</v>
      </c>
      <c r="E205" s="9" t="str">
        <f>IFERROR(__xludf.DUMMYFUNCTION("GOOGLETRANSLATE($A205,""en"",""es"")"),"Singapur")</f>
        <v>Singapur</v>
      </c>
      <c r="F205" s="9" t="str">
        <f>IFERROR(__xludf.DUMMYFUNCTION("GOOGLETRANSLATE($A205,""en"",""it"")"),"Singapore")</f>
        <v>Singapore</v>
      </c>
      <c r="G205" s="9" t="str">
        <f>IFERROR(__xludf.DUMMYFUNCTION("GOOGLETRANSLATE($A205,""en"",""zh-cn"")"),"新加坡")</f>
        <v>新加坡</v>
      </c>
      <c r="H205" s="9" t="str">
        <f>IFERROR(__xludf.DUMMYFUNCTION("GOOGLETRANSLATE($A205,""en"",""ja"")"),"シンガポール")</f>
        <v>シンガポール</v>
      </c>
      <c r="I205" s="9" t="str">
        <f>IFERROR(__xludf.DUMMYFUNCTION("GOOGLETRANSLATE($A205,""en"",""ko"")"),"싱가포르")</f>
        <v>싱가포르</v>
      </c>
      <c r="J205" s="9" t="str">
        <f>IFERROR(__xludf.DUMMYFUNCTION("GOOGLETRANSLATE($A205,""en"",""pt-BR"")"),"Cingapura")</f>
        <v>Cingapura</v>
      </c>
    </row>
    <row r="206">
      <c r="A206" s="9" t="str">
        <f>IFERROR(__xludf.DUMMYFUNCTION("""COMPUTED_VALUE"""),"Sint Maarten")</f>
        <v>Sint Maarten</v>
      </c>
      <c r="B206" s="9" t="str">
        <f>IFERROR(__xludf.DUMMYFUNCTION("""COMPUTED_VALUE"""),"sx")</f>
        <v>sx</v>
      </c>
      <c r="C206" s="9" t="str">
        <f>IFERROR(__xludf.DUMMYFUNCTION("GOOGLETRANSLATE($A206,""en"",""de"")"),"Sint Maarten")</f>
        <v>Sint Maarten</v>
      </c>
      <c r="D206" s="9" t="str">
        <f>IFERROR(__xludf.DUMMYFUNCTION("GOOGLETRANSLATE($A206,""en"",""fr"")"),"Saint-Martin")</f>
        <v>Saint-Martin</v>
      </c>
      <c r="E206" s="9" t="str">
        <f>IFERROR(__xludf.DUMMYFUNCTION("GOOGLETRANSLATE($A206,""en"",""es"")"),"San Martín")</f>
        <v>San Martín</v>
      </c>
      <c r="F206" s="9" t="str">
        <f>IFERROR(__xludf.DUMMYFUNCTION("GOOGLETRANSLATE($A206,""en"",""it"")"),"Sint Maarten")</f>
        <v>Sint Maarten</v>
      </c>
      <c r="G206" s="9" t="str">
        <f>IFERROR(__xludf.DUMMYFUNCTION("GOOGLETRANSLATE($A206,""en"",""zh-cn"")"),"圣马丁岛")</f>
        <v>圣马丁岛</v>
      </c>
      <c r="H206" s="9" t="str">
        <f>IFERROR(__xludf.DUMMYFUNCTION("GOOGLETRANSLATE($A206,""en"",""ja"")"),"シント・マールテン島")</f>
        <v>シント・マールテン島</v>
      </c>
      <c r="I206" s="9" t="str">
        <f>IFERROR(__xludf.DUMMYFUNCTION("GOOGLETRANSLATE($A206,""en"",""ko"")"),"신트마르턴")</f>
        <v>신트마르턴</v>
      </c>
      <c r="J206" s="9" t="str">
        <f>IFERROR(__xludf.DUMMYFUNCTION("GOOGLETRANSLATE($A206,""en"",""pt-BR"")"),"São Martinho")</f>
        <v>São Martinho</v>
      </c>
    </row>
    <row r="207">
      <c r="A207" s="9" t="str">
        <f>IFERROR(__xludf.DUMMYFUNCTION("""COMPUTED_VALUE"""),"Slovakia")</f>
        <v>Slovakia</v>
      </c>
      <c r="B207" s="9" t="str">
        <f>IFERROR(__xludf.DUMMYFUNCTION("""COMPUTED_VALUE"""),"sk")</f>
        <v>sk</v>
      </c>
      <c r="C207" s="9" t="str">
        <f>IFERROR(__xludf.DUMMYFUNCTION("GOOGLETRANSLATE($A207,""en"",""de"")"),"Slowakei")</f>
        <v>Slowakei</v>
      </c>
      <c r="D207" s="9" t="str">
        <f>IFERROR(__xludf.DUMMYFUNCTION("GOOGLETRANSLATE($A207,""en"",""fr"")"),"Slovaquie")</f>
        <v>Slovaquie</v>
      </c>
      <c r="E207" s="9" t="str">
        <f>IFERROR(__xludf.DUMMYFUNCTION("GOOGLETRANSLATE($A207,""en"",""es"")"),"Eslovaquia")</f>
        <v>Eslovaquia</v>
      </c>
      <c r="F207" s="9" t="str">
        <f>IFERROR(__xludf.DUMMYFUNCTION("GOOGLETRANSLATE($A207,""en"",""it"")"),"Slovacchia")</f>
        <v>Slovacchia</v>
      </c>
      <c r="G207" s="9" t="str">
        <f>IFERROR(__xludf.DUMMYFUNCTION("GOOGLETRANSLATE($A207,""en"",""zh-cn"")"),"斯洛伐克")</f>
        <v>斯洛伐克</v>
      </c>
      <c r="H207" s="9" t="str">
        <f>IFERROR(__xludf.DUMMYFUNCTION("GOOGLETRANSLATE($A207,""en"",""ja"")"),"スロバキア")</f>
        <v>スロバキア</v>
      </c>
      <c r="I207" s="9" t="str">
        <f>IFERROR(__xludf.DUMMYFUNCTION("GOOGLETRANSLATE($A207,""en"",""ko"")"),"슬로바키아")</f>
        <v>슬로바키아</v>
      </c>
      <c r="J207" s="9" t="str">
        <f>IFERROR(__xludf.DUMMYFUNCTION("GOOGLETRANSLATE($A207,""en"",""pt-BR"")"),"Eslováquia")</f>
        <v>Eslováquia</v>
      </c>
    </row>
    <row r="208">
      <c r="A208" s="9" t="str">
        <f>IFERROR(__xludf.DUMMYFUNCTION("""COMPUTED_VALUE"""),"Slovenia")</f>
        <v>Slovenia</v>
      </c>
      <c r="B208" s="9" t="str">
        <f>IFERROR(__xludf.DUMMYFUNCTION("""COMPUTED_VALUE"""),"si")</f>
        <v>si</v>
      </c>
      <c r="C208" s="9" t="str">
        <f>IFERROR(__xludf.DUMMYFUNCTION("GOOGLETRANSLATE($A208,""en"",""de"")"),"Slowenien")</f>
        <v>Slowenien</v>
      </c>
      <c r="D208" s="9" t="str">
        <f>IFERROR(__xludf.DUMMYFUNCTION("GOOGLETRANSLATE($A208,""en"",""fr"")"),"Slovénie")</f>
        <v>Slovénie</v>
      </c>
      <c r="E208" s="9" t="str">
        <f>IFERROR(__xludf.DUMMYFUNCTION("GOOGLETRANSLATE($A208,""en"",""es"")"),"Eslovenia")</f>
        <v>Eslovenia</v>
      </c>
      <c r="F208" s="9" t="str">
        <f>IFERROR(__xludf.DUMMYFUNCTION("GOOGLETRANSLATE($A208,""en"",""it"")"),"Slovenia")</f>
        <v>Slovenia</v>
      </c>
      <c r="G208" s="9" t="str">
        <f>IFERROR(__xludf.DUMMYFUNCTION("GOOGLETRANSLATE($A208,""en"",""zh-cn"")"),"斯洛文尼亚")</f>
        <v>斯洛文尼亚</v>
      </c>
      <c r="H208" s="9" t="str">
        <f>IFERROR(__xludf.DUMMYFUNCTION("GOOGLETRANSLATE($A208,""en"",""ja"")"),"スロベニア")</f>
        <v>スロベニア</v>
      </c>
      <c r="I208" s="9" t="str">
        <f>IFERROR(__xludf.DUMMYFUNCTION("GOOGLETRANSLATE($A208,""en"",""ko"")"),"슬로베니아")</f>
        <v>슬로베니아</v>
      </c>
      <c r="J208" s="9" t="str">
        <f>IFERROR(__xludf.DUMMYFUNCTION("GOOGLETRANSLATE($A208,""en"",""pt-BR"")"),"Eslovênia")</f>
        <v>Eslovênia</v>
      </c>
    </row>
    <row r="209">
      <c r="A209" s="9" t="str">
        <f>IFERROR(__xludf.DUMMYFUNCTION("""COMPUTED_VALUE"""),"Solomon Islands")</f>
        <v>Solomon Islands</v>
      </c>
      <c r="B209" s="9" t="str">
        <f>IFERROR(__xludf.DUMMYFUNCTION("""COMPUTED_VALUE"""),"sb")</f>
        <v>sb</v>
      </c>
      <c r="C209" s="9" t="str">
        <f>IFERROR(__xludf.DUMMYFUNCTION("GOOGLETRANSLATE($A209,""en"",""de"")"),"Salomonen")</f>
        <v>Salomonen</v>
      </c>
      <c r="D209" s="9" t="str">
        <f>IFERROR(__xludf.DUMMYFUNCTION("GOOGLETRANSLATE($A209,""en"",""fr"")"),"Îles Salomon")</f>
        <v>Îles Salomon</v>
      </c>
      <c r="E209" s="9" t="str">
        <f>IFERROR(__xludf.DUMMYFUNCTION("GOOGLETRANSLATE($A209,""en"",""es"")"),"Islas Salomón")</f>
        <v>Islas Salomón</v>
      </c>
      <c r="F209" s="9" t="str">
        <f>IFERROR(__xludf.DUMMYFUNCTION("GOOGLETRANSLATE($A209,""en"",""it"")"),"Isole Salomone")</f>
        <v>Isole Salomone</v>
      </c>
      <c r="G209" s="9" t="str">
        <f>IFERROR(__xludf.DUMMYFUNCTION("GOOGLETRANSLATE($A209,""en"",""zh-cn"")"),"所罗门群岛")</f>
        <v>所罗门群岛</v>
      </c>
      <c r="H209" s="9" t="str">
        <f>IFERROR(__xludf.DUMMYFUNCTION("GOOGLETRANSLATE($A209,""en"",""ja"")"),"ソロモン諸島")</f>
        <v>ソロモン諸島</v>
      </c>
      <c r="I209" s="9" t="str">
        <f>IFERROR(__xludf.DUMMYFUNCTION("GOOGLETRANSLATE($A209,""en"",""ko"")"),"솔로몬 제도")</f>
        <v>솔로몬 제도</v>
      </c>
      <c r="J209" s="9" t="str">
        <f>IFERROR(__xludf.DUMMYFUNCTION("GOOGLETRANSLATE($A209,""en"",""pt-BR"")"),"Ilhas Salomão")</f>
        <v>Ilhas Salomão</v>
      </c>
    </row>
    <row r="210">
      <c r="A210" s="9" t="str">
        <f>IFERROR(__xludf.DUMMYFUNCTION("""COMPUTED_VALUE"""),"Somalia")</f>
        <v>Somalia</v>
      </c>
      <c r="B210" s="9" t="str">
        <f>IFERROR(__xludf.DUMMYFUNCTION("""COMPUTED_VALUE"""),"so")</f>
        <v>so</v>
      </c>
      <c r="C210" s="9" t="str">
        <f>IFERROR(__xludf.DUMMYFUNCTION("GOOGLETRANSLATE($A210,""en"",""de"")"),"Somalia")</f>
        <v>Somalia</v>
      </c>
      <c r="D210" s="9" t="str">
        <f>IFERROR(__xludf.DUMMYFUNCTION("GOOGLETRANSLATE($A210,""en"",""fr"")"),"Somalie")</f>
        <v>Somalie</v>
      </c>
      <c r="E210" s="9" t="str">
        <f>IFERROR(__xludf.DUMMYFUNCTION("GOOGLETRANSLATE($A210,""en"",""es"")"),"Somalia")</f>
        <v>Somalia</v>
      </c>
      <c r="F210" s="9" t="str">
        <f>IFERROR(__xludf.DUMMYFUNCTION("GOOGLETRANSLATE($A210,""en"",""it"")"),"Somalia")</f>
        <v>Somalia</v>
      </c>
      <c r="G210" s="9" t="str">
        <f>IFERROR(__xludf.DUMMYFUNCTION("GOOGLETRANSLATE($A210,""en"",""zh-cn"")"),"索马里")</f>
        <v>索马里</v>
      </c>
      <c r="H210" s="9" t="str">
        <f>IFERROR(__xludf.DUMMYFUNCTION("GOOGLETRANSLATE($A210,""en"",""ja"")"),"ソマリア")</f>
        <v>ソマリア</v>
      </c>
      <c r="I210" s="9" t="str">
        <f>IFERROR(__xludf.DUMMYFUNCTION("GOOGLETRANSLATE($A210,""en"",""ko"")"),"소말리아")</f>
        <v>소말리아</v>
      </c>
      <c r="J210" s="9" t="str">
        <f>IFERROR(__xludf.DUMMYFUNCTION("GOOGLETRANSLATE($A210,""en"",""pt-BR"")"),"Somália")</f>
        <v>Somália</v>
      </c>
    </row>
    <row r="211">
      <c r="A211" s="9" t="str">
        <f>IFERROR(__xludf.DUMMYFUNCTION("""COMPUTED_VALUE"""),"South Africa")</f>
        <v>South Africa</v>
      </c>
      <c r="B211" s="9" t="str">
        <f>IFERROR(__xludf.DUMMYFUNCTION("""COMPUTED_VALUE"""),"za")</f>
        <v>za</v>
      </c>
      <c r="C211" s="9" t="str">
        <f>IFERROR(__xludf.DUMMYFUNCTION("GOOGLETRANSLATE($A211,""en"",""de"")"),"Südafrika")</f>
        <v>Südafrika</v>
      </c>
      <c r="D211" s="9" t="str">
        <f>IFERROR(__xludf.DUMMYFUNCTION("GOOGLETRANSLATE($A211,""en"",""fr"")"),"Afrique du Sud")</f>
        <v>Afrique du Sud</v>
      </c>
      <c r="E211" s="9" t="str">
        <f>IFERROR(__xludf.DUMMYFUNCTION("GOOGLETRANSLATE($A211,""en"",""es"")"),"Sudáfrica")</f>
        <v>Sudáfrica</v>
      </c>
      <c r="F211" s="9" t="str">
        <f>IFERROR(__xludf.DUMMYFUNCTION("GOOGLETRANSLATE($A211,""en"",""it"")"),"Sudafrica")</f>
        <v>Sudafrica</v>
      </c>
      <c r="G211" s="9" t="str">
        <f>IFERROR(__xludf.DUMMYFUNCTION("GOOGLETRANSLATE($A211,""en"",""zh-cn"")"),"南非")</f>
        <v>南非</v>
      </c>
      <c r="H211" s="9" t="str">
        <f>IFERROR(__xludf.DUMMYFUNCTION("GOOGLETRANSLATE($A211,""en"",""ja"")"),"南アフリカ")</f>
        <v>南アフリカ</v>
      </c>
      <c r="I211" s="9" t="str">
        <f>IFERROR(__xludf.DUMMYFUNCTION("GOOGLETRANSLATE($A211,""en"",""ko"")"),"남아프리카공화국")</f>
        <v>남아프리카공화국</v>
      </c>
      <c r="J211" s="9" t="str">
        <f>IFERROR(__xludf.DUMMYFUNCTION("GOOGLETRANSLATE($A211,""en"",""pt-BR"")"),"África do Sul")</f>
        <v>África do Sul</v>
      </c>
    </row>
    <row r="212">
      <c r="A212" s="9" t="str">
        <f>IFERROR(__xludf.DUMMYFUNCTION("""COMPUTED_VALUE"""),"South Georgia and the South Sandwich Islands")</f>
        <v>South Georgia and the South Sandwich Islands</v>
      </c>
      <c r="B212" s="9" t="str">
        <f>IFERROR(__xludf.DUMMYFUNCTION("""COMPUTED_VALUE"""),"gs")</f>
        <v>gs</v>
      </c>
      <c r="C212" s="9" t="str">
        <f>IFERROR(__xludf.DUMMYFUNCTION("GOOGLETRANSLATE($A212,""en"",""de"")"),"Südgeorgien und die Südlichen Sandwichinseln")</f>
        <v>Südgeorgien und die Südlichen Sandwichinseln</v>
      </c>
      <c r="D212" s="9" t="str">
        <f>IFERROR(__xludf.DUMMYFUNCTION("GOOGLETRANSLATE($A212,""en"",""fr"")"),"Géorgie du Sud et îles Sandwich du Sud")</f>
        <v>Géorgie du Sud et îles Sandwich du Sud</v>
      </c>
      <c r="E212" s="9" t="str">
        <f>IFERROR(__xludf.DUMMYFUNCTION("GOOGLETRANSLATE($A212,""en"",""es"")"),"Islas Georgias del Sur y Sandwich del Sur")</f>
        <v>Islas Georgias del Sur y Sandwich del Sur</v>
      </c>
      <c r="F212" s="9" t="str">
        <f>IFERROR(__xludf.DUMMYFUNCTION("GOOGLETRANSLATE($A212,""en"",""it"")"),"Georgia del Sud e Isole Sandwich Meridionali")</f>
        <v>Georgia del Sud e Isole Sandwich Meridionali</v>
      </c>
      <c r="G212" s="9" t="str">
        <f>IFERROR(__xludf.DUMMYFUNCTION("GOOGLETRANSLATE($A212,""en"",""zh-cn"")"),"南乔治亚岛和南桑威奇群岛")</f>
        <v>南乔治亚岛和南桑威奇群岛</v>
      </c>
      <c r="H212" s="9" t="str">
        <f>IFERROR(__xludf.DUMMYFUNCTION("GOOGLETRANSLATE($A212,""en"",""ja"")"),"サウスジョージア島とサウスサンドイッチ諸島")</f>
        <v>サウスジョージア島とサウスサンドイッチ諸島</v>
      </c>
      <c r="I212" s="9" t="str">
        <f>IFERROR(__xludf.DUMMYFUNCTION("GOOGLETRANSLATE($A212,""en"",""ko"")"),"사우스조지아 사우스샌드위치 제도")</f>
        <v>사우스조지아 사우스샌드위치 제도</v>
      </c>
      <c r="J212" s="9" t="str">
        <f>IFERROR(__xludf.DUMMYFUNCTION("GOOGLETRANSLATE($A212,""en"",""pt-BR"")"),"Geórgia do Sul e Ilhas Sandwich do Sul")</f>
        <v>Geórgia do Sul e Ilhas Sandwich do Sul</v>
      </c>
    </row>
    <row r="213">
      <c r="A213" s="9" t="str">
        <f>IFERROR(__xludf.DUMMYFUNCTION("""COMPUTED_VALUE"""),"South Sudan")</f>
        <v>South Sudan</v>
      </c>
      <c r="B213" s="9" t="str">
        <f>IFERROR(__xludf.DUMMYFUNCTION("""COMPUTED_VALUE"""),"ss")</f>
        <v>ss</v>
      </c>
      <c r="C213" s="9" t="str">
        <f>IFERROR(__xludf.DUMMYFUNCTION("GOOGLETRANSLATE($A213,""en"",""de"")"),"Südsudan")</f>
        <v>Südsudan</v>
      </c>
      <c r="D213" s="9" t="str">
        <f>IFERROR(__xludf.DUMMYFUNCTION("GOOGLETRANSLATE($A213,""en"",""fr"")"),"Soudan du Sud")</f>
        <v>Soudan du Sud</v>
      </c>
      <c r="E213" s="9" t="str">
        <f>IFERROR(__xludf.DUMMYFUNCTION("GOOGLETRANSLATE($A213,""en"",""es"")"),"Sudán del Sur")</f>
        <v>Sudán del Sur</v>
      </c>
      <c r="F213" s="9" t="str">
        <f>IFERROR(__xludf.DUMMYFUNCTION("GOOGLETRANSLATE($A213,""en"",""it"")"),"Sudan del Sud")</f>
        <v>Sudan del Sud</v>
      </c>
      <c r="G213" s="9" t="str">
        <f>IFERROR(__xludf.DUMMYFUNCTION("GOOGLETRANSLATE($A213,""en"",""zh-cn"")"),"南苏丹")</f>
        <v>南苏丹</v>
      </c>
      <c r="H213" s="9" t="str">
        <f>IFERROR(__xludf.DUMMYFUNCTION("GOOGLETRANSLATE($A213,""en"",""ja"")"),"南スーダン")</f>
        <v>南スーダン</v>
      </c>
      <c r="I213" s="9" t="str">
        <f>IFERROR(__xludf.DUMMYFUNCTION("GOOGLETRANSLATE($A213,""en"",""ko"")"),"남수단")</f>
        <v>남수단</v>
      </c>
      <c r="J213" s="9" t="str">
        <f>IFERROR(__xludf.DUMMYFUNCTION("GOOGLETRANSLATE($A213,""en"",""pt-BR"")"),"Sudão do Sul")</f>
        <v>Sudão do Sul</v>
      </c>
    </row>
    <row r="214">
      <c r="A214" s="9" t="str">
        <f>IFERROR(__xludf.DUMMYFUNCTION("""COMPUTED_VALUE"""),"Spain")</f>
        <v>Spain</v>
      </c>
      <c r="B214" s="9" t="str">
        <f>IFERROR(__xludf.DUMMYFUNCTION("""COMPUTED_VALUE"""),"es")</f>
        <v>es</v>
      </c>
      <c r="C214" s="9" t="str">
        <f>IFERROR(__xludf.DUMMYFUNCTION("GOOGLETRANSLATE($A214,""en"",""de"")"),"Spanien")</f>
        <v>Spanien</v>
      </c>
      <c r="D214" s="9" t="str">
        <f>IFERROR(__xludf.DUMMYFUNCTION("GOOGLETRANSLATE($A214,""en"",""fr"")"),"Espagne")</f>
        <v>Espagne</v>
      </c>
      <c r="E214" s="9" t="str">
        <f>IFERROR(__xludf.DUMMYFUNCTION("GOOGLETRANSLATE($A214,""en"",""es"")"),"España")</f>
        <v>España</v>
      </c>
      <c r="F214" s="9" t="str">
        <f>IFERROR(__xludf.DUMMYFUNCTION("GOOGLETRANSLATE($A214,""en"",""it"")"),"Spagna")</f>
        <v>Spagna</v>
      </c>
      <c r="G214" s="9" t="str">
        <f>IFERROR(__xludf.DUMMYFUNCTION("GOOGLETRANSLATE($A214,""en"",""zh-cn"")"),"西班牙")</f>
        <v>西班牙</v>
      </c>
      <c r="H214" s="9" t="str">
        <f>IFERROR(__xludf.DUMMYFUNCTION("GOOGLETRANSLATE($A214,""en"",""ja"")"),"スペイン")</f>
        <v>スペイン</v>
      </c>
      <c r="I214" s="9" t="str">
        <f>IFERROR(__xludf.DUMMYFUNCTION("GOOGLETRANSLATE($A214,""en"",""ko"")"),"스페인")</f>
        <v>스페인</v>
      </c>
      <c r="J214" s="9" t="str">
        <f>IFERROR(__xludf.DUMMYFUNCTION("GOOGLETRANSLATE($A214,""en"",""pt-BR"")"),"Espanha")</f>
        <v>Espanha</v>
      </c>
    </row>
    <row r="215">
      <c r="A215" s="9" t="str">
        <f>IFERROR(__xludf.DUMMYFUNCTION("""COMPUTED_VALUE"""),"Sri Lanka")</f>
        <v>Sri Lanka</v>
      </c>
      <c r="B215" s="9" t="str">
        <f>IFERROR(__xludf.DUMMYFUNCTION("""COMPUTED_VALUE"""),"lk")</f>
        <v>lk</v>
      </c>
      <c r="C215" s="9" t="str">
        <f>IFERROR(__xludf.DUMMYFUNCTION("GOOGLETRANSLATE($A215,""en"",""de"")"),"Sri Lanka")</f>
        <v>Sri Lanka</v>
      </c>
      <c r="D215" s="9" t="str">
        <f>IFERROR(__xludf.DUMMYFUNCTION("GOOGLETRANSLATE($A215,""en"",""fr"")"),"Sri Lanka")</f>
        <v>Sri Lanka</v>
      </c>
      <c r="E215" s="9" t="str">
        <f>IFERROR(__xludf.DUMMYFUNCTION("GOOGLETRANSLATE($A215,""en"",""es"")"),"Sri Lanka")</f>
        <v>Sri Lanka</v>
      </c>
      <c r="F215" s="9" t="str">
        <f>IFERROR(__xludf.DUMMYFUNCTION("GOOGLETRANSLATE($A215,""en"",""it"")"),"Sri Lanka")</f>
        <v>Sri Lanka</v>
      </c>
      <c r="G215" s="9" t="str">
        <f>IFERROR(__xludf.DUMMYFUNCTION("GOOGLETRANSLATE($A215,""en"",""zh-cn"")"),"斯里兰卡")</f>
        <v>斯里兰卡</v>
      </c>
      <c r="H215" s="9" t="str">
        <f>IFERROR(__xludf.DUMMYFUNCTION("GOOGLETRANSLATE($A215,""en"",""ja"")"),"スリランカ")</f>
        <v>スリランカ</v>
      </c>
      <c r="I215" s="9" t="str">
        <f>IFERROR(__xludf.DUMMYFUNCTION("GOOGLETRANSLATE($A215,""en"",""ko"")"),"스리랑카")</f>
        <v>스리랑카</v>
      </c>
      <c r="J215" s="9" t="str">
        <f>IFERROR(__xludf.DUMMYFUNCTION("GOOGLETRANSLATE($A215,""en"",""pt-BR"")"),"Sri Lanka")</f>
        <v>Sri Lanka</v>
      </c>
    </row>
    <row r="216">
      <c r="A216" s="9" t="str">
        <f>IFERROR(__xludf.DUMMYFUNCTION("""COMPUTED_VALUE"""),"Sudan")</f>
        <v>Sudan</v>
      </c>
      <c r="B216" s="9" t="str">
        <f>IFERROR(__xludf.DUMMYFUNCTION("""COMPUTED_VALUE"""),"sd")</f>
        <v>sd</v>
      </c>
      <c r="C216" s="9" t="str">
        <f>IFERROR(__xludf.DUMMYFUNCTION("GOOGLETRANSLATE($A216,""en"",""de"")"),"Sudan")</f>
        <v>Sudan</v>
      </c>
      <c r="D216" s="9" t="str">
        <f>IFERROR(__xludf.DUMMYFUNCTION("GOOGLETRANSLATE($A216,""en"",""fr"")"),"Soudan")</f>
        <v>Soudan</v>
      </c>
      <c r="E216" s="9" t="str">
        <f>IFERROR(__xludf.DUMMYFUNCTION("GOOGLETRANSLATE($A216,""en"",""es"")"),"Sudán")</f>
        <v>Sudán</v>
      </c>
      <c r="F216" s="9" t="str">
        <f>IFERROR(__xludf.DUMMYFUNCTION("GOOGLETRANSLATE($A216,""en"",""it"")"),"Sudan")</f>
        <v>Sudan</v>
      </c>
      <c r="G216" s="9" t="str">
        <f>IFERROR(__xludf.DUMMYFUNCTION("GOOGLETRANSLATE($A216,""en"",""zh-cn"")"),"苏丹")</f>
        <v>苏丹</v>
      </c>
      <c r="H216" s="9" t="str">
        <f>IFERROR(__xludf.DUMMYFUNCTION("GOOGLETRANSLATE($A216,""en"",""ja"")"),"スーダン")</f>
        <v>スーダン</v>
      </c>
      <c r="I216" s="9" t="str">
        <f>IFERROR(__xludf.DUMMYFUNCTION("GOOGLETRANSLATE($A216,""en"",""ko"")"),"수단")</f>
        <v>수단</v>
      </c>
      <c r="J216" s="9" t="str">
        <f>IFERROR(__xludf.DUMMYFUNCTION("GOOGLETRANSLATE($A216,""en"",""pt-BR"")"),"Sudão")</f>
        <v>Sudão</v>
      </c>
    </row>
    <row r="217">
      <c r="A217" s="9" t="str">
        <f>IFERROR(__xludf.DUMMYFUNCTION("""COMPUTED_VALUE"""),"Suriname")</f>
        <v>Suriname</v>
      </c>
      <c r="B217" s="9" t="str">
        <f>IFERROR(__xludf.DUMMYFUNCTION("""COMPUTED_VALUE"""),"sr")</f>
        <v>sr</v>
      </c>
      <c r="C217" s="9" t="str">
        <f>IFERROR(__xludf.DUMMYFUNCTION("GOOGLETRANSLATE($A217,""en"",""de"")"),"Surinam")</f>
        <v>Surinam</v>
      </c>
      <c r="D217" s="9" t="str">
        <f>IFERROR(__xludf.DUMMYFUNCTION("GOOGLETRANSLATE($A217,""en"",""fr"")"),"Surinam")</f>
        <v>Surinam</v>
      </c>
      <c r="E217" s="9" t="str">
        <f>IFERROR(__xludf.DUMMYFUNCTION("GOOGLETRANSLATE($A217,""en"",""es"")"),"Surinam")</f>
        <v>Surinam</v>
      </c>
      <c r="F217" s="9" t="str">
        <f>IFERROR(__xludf.DUMMYFUNCTION("GOOGLETRANSLATE($A217,""en"",""it"")"),"Suriname")</f>
        <v>Suriname</v>
      </c>
      <c r="G217" s="9" t="str">
        <f>IFERROR(__xludf.DUMMYFUNCTION("GOOGLETRANSLATE($A217,""en"",""zh-cn"")"),"苏里南")</f>
        <v>苏里南</v>
      </c>
      <c r="H217" s="9" t="str">
        <f>IFERROR(__xludf.DUMMYFUNCTION("GOOGLETRANSLATE($A217,""en"",""ja"")"),"スリナム")</f>
        <v>スリナム</v>
      </c>
      <c r="I217" s="9" t="str">
        <f>IFERROR(__xludf.DUMMYFUNCTION("GOOGLETRANSLATE($A217,""en"",""ko"")"),"수리남")</f>
        <v>수리남</v>
      </c>
      <c r="J217" s="9" t="str">
        <f>IFERROR(__xludf.DUMMYFUNCTION("GOOGLETRANSLATE($A217,""en"",""pt-BR"")"),"Suriname")</f>
        <v>Suriname</v>
      </c>
    </row>
    <row r="218">
      <c r="A218" s="9" t="str">
        <f>IFERROR(__xludf.DUMMYFUNCTION("""COMPUTED_VALUE"""),"Svalbard, Jan Mayen")</f>
        <v>Svalbard, Jan Mayen</v>
      </c>
      <c r="B218" s="9" t="str">
        <f>IFERROR(__xludf.DUMMYFUNCTION("""COMPUTED_VALUE"""),"sj")</f>
        <v>sj</v>
      </c>
      <c r="C218" s="9" t="str">
        <f>IFERROR(__xludf.DUMMYFUNCTION("GOOGLETRANSLATE($A218,""en"",""de"")"),"Spitzbergen, Jan Mayen")</f>
        <v>Spitzbergen, Jan Mayen</v>
      </c>
      <c r="D218" s="9" t="str">
        <f>IFERROR(__xludf.DUMMYFUNCTION("GOOGLETRANSLATE($A218,""en"",""fr"")"),"Svalbard, Jan Mayen")</f>
        <v>Svalbard, Jan Mayen</v>
      </c>
      <c r="E218" s="9" t="str">
        <f>IFERROR(__xludf.DUMMYFUNCTION("GOOGLETRANSLATE($A218,""en"",""es"")"),"Svalbard, Jan Mayen")</f>
        <v>Svalbard, Jan Mayen</v>
      </c>
      <c r="F218" s="9" t="str">
        <f>IFERROR(__xludf.DUMMYFUNCTION("GOOGLETRANSLATE($A218,""en"",""it"")"),"Svalbard, Jan Mayen")</f>
        <v>Svalbard, Jan Mayen</v>
      </c>
      <c r="G218" s="9" t="str">
        <f>IFERROR(__xludf.DUMMYFUNCTION("GOOGLETRANSLATE($A218,""en"",""zh-cn"")"),"斯瓦尔巴特群岛、扬马延岛")</f>
        <v>斯瓦尔巴特群岛、扬马延岛</v>
      </c>
      <c r="H218" s="9" t="str">
        <f>IFERROR(__xludf.DUMMYFUNCTION("GOOGLETRANSLATE($A218,""en"",""ja"")"),"スバールバル諸島、ヤンマイエン島")</f>
        <v>スバールバル諸島、ヤンマイエン島</v>
      </c>
      <c r="I218" s="9" t="str">
        <f>IFERROR(__xludf.DUMMYFUNCTION("GOOGLETRANSLATE($A218,""en"",""ko"")"),"스발바르, 얀마옌")</f>
        <v>스발바르, 얀마옌</v>
      </c>
      <c r="J218" s="9" t="str">
        <f>IFERROR(__xludf.DUMMYFUNCTION("GOOGLETRANSLATE($A218,""en"",""pt-BR"")"),"Svalbard, Jan Mayen")</f>
        <v>Svalbard, Jan Mayen</v>
      </c>
    </row>
    <row r="219">
      <c r="A219" s="9" t="str">
        <f>IFERROR(__xludf.DUMMYFUNCTION("""COMPUTED_VALUE"""),"Sweden")</f>
        <v>Sweden</v>
      </c>
      <c r="B219" s="9" t="str">
        <f>IFERROR(__xludf.DUMMYFUNCTION("""COMPUTED_VALUE"""),"se")</f>
        <v>se</v>
      </c>
      <c r="C219" s="9" t="str">
        <f>IFERROR(__xludf.DUMMYFUNCTION("GOOGLETRANSLATE($A219,""en"",""de"")"),"Schweden")</f>
        <v>Schweden</v>
      </c>
      <c r="D219" s="9" t="str">
        <f>IFERROR(__xludf.DUMMYFUNCTION("GOOGLETRANSLATE($A219,""en"",""fr"")"),"Suède")</f>
        <v>Suède</v>
      </c>
      <c r="E219" s="9" t="str">
        <f>IFERROR(__xludf.DUMMYFUNCTION("GOOGLETRANSLATE($A219,""en"",""es"")"),"Suecia")</f>
        <v>Suecia</v>
      </c>
      <c r="F219" s="9" t="str">
        <f>IFERROR(__xludf.DUMMYFUNCTION("GOOGLETRANSLATE($A219,""en"",""it"")"),"Svezia")</f>
        <v>Svezia</v>
      </c>
      <c r="G219" s="9" t="str">
        <f>IFERROR(__xludf.DUMMYFUNCTION("GOOGLETRANSLATE($A219,""en"",""zh-cn"")"),"瑞典")</f>
        <v>瑞典</v>
      </c>
      <c r="H219" s="9" t="str">
        <f>IFERROR(__xludf.DUMMYFUNCTION("GOOGLETRANSLATE($A219,""en"",""ja"")"),"スウェーデン")</f>
        <v>スウェーデン</v>
      </c>
      <c r="I219" s="9" t="str">
        <f>IFERROR(__xludf.DUMMYFUNCTION("GOOGLETRANSLATE($A219,""en"",""ko"")"),"스웨덴")</f>
        <v>스웨덴</v>
      </c>
      <c r="J219" s="9" t="str">
        <f>IFERROR(__xludf.DUMMYFUNCTION("GOOGLETRANSLATE($A219,""en"",""pt-BR"")"),"Suécia")</f>
        <v>Suécia</v>
      </c>
    </row>
    <row r="220">
      <c r="A220" s="9" t="str">
        <f>IFERROR(__xludf.DUMMYFUNCTION("""COMPUTED_VALUE"""),"Switzerland")</f>
        <v>Switzerland</v>
      </c>
      <c r="B220" s="9" t="str">
        <f>IFERROR(__xludf.DUMMYFUNCTION("""COMPUTED_VALUE"""),"ch")</f>
        <v>ch</v>
      </c>
      <c r="C220" s="9" t="str">
        <f>IFERROR(__xludf.DUMMYFUNCTION("GOOGLETRANSLATE($A220,""en"",""de"")"),"Schweiz")</f>
        <v>Schweiz</v>
      </c>
      <c r="D220" s="9" t="str">
        <f>IFERROR(__xludf.DUMMYFUNCTION("GOOGLETRANSLATE($A220,""en"",""fr"")"),"Suisse")</f>
        <v>Suisse</v>
      </c>
      <c r="E220" s="9" t="str">
        <f>IFERROR(__xludf.DUMMYFUNCTION("GOOGLETRANSLATE($A220,""en"",""es"")"),"Suiza")</f>
        <v>Suiza</v>
      </c>
      <c r="F220" s="9" t="str">
        <f>IFERROR(__xludf.DUMMYFUNCTION("GOOGLETRANSLATE($A220,""en"",""it"")"),"Svizzera")</f>
        <v>Svizzera</v>
      </c>
      <c r="G220" s="9" t="str">
        <f>IFERROR(__xludf.DUMMYFUNCTION("GOOGLETRANSLATE($A220,""en"",""zh-cn"")"),"瑞士")</f>
        <v>瑞士</v>
      </c>
      <c r="H220" s="9" t="str">
        <f>IFERROR(__xludf.DUMMYFUNCTION("GOOGLETRANSLATE($A220,""en"",""ja"")"),"スイス")</f>
        <v>スイス</v>
      </c>
      <c r="I220" s="9" t="str">
        <f>IFERROR(__xludf.DUMMYFUNCTION("GOOGLETRANSLATE($A220,""en"",""ko"")"),"스위스")</f>
        <v>스위스</v>
      </c>
      <c r="J220" s="9" t="str">
        <f>IFERROR(__xludf.DUMMYFUNCTION("GOOGLETRANSLATE($A220,""en"",""pt-BR"")"),"Suíça")</f>
        <v>Suíça</v>
      </c>
    </row>
    <row r="221">
      <c r="A221" s="9" t="str">
        <f>IFERROR(__xludf.DUMMYFUNCTION("""COMPUTED_VALUE"""),"Syrian Arab Republic")</f>
        <v>Syrian Arab Republic</v>
      </c>
      <c r="B221" s="9" t="str">
        <f>IFERROR(__xludf.DUMMYFUNCTION("""COMPUTED_VALUE"""),"sy")</f>
        <v>sy</v>
      </c>
      <c r="C221" s="9" t="str">
        <f>IFERROR(__xludf.DUMMYFUNCTION("GOOGLETRANSLATE($A221,""en"",""de"")"),"Arabische Republik Syrien")</f>
        <v>Arabische Republik Syrien</v>
      </c>
      <c r="D221" s="9" t="str">
        <f>IFERROR(__xludf.DUMMYFUNCTION("GOOGLETRANSLATE($A221,""en"",""fr"")"),"République arabe syrienne")</f>
        <v>République arabe syrienne</v>
      </c>
      <c r="E221" s="9" t="str">
        <f>IFERROR(__xludf.DUMMYFUNCTION("GOOGLETRANSLATE($A221,""en"",""es"")"),"República Árabe Siria")</f>
        <v>República Árabe Siria</v>
      </c>
      <c r="F221" s="9" t="str">
        <f>IFERROR(__xludf.DUMMYFUNCTION("GOOGLETRANSLATE($A221,""en"",""it"")"),"Repubblica araba siriana")</f>
        <v>Repubblica araba siriana</v>
      </c>
      <c r="G221" s="9" t="str">
        <f>IFERROR(__xludf.DUMMYFUNCTION("GOOGLETRANSLATE($A221,""en"",""zh-cn"")"),"阿拉伯叙利亚共和国")</f>
        <v>阿拉伯叙利亚共和国</v>
      </c>
      <c r="H221" s="9" t="str">
        <f>IFERROR(__xludf.DUMMYFUNCTION("GOOGLETRANSLATE($A221,""en"",""ja"")"),"シリア・アラブ共和国")</f>
        <v>シリア・アラブ共和国</v>
      </c>
      <c r="I221" s="9" t="str">
        <f>IFERROR(__xludf.DUMMYFUNCTION("GOOGLETRANSLATE($A221,""en"",""ko"")"),"시리아 아랍 공화국")</f>
        <v>시리아 아랍 공화국</v>
      </c>
      <c r="J221" s="9" t="str">
        <f>IFERROR(__xludf.DUMMYFUNCTION("GOOGLETRANSLATE($A221,""en"",""pt-BR"")"),"República Árabe Síria")</f>
        <v>República Árabe Síria</v>
      </c>
    </row>
    <row r="222">
      <c r="A222" s="9" t="str">
        <f>IFERROR(__xludf.DUMMYFUNCTION("""COMPUTED_VALUE"""),"Taiwan")</f>
        <v>Taiwan</v>
      </c>
      <c r="B222" s="9" t="str">
        <f>IFERROR(__xludf.DUMMYFUNCTION("""COMPUTED_VALUE"""),"tw")</f>
        <v>tw</v>
      </c>
      <c r="C222" s="9" t="str">
        <f>IFERROR(__xludf.DUMMYFUNCTION("GOOGLETRANSLATE($A222,""en"",""de"")"),"Taiwan")</f>
        <v>Taiwan</v>
      </c>
      <c r="D222" s="9" t="str">
        <f>IFERROR(__xludf.DUMMYFUNCTION("GOOGLETRANSLATE($A222,""en"",""fr"")"),"Taïwan")</f>
        <v>Taïwan</v>
      </c>
      <c r="E222" s="9" t="str">
        <f>IFERROR(__xludf.DUMMYFUNCTION("GOOGLETRANSLATE($A222,""en"",""es"")"),"Taiwán")</f>
        <v>Taiwán</v>
      </c>
      <c r="F222" s="9" t="str">
        <f>IFERROR(__xludf.DUMMYFUNCTION("GOOGLETRANSLATE($A222,""en"",""it"")"),"Taiwan")</f>
        <v>Taiwan</v>
      </c>
      <c r="G222" s="9" t="str">
        <f>IFERROR(__xludf.DUMMYFUNCTION("GOOGLETRANSLATE($A222,""en"",""zh-cn"")"),"台湾")</f>
        <v>台湾</v>
      </c>
      <c r="H222" s="9" t="str">
        <f>IFERROR(__xludf.DUMMYFUNCTION("GOOGLETRANSLATE($A222,""en"",""ja"")"),"台湾")</f>
        <v>台湾</v>
      </c>
      <c r="I222" s="9" t="str">
        <f>IFERROR(__xludf.DUMMYFUNCTION("GOOGLETRANSLATE($A222,""en"",""ko"")"),"대만")</f>
        <v>대만</v>
      </c>
      <c r="J222" s="9" t="str">
        <f>IFERROR(__xludf.DUMMYFUNCTION("GOOGLETRANSLATE($A222,""en"",""pt-BR"")"),"Taiwan")</f>
        <v>Taiwan</v>
      </c>
    </row>
    <row r="223">
      <c r="A223" s="9" t="str">
        <f>IFERROR(__xludf.DUMMYFUNCTION("""COMPUTED_VALUE"""),"Tajikistan")</f>
        <v>Tajikistan</v>
      </c>
      <c r="B223" s="9" t="str">
        <f>IFERROR(__xludf.DUMMYFUNCTION("""COMPUTED_VALUE"""),"tj")</f>
        <v>tj</v>
      </c>
      <c r="C223" s="9" t="str">
        <f>IFERROR(__xludf.DUMMYFUNCTION("GOOGLETRANSLATE($A223,""en"",""de"")"),"Tadschikistan")</f>
        <v>Tadschikistan</v>
      </c>
      <c r="D223" s="9" t="str">
        <f>IFERROR(__xludf.DUMMYFUNCTION("GOOGLETRANSLATE($A223,""en"",""fr"")"),"Tadjikistan")</f>
        <v>Tadjikistan</v>
      </c>
      <c r="E223" s="9" t="str">
        <f>IFERROR(__xludf.DUMMYFUNCTION("GOOGLETRANSLATE($A223,""en"",""es"")"),"Tayikistán")</f>
        <v>Tayikistán</v>
      </c>
      <c r="F223" s="9" t="str">
        <f>IFERROR(__xludf.DUMMYFUNCTION("GOOGLETRANSLATE($A223,""en"",""it"")"),"Tagikistan")</f>
        <v>Tagikistan</v>
      </c>
      <c r="G223" s="9" t="str">
        <f>IFERROR(__xludf.DUMMYFUNCTION("GOOGLETRANSLATE($A223,""en"",""zh-cn"")"),"塔吉克斯坦")</f>
        <v>塔吉克斯坦</v>
      </c>
      <c r="H223" s="9" t="str">
        <f>IFERROR(__xludf.DUMMYFUNCTION("GOOGLETRANSLATE($A223,""en"",""ja"")"),"タジキスタン")</f>
        <v>タジキスタン</v>
      </c>
      <c r="I223" s="9" t="str">
        <f>IFERROR(__xludf.DUMMYFUNCTION("GOOGLETRANSLATE($A223,""en"",""ko"")"),"타지키스탄")</f>
        <v>타지키스탄</v>
      </c>
      <c r="J223" s="9" t="str">
        <f>IFERROR(__xludf.DUMMYFUNCTION("GOOGLETRANSLATE($A223,""en"",""pt-BR"")"),"Tadjiquistão")</f>
        <v>Tadjiquistão</v>
      </c>
    </row>
    <row r="224">
      <c r="A224" s="9" t="str">
        <f>IFERROR(__xludf.DUMMYFUNCTION("""COMPUTED_VALUE"""),"Tanzania")</f>
        <v>Tanzania</v>
      </c>
      <c r="B224" s="9" t="str">
        <f>IFERROR(__xludf.DUMMYFUNCTION("""COMPUTED_VALUE"""),"tz")</f>
        <v>tz</v>
      </c>
      <c r="C224" s="9" t="str">
        <f>IFERROR(__xludf.DUMMYFUNCTION("GOOGLETRANSLATE($A224,""en"",""de"")"),"Tansania")</f>
        <v>Tansania</v>
      </c>
      <c r="D224" s="9" t="str">
        <f>IFERROR(__xludf.DUMMYFUNCTION("GOOGLETRANSLATE($A224,""en"",""fr"")"),"Tanzanie")</f>
        <v>Tanzanie</v>
      </c>
      <c r="E224" s="9" t="str">
        <f>IFERROR(__xludf.DUMMYFUNCTION("GOOGLETRANSLATE($A224,""en"",""es"")"),"Tanzania")</f>
        <v>Tanzania</v>
      </c>
      <c r="F224" s="9" t="str">
        <f>IFERROR(__xludf.DUMMYFUNCTION("GOOGLETRANSLATE($A224,""en"",""it"")"),"Tanzania")</f>
        <v>Tanzania</v>
      </c>
      <c r="G224" s="9" t="str">
        <f>IFERROR(__xludf.DUMMYFUNCTION("GOOGLETRANSLATE($A224,""en"",""zh-cn"")"),"坦桑尼亚")</f>
        <v>坦桑尼亚</v>
      </c>
      <c r="H224" s="9" t="str">
        <f>IFERROR(__xludf.DUMMYFUNCTION("GOOGLETRANSLATE($A224,""en"",""ja"")"),"タンザニア")</f>
        <v>タンザニア</v>
      </c>
      <c r="I224" s="9" t="str">
        <f>IFERROR(__xludf.DUMMYFUNCTION("GOOGLETRANSLATE($A224,""en"",""ko"")"),"탄자니아")</f>
        <v>탄자니아</v>
      </c>
      <c r="J224" s="9" t="str">
        <f>IFERROR(__xludf.DUMMYFUNCTION("GOOGLETRANSLATE($A224,""en"",""pt-BR"")"),"Tanzânia")</f>
        <v>Tanzânia</v>
      </c>
    </row>
    <row r="225">
      <c r="A225" s="9" t="str">
        <f>IFERROR(__xludf.DUMMYFUNCTION("""COMPUTED_VALUE"""),"Thailand")</f>
        <v>Thailand</v>
      </c>
      <c r="B225" s="9" t="str">
        <f>IFERROR(__xludf.DUMMYFUNCTION("""COMPUTED_VALUE"""),"th")</f>
        <v>th</v>
      </c>
      <c r="C225" s="9" t="str">
        <f>IFERROR(__xludf.DUMMYFUNCTION("GOOGLETRANSLATE($A225,""en"",""de"")"),"Thailand")</f>
        <v>Thailand</v>
      </c>
      <c r="D225" s="9" t="str">
        <f>IFERROR(__xludf.DUMMYFUNCTION("GOOGLETRANSLATE($A225,""en"",""fr"")"),"Thaïlande")</f>
        <v>Thaïlande</v>
      </c>
      <c r="E225" s="9" t="str">
        <f>IFERROR(__xludf.DUMMYFUNCTION("GOOGLETRANSLATE($A225,""en"",""es"")"),"Tailandia")</f>
        <v>Tailandia</v>
      </c>
      <c r="F225" s="9" t="str">
        <f>IFERROR(__xludf.DUMMYFUNCTION("GOOGLETRANSLATE($A225,""en"",""it"")"),"Tailandia")</f>
        <v>Tailandia</v>
      </c>
      <c r="G225" s="9" t="str">
        <f>IFERROR(__xludf.DUMMYFUNCTION("GOOGLETRANSLATE($A225,""en"",""zh-cn"")"),"泰国")</f>
        <v>泰国</v>
      </c>
      <c r="H225" s="9" t="str">
        <f>IFERROR(__xludf.DUMMYFUNCTION("GOOGLETRANSLATE($A225,""en"",""ja"")"),"タイ")</f>
        <v>タイ</v>
      </c>
      <c r="I225" s="9" t="str">
        <f>IFERROR(__xludf.DUMMYFUNCTION("GOOGLETRANSLATE($A225,""en"",""ko"")"),"태국")</f>
        <v>태국</v>
      </c>
      <c r="J225" s="9" t="str">
        <f>IFERROR(__xludf.DUMMYFUNCTION("GOOGLETRANSLATE($A225,""en"",""pt-BR"")"),"Tailândia")</f>
        <v>Tailândia</v>
      </c>
    </row>
    <row r="226">
      <c r="A226" s="9" t="str">
        <f>IFERROR(__xludf.DUMMYFUNCTION("""COMPUTED_VALUE"""),"Timor-Leste")</f>
        <v>Timor-Leste</v>
      </c>
      <c r="B226" s="9" t="str">
        <f>IFERROR(__xludf.DUMMYFUNCTION("""COMPUTED_VALUE"""),"tl")</f>
        <v>tl</v>
      </c>
      <c r="C226" s="9" t="str">
        <f>IFERROR(__xludf.DUMMYFUNCTION("GOOGLETRANSLATE($A226,""en"",""de"")"),"Timor-Leste")</f>
        <v>Timor-Leste</v>
      </c>
      <c r="D226" s="9" t="str">
        <f>IFERROR(__xludf.DUMMYFUNCTION("GOOGLETRANSLATE($A226,""en"",""fr"")"),"Timor-Leste")</f>
        <v>Timor-Leste</v>
      </c>
      <c r="E226" s="9" t="str">
        <f>IFERROR(__xludf.DUMMYFUNCTION("GOOGLETRANSLATE($A226,""en"",""es"")"),"Timor Oriental")</f>
        <v>Timor Oriental</v>
      </c>
      <c r="F226" s="9" t="str">
        <f>IFERROR(__xludf.DUMMYFUNCTION("GOOGLETRANSLATE($A226,""en"",""it"")"),"Timor Est")</f>
        <v>Timor Est</v>
      </c>
      <c r="G226" s="9" t="str">
        <f>IFERROR(__xludf.DUMMYFUNCTION("GOOGLETRANSLATE($A226,""en"",""zh-cn"")"),"东帝汶")</f>
        <v>东帝汶</v>
      </c>
      <c r="H226" s="9" t="str">
        <f>IFERROR(__xludf.DUMMYFUNCTION("GOOGLETRANSLATE($A226,""en"",""ja"")"),"東ティモール")</f>
        <v>東ティモール</v>
      </c>
      <c r="I226" s="9" t="str">
        <f>IFERROR(__xludf.DUMMYFUNCTION("GOOGLETRANSLATE($A226,""en"",""ko"")"),"동티모르")</f>
        <v>동티모르</v>
      </c>
      <c r="J226" s="9" t="str">
        <f>IFERROR(__xludf.DUMMYFUNCTION("GOOGLETRANSLATE($A226,""en"",""pt-BR"")"),"Timor-Leste")</f>
        <v>Timor-Leste</v>
      </c>
    </row>
    <row r="227">
      <c r="A227" s="9" t="str">
        <f>IFERROR(__xludf.DUMMYFUNCTION("""COMPUTED_VALUE"""),"Togo")</f>
        <v>Togo</v>
      </c>
      <c r="B227" s="9" t="str">
        <f>IFERROR(__xludf.DUMMYFUNCTION("""COMPUTED_VALUE"""),"tg")</f>
        <v>tg</v>
      </c>
      <c r="C227" s="9" t="str">
        <f>IFERROR(__xludf.DUMMYFUNCTION("GOOGLETRANSLATE($A227,""en"",""de"")"),"Togo")</f>
        <v>Togo</v>
      </c>
      <c r="D227" s="9" t="str">
        <f>IFERROR(__xludf.DUMMYFUNCTION("GOOGLETRANSLATE($A227,""en"",""fr"")"),"Aller")</f>
        <v>Aller</v>
      </c>
      <c r="E227" s="9" t="str">
        <f>IFERROR(__xludf.DUMMYFUNCTION("GOOGLETRANSLATE($A227,""en"",""es"")"),"Ir")</f>
        <v>Ir</v>
      </c>
      <c r="F227" s="9" t="str">
        <f>IFERROR(__xludf.DUMMYFUNCTION("GOOGLETRANSLATE($A227,""en"",""it"")"),"Togo")</f>
        <v>Togo</v>
      </c>
      <c r="G227" s="9" t="str">
        <f>IFERROR(__xludf.DUMMYFUNCTION("GOOGLETRANSLATE($A227,""en"",""zh-cn"")"),"多哥")</f>
        <v>多哥</v>
      </c>
      <c r="H227" s="9" t="str">
        <f>IFERROR(__xludf.DUMMYFUNCTION("GOOGLETRANSLATE($A227,""en"",""ja"")"),"持ち帰り")</f>
        <v>持ち帰り</v>
      </c>
      <c r="I227" s="9" t="str">
        <f>IFERROR(__xludf.DUMMYFUNCTION("GOOGLETRANSLATE($A227,""en"",""ko"")"),"토고")</f>
        <v>토고</v>
      </c>
      <c r="J227" s="9" t="str">
        <f>IFERROR(__xludf.DUMMYFUNCTION("GOOGLETRANSLATE($A227,""en"",""pt-BR"")"),"Ir")</f>
        <v>Ir</v>
      </c>
    </row>
    <row r="228">
      <c r="A228" s="9" t="str">
        <f>IFERROR(__xludf.DUMMYFUNCTION("""COMPUTED_VALUE"""),"Tokelau")</f>
        <v>Tokelau</v>
      </c>
      <c r="B228" s="9" t="str">
        <f>IFERROR(__xludf.DUMMYFUNCTION("""COMPUTED_VALUE"""),"tk")</f>
        <v>tk</v>
      </c>
      <c r="C228" s="9" t="str">
        <f>IFERROR(__xludf.DUMMYFUNCTION("GOOGLETRANSLATE($A228,""en"",""de"")"),"Tokelau")</f>
        <v>Tokelau</v>
      </c>
      <c r="D228" s="9" t="str">
        <f>IFERROR(__xludf.DUMMYFUNCTION("GOOGLETRANSLATE($A228,""en"",""fr"")"),"Tokélaou")</f>
        <v>Tokélaou</v>
      </c>
      <c r="E228" s="9" t="str">
        <f>IFERROR(__xludf.DUMMYFUNCTION("GOOGLETRANSLATE($A228,""en"",""es"")"),"Tokelau")</f>
        <v>Tokelau</v>
      </c>
      <c r="F228" s="9" t="str">
        <f>IFERROR(__xludf.DUMMYFUNCTION("GOOGLETRANSLATE($A228,""en"",""it"")"),"Tokelau")</f>
        <v>Tokelau</v>
      </c>
      <c r="G228" s="9" t="str">
        <f>IFERROR(__xludf.DUMMYFUNCTION("GOOGLETRANSLATE($A228,""en"",""zh-cn"")"),"托克劳")</f>
        <v>托克劳</v>
      </c>
      <c r="H228" s="9" t="str">
        <f>IFERROR(__xludf.DUMMYFUNCTION("GOOGLETRANSLATE($A228,""en"",""ja"")"),"トケラウ")</f>
        <v>トケラウ</v>
      </c>
      <c r="I228" s="9" t="str">
        <f>IFERROR(__xludf.DUMMYFUNCTION("GOOGLETRANSLATE($A228,""en"",""ko"")"),"토켈라우")</f>
        <v>토켈라우</v>
      </c>
      <c r="J228" s="9" t="str">
        <f>IFERROR(__xludf.DUMMYFUNCTION("GOOGLETRANSLATE($A228,""en"",""pt-BR"")"),"Toquelau")</f>
        <v>Toquelau</v>
      </c>
    </row>
    <row r="229">
      <c r="A229" s="9" t="str">
        <f>IFERROR(__xludf.DUMMYFUNCTION("""COMPUTED_VALUE"""),"Tonga")</f>
        <v>Tonga</v>
      </c>
      <c r="B229" s="9" t="str">
        <f>IFERROR(__xludf.DUMMYFUNCTION("""COMPUTED_VALUE"""),"to")</f>
        <v>to</v>
      </c>
      <c r="C229" s="9" t="str">
        <f>IFERROR(__xludf.DUMMYFUNCTION("GOOGLETRANSLATE($A229,""en"",""de"")"),"Tonga")</f>
        <v>Tonga</v>
      </c>
      <c r="D229" s="9" t="str">
        <f>IFERROR(__xludf.DUMMYFUNCTION("GOOGLETRANSLATE($A229,""en"",""fr"")"),"Tonga")</f>
        <v>Tonga</v>
      </c>
      <c r="E229" s="9" t="str">
        <f>IFERROR(__xludf.DUMMYFUNCTION("GOOGLETRANSLATE($A229,""en"",""es"")"),"Tonga")</f>
        <v>Tonga</v>
      </c>
      <c r="F229" s="9" t="str">
        <f>IFERROR(__xludf.DUMMYFUNCTION("GOOGLETRANSLATE($A229,""en"",""it"")"),"Tonga")</f>
        <v>Tonga</v>
      </c>
      <c r="G229" s="9" t="str">
        <f>IFERROR(__xludf.DUMMYFUNCTION("GOOGLETRANSLATE($A229,""en"",""zh-cn"")"),"汤加")</f>
        <v>汤加</v>
      </c>
      <c r="H229" s="9" t="str">
        <f>IFERROR(__xludf.DUMMYFUNCTION("GOOGLETRANSLATE($A229,""en"",""ja"")"),"トンガ")</f>
        <v>トンガ</v>
      </c>
      <c r="I229" s="9" t="str">
        <f>IFERROR(__xludf.DUMMYFUNCTION("GOOGLETRANSLATE($A229,""en"",""ko"")"),"통가")</f>
        <v>통가</v>
      </c>
      <c r="J229" s="9" t="str">
        <f>IFERROR(__xludf.DUMMYFUNCTION("GOOGLETRANSLATE($A229,""en"",""pt-BR"")"),"Tonga")</f>
        <v>Tonga</v>
      </c>
    </row>
    <row r="230">
      <c r="A230" s="9" t="str">
        <f>IFERROR(__xludf.DUMMYFUNCTION("""COMPUTED_VALUE"""),"Trinidad and Tobago")</f>
        <v>Trinidad and Tobago</v>
      </c>
      <c r="B230" s="9" t="str">
        <f>IFERROR(__xludf.DUMMYFUNCTION("""COMPUTED_VALUE"""),"tt")</f>
        <v>tt</v>
      </c>
      <c r="C230" s="9" t="str">
        <f>IFERROR(__xludf.DUMMYFUNCTION("GOOGLETRANSLATE($A230,""en"",""de"")"),"Trinidad und Tobago")</f>
        <v>Trinidad und Tobago</v>
      </c>
      <c r="D230" s="9" t="str">
        <f>IFERROR(__xludf.DUMMYFUNCTION("GOOGLETRANSLATE($A230,""en"",""fr"")"),"Trinité-et-Tobago")</f>
        <v>Trinité-et-Tobago</v>
      </c>
      <c r="E230" s="9" t="str">
        <f>IFERROR(__xludf.DUMMYFUNCTION("GOOGLETRANSLATE($A230,""en"",""es"")"),"Trinidad y Tobago")</f>
        <v>Trinidad y Tobago</v>
      </c>
      <c r="F230" s="9" t="str">
        <f>IFERROR(__xludf.DUMMYFUNCTION("GOOGLETRANSLATE($A230,""en"",""it"")"),"Trinidad e Tobago")</f>
        <v>Trinidad e Tobago</v>
      </c>
      <c r="G230" s="9" t="str">
        <f>IFERROR(__xludf.DUMMYFUNCTION("GOOGLETRANSLATE($A230,""en"",""zh-cn"")"),"特立尼达和多巴哥")</f>
        <v>特立尼达和多巴哥</v>
      </c>
      <c r="H230" s="9" t="str">
        <f>IFERROR(__xludf.DUMMYFUNCTION("GOOGLETRANSLATE($A230,""en"",""ja"")"),"トリニダード・トバゴ")</f>
        <v>トリニダード・トバゴ</v>
      </c>
      <c r="I230" s="9" t="str">
        <f>IFERROR(__xludf.DUMMYFUNCTION("GOOGLETRANSLATE($A230,""en"",""ko"")"),"트리니다드 토바고")</f>
        <v>트리니다드 토바고</v>
      </c>
      <c r="J230" s="9" t="str">
        <f>IFERROR(__xludf.DUMMYFUNCTION("GOOGLETRANSLATE($A230,""en"",""pt-BR"")"),"Trinidad e Tobago")</f>
        <v>Trinidad e Tobago</v>
      </c>
    </row>
    <row r="231">
      <c r="A231" s="9" t="str">
        <f>IFERROR(__xludf.DUMMYFUNCTION("""COMPUTED_VALUE"""),"Tunisia")</f>
        <v>Tunisia</v>
      </c>
      <c r="B231" s="9" t="str">
        <f>IFERROR(__xludf.DUMMYFUNCTION("""COMPUTED_VALUE"""),"tn")</f>
        <v>tn</v>
      </c>
      <c r="C231" s="9" t="str">
        <f>IFERROR(__xludf.DUMMYFUNCTION("GOOGLETRANSLATE($A231,""en"",""de"")"),"Tunesien")</f>
        <v>Tunesien</v>
      </c>
      <c r="D231" s="9" t="str">
        <f>IFERROR(__xludf.DUMMYFUNCTION("GOOGLETRANSLATE($A231,""en"",""fr"")"),"Tunisie")</f>
        <v>Tunisie</v>
      </c>
      <c r="E231" s="9" t="str">
        <f>IFERROR(__xludf.DUMMYFUNCTION("GOOGLETRANSLATE($A231,""en"",""es"")"),"Túnez")</f>
        <v>Túnez</v>
      </c>
      <c r="F231" s="9" t="str">
        <f>IFERROR(__xludf.DUMMYFUNCTION("GOOGLETRANSLATE($A231,""en"",""it"")"),"Tunisia")</f>
        <v>Tunisia</v>
      </c>
      <c r="G231" s="9" t="str">
        <f>IFERROR(__xludf.DUMMYFUNCTION("GOOGLETRANSLATE($A231,""en"",""zh-cn"")"),"突尼斯")</f>
        <v>突尼斯</v>
      </c>
      <c r="H231" s="9" t="str">
        <f>IFERROR(__xludf.DUMMYFUNCTION("GOOGLETRANSLATE($A231,""en"",""ja"")"),"チュニジア")</f>
        <v>チュニジア</v>
      </c>
      <c r="I231" s="9" t="str">
        <f>IFERROR(__xludf.DUMMYFUNCTION("GOOGLETRANSLATE($A231,""en"",""ko"")"),"튀니지")</f>
        <v>튀니지</v>
      </c>
      <c r="J231" s="9" t="str">
        <f>IFERROR(__xludf.DUMMYFUNCTION("GOOGLETRANSLATE($A231,""en"",""pt-BR"")"),"Tunísia")</f>
        <v>Tunísia</v>
      </c>
    </row>
    <row r="232">
      <c r="A232" s="9" t="str">
        <f>IFERROR(__xludf.DUMMYFUNCTION("""COMPUTED_VALUE"""),"Turkey")</f>
        <v>Turkey</v>
      </c>
      <c r="B232" s="9" t="str">
        <f>IFERROR(__xludf.DUMMYFUNCTION("""COMPUTED_VALUE"""),"tr")</f>
        <v>tr</v>
      </c>
      <c r="C232" s="9" t="str">
        <f>IFERROR(__xludf.DUMMYFUNCTION("GOOGLETRANSLATE($A232,""en"",""de"")"),"Truthahn")</f>
        <v>Truthahn</v>
      </c>
      <c r="D232" s="9" t="str">
        <f>IFERROR(__xludf.DUMMYFUNCTION("GOOGLETRANSLATE($A232,""en"",""fr"")"),"Turquie")</f>
        <v>Turquie</v>
      </c>
      <c r="E232" s="9" t="str">
        <f>IFERROR(__xludf.DUMMYFUNCTION("GOOGLETRANSLATE($A232,""en"",""es"")"),"Pavo")</f>
        <v>Pavo</v>
      </c>
      <c r="F232" s="9" t="str">
        <f>IFERROR(__xludf.DUMMYFUNCTION("GOOGLETRANSLATE($A232,""en"",""it"")"),"Tacchino")</f>
        <v>Tacchino</v>
      </c>
      <c r="G232" s="9" t="str">
        <f>IFERROR(__xludf.DUMMYFUNCTION("GOOGLETRANSLATE($A232,""en"",""zh-cn"")"),"火鸡")</f>
        <v>火鸡</v>
      </c>
      <c r="H232" s="9" t="str">
        <f>IFERROR(__xludf.DUMMYFUNCTION("GOOGLETRANSLATE($A232,""en"",""ja"")"),"七面鳥")</f>
        <v>七面鳥</v>
      </c>
      <c r="I232" s="9" t="str">
        <f>IFERROR(__xludf.DUMMYFUNCTION("GOOGLETRANSLATE($A232,""en"",""ko"")"),"칠면조")</f>
        <v>칠면조</v>
      </c>
      <c r="J232" s="9" t="str">
        <f>IFERROR(__xludf.DUMMYFUNCTION("GOOGLETRANSLATE($A232,""en"",""pt-BR"")"),"Peru")</f>
        <v>Peru</v>
      </c>
    </row>
    <row r="233">
      <c r="A233" s="9" t="str">
        <f>IFERROR(__xludf.DUMMYFUNCTION("""COMPUTED_VALUE"""),"Turkmenistan")</f>
        <v>Turkmenistan</v>
      </c>
      <c r="B233" s="9" t="str">
        <f>IFERROR(__xludf.DUMMYFUNCTION("""COMPUTED_VALUE"""),"tm")</f>
        <v>tm</v>
      </c>
      <c r="C233" s="9" t="str">
        <f>IFERROR(__xludf.DUMMYFUNCTION("GOOGLETRANSLATE($A233,""en"",""de"")"),"Turkmenistan")</f>
        <v>Turkmenistan</v>
      </c>
      <c r="D233" s="9" t="str">
        <f>IFERROR(__xludf.DUMMYFUNCTION("GOOGLETRANSLATE($A233,""en"",""fr"")"),"Turkménistan")</f>
        <v>Turkménistan</v>
      </c>
      <c r="E233" s="9" t="str">
        <f>IFERROR(__xludf.DUMMYFUNCTION("GOOGLETRANSLATE($A233,""en"",""es"")"),"Turkmenistán")</f>
        <v>Turkmenistán</v>
      </c>
      <c r="F233" s="9" t="str">
        <f>IFERROR(__xludf.DUMMYFUNCTION("GOOGLETRANSLATE($A233,""en"",""it"")"),"Turkmenistan")</f>
        <v>Turkmenistan</v>
      </c>
      <c r="G233" s="9" t="str">
        <f>IFERROR(__xludf.DUMMYFUNCTION("GOOGLETRANSLATE($A233,""en"",""zh-cn"")"),"土库曼斯坦")</f>
        <v>土库曼斯坦</v>
      </c>
      <c r="H233" s="9" t="str">
        <f>IFERROR(__xludf.DUMMYFUNCTION("GOOGLETRANSLATE($A233,""en"",""ja"")"),"トルクメニスタン")</f>
        <v>トルクメニスタン</v>
      </c>
      <c r="I233" s="9" t="str">
        <f>IFERROR(__xludf.DUMMYFUNCTION("GOOGLETRANSLATE($A233,""en"",""ko"")"),"투르크메니스탄")</f>
        <v>투르크메니스탄</v>
      </c>
      <c r="J233" s="9" t="str">
        <f>IFERROR(__xludf.DUMMYFUNCTION("GOOGLETRANSLATE($A233,""en"",""pt-BR"")"),"Turcomenistão")</f>
        <v>Turcomenistão</v>
      </c>
    </row>
    <row r="234">
      <c r="A234" s="9" t="str">
        <f>IFERROR(__xludf.DUMMYFUNCTION("""COMPUTED_VALUE"""),"Turks and Caicos Islands")</f>
        <v>Turks and Caicos Islands</v>
      </c>
      <c r="B234" s="9" t="str">
        <f>IFERROR(__xludf.DUMMYFUNCTION("""COMPUTED_VALUE"""),"tc")</f>
        <v>tc</v>
      </c>
      <c r="C234" s="9" t="str">
        <f>IFERROR(__xludf.DUMMYFUNCTION("GOOGLETRANSLATE($A234,""en"",""de"")"),"Turks- und Caicosinseln")</f>
        <v>Turks- und Caicosinseln</v>
      </c>
      <c r="D234" s="9" t="str">
        <f>IFERROR(__xludf.DUMMYFUNCTION("GOOGLETRANSLATE($A234,""en"",""fr"")"),"Îles Turques et Caïques")</f>
        <v>Îles Turques et Caïques</v>
      </c>
      <c r="E234" s="9" t="str">
        <f>IFERROR(__xludf.DUMMYFUNCTION("GOOGLETRANSLATE($A234,""en"",""es"")"),"Islas Turcas y Caicos")</f>
        <v>Islas Turcas y Caicos</v>
      </c>
      <c r="F234" s="9" t="str">
        <f>IFERROR(__xludf.DUMMYFUNCTION("GOOGLETRANSLATE($A234,""en"",""it"")"),"Isole Turks e Caicos")</f>
        <v>Isole Turks e Caicos</v>
      </c>
      <c r="G234" s="9" t="str">
        <f>IFERROR(__xludf.DUMMYFUNCTION("GOOGLETRANSLATE($A234,""en"",""zh-cn"")"),"特克斯和凯科斯群岛")</f>
        <v>特克斯和凯科斯群岛</v>
      </c>
      <c r="H234" s="9" t="str">
        <f>IFERROR(__xludf.DUMMYFUNCTION("GOOGLETRANSLATE($A234,""en"",""ja"")"),"タークス・カイコス諸島")</f>
        <v>タークス・カイコス諸島</v>
      </c>
      <c r="I234" s="9" t="str">
        <f>IFERROR(__xludf.DUMMYFUNCTION("GOOGLETRANSLATE($A234,""en"",""ko"")"),"터크스 케이커스 제도")</f>
        <v>터크스 케이커스 제도</v>
      </c>
      <c r="J234" s="9" t="str">
        <f>IFERROR(__xludf.DUMMYFUNCTION("GOOGLETRANSLATE($A234,""en"",""pt-BR"")"),"Ilhas Turcas e Caicos")</f>
        <v>Ilhas Turcas e Caicos</v>
      </c>
    </row>
    <row r="235">
      <c r="A235" s="9" t="str">
        <f>IFERROR(__xludf.DUMMYFUNCTION("""COMPUTED_VALUE"""),"Tuvalu")</f>
        <v>Tuvalu</v>
      </c>
      <c r="B235" s="9" t="str">
        <f>IFERROR(__xludf.DUMMYFUNCTION("""COMPUTED_VALUE"""),"tv")</f>
        <v>tv</v>
      </c>
      <c r="C235" s="9" t="str">
        <f>IFERROR(__xludf.DUMMYFUNCTION("GOOGLETRANSLATE($A235,""en"",""de"")"),"Tuvalu")</f>
        <v>Tuvalu</v>
      </c>
      <c r="D235" s="9" t="str">
        <f>IFERROR(__xludf.DUMMYFUNCTION("GOOGLETRANSLATE($A235,""en"",""fr"")"),"Tuvalu")</f>
        <v>Tuvalu</v>
      </c>
      <c r="E235" s="9" t="str">
        <f>IFERROR(__xludf.DUMMYFUNCTION("GOOGLETRANSLATE($A235,""en"",""es"")"),"Tuvalu")</f>
        <v>Tuvalu</v>
      </c>
      <c r="F235" s="9" t="str">
        <f>IFERROR(__xludf.DUMMYFUNCTION("GOOGLETRANSLATE($A235,""en"",""it"")"),"Tuvalu")</f>
        <v>Tuvalu</v>
      </c>
      <c r="G235" s="9" t="str">
        <f>IFERROR(__xludf.DUMMYFUNCTION("GOOGLETRANSLATE($A235,""en"",""zh-cn"")"),"图瓦卢")</f>
        <v>图瓦卢</v>
      </c>
      <c r="H235" s="9" t="str">
        <f>IFERROR(__xludf.DUMMYFUNCTION("GOOGLETRANSLATE($A235,""en"",""ja"")"),"ツバル")</f>
        <v>ツバル</v>
      </c>
      <c r="I235" s="9" t="str">
        <f>IFERROR(__xludf.DUMMYFUNCTION("GOOGLETRANSLATE($A235,""en"",""ko"")"),"투발루")</f>
        <v>투발루</v>
      </c>
      <c r="J235" s="9" t="str">
        <f>IFERROR(__xludf.DUMMYFUNCTION("GOOGLETRANSLATE($A235,""en"",""pt-BR"")"),"Tuvalu")</f>
        <v>Tuvalu</v>
      </c>
    </row>
    <row r="236">
      <c r="A236" s="9" t="str">
        <f>IFERROR(__xludf.DUMMYFUNCTION("""COMPUTED_VALUE"""),"Uganda")</f>
        <v>Uganda</v>
      </c>
      <c r="B236" s="9" t="str">
        <f>IFERROR(__xludf.DUMMYFUNCTION("""COMPUTED_VALUE"""),"ug")</f>
        <v>ug</v>
      </c>
      <c r="C236" s="9" t="str">
        <f>IFERROR(__xludf.DUMMYFUNCTION("GOOGLETRANSLATE($A236,""en"",""de"")"),"Uganda")</f>
        <v>Uganda</v>
      </c>
      <c r="D236" s="9" t="str">
        <f>IFERROR(__xludf.DUMMYFUNCTION("GOOGLETRANSLATE($A236,""en"",""fr"")"),"Ouganda")</f>
        <v>Ouganda</v>
      </c>
      <c r="E236" s="9" t="str">
        <f>IFERROR(__xludf.DUMMYFUNCTION("GOOGLETRANSLATE($A236,""en"",""es"")"),"Uganda")</f>
        <v>Uganda</v>
      </c>
      <c r="F236" s="9" t="str">
        <f>IFERROR(__xludf.DUMMYFUNCTION("GOOGLETRANSLATE($A236,""en"",""it"")"),"Uganda")</f>
        <v>Uganda</v>
      </c>
      <c r="G236" s="9" t="str">
        <f>IFERROR(__xludf.DUMMYFUNCTION("GOOGLETRANSLATE($A236,""en"",""zh-cn"")"),"乌干达")</f>
        <v>乌干达</v>
      </c>
      <c r="H236" s="9" t="str">
        <f>IFERROR(__xludf.DUMMYFUNCTION("GOOGLETRANSLATE($A236,""en"",""ja"")"),"ウガンダ")</f>
        <v>ウガンダ</v>
      </c>
      <c r="I236" s="9" t="str">
        <f>IFERROR(__xludf.DUMMYFUNCTION("GOOGLETRANSLATE($A236,""en"",""ko"")"),"우간다")</f>
        <v>우간다</v>
      </c>
      <c r="J236" s="9" t="str">
        <f>IFERROR(__xludf.DUMMYFUNCTION("GOOGLETRANSLATE($A236,""en"",""pt-BR"")"),"Uganda")</f>
        <v>Uganda</v>
      </c>
    </row>
    <row r="237">
      <c r="A237" s="9" t="str">
        <f>IFERROR(__xludf.DUMMYFUNCTION("""COMPUTED_VALUE"""),"Ukraine")</f>
        <v>Ukraine</v>
      </c>
      <c r="B237" s="9" t="str">
        <f>IFERROR(__xludf.DUMMYFUNCTION("""COMPUTED_VALUE"""),"ua")</f>
        <v>ua</v>
      </c>
      <c r="C237" s="9" t="str">
        <f>IFERROR(__xludf.DUMMYFUNCTION("GOOGLETRANSLATE($A237,""en"",""de"")"),"Ukraine")</f>
        <v>Ukraine</v>
      </c>
      <c r="D237" s="9" t="str">
        <f>IFERROR(__xludf.DUMMYFUNCTION("GOOGLETRANSLATE($A237,""en"",""fr"")"),"Ukraine")</f>
        <v>Ukraine</v>
      </c>
      <c r="E237" s="9" t="str">
        <f>IFERROR(__xludf.DUMMYFUNCTION("GOOGLETRANSLATE($A237,""en"",""es"")"),"Ucrania")</f>
        <v>Ucrania</v>
      </c>
      <c r="F237" s="9" t="str">
        <f>IFERROR(__xludf.DUMMYFUNCTION("GOOGLETRANSLATE($A237,""en"",""it"")"),"Ucraina")</f>
        <v>Ucraina</v>
      </c>
      <c r="G237" s="9" t="str">
        <f>IFERROR(__xludf.DUMMYFUNCTION("GOOGLETRANSLATE($A237,""en"",""zh-cn"")"),"乌克兰")</f>
        <v>乌克兰</v>
      </c>
      <c r="H237" s="9" t="str">
        <f>IFERROR(__xludf.DUMMYFUNCTION("GOOGLETRANSLATE($A237,""en"",""ja"")"),"ウクライナ")</f>
        <v>ウクライナ</v>
      </c>
      <c r="I237" s="9" t="str">
        <f>IFERROR(__xludf.DUMMYFUNCTION("GOOGLETRANSLATE($A237,""en"",""ko"")"),"우크라이나")</f>
        <v>우크라이나</v>
      </c>
      <c r="J237" s="9" t="str">
        <f>IFERROR(__xludf.DUMMYFUNCTION("GOOGLETRANSLATE($A237,""en"",""pt-BR"")"),"Ucrânia")</f>
        <v>Ucrânia</v>
      </c>
    </row>
    <row r="238">
      <c r="A238" s="9" t="str">
        <f>IFERROR(__xludf.DUMMYFUNCTION("""COMPUTED_VALUE"""),"United Arab Emirates")</f>
        <v>United Arab Emirates</v>
      </c>
      <c r="B238" s="9" t="str">
        <f>IFERROR(__xludf.DUMMYFUNCTION("""COMPUTED_VALUE"""),"ae")</f>
        <v>ae</v>
      </c>
      <c r="C238" s="9" t="str">
        <f>IFERROR(__xludf.DUMMYFUNCTION("GOOGLETRANSLATE($A238,""en"",""de"")"),"Vereinigte Arabische Emirate")</f>
        <v>Vereinigte Arabische Emirate</v>
      </c>
      <c r="D238" s="9" t="str">
        <f>IFERROR(__xludf.DUMMYFUNCTION("GOOGLETRANSLATE($A238,""en"",""fr"")"),"Émirats arabes unis")</f>
        <v>Émirats arabes unis</v>
      </c>
      <c r="E238" s="9" t="str">
        <f>IFERROR(__xludf.DUMMYFUNCTION("GOOGLETRANSLATE($A238,""en"",""es"")"),"Emiratos Árabes Unidos")</f>
        <v>Emiratos Árabes Unidos</v>
      </c>
      <c r="F238" s="9" t="str">
        <f>IFERROR(__xludf.DUMMYFUNCTION("GOOGLETRANSLATE($A238,""en"",""it"")"),"Emirati Arabi Uniti")</f>
        <v>Emirati Arabi Uniti</v>
      </c>
      <c r="G238" s="9" t="str">
        <f>IFERROR(__xludf.DUMMYFUNCTION("GOOGLETRANSLATE($A238,""en"",""zh-cn"")"),"阿拉伯联合酋长国")</f>
        <v>阿拉伯联合酋长国</v>
      </c>
      <c r="H238" s="9" t="str">
        <f>IFERROR(__xludf.DUMMYFUNCTION("GOOGLETRANSLATE($A238,""en"",""ja"")"),"アラブ首長国連邦")</f>
        <v>アラブ首長国連邦</v>
      </c>
      <c r="I238" s="9" t="str">
        <f>IFERROR(__xludf.DUMMYFUNCTION("GOOGLETRANSLATE($A238,""en"",""ko"")"),"아랍에미리트")</f>
        <v>아랍에미리트</v>
      </c>
      <c r="J238" s="9" t="str">
        <f>IFERROR(__xludf.DUMMYFUNCTION("GOOGLETRANSLATE($A238,""en"",""pt-BR"")"),"Emirados Árabes Unidos")</f>
        <v>Emirados Árabes Unidos</v>
      </c>
    </row>
    <row r="239">
      <c r="A239" s="9" t="str">
        <f>IFERROR(__xludf.DUMMYFUNCTION("""COMPUTED_VALUE"""),"Great Britain")</f>
        <v>Great Britain</v>
      </c>
      <c r="B239" s="9" t="str">
        <f>IFERROR(__xludf.DUMMYFUNCTION("""COMPUTED_VALUE"""),"gb")</f>
        <v>gb</v>
      </c>
      <c r="C239" s="9" t="str">
        <f>IFERROR(__xludf.DUMMYFUNCTION("GOOGLETRANSLATE($A239,""en"",""de"")"),"Großbritannien")</f>
        <v>Großbritannien</v>
      </c>
      <c r="D239" s="9" t="str">
        <f>IFERROR(__xludf.DUMMYFUNCTION("GOOGLETRANSLATE($A239,""en"",""fr"")"),"Grande-Bretagne")</f>
        <v>Grande-Bretagne</v>
      </c>
      <c r="E239" s="9" t="str">
        <f>IFERROR(__xludf.DUMMYFUNCTION("GOOGLETRANSLATE($A239,""en"",""es"")"),"Gran Bretaña")</f>
        <v>Gran Bretaña</v>
      </c>
      <c r="F239" s="9" t="str">
        <f>IFERROR(__xludf.DUMMYFUNCTION("GOOGLETRANSLATE($A239,""en"",""it"")"),"Gran Bretagna")</f>
        <v>Gran Bretagna</v>
      </c>
      <c r="G239" s="9" t="str">
        <f>IFERROR(__xludf.DUMMYFUNCTION("GOOGLETRANSLATE($A239,""en"",""zh-cn"")"),"英国")</f>
        <v>英国</v>
      </c>
      <c r="H239" s="9" t="str">
        <f>IFERROR(__xludf.DUMMYFUNCTION("GOOGLETRANSLATE($A239,""en"",""ja"")"),"イギリス")</f>
        <v>イギリス</v>
      </c>
      <c r="I239" s="9" t="str">
        <f>IFERROR(__xludf.DUMMYFUNCTION("GOOGLETRANSLATE($A239,""en"",""ko"")"),"대 브리튼 섬")</f>
        <v>대 브리튼 섬</v>
      </c>
      <c r="J239" s="9" t="str">
        <f>IFERROR(__xludf.DUMMYFUNCTION("GOOGLETRANSLATE($A239,""en"",""pt-BR"")"),"Grã-Bretanha")</f>
        <v>Grã-Bretanha</v>
      </c>
    </row>
    <row r="240">
      <c r="A240" s="9" t="str">
        <f>IFERROR(__xludf.DUMMYFUNCTION("""COMPUTED_VALUE"""),"United States Minor Outlying Islands")</f>
        <v>United States Minor Outlying Islands</v>
      </c>
      <c r="B240" s="9" t="str">
        <f>IFERROR(__xludf.DUMMYFUNCTION("""COMPUTED_VALUE"""),"um")</f>
        <v>um</v>
      </c>
      <c r="C240" s="9" t="str">
        <f>IFERROR(__xludf.DUMMYFUNCTION("GOOGLETRANSLATE($A240,""en"",""de"")"),"Kleinere vorgelagerte Inseln der Vereinigten Staaten")</f>
        <v>Kleinere vorgelagerte Inseln der Vereinigten Staaten</v>
      </c>
      <c r="D240" s="9" t="str">
        <f>IFERROR(__xludf.DUMMYFUNCTION("GOOGLETRANSLATE($A240,""en"",""fr"")"),"Îles mineures éloignées des États-Unis")</f>
        <v>Îles mineures éloignées des États-Unis</v>
      </c>
      <c r="E240" s="9" t="str">
        <f>IFERROR(__xludf.DUMMYFUNCTION("GOOGLETRANSLATE($A240,""en"",""es"")"),"Islas menores alejadas de los Estados Unidos")</f>
        <v>Islas menores alejadas de los Estados Unidos</v>
      </c>
      <c r="F240" s="9" t="str">
        <f>IFERROR(__xludf.DUMMYFUNCTION("GOOGLETRANSLATE($A240,""en"",""it"")"),"Isole Minori Esterne degli Stati Uniti")</f>
        <v>Isole Minori Esterne degli Stati Uniti</v>
      </c>
      <c r="G240" s="9" t="str">
        <f>IFERROR(__xludf.DUMMYFUNCTION("GOOGLETRANSLATE($A240,""en"",""zh-cn"")"),"美国本土外小岛屿")</f>
        <v>美国本土外小岛屿</v>
      </c>
      <c r="H240" s="9" t="str">
        <f>IFERROR(__xludf.DUMMYFUNCTION("GOOGLETRANSLATE($A240,""en"",""ja"")"),"米国小離島")</f>
        <v>米国小離島</v>
      </c>
      <c r="I240" s="9" t="str">
        <f>IFERROR(__xludf.DUMMYFUNCTION("GOOGLETRANSLATE($A240,""en"",""ko"")"),"미국령 군소 제도")</f>
        <v>미국령 군소 제도</v>
      </c>
      <c r="J240" s="9" t="str">
        <f>IFERROR(__xludf.DUMMYFUNCTION("GOOGLETRANSLATE($A240,""en"",""pt-BR"")"),"Ilhas Menores Distantes dos Estados Unidos")</f>
        <v>Ilhas Menores Distantes dos Estados Unidos</v>
      </c>
    </row>
    <row r="241">
      <c r="A241" s="9" t="str">
        <f>IFERROR(__xludf.DUMMYFUNCTION("""COMPUTED_VALUE"""),"United States of America")</f>
        <v>United States of America</v>
      </c>
      <c r="B241" s="9" t="str">
        <f>IFERROR(__xludf.DUMMYFUNCTION("""COMPUTED_VALUE"""),"us")</f>
        <v>us</v>
      </c>
      <c r="C241" s="9" t="str">
        <f>IFERROR(__xludf.DUMMYFUNCTION("GOOGLETRANSLATE($A241,""en"",""de"")"),"Vereinigte Staaten von Amerika")</f>
        <v>Vereinigte Staaten von Amerika</v>
      </c>
      <c r="D241" s="9" t="str">
        <f>IFERROR(__xludf.DUMMYFUNCTION("GOOGLETRANSLATE($A241,""en"",""fr"")"),"les états-unis d'Amérique")</f>
        <v>les états-unis d'Amérique</v>
      </c>
      <c r="E241" s="9" t="str">
        <f>IFERROR(__xludf.DUMMYFUNCTION("GOOGLETRANSLATE($A241,""en"",""es"")"),"Estados Unidos de América")</f>
        <v>Estados Unidos de América</v>
      </c>
      <c r="F241" s="9" t="str">
        <f>IFERROR(__xludf.DUMMYFUNCTION("GOOGLETRANSLATE($A241,""en"",""it"")"),"Stati Uniti d'America")</f>
        <v>Stati Uniti d'America</v>
      </c>
      <c r="G241" s="9" t="str">
        <f>IFERROR(__xludf.DUMMYFUNCTION("GOOGLETRANSLATE($A241,""en"",""zh-cn"")"),"美国")</f>
        <v>美国</v>
      </c>
      <c r="H241" s="9" t="str">
        <f>IFERROR(__xludf.DUMMYFUNCTION("GOOGLETRANSLATE($A241,""en"",""ja"")"),"アメリカ合衆国")</f>
        <v>アメリカ合衆国</v>
      </c>
      <c r="I241" s="9" t="str">
        <f>IFERROR(__xludf.DUMMYFUNCTION("GOOGLETRANSLATE($A241,""en"",""ko"")"),"미국")</f>
        <v>미국</v>
      </c>
      <c r="J241" s="9" t="str">
        <f>IFERROR(__xludf.DUMMYFUNCTION("GOOGLETRANSLATE($A241,""en"",""pt-BR"")"),"Estados Unidos da América")</f>
        <v>Estados Unidos da América</v>
      </c>
    </row>
    <row r="242">
      <c r="A242" s="9" t="str">
        <f>IFERROR(__xludf.DUMMYFUNCTION("""COMPUTED_VALUE"""),"Uruguay")</f>
        <v>Uruguay</v>
      </c>
      <c r="B242" s="9" t="str">
        <f>IFERROR(__xludf.DUMMYFUNCTION("""COMPUTED_VALUE"""),"uy")</f>
        <v>uy</v>
      </c>
      <c r="C242" s="9" t="str">
        <f>IFERROR(__xludf.DUMMYFUNCTION("GOOGLETRANSLATE($A242,""en"",""de"")"),"Uruguay")</f>
        <v>Uruguay</v>
      </c>
      <c r="D242" s="9" t="str">
        <f>IFERROR(__xludf.DUMMYFUNCTION("GOOGLETRANSLATE($A242,""en"",""fr"")"),"Uruguay")</f>
        <v>Uruguay</v>
      </c>
      <c r="E242" s="9" t="str">
        <f>IFERROR(__xludf.DUMMYFUNCTION("GOOGLETRANSLATE($A242,""en"",""es"")"),"Uruguay")</f>
        <v>Uruguay</v>
      </c>
      <c r="F242" s="9" t="str">
        <f>IFERROR(__xludf.DUMMYFUNCTION("GOOGLETRANSLATE($A242,""en"",""it"")"),"Uruguay")</f>
        <v>Uruguay</v>
      </c>
      <c r="G242" s="9" t="str">
        <f>IFERROR(__xludf.DUMMYFUNCTION("GOOGLETRANSLATE($A242,""en"",""zh-cn"")"),"乌拉圭")</f>
        <v>乌拉圭</v>
      </c>
      <c r="H242" s="9" t="str">
        <f>IFERROR(__xludf.DUMMYFUNCTION("GOOGLETRANSLATE($A242,""en"",""ja"")"),"ウルグアイ")</f>
        <v>ウルグアイ</v>
      </c>
      <c r="I242" s="9" t="str">
        <f>IFERROR(__xludf.DUMMYFUNCTION("GOOGLETRANSLATE($A242,""en"",""ko"")"),"우루과이")</f>
        <v>우루과이</v>
      </c>
      <c r="J242" s="9" t="str">
        <f>IFERROR(__xludf.DUMMYFUNCTION("GOOGLETRANSLATE($A242,""en"",""pt-BR"")"),"Uruguai")</f>
        <v>Uruguai</v>
      </c>
    </row>
    <row r="243">
      <c r="A243" s="9" t="str">
        <f>IFERROR(__xludf.DUMMYFUNCTION("""COMPUTED_VALUE"""),"Uzbekistan")</f>
        <v>Uzbekistan</v>
      </c>
      <c r="B243" s="9" t="str">
        <f>IFERROR(__xludf.DUMMYFUNCTION("""COMPUTED_VALUE"""),"uz")</f>
        <v>uz</v>
      </c>
      <c r="C243" s="9" t="str">
        <f>IFERROR(__xludf.DUMMYFUNCTION("GOOGLETRANSLATE($A243,""en"",""de"")"),"Usbekistan")</f>
        <v>Usbekistan</v>
      </c>
      <c r="D243" s="9" t="str">
        <f>IFERROR(__xludf.DUMMYFUNCTION("GOOGLETRANSLATE($A243,""en"",""fr"")"),"Ouzbékistan")</f>
        <v>Ouzbékistan</v>
      </c>
      <c r="E243" s="9" t="str">
        <f>IFERROR(__xludf.DUMMYFUNCTION("GOOGLETRANSLATE($A243,""en"",""es"")"),"Uzbekistán")</f>
        <v>Uzbekistán</v>
      </c>
      <c r="F243" s="9" t="str">
        <f>IFERROR(__xludf.DUMMYFUNCTION("GOOGLETRANSLATE($A243,""en"",""it"")"),"Uzbekistan")</f>
        <v>Uzbekistan</v>
      </c>
      <c r="G243" s="9" t="str">
        <f>IFERROR(__xludf.DUMMYFUNCTION("GOOGLETRANSLATE($A243,""en"",""zh-cn"")"),"乌兹别克斯坦")</f>
        <v>乌兹别克斯坦</v>
      </c>
      <c r="H243" s="9" t="str">
        <f>IFERROR(__xludf.DUMMYFUNCTION("GOOGLETRANSLATE($A243,""en"",""ja"")"),"ウズベキスタン")</f>
        <v>ウズベキスタン</v>
      </c>
      <c r="I243" s="9" t="str">
        <f>IFERROR(__xludf.DUMMYFUNCTION("GOOGLETRANSLATE($A243,""en"",""ko"")"),"우즈베키스탄")</f>
        <v>우즈베키스탄</v>
      </c>
      <c r="J243" s="9" t="str">
        <f>IFERROR(__xludf.DUMMYFUNCTION("GOOGLETRANSLATE($A243,""en"",""pt-BR"")"),"Uzbequistão")</f>
        <v>Uzbequistão</v>
      </c>
    </row>
    <row r="244">
      <c r="A244" s="9" t="str">
        <f>IFERROR(__xludf.DUMMYFUNCTION("""COMPUTED_VALUE"""),"Vanuatu")</f>
        <v>Vanuatu</v>
      </c>
      <c r="B244" s="9" t="str">
        <f>IFERROR(__xludf.DUMMYFUNCTION("""COMPUTED_VALUE"""),"vu")</f>
        <v>vu</v>
      </c>
      <c r="C244" s="9" t="str">
        <f>IFERROR(__xludf.DUMMYFUNCTION("GOOGLETRANSLATE($A244,""en"",""de"")"),"Vanuatu")</f>
        <v>Vanuatu</v>
      </c>
      <c r="D244" s="9" t="str">
        <f>IFERROR(__xludf.DUMMYFUNCTION("GOOGLETRANSLATE($A244,""en"",""fr"")"),"Vanuatu")</f>
        <v>Vanuatu</v>
      </c>
      <c r="E244" s="9" t="str">
        <f>IFERROR(__xludf.DUMMYFUNCTION("GOOGLETRANSLATE($A244,""en"",""es"")"),"Vanuatu")</f>
        <v>Vanuatu</v>
      </c>
      <c r="F244" s="9" t="str">
        <f>IFERROR(__xludf.DUMMYFUNCTION("GOOGLETRANSLATE($A244,""en"",""it"")"),"Vanuatu")</f>
        <v>Vanuatu</v>
      </c>
      <c r="G244" s="9" t="str">
        <f>IFERROR(__xludf.DUMMYFUNCTION("GOOGLETRANSLATE($A244,""en"",""zh-cn"")"),"瓦努阿图")</f>
        <v>瓦努阿图</v>
      </c>
      <c r="H244" s="9" t="str">
        <f>IFERROR(__xludf.DUMMYFUNCTION("GOOGLETRANSLATE($A244,""en"",""ja"")"),"バヌアツ")</f>
        <v>バヌアツ</v>
      </c>
      <c r="I244" s="9" t="str">
        <f>IFERROR(__xludf.DUMMYFUNCTION("GOOGLETRANSLATE($A244,""en"",""ko"")"),"바누아투")</f>
        <v>바누아투</v>
      </c>
      <c r="J244" s="9" t="str">
        <f>IFERROR(__xludf.DUMMYFUNCTION("GOOGLETRANSLATE($A244,""en"",""pt-BR"")"),"Vanuatu")</f>
        <v>Vanuatu</v>
      </c>
    </row>
    <row r="245">
      <c r="A245" s="9" t="str">
        <f>IFERROR(__xludf.DUMMYFUNCTION("""COMPUTED_VALUE"""),"Venezuela")</f>
        <v>Venezuela</v>
      </c>
      <c r="B245" s="9" t="str">
        <f>IFERROR(__xludf.DUMMYFUNCTION("""COMPUTED_VALUE"""),"ve")</f>
        <v>ve</v>
      </c>
      <c r="C245" s="9" t="str">
        <f>IFERROR(__xludf.DUMMYFUNCTION("GOOGLETRANSLATE($A245,""en"",""de"")"),"Venezuela")</f>
        <v>Venezuela</v>
      </c>
      <c r="D245" s="9" t="str">
        <f>IFERROR(__xludf.DUMMYFUNCTION("GOOGLETRANSLATE($A245,""en"",""fr"")"),"Venezuela")</f>
        <v>Venezuela</v>
      </c>
      <c r="E245" s="9" t="str">
        <f>IFERROR(__xludf.DUMMYFUNCTION("GOOGLETRANSLATE($A245,""en"",""es"")"),"Venezuela")</f>
        <v>Venezuela</v>
      </c>
      <c r="F245" s="9" t="str">
        <f>IFERROR(__xludf.DUMMYFUNCTION("GOOGLETRANSLATE($A245,""en"",""it"")"),"Venezuela")</f>
        <v>Venezuela</v>
      </c>
      <c r="G245" s="9" t="str">
        <f>IFERROR(__xludf.DUMMYFUNCTION("GOOGLETRANSLATE($A245,""en"",""zh-cn"")"),"委内瑞拉")</f>
        <v>委内瑞拉</v>
      </c>
      <c r="H245" s="9" t="str">
        <f>IFERROR(__xludf.DUMMYFUNCTION("GOOGLETRANSLATE($A245,""en"",""ja"")"),"ベネズエラ")</f>
        <v>ベネズエラ</v>
      </c>
      <c r="I245" s="9" t="str">
        <f>IFERROR(__xludf.DUMMYFUNCTION("GOOGLETRANSLATE($A245,""en"",""ko"")"),"베네수엘라")</f>
        <v>베네수엘라</v>
      </c>
      <c r="J245" s="9" t="str">
        <f>IFERROR(__xludf.DUMMYFUNCTION("GOOGLETRANSLATE($A245,""en"",""pt-BR"")"),"Venezuela")</f>
        <v>Venezuela</v>
      </c>
    </row>
    <row r="246">
      <c r="A246" s="9" t="str">
        <f>IFERROR(__xludf.DUMMYFUNCTION("""COMPUTED_VALUE"""),"Viet Nam")</f>
        <v>Viet Nam</v>
      </c>
      <c r="B246" s="9" t="str">
        <f>IFERROR(__xludf.DUMMYFUNCTION("""COMPUTED_VALUE"""),"vn")</f>
        <v>vn</v>
      </c>
      <c r="C246" s="9" t="str">
        <f>IFERROR(__xludf.DUMMYFUNCTION("GOOGLETRANSLATE($A246,""en"",""de"")"),"Vietnam")</f>
        <v>Vietnam</v>
      </c>
      <c r="D246" s="9" t="str">
        <f>IFERROR(__xludf.DUMMYFUNCTION("GOOGLETRANSLATE($A246,""en"",""fr"")"),"Viet Nam")</f>
        <v>Viet Nam</v>
      </c>
      <c r="E246" s="9" t="str">
        <f>IFERROR(__xludf.DUMMYFUNCTION("GOOGLETRANSLATE($A246,""en"",""es"")"),"Vietnam")</f>
        <v>Vietnam</v>
      </c>
      <c r="F246" s="9" t="str">
        <f>IFERROR(__xludf.DUMMYFUNCTION("GOOGLETRANSLATE($A246,""en"",""it"")"),"Vietnam")</f>
        <v>Vietnam</v>
      </c>
      <c r="G246" s="9" t="str">
        <f>IFERROR(__xludf.DUMMYFUNCTION("GOOGLETRANSLATE($A246,""en"",""zh-cn"")"),"越南")</f>
        <v>越南</v>
      </c>
      <c r="H246" s="9" t="str">
        <f>IFERROR(__xludf.DUMMYFUNCTION("GOOGLETRANSLATE($A246,""en"",""ja"")"),"ベトナム")</f>
        <v>ベトナム</v>
      </c>
      <c r="I246" s="9" t="str">
        <f>IFERROR(__xludf.DUMMYFUNCTION("GOOGLETRANSLATE($A246,""en"",""ko"")"),"베트남")</f>
        <v>베트남</v>
      </c>
      <c r="J246" s="9" t="str">
        <f>IFERROR(__xludf.DUMMYFUNCTION("GOOGLETRANSLATE($A246,""en"",""pt-BR"")"),"Vietnã")</f>
        <v>Vietnã</v>
      </c>
    </row>
    <row r="247">
      <c r="A247" s="9" t="str">
        <f>IFERROR(__xludf.DUMMYFUNCTION("""COMPUTED_VALUE"""),"Virgin Islands (British)")</f>
        <v>Virgin Islands (British)</v>
      </c>
      <c r="B247" s="9" t="str">
        <f>IFERROR(__xludf.DUMMYFUNCTION("""COMPUTED_VALUE"""),"vg")</f>
        <v>vg</v>
      </c>
      <c r="C247" s="9" t="str">
        <f>IFERROR(__xludf.DUMMYFUNCTION("GOOGLETRANSLATE($A247,""en"",""de"")"),"Britische Jungferninseln")</f>
        <v>Britische Jungferninseln</v>
      </c>
      <c r="D247" s="9" t="str">
        <f>IFERROR(__xludf.DUMMYFUNCTION("GOOGLETRANSLATE($A247,""en"",""fr"")"),"Îles Vierges (britanniques)")</f>
        <v>Îles Vierges (britanniques)</v>
      </c>
      <c r="E247" s="9" t="str">
        <f>IFERROR(__xludf.DUMMYFUNCTION("GOOGLETRANSLATE($A247,""en"",""es"")"),"Islas Vírgenes (Británicas)")</f>
        <v>Islas Vírgenes (Británicas)</v>
      </c>
      <c r="F247" s="9" t="str">
        <f>IFERROR(__xludf.DUMMYFUNCTION("GOOGLETRANSLATE($A247,""en"",""it"")"),"Isole Vergini (britanniche)")</f>
        <v>Isole Vergini (britanniche)</v>
      </c>
      <c r="G247" s="9" t="str">
        <f>IFERROR(__xludf.DUMMYFUNCTION("GOOGLETRANSLATE($A247,""en"",""zh-cn"")"),"维尔京群岛（英属）")</f>
        <v>维尔京群岛（英属）</v>
      </c>
      <c r="H247" s="9" t="str">
        <f>IFERROR(__xludf.DUMMYFUNCTION("GOOGLETRANSLATE($A247,""en"",""ja"")"),"バージン諸島 (イギリス)")</f>
        <v>バージン諸島 (イギリス)</v>
      </c>
      <c r="I247" s="9" t="str">
        <f>IFERROR(__xludf.DUMMYFUNCTION("GOOGLETRANSLATE($A247,""en"",""ko"")"),"버진 아일랜드(영국)")</f>
        <v>버진 아일랜드(영국)</v>
      </c>
      <c r="J247" s="9" t="str">
        <f>IFERROR(__xludf.DUMMYFUNCTION("GOOGLETRANSLATE($A247,""en"",""pt-BR"")"),"Ilhas Virgens (britânicas)")</f>
        <v>Ilhas Virgens (britânicas)</v>
      </c>
    </row>
    <row r="248">
      <c r="A248" s="9" t="str">
        <f>IFERROR(__xludf.DUMMYFUNCTION("""COMPUTED_VALUE"""),"Virgin Islands (U.S.)")</f>
        <v>Virgin Islands (U.S.)</v>
      </c>
      <c r="B248" s="9" t="str">
        <f>IFERROR(__xludf.DUMMYFUNCTION("""COMPUTED_VALUE"""),"vi")</f>
        <v>vi</v>
      </c>
      <c r="C248" s="9" t="str">
        <f>IFERROR(__xludf.DUMMYFUNCTION("GOOGLETRANSLATE($A248,""en"",""de"")"),"Jungferninseln (USA)")</f>
        <v>Jungferninseln (USA)</v>
      </c>
      <c r="D248" s="9" t="str">
        <f>IFERROR(__xludf.DUMMYFUNCTION("GOOGLETRANSLATE($A248,""en"",""fr"")"),"Îles Vierges (États-Unis)")</f>
        <v>Îles Vierges (États-Unis)</v>
      </c>
      <c r="E248" s="9" t="str">
        <f>IFERROR(__xludf.DUMMYFUNCTION("GOOGLETRANSLATE($A248,""en"",""es"")"),"Islas Vírgenes (EE.UU.)")</f>
        <v>Islas Vírgenes (EE.UU.)</v>
      </c>
      <c r="F248" s="9" t="str">
        <f>IFERROR(__xludf.DUMMYFUNCTION("GOOGLETRANSLATE($A248,""en"",""it"")"),"Isole Vergini (Stati Uniti)")</f>
        <v>Isole Vergini (Stati Uniti)</v>
      </c>
      <c r="G248" s="9" t="str">
        <f>IFERROR(__xludf.DUMMYFUNCTION("GOOGLETRANSLATE($A248,""en"",""zh-cn"")"),"维尔京群岛（美国）")</f>
        <v>维尔京群岛（美国）</v>
      </c>
      <c r="H248" s="9" t="str">
        <f>IFERROR(__xludf.DUMMYFUNCTION("GOOGLETRANSLATE($A248,""en"",""ja"")"),"ヴァージン諸島 (米国)")</f>
        <v>ヴァージン諸島 (米国)</v>
      </c>
      <c r="I248" s="9" t="str">
        <f>IFERROR(__xludf.DUMMYFUNCTION("GOOGLETRANSLATE($A248,""en"",""ko"")"),"버진 아일랜드(미국)")</f>
        <v>버진 아일랜드(미국)</v>
      </c>
      <c r="J248" s="9" t="str">
        <f>IFERROR(__xludf.DUMMYFUNCTION("GOOGLETRANSLATE($A248,""en"",""pt-BR"")"),"Ilhas Virgens (EUA)")</f>
        <v>Ilhas Virgens (EUA)</v>
      </c>
    </row>
    <row r="249">
      <c r="A249" s="9" t="str">
        <f>IFERROR(__xludf.DUMMYFUNCTION("""COMPUTED_VALUE"""),"Wallis and Futuna")</f>
        <v>Wallis and Futuna</v>
      </c>
      <c r="B249" s="9" t="str">
        <f>IFERROR(__xludf.DUMMYFUNCTION("""COMPUTED_VALUE"""),"wf")</f>
        <v>wf</v>
      </c>
      <c r="C249" s="9" t="str">
        <f>IFERROR(__xludf.DUMMYFUNCTION("GOOGLETRANSLATE($A249,""en"",""de"")"),"Wallis und Futuna")</f>
        <v>Wallis und Futuna</v>
      </c>
      <c r="D249" s="9" t="str">
        <f>IFERROR(__xludf.DUMMYFUNCTION("GOOGLETRANSLATE($A249,""en"",""fr"")"),"Wallis et Futuna")</f>
        <v>Wallis et Futuna</v>
      </c>
      <c r="E249" s="9" t="str">
        <f>IFERROR(__xludf.DUMMYFUNCTION("GOOGLETRANSLATE($A249,""en"",""es"")"),"Wallis y Futuna")</f>
        <v>Wallis y Futuna</v>
      </c>
      <c r="F249" s="9" t="str">
        <f>IFERROR(__xludf.DUMMYFUNCTION("GOOGLETRANSLATE($A249,""en"",""it"")"),"Wallis e Futuna")</f>
        <v>Wallis e Futuna</v>
      </c>
      <c r="G249" s="9" t="str">
        <f>IFERROR(__xludf.DUMMYFUNCTION("GOOGLETRANSLATE($A249,""en"",""zh-cn"")"),"瓦利斯和富图纳群岛")</f>
        <v>瓦利斯和富图纳群岛</v>
      </c>
      <c r="H249" s="9" t="str">
        <f>IFERROR(__xludf.DUMMYFUNCTION("GOOGLETRANSLATE($A249,""en"",""ja"")"),"ウォリス・フツナ")</f>
        <v>ウォリス・フツナ</v>
      </c>
      <c r="I249" s="9" t="str">
        <f>IFERROR(__xludf.DUMMYFUNCTION("GOOGLETRANSLATE($A249,""en"",""ko"")"),"월리스푸투나")</f>
        <v>월리스푸투나</v>
      </c>
      <c r="J249" s="9" t="str">
        <f>IFERROR(__xludf.DUMMYFUNCTION("GOOGLETRANSLATE($A249,""en"",""pt-BR"")"),"Wallis e Futuna")</f>
        <v>Wallis e Futuna</v>
      </c>
    </row>
    <row r="250">
      <c r="A250" s="9" t="str">
        <f>IFERROR(__xludf.DUMMYFUNCTION("""COMPUTED_VALUE"""),"Western Sahara")</f>
        <v>Western Sahara</v>
      </c>
      <c r="B250" s="9" t="str">
        <f>IFERROR(__xludf.DUMMYFUNCTION("""COMPUTED_VALUE"""),"eh")</f>
        <v>eh</v>
      </c>
      <c r="C250" s="9" t="str">
        <f>IFERROR(__xludf.DUMMYFUNCTION("GOOGLETRANSLATE($A250,""en"",""de"")"),"Westsahara")</f>
        <v>Westsahara</v>
      </c>
      <c r="D250" s="9" t="str">
        <f>IFERROR(__xludf.DUMMYFUNCTION("GOOGLETRANSLATE($A250,""en"",""fr"")"),"Sahara occidental")</f>
        <v>Sahara occidental</v>
      </c>
      <c r="E250" s="9" t="str">
        <f>IFERROR(__xludf.DUMMYFUNCTION("GOOGLETRANSLATE($A250,""en"",""es"")"),"Sáhara Occidental")</f>
        <v>Sáhara Occidental</v>
      </c>
      <c r="F250" s="9" t="str">
        <f>IFERROR(__xludf.DUMMYFUNCTION("GOOGLETRANSLATE($A250,""en"",""it"")"),"Sahara occidentale")</f>
        <v>Sahara occidentale</v>
      </c>
      <c r="G250" s="9" t="str">
        <f>IFERROR(__xludf.DUMMYFUNCTION("GOOGLETRANSLATE($A250,""en"",""zh-cn"")"),"西撒哈拉")</f>
        <v>西撒哈拉</v>
      </c>
      <c r="H250" s="9" t="str">
        <f>IFERROR(__xludf.DUMMYFUNCTION("GOOGLETRANSLATE($A250,""en"",""ja"")"),"西サハラ")</f>
        <v>西サハラ</v>
      </c>
      <c r="I250" s="9" t="str">
        <f>IFERROR(__xludf.DUMMYFUNCTION("GOOGLETRANSLATE($A250,""en"",""ko"")"),"서사하라")</f>
        <v>서사하라</v>
      </c>
      <c r="J250" s="9" t="str">
        <f>IFERROR(__xludf.DUMMYFUNCTION("GOOGLETRANSLATE($A250,""en"",""pt-BR"")"),"Saara Ocidental")</f>
        <v>Saara Ocidental</v>
      </c>
    </row>
    <row r="251">
      <c r="A251" s="9" t="str">
        <f>IFERROR(__xludf.DUMMYFUNCTION("""COMPUTED_VALUE"""),"Yemen")</f>
        <v>Yemen</v>
      </c>
      <c r="B251" s="9" t="str">
        <f>IFERROR(__xludf.DUMMYFUNCTION("""COMPUTED_VALUE"""),"ye")</f>
        <v>ye</v>
      </c>
      <c r="C251" s="9" t="str">
        <f>IFERROR(__xludf.DUMMYFUNCTION("GOOGLETRANSLATE($A251,""en"",""de"")"),"Jemen")</f>
        <v>Jemen</v>
      </c>
      <c r="D251" s="9" t="str">
        <f>IFERROR(__xludf.DUMMYFUNCTION("GOOGLETRANSLATE($A251,""en"",""fr"")"),"Yémen")</f>
        <v>Yémen</v>
      </c>
      <c r="E251" s="9" t="str">
        <f>IFERROR(__xludf.DUMMYFUNCTION("GOOGLETRANSLATE($A251,""en"",""es"")"),"Yemen")</f>
        <v>Yemen</v>
      </c>
      <c r="F251" s="9" t="str">
        <f>IFERROR(__xludf.DUMMYFUNCTION("GOOGLETRANSLATE($A251,""en"",""it"")"),"Yemen")</f>
        <v>Yemen</v>
      </c>
      <c r="G251" s="9" t="str">
        <f>IFERROR(__xludf.DUMMYFUNCTION("GOOGLETRANSLATE($A251,""en"",""zh-cn"")"),"也门")</f>
        <v>也门</v>
      </c>
      <c r="H251" s="9" t="str">
        <f>IFERROR(__xludf.DUMMYFUNCTION("GOOGLETRANSLATE($A251,""en"",""ja"")"),"イエメン")</f>
        <v>イエメン</v>
      </c>
      <c r="I251" s="9" t="str">
        <f>IFERROR(__xludf.DUMMYFUNCTION("GOOGLETRANSLATE($A251,""en"",""ko"")"),"예멘 아랍 공화국")</f>
        <v>예멘 아랍 공화국</v>
      </c>
      <c r="J251" s="9" t="str">
        <f>IFERROR(__xludf.DUMMYFUNCTION("GOOGLETRANSLATE($A251,""en"",""pt-BR"")"),"Iémen")</f>
        <v>Iémen</v>
      </c>
    </row>
    <row r="252">
      <c r="A252" s="9" t="str">
        <f>IFERROR(__xludf.DUMMYFUNCTION("""COMPUTED_VALUE"""),"Zambia")</f>
        <v>Zambia</v>
      </c>
      <c r="B252" s="9" t="str">
        <f>IFERROR(__xludf.DUMMYFUNCTION("""COMPUTED_VALUE"""),"zm")</f>
        <v>zm</v>
      </c>
      <c r="C252" s="9" t="str">
        <f>IFERROR(__xludf.DUMMYFUNCTION("GOOGLETRANSLATE($A252,""en"",""de"")"),"Sambia")</f>
        <v>Sambia</v>
      </c>
      <c r="D252" s="9" t="str">
        <f>IFERROR(__xludf.DUMMYFUNCTION("GOOGLETRANSLATE($A252,""en"",""fr"")"),"Zambie")</f>
        <v>Zambie</v>
      </c>
      <c r="E252" s="9" t="str">
        <f>IFERROR(__xludf.DUMMYFUNCTION("GOOGLETRANSLATE($A252,""en"",""es"")"),"Zambia")</f>
        <v>Zambia</v>
      </c>
      <c r="F252" s="9" t="str">
        <f>IFERROR(__xludf.DUMMYFUNCTION("GOOGLETRANSLATE($A252,""en"",""it"")"),"Zambia")</f>
        <v>Zambia</v>
      </c>
      <c r="G252" s="9" t="str">
        <f>IFERROR(__xludf.DUMMYFUNCTION("GOOGLETRANSLATE($A252,""en"",""zh-cn"")"),"赞比亚")</f>
        <v>赞比亚</v>
      </c>
      <c r="H252" s="9" t="str">
        <f>IFERROR(__xludf.DUMMYFUNCTION("GOOGLETRANSLATE($A252,""en"",""ja"")"),"ザンビア")</f>
        <v>ザンビア</v>
      </c>
      <c r="I252" s="9" t="str">
        <f>IFERROR(__xludf.DUMMYFUNCTION("GOOGLETRANSLATE($A252,""en"",""ko"")"),"잠비아")</f>
        <v>잠비아</v>
      </c>
      <c r="J252" s="9" t="str">
        <f>IFERROR(__xludf.DUMMYFUNCTION("GOOGLETRANSLATE($A252,""en"",""pt-BR"")"),"Zâmbia")</f>
        <v>Zâmbia</v>
      </c>
    </row>
    <row r="253">
      <c r="A253" s="9" t="str">
        <f>IFERROR(__xludf.DUMMYFUNCTION("""COMPUTED_VALUE"""),"Zimbabwe")</f>
        <v>Zimbabwe</v>
      </c>
      <c r="B253" s="9" t="str">
        <f>IFERROR(__xludf.DUMMYFUNCTION("""COMPUTED_VALUE"""),"zw")</f>
        <v>zw</v>
      </c>
      <c r="C253" s="9" t="str">
        <f>IFERROR(__xludf.DUMMYFUNCTION("GOOGLETRANSLATE($A253,""en"",""de"")"),"Simbabwe")</f>
        <v>Simbabwe</v>
      </c>
      <c r="D253" s="9" t="str">
        <f>IFERROR(__xludf.DUMMYFUNCTION("GOOGLETRANSLATE($A253,""en"",""fr"")"),"Zimbabwe")</f>
        <v>Zimbabwe</v>
      </c>
      <c r="E253" s="9" t="str">
        <f>IFERROR(__xludf.DUMMYFUNCTION("GOOGLETRANSLATE($A253,""en"",""es"")"),"Zimbabue")</f>
        <v>Zimbabue</v>
      </c>
      <c r="F253" s="9" t="str">
        <f>IFERROR(__xludf.DUMMYFUNCTION("GOOGLETRANSLATE($A253,""en"",""it"")"),"Zimbabwe")</f>
        <v>Zimbabwe</v>
      </c>
      <c r="G253" s="9" t="str">
        <f>IFERROR(__xludf.DUMMYFUNCTION("GOOGLETRANSLATE($A253,""en"",""zh-cn"")"),"津巴布韦")</f>
        <v>津巴布韦</v>
      </c>
      <c r="H253" s="9" t="str">
        <f>IFERROR(__xludf.DUMMYFUNCTION("GOOGLETRANSLATE($A253,""en"",""ja"")"),"ジンバブエ")</f>
        <v>ジンバブエ</v>
      </c>
      <c r="I253" s="9" t="str">
        <f>IFERROR(__xludf.DUMMYFUNCTION("GOOGLETRANSLATE($A253,""en"",""ko"")"),"짐바브웨")</f>
        <v>짐바브웨</v>
      </c>
      <c r="J253" s="9" t="str">
        <f>IFERROR(__xludf.DUMMYFUNCTION("GOOGLETRANSLATE($A253,""en"",""pt-BR"")"),"Zimbábue")</f>
        <v>Zimbábue</v>
      </c>
    </row>
    <row r="254">
      <c r="A254" s="9"/>
      <c r="B254" s="9"/>
    </row>
    <row r="255">
      <c r="A255" s="9"/>
      <c r="B255" s="9"/>
    </row>
    <row r="256">
      <c r="A256" s="9"/>
      <c r="B256" s="9"/>
    </row>
    <row r="257">
      <c r="A257" s="9"/>
      <c r="B257" s="9"/>
    </row>
    <row r="258">
      <c r="A258" s="9"/>
      <c r="B258" s="9"/>
    </row>
    <row r="259">
      <c r="A259" s="9"/>
      <c r="B259" s="9"/>
    </row>
    <row r="260">
      <c r="A260" s="9"/>
      <c r="B260" s="9"/>
    </row>
    <row r="261">
      <c r="A261" s="9"/>
      <c r="B261" s="9"/>
    </row>
    <row r="262">
      <c r="A262" s="9"/>
      <c r="B262" s="9"/>
    </row>
    <row r="263">
      <c r="A263" s="9"/>
      <c r="B263" s="9"/>
    </row>
    <row r="264">
      <c r="A264" s="9"/>
      <c r="B264" s="9"/>
    </row>
    <row r="265">
      <c r="A265" s="9"/>
      <c r="B265" s="9"/>
    </row>
    <row r="266">
      <c r="A266" s="9"/>
      <c r="B266" s="9"/>
    </row>
    <row r="267">
      <c r="A267" s="9"/>
      <c r="B267" s="9"/>
    </row>
    <row r="268">
      <c r="A268" s="9"/>
      <c r="B268" s="9"/>
    </row>
    <row r="269">
      <c r="A269" s="9"/>
      <c r="B269" s="9"/>
    </row>
    <row r="270">
      <c r="A270" s="9"/>
      <c r="B270" s="9"/>
    </row>
    <row r="271">
      <c r="A271" s="9"/>
      <c r="B271" s="9"/>
    </row>
    <row r="272">
      <c r="A272" s="9"/>
      <c r="B272" s="9"/>
    </row>
    <row r="273">
      <c r="A273" s="9"/>
      <c r="B273" s="9"/>
    </row>
    <row r="274">
      <c r="A274" s="9"/>
      <c r="B274" s="9"/>
    </row>
    <row r="275">
      <c r="A275" s="9"/>
      <c r="B275" s="9"/>
    </row>
    <row r="276">
      <c r="A276" s="9"/>
      <c r="B276" s="9"/>
    </row>
    <row r="277">
      <c r="A277" s="9"/>
      <c r="B277" s="9"/>
    </row>
    <row r="278">
      <c r="A278" s="9"/>
      <c r="B278" s="9"/>
    </row>
    <row r="279">
      <c r="A279" s="9"/>
      <c r="B279" s="9"/>
    </row>
    <row r="280">
      <c r="A280" s="9"/>
      <c r="B280" s="9"/>
    </row>
    <row r="281">
      <c r="A281" s="9"/>
      <c r="B281" s="9"/>
    </row>
    <row r="282">
      <c r="A282" s="9"/>
      <c r="B282" s="9"/>
    </row>
    <row r="283">
      <c r="A283" s="9"/>
      <c r="B283" s="9"/>
    </row>
    <row r="284">
      <c r="A284" s="9"/>
      <c r="B284" s="9"/>
    </row>
    <row r="285">
      <c r="A285" s="9"/>
      <c r="B285" s="9"/>
    </row>
    <row r="286">
      <c r="A286" s="9"/>
      <c r="B286" s="9"/>
    </row>
    <row r="287">
      <c r="A287" s="9"/>
      <c r="B287" s="9"/>
    </row>
    <row r="288">
      <c r="A288" s="9"/>
      <c r="B288" s="9"/>
    </row>
    <row r="289">
      <c r="A289" s="9"/>
      <c r="B289" s="9"/>
    </row>
    <row r="290">
      <c r="A290" s="9"/>
      <c r="B290" s="9"/>
    </row>
    <row r="291">
      <c r="A291" s="9"/>
      <c r="B291" s="9"/>
    </row>
    <row r="292">
      <c r="A292" s="9"/>
      <c r="B292" s="9"/>
    </row>
    <row r="293">
      <c r="A293" s="9"/>
      <c r="B293" s="9"/>
    </row>
    <row r="294">
      <c r="A294" s="9"/>
      <c r="B294" s="9"/>
    </row>
    <row r="295">
      <c r="A295" s="9"/>
      <c r="B295" s="9"/>
    </row>
    <row r="296">
      <c r="A296" s="9"/>
      <c r="B296" s="9"/>
    </row>
    <row r="297">
      <c r="A297" s="9"/>
      <c r="B297" s="9"/>
    </row>
    <row r="298">
      <c r="A298" s="9"/>
      <c r="B298" s="9"/>
    </row>
    <row r="299">
      <c r="A299" s="9"/>
      <c r="B299" s="9"/>
    </row>
    <row r="300">
      <c r="A300" s="9"/>
      <c r="B300" s="9"/>
    </row>
    <row r="301">
      <c r="A301" s="9"/>
      <c r="B301" s="9"/>
    </row>
    <row r="302">
      <c r="A302" s="9"/>
      <c r="B302" s="9"/>
    </row>
    <row r="303">
      <c r="A303" s="9"/>
      <c r="B303" s="9"/>
    </row>
    <row r="304">
      <c r="A304" s="9"/>
      <c r="B304" s="9"/>
    </row>
    <row r="305">
      <c r="A305" s="9"/>
      <c r="B305" s="9"/>
    </row>
    <row r="306">
      <c r="A306" s="9"/>
      <c r="B306" s="9"/>
    </row>
    <row r="307">
      <c r="A307" s="9"/>
      <c r="B307" s="9"/>
    </row>
    <row r="308">
      <c r="A308" s="9"/>
      <c r="B308" s="9"/>
    </row>
    <row r="309">
      <c r="A309" s="9"/>
      <c r="B309" s="9"/>
    </row>
    <row r="310">
      <c r="A310" s="9"/>
      <c r="B310" s="9"/>
    </row>
    <row r="311">
      <c r="A311" s="9"/>
      <c r="B311" s="9"/>
    </row>
    <row r="312">
      <c r="A312" s="9"/>
      <c r="B312" s="9"/>
    </row>
    <row r="313">
      <c r="A313" s="9"/>
      <c r="B313" s="9"/>
    </row>
    <row r="314">
      <c r="A314" s="9"/>
      <c r="B314" s="9"/>
    </row>
    <row r="315">
      <c r="A315" s="9"/>
      <c r="B315" s="9"/>
    </row>
    <row r="316">
      <c r="A316" s="9"/>
      <c r="B316" s="9"/>
    </row>
    <row r="317">
      <c r="A317" s="9"/>
      <c r="B317" s="9"/>
    </row>
    <row r="318">
      <c r="A318" s="9"/>
      <c r="B318" s="9"/>
    </row>
    <row r="319">
      <c r="A319" s="9"/>
      <c r="B319" s="9"/>
    </row>
    <row r="320">
      <c r="A320" s="9"/>
      <c r="B320" s="9"/>
    </row>
    <row r="321">
      <c r="A321" s="9"/>
      <c r="B321" s="9"/>
    </row>
    <row r="322">
      <c r="A322" s="9"/>
      <c r="B322" s="9"/>
    </row>
    <row r="323">
      <c r="A323" s="9"/>
      <c r="B323" s="9"/>
    </row>
    <row r="324">
      <c r="A324" s="9"/>
      <c r="B324" s="9"/>
    </row>
    <row r="325">
      <c r="A325" s="9"/>
      <c r="B325" s="9"/>
    </row>
    <row r="326">
      <c r="A326" s="9"/>
      <c r="B326" s="9"/>
    </row>
    <row r="327">
      <c r="A327" s="9"/>
      <c r="B327" s="9"/>
    </row>
    <row r="328">
      <c r="A328" s="9"/>
      <c r="B328" s="9"/>
    </row>
    <row r="329">
      <c r="A329" s="9"/>
      <c r="B329" s="9"/>
    </row>
    <row r="330">
      <c r="A330" s="9"/>
      <c r="B330" s="9"/>
    </row>
    <row r="331">
      <c r="A331" s="9"/>
      <c r="B331" s="9"/>
    </row>
    <row r="332">
      <c r="A332" s="9"/>
      <c r="B332" s="9"/>
    </row>
    <row r="333">
      <c r="A333" s="9"/>
      <c r="B333" s="9"/>
    </row>
    <row r="334">
      <c r="A334" s="9"/>
      <c r="B334" s="9"/>
    </row>
    <row r="335">
      <c r="A335" s="9"/>
      <c r="B335" s="9"/>
    </row>
    <row r="336">
      <c r="A336" s="9"/>
      <c r="B336" s="9"/>
    </row>
    <row r="337">
      <c r="A337" s="9"/>
      <c r="B337" s="9"/>
    </row>
    <row r="338">
      <c r="A338" s="9"/>
      <c r="B338" s="9"/>
    </row>
    <row r="339">
      <c r="A339" s="9"/>
      <c r="B339" s="9"/>
    </row>
    <row r="340">
      <c r="A340" s="9"/>
      <c r="B340" s="9"/>
    </row>
    <row r="341">
      <c r="A341" s="9"/>
      <c r="B341" s="9"/>
    </row>
    <row r="342">
      <c r="A342" s="9"/>
      <c r="B342" s="9"/>
    </row>
    <row r="343">
      <c r="A343" s="9"/>
      <c r="B343" s="9"/>
    </row>
    <row r="344">
      <c r="A344" s="9"/>
      <c r="B344" s="9"/>
    </row>
    <row r="345">
      <c r="A345" s="9"/>
      <c r="B345" s="9"/>
    </row>
    <row r="346">
      <c r="A346" s="9"/>
      <c r="B346" s="9"/>
    </row>
    <row r="347">
      <c r="A347" s="9"/>
      <c r="B347" s="9"/>
    </row>
    <row r="348">
      <c r="A348" s="9"/>
      <c r="B348" s="9"/>
    </row>
    <row r="349">
      <c r="A349" s="9"/>
      <c r="B349" s="9"/>
    </row>
    <row r="350">
      <c r="A350" s="9"/>
      <c r="B350" s="9"/>
    </row>
    <row r="351">
      <c r="A351" s="9"/>
      <c r="B351" s="9"/>
    </row>
    <row r="352">
      <c r="A352" s="9"/>
      <c r="B352" s="9"/>
    </row>
    <row r="353">
      <c r="A353" s="9"/>
      <c r="B353" s="9"/>
    </row>
    <row r="354">
      <c r="A354" s="9"/>
      <c r="B354" s="9"/>
    </row>
    <row r="355">
      <c r="A355" s="9"/>
      <c r="B355" s="9"/>
    </row>
    <row r="356">
      <c r="A356" s="9"/>
      <c r="B356" s="9"/>
    </row>
    <row r="357">
      <c r="A357" s="9"/>
      <c r="B357" s="9"/>
    </row>
    <row r="358">
      <c r="A358" s="9"/>
      <c r="B358" s="9"/>
    </row>
    <row r="359">
      <c r="A359" s="9"/>
      <c r="B359" s="9"/>
    </row>
    <row r="360">
      <c r="A360" s="9"/>
      <c r="B360" s="9"/>
    </row>
    <row r="361">
      <c r="A361" s="9"/>
      <c r="B361" s="9"/>
    </row>
    <row r="362">
      <c r="A362" s="9"/>
      <c r="B362" s="9"/>
    </row>
    <row r="363">
      <c r="A363" s="9"/>
      <c r="B363" s="9"/>
    </row>
    <row r="364">
      <c r="A364" s="9"/>
      <c r="B364" s="9"/>
    </row>
    <row r="365">
      <c r="A365" s="9"/>
      <c r="B365" s="9"/>
    </row>
    <row r="366">
      <c r="A366" s="9"/>
      <c r="B366" s="9"/>
    </row>
    <row r="367">
      <c r="A367" s="9"/>
      <c r="B367" s="9"/>
    </row>
    <row r="368">
      <c r="A368" s="9"/>
      <c r="B368" s="9"/>
    </row>
    <row r="369">
      <c r="A369" s="9"/>
      <c r="B369" s="9"/>
    </row>
    <row r="370">
      <c r="A370" s="9"/>
      <c r="B370" s="9"/>
    </row>
    <row r="371">
      <c r="A371" s="9"/>
      <c r="B371" s="9"/>
    </row>
    <row r="372">
      <c r="A372" s="9"/>
      <c r="B372" s="9"/>
    </row>
    <row r="373">
      <c r="A373" s="9"/>
      <c r="B373" s="9"/>
    </row>
    <row r="374">
      <c r="A374" s="9"/>
      <c r="B374" s="9"/>
    </row>
    <row r="375">
      <c r="A375" s="9"/>
      <c r="B375" s="9"/>
    </row>
    <row r="376">
      <c r="A376" s="9"/>
      <c r="B376" s="9"/>
    </row>
    <row r="377">
      <c r="A377" s="9"/>
      <c r="B377" s="9"/>
    </row>
    <row r="378">
      <c r="A378" s="9"/>
      <c r="B378" s="9"/>
    </row>
    <row r="379">
      <c r="A379" s="9"/>
      <c r="B379" s="9"/>
    </row>
    <row r="380">
      <c r="A380" s="9"/>
      <c r="B380" s="9"/>
    </row>
    <row r="381">
      <c r="A381" s="9"/>
      <c r="B381" s="9"/>
    </row>
    <row r="382">
      <c r="A382" s="9"/>
      <c r="B382" s="9"/>
    </row>
    <row r="383">
      <c r="A383" s="9"/>
      <c r="B383" s="9"/>
    </row>
    <row r="384">
      <c r="A384" s="9"/>
      <c r="B384" s="9"/>
    </row>
    <row r="385">
      <c r="A385" s="9"/>
      <c r="B385" s="9"/>
    </row>
    <row r="386">
      <c r="A386" s="9"/>
      <c r="B386" s="9"/>
    </row>
    <row r="387">
      <c r="A387" s="9"/>
      <c r="B387" s="9"/>
    </row>
    <row r="388">
      <c r="A388" s="9"/>
      <c r="B388" s="9"/>
    </row>
    <row r="389">
      <c r="A389" s="9"/>
      <c r="B389" s="9"/>
    </row>
    <row r="390">
      <c r="A390" s="9"/>
      <c r="B390" s="9"/>
    </row>
    <row r="391">
      <c r="A391" s="9"/>
      <c r="B391" s="9"/>
    </row>
    <row r="392">
      <c r="A392" s="9"/>
      <c r="B392" s="9"/>
    </row>
    <row r="393">
      <c r="A393" s="9"/>
      <c r="B393" s="9"/>
    </row>
    <row r="394">
      <c r="A394" s="9"/>
      <c r="B394" s="9"/>
    </row>
    <row r="395">
      <c r="A395" s="9"/>
      <c r="B395" s="9"/>
    </row>
    <row r="396">
      <c r="A396" s="9"/>
      <c r="B396" s="9"/>
    </row>
    <row r="397">
      <c r="A397" s="9"/>
      <c r="B397" s="9"/>
    </row>
    <row r="398">
      <c r="A398" s="9"/>
      <c r="B398" s="9"/>
    </row>
    <row r="399">
      <c r="A399" s="9"/>
      <c r="B399" s="9"/>
    </row>
    <row r="400">
      <c r="A400" s="9"/>
      <c r="B400" s="9"/>
    </row>
    <row r="401">
      <c r="A401" s="9"/>
      <c r="B401" s="9"/>
    </row>
    <row r="402">
      <c r="A402" s="9"/>
      <c r="B402" s="9"/>
    </row>
    <row r="403">
      <c r="A403" s="9"/>
      <c r="B403" s="9"/>
    </row>
    <row r="404">
      <c r="A404" s="9"/>
      <c r="B404" s="9"/>
    </row>
    <row r="405">
      <c r="A405" s="9"/>
      <c r="B405" s="9"/>
    </row>
    <row r="406">
      <c r="A406" s="9"/>
      <c r="B406" s="9"/>
    </row>
    <row r="407">
      <c r="A407" s="9"/>
      <c r="B407" s="9"/>
    </row>
    <row r="408">
      <c r="A408" s="9"/>
      <c r="B408" s="9"/>
    </row>
    <row r="409">
      <c r="A409" s="9"/>
      <c r="B409" s="9"/>
    </row>
    <row r="410">
      <c r="A410" s="9"/>
      <c r="B410" s="9"/>
    </row>
    <row r="411">
      <c r="A411" s="9"/>
      <c r="B411" s="9"/>
    </row>
    <row r="412">
      <c r="A412" s="9"/>
      <c r="B412" s="9"/>
    </row>
    <row r="413">
      <c r="A413" s="9"/>
      <c r="B413" s="9"/>
    </row>
    <row r="414">
      <c r="A414" s="9"/>
      <c r="B414" s="9"/>
    </row>
    <row r="415">
      <c r="A415" s="9"/>
      <c r="B415" s="9"/>
    </row>
    <row r="416">
      <c r="A416" s="9"/>
      <c r="B416" s="9"/>
    </row>
    <row r="417">
      <c r="A417" s="9"/>
      <c r="B417" s="9"/>
    </row>
    <row r="418">
      <c r="A418" s="9"/>
      <c r="B418" s="9"/>
    </row>
    <row r="419">
      <c r="A419" s="9"/>
      <c r="B419" s="9"/>
    </row>
    <row r="420">
      <c r="A420" s="9"/>
      <c r="B420" s="9"/>
    </row>
    <row r="421">
      <c r="A421" s="9"/>
      <c r="B421" s="9"/>
    </row>
    <row r="422">
      <c r="A422" s="9"/>
      <c r="B422" s="9"/>
    </row>
    <row r="423">
      <c r="A423" s="9"/>
      <c r="B423" s="9"/>
    </row>
    <row r="424">
      <c r="A424" s="9"/>
      <c r="B424" s="9"/>
    </row>
    <row r="425">
      <c r="A425" s="9"/>
      <c r="B425" s="9"/>
    </row>
    <row r="426">
      <c r="A426" s="9"/>
      <c r="B426" s="9"/>
    </row>
    <row r="427">
      <c r="A427" s="9"/>
      <c r="B427" s="9"/>
    </row>
    <row r="428">
      <c r="A428" s="9"/>
      <c r="B428" s="9"/>
    </row>
    <row r="429">
      <c r="A429" s="9"/>
      <c r="B429" s="9"/>
    </row>
    <row r="430">
      <c r="A430" s="9"/>
      <c r="B430" s="9"/>
    </row>
    <row r="431">
      <c r="A431" s="9"/>
      <c r="B431" s="9"/>
    </row>
    <row r="432">
      <c r="A432" s="9"/>
      <c r="B432" s="9"/>
    </row>
    <row r="433">
      <c r="A433" s="9"/>
      <c r="B433" s="9"/>
    </row>
    <row r="434">
      <c r="A434" s="9"/>
      <c r="B434" s="9"/>
    </row>
    <row r="435">
      <c r="A435" s="9"/>
      <c r="B435" s="9"/>
    </row>
    <row r="436">
      <c r="A436" s="9"/>
      <c r="B436" s="9"/>
    </row>
    <row r="437">
      <c r="A437" s="9"/>
      <c r="B437" s="9"/>
    </row>
    <row r="438">
      <c r="A438" s="9"/>
      <c r="B438" s="9"/>
    </row>
    <row r="439">
      <c r="A439" s="9"/>
      <c r="B439" s="9"/>
    </row>
    <row r="440">
      <c r="A440" s="9"/>
      <c r="B440" s="9"/>
    </row>
    <row r="441">
      <c r="A441" s="9"/>
      <c r="B441" s="9"/>
    </row>
    <row r="442">
      <c r="A442" s="9"/>
      <c r="B442" s="9"/>
    </row>
    <row r="443">
      <c r="A443" s="9"/>
      <c r="B443" s="9"/>
    </row>
    <row r="444">
      <c r="A444" s="9"/>
      <c r="B444" s="9"/>
    </row>
    <row r="445">
      <c r="A445" s="9"/>
      <c r="B445" s="9"/>
    </row>
    <row r="446">
      <c r="A446" s="9"/>
      <c r="B446" s="9"/>
    </row>
    <row r="447">
      <c r="A447" s="9"/>
      <c r="B447" s="9"/>
    </row>
    <row r="448">
      <c r="A448" s="9"/>
      <c r="B448" s="9"/>
    </row>
    <row r="449">
      <c r="A449" s="9"/>
      <c r="B449" s="9"/>
    </row>
    <row r="450">
      <c r="A450" s="9"/>
      <c r="B450" s="9"/>
    </row>
    <row r="451">
      <c r="A451" s="9"/>
      <c r="B451" s="9"/>
    </row>
    <row r="452">
      <c r="A452" s="9"/>
      <c r="B452" s="9"/>
    </row>
    <row r="453">
      <c r="A453" s="9"/>
      <c r="B453" s="9"/>
    </row>
    <row r="454">
      <c r="A454" s="9"/>
      <c r="B454" s="9"/>
    </row>
    <row r="455">
      <c r="A455" s="9"/>
      <c r="B455" s="9"/>
    </row>
    <row r="456">
      <c r="A456" s="9"/>
      <c r="B456" s="9"/>
    </row>
    <row r="457">
      <c r="A457" s="9"/>
      <c r="B457" s="9"/>
    </row>
    <row r="458">
      <c r="A458" s="9"/>
      <c r="B458" s="9"/>
    </row>
    <row r="459">
      <c r="A459" s="9"/>
      <c r="B459" s="9"/>
    </row>
    <row r="460">
      <c r="A460" s="9"/>
      <c r="B460" s="9"/>
    </row>
    <row r="461">
      <c r="A461" s="9"/>
      <c r="B461" s="9"/>
    </row>
    <row r="462">
      <c r="A462" s="9"/>
      <c r="B462" s="9"/>
    </row>
    <row r="463">
      <c r="A463" s="9"/>
      <c r="B463" s="9"/>
    </row>
    <row r="464">
      <c r="A464" s="9"/>
      <c r="B464" s="9"/>
    </row>
    <row r="465">
      <c r="A465" s="9"/>
      <c r="B465" s="9"/>
    </row>
    <row r="466">
      <c r="A466" s="9"/>
      <c r="B466" s="9"/>
    </row>
    <row r="467">
      <c r="A467" s="9"/>
      <c r="B467" s="9"/>
    </row>
    <row r="468">
      <c r="A468" s="9"/>
      <c r="B468" s="9"/>
    </row>
    <row r="469">
      <c r="A469" s="9"/>
      <c r="B469" s="9"/>
    </row>
    <row r="470">
      <c r="A470" s="9"/>
      <c r="B470" s="9"/>
    </row>
    <row r="471">
      <c r="A471" s="9"/>
      <c r="B471" s="9"/>
    </row>
    <row r="472">
      <c r="A472" s="9"/>
      <c r="B472" s="9"/>
    </row>
    <row r="473">
      <c r="A473" s="9"/>
      <c r="B473" s="9"/>
    </row>
    <row r="474">
      <c r="A474" s="9"/>
      <c r="B474" s="9"/>
    </row>
    <row r="475">
      <c r="A475" s="9"/>
      <c r="B475" s="9"/>
    </row>
    <row r="476">
      <c r="A476" s="9"/>
      <c r="B476" s="9"/>
    </row>
    <row r="477">
      <c r="A477" s="9"/>
      <c r="B477" s="9"/>
    </row>
    <row r="478">
      <c r="A478" s="9"/>
      <c r="B478" s="9"/>
    </row>
    <row r="479">
      <c r="A479" s="9"/>
      <c r="B479" s="9"/>
    </row>
    <row r="480">
      <c r="A480" s="9"/>
      <c r="B480" s="9"/>
    </row>
    <row r="481">
      <c r="A481" s="9"/>
      <c r="B481" s="9"/>
    </row>
    <row r="482">
      <c r="A482" s="9"/>
      <c r="B482" s="9"/>
    </row>
    <row r="483">
      <c r="A483" s="9"/>
      <c r="B483" s="9"/>
    </row>
    <row r="484">
      <c r="A484" s="9"/>
      <c r="B484" s="9"/>
    </row>
    <row r="485">
      <c r="A485" s="9"/>
      <c r="B485" s="9"/>
    </row>
    <row r="486">
      <c r="A486" s="9"/>
      <c r="B486" s="9"/>
    </row>
    <row r="487">
      <c r="A487" s="9"/>
      <c r="B487" s="9"/>
    </row>
    <row r="488">
      <c r="A488" s="9"/>
      <c r="B488" s="9"/>
    </row>
    <row r="489">
      <c r="A489" s="9"/>
      <c r="B489" s="9"/>
    </row>
    <row r="490">
      <c r="A490" s="9"/>
      <c r="B490" s="9"/>
    </row>
    <row r="491">
      <c r="A491" s="9"/>
      <c r="B491" s="9"/>
    </row>
    <row r="492">
      <c r="A492" s="9"/>
      <c r="B492" s="9"/>
    </row>
    <row r="493">
      <c r="A493" s="9"/>
      <c r="B493" s="9"/>
    </row>
    <row r="494">
      <c r="A494" s="9"/>
      <c r="B494" s="9"/>
    </row>
    <row r="495">
      <c r="A495" s="9"/>
      <c r="B495" s="9"/>
    </row>
    <row r="496">
      <c r="A496" s="9"/>
      <c r="B496" s="9"/>
    </row>
    <row r="497">
      <c r="A497" s="9"/>
      <c r="B497" s="9"/>
    </row>
    <row r="498">
      <c r="A498" s="9"/>
      <c r="B498" s="9"/>
    </row>
    <row r="499">
      <c r="A499" s="9"/>
      <c r="B499" s="9"/>
    </row>
    <row r="500">
      <c r="A500" s="9"/>
      <c r="B500" s="9"/>
    </row>
    <row r="501">
      <c r="A501" s="9"/>
      <c r="B501" s="9"/>
    </row>
    <row r="502">
      <c r="A502" s="9"/>
      <c r="B502" s="9"/>
    </row>
    <row r="503">
      <c r="A503" s="9"/>
      <c r="B503" s="9"/>
    </row>
    <row r="504">
      <c r="A504" s="9"/>
      <c r="B504" s="9"/>
    </row>
    <row r="505">
      <c r="A505" s="9"/>
      <c r="B505" s="9"/>
    </row>
    <row r="506">
      <c r="A506" s="9"/>
      <c r="B506" s="9"/>
    </row>
    <row r="507">
      <c r="A507" s="9"/>
      <c r="B507" s="9"/>
    </row>
    <row r="508">
      <c r="A508" s="9"/>
      <c r="B508" s="9"/>
    </row>
    <row r="509">
      <c r="A509" s="9"/>
      <c r="B509" s="9"/>
    </row>
    <row r="510">
      <c r="A510" s="9"/>
      <c r="B510" s="9"/>
    </row>
    <row r="511">
      <c r="A511" s="9"/>
      <c r="B511" s="9"/>
    </row>
    <row r="512">
      <c r="A512" s="9"/>
      <c r="B512" s="9"/>
    </row>
    <row r="513">
      <c r="A513" s="9"/>
      <c r="B513" s="9"/>
    </row>
    <row r="514">
      <c r="A514" s="9"/>
      <c r="B514" s="9"/>
    </row>
    <row r="515">
      <c r="A515" s="9"/>
      <c r="B515" s="9"/>
    </row>
    <row r="516">
      <c r="A516" s="9"/>
      <c r="B516" s="9"/>
    </row>
    <row r="517">
      <c r="A517" s="9"/>
      <c r="B517" s="9"/>
    </row>
    <row r="518">
      <c r="A518" s="9"/>
      <c r="B518" s="9"/>
    </row>
    <row r="519">
      <c r="A519" s="9"/>
      <c r="B519" s="9"/>
    </row>
    <row r="520">
      <c r="A520" s="9"/>
      <c r="B520" s="9"/>
    </row>
    <row r="521">
      <c r="A521" s="9"/>
      <c r="B521" s="9"/>
    </row>
    <row r="522">
      <c r="A522" s="9"/>
      <c r="B522" s="9"/>
    </row>
    <row r="523">
      <c r="A523" s="9"/>
      <c r="B523" s="9"/>
    </row>
    <row r="524">
      <c r="A524" s="9"/>
      <c r="B524" s="9"/>
    </row>
    <row r="525">
      <c r="A525" s="9"/>
      <c r="B525" s="9"/>
    </row>
    <row r="526">
      <c r="A526" s="9"/>
      <c r="B526" s="9"/>
    </row>
    <row r="527">
      <c r="A527" s="9"/>
      <c r="B527" s="9"/>
    </row>
    <row r="528">
      <c r="A528" s="9"/>
      <c r="B528" s="9"/>
    </row>
    <row r="529">
      <c r="A529" s="9"/>
      <c r="B529" s="9"/>
    </row>
    <row r="530">
      <c r="A530" s="9"/>
      <c r="B530" s="9"/>
    </row>
    <row r="531">
      <c r="A531" s="9"/>
      <c r="B531" s="9"/>
    </row>
    <row r="532">
      <c r="A532" s="9"/>
      <c r="B532" s="9"/>
    </row>
    <row r="533">
      <c r="A533" s="9"/>
      <c r="B533" s="9"/>
    </row>
    <row r="534">
      <c r="A534" s="9"/>
      <c r="B534" s="9"/>
    </row>
    <row r="535">
      <c r="A535" s="9"/>
      <c r="B535" s="9"/>
    </row>
    <row r="536">
      <c r="A536" s="9"/>
      <c r="B536" s="9"/>
    </row>
    <row r="537">
      <c r="A537" s="9"/>
      <c r="B537" s="9"/>
    </row>
    <row r="538">
      <c r="A538" s="9"/>
      <c r="B538" s="9"/>
    </row>
    <row r="539">
      <c r="A539" s="9"/>
      <c r="B539" s="9"/>
    </row>
    <row r="540">
      <c r="A540" s="9"/>
      <c r="B540" s="9"/>
    </row>
    <row r="541">
      <c r="A541" s="9"/>
      <c r="B541" s="9"/>
    </row>
    <row r="542">
      <c r="A542" s="9"/>
      <c r="B542" s="9"/>
    </row>
    <row r="543">
      <c r="A543" s="9"/>
      <c r="B543" s="9"/>
    </row>
    <row r="544">
      <c r="A544" s="9"/>
      <c r="B544" s="9"/>
    </row>
    <row r="545">
      <c r="A545" s="9"/>
      <c r="B545" s="9"/>
    </row>
    <row r="546">
      <c r="A546" s="9"/>
      <c r="B546" s="9"/>
    </row>
    <row r="547">
      <c r="A547" s="9"/>
      <c r="B547" s="9"/>
    </row>
    <row r="548">
      <c r="A548" s="9"/>
      <c r="B548" s="9"/>
    </row>
    <row r="549">
      <c r="A549" s="9"/>
      <c r="B549" s="9"/>
    </row>
    <row r="550">
      <c r="A550" s="9"/>
      <c r="B550" s="9"/>
    </row>
    <row r="551">
      <c r="A551" s="9"/>
      <c r="B551" s="9"/>
    </row>
    <row r="552">
      <c r="A552" s="9"/>
      <c r="B552" s="9"/>
    </row>
    <row r="553">
      <c r="A553" s="9"/>
      <c r="B553" s="9"/>
    </row>
    <row r="554">
      <c r="A554" s="9"/>
      <c r="B554" s="9"/>
    </row>
    <row r="555">
      <c r="A555" s="9"/>
      <c r="B555" s="9"/>
    </row>
    <row r="556">
      <c r="A556" s="9"/>
      <c r="B556" s="9"/>
    </row>
    <row r="557">
      <c r="A557" s="9"/>
      <c r="B557" s="9"/>
    </row>
    <row r="558">
      <c r="A558" s="9"/>
      <c r="B558" s="9"/>
    </row>
    <row r="559">
      <c r="A559" s="9"/>
      <c r="B559" s="9"/>
    </row>
    <row r="560">
      <c r="A560" s="9"/>
      <c r="B560" s="9"/>
    </row>
    <row r="561">
      <c r="A561" s="9"/>
      <c r="B561" s="9"/>
    </row>
    <row r="562">
      <c r="A562" s="9"/>
      <c r="B562" s="9"/>
    </row>
    <row r="563">
      <c r="A563" s="9"/>
      <c r="B563" s="9"/>
    </row>
    <row r="564">
      <c r="A564" s="9"/>
      <c r="B564" s="9"/>
    </row>
    <row r="565">
      <c r="A565" s="9"/>
      <c r="B565" s="9"/>
    </row>
    <row r="566">
      <c r="A566" s="9"/>
      <c r="B566" s="9"/>
    </row>
    <row r="567">
      <c r="A567" s="9"/>
      <c r="B567" s="9"/>
    </row>
    <row r="568">
      <c r="A568" s="9"/>
      <c r="B568" s="9"/>
    </row>
    <row r="569">
      <c r="A569" s="9"/>
      <c r="B569" s="9"/>
    </row>
    <row r="570">
      <c r="A570" s="9"/>
      <c r="B570" s="9"/>
    </row>
    <row r="571">
      <c r="A571" s="9"/>
      <c r="B571" s="9"/>
    </row>
    <row r="572">
      <c r="A572" s="9"/>
      <c r="B572" s="9"/>
    </row>
    <row r="573">
      <c r="A573" s="9"/>
      <c r="B573" s="9"/>
    </row>
    <row r="574">
      <c r="A574" s="9"/>
      <c r="B574" s="9"/>
    </row>
    <row r="575">
      <c r="A575" s="9"/>
      <c r="B575" s="9"/>
    </row>
    <row r="576">
      <c r="A576" s="9"/>
      <c r="B576" s="9"/>
    </row>
    <row r="577">
      <c r="A577" s="9"/>
      <c r="B577" s="9"/>
    </row>
    <row r="578">
      <c r="A578" s="9"/>
      <c r="B578" s="9"/>
    </row>
    <row r="579">
      <c r="A579" s="9"/>
      <c r="B579" s="9"/>
    </row>
    <row r="580">
      <c r="A580" s="9"/>
      <c r="B580" s="9"/>
    </row>
    <row r="581">
      <c r="A581" s="9"/>
      <c r="B581" s="9"/>
    </row>
    <row r="582">
      <c r="A582" s="9"/>
      <c r="B582" s="9"/>
    </row>
    <row r="583">
      <c r="A583" s="9"/>
      <c r="B583" s="9"/>
    </row>
    <row r="584">
      <c r="A584" s="9"/>
      <c r="B584" s="9"/>
    </row>
    <row r="585">
      <c r="A585" s="9"/>
      <c r="B585" s="9"/>
    </row>
    <row r="586">
      <c r="A586" s="9"/>
      <c r="B586" s="9"/>
    </row>
    <row r="587">
      <c r="A587" s="9"/>
      <c r="B587" s="9"/>
    </row>
    <row r="588">
      <c r="A588" s="9"/>
      <c r="B588" s="9"/>
    </row>
    <row r="589">
      <c r="A589" s="9"/>
      <c r="B589" s="9"/>
    </row>
    <row r="590">
      <c r="A590" s="9"/>
      <c r="B590" s="9"/>
    </row>
    <row r="591">
      <c r="A591" s="9"/>
      <c r="B591" s="9"/>
    </row>
    <row r="592">
      <c r="A592" s="9"/>
      <c r="B592" s="9"/>
    </row>
    <row r="593">
      <c r="A593" s="9"/>
      <c r="B593" s="9"/>
    </row>
    <row r="594">
      <c r="A594" s="9"/>
      <c r="B594" s="9"/>
    </row>
    <row r="595">
      <c r="A595" s="9"/>
      <c r="B595" s="9"/>
    </row>
    <row r="596">
      <c r="A596" s="9"/>
      <c r="B596" s="9"/>
    </row>
    <row r="597">
      <c r="A597" s="9"/>
      <c r="B597" s="9"/>
    </row>
    <row r="598">
      <c r="A598" s="9"/>
      <c r="B598" s="9"/>
    </row>
    <row r="599">
      <c r="A599" s="9"/>
      <c r="B599" s="9"/>
    </row>
    <row r="600">
      <c r="A600" s="9"/>
      <c r="B600" s="9"/>
    </row>
    <row r="601">
      <c r="A601" s="9"/>
      <c r="B601" s="9"/>
    </row>
    <row r="602">
      <c r="A602" s="9"/>
      <c r="B602" s="9"/>
    </row>
    <row r="603">
      <c r="A603" s="9"/>
      <c r="B603" s="9"/>
    </row>
    <row r="604">
      <c r="A604" s="9"/>
      <c r="B604" s="9"/>
    </row>
    <row r="605">
      <c r="A605" s="9"/>
      <c r="B605" s="9"/>
    </row>
    <row r="606">
      <c r="A606" s="9"/>
      <c r="B606" s="9"/>
    </row>
    <row r="607">
      <c r="A607" s="9"/>
      <c r="B607" s="9"/>
    </row>
    <row r="608">
      <c r="A608" s="9"/>
      <c r="B608" s="9"/>
    </row>
    <row r="609">
      <c r="A609" s="9"/>
      <c r="B609" s="9"/>
    </row>
    <row r="610">
      <c r="A610" s="9"/>
      <c r="B610" s="9"/>
    </row>
    <row r="611">
      <c r="A611" s="9"/>
      <c r="B611" s="9"/>
    </row>
    <row r="612">
      <c r="A612" s="9"/>
      <c r="B612" s="9"/>
    </row>
    <row r="613">
      <c r="A613" s="9"/>
      <c r="B613" s="9"/>
    </row>
    <row r="614">
      <c r="A614" s="9"/>
      <c r="B614" s="9"/>
    </row>
    <row r="615">
      <c r="A615" s="9"/>
      <c r="B615" s="9"/>
    </row>
    <row r="616">
      <c r="A616" s="9"/>
      <c r="B616" s="9"/>
    </row>
    <row r="617">
      <c r="A617" s="9"/>
      <c r="B617" s="9"/>
    </row>
    <row r="618">
      <c r="A618" s="9"/>
      <c r="B618" s="9"/>
    </row>
    <row r="619">
      <c r="A619" s="9"/>
      <c r="B619" s="9"/>
    </row>
    <row r="620">
      <c r="A620" s="9"/>
      <c r="B620" s="9"/>
    </row>
    <row r="621">
      <c r="A621" s="9"/>
      <c r="B621" s="9"/>
    </row>
    <row r="622">
      <c r="A622" s="9"/>
      <c r="B622" s="9"/>
    </row>
    <row r="623">
      <c r="A623" s="9"/>
      <c r="B623" s="9"/>
    </row>
    <row r="624">
      <c r="A624" s="9"/>
      <c r="B624" s="9"/>
    </row>
    <row r="625">
      <c r="A625" s="9"/>
      <c r="B625" s="9"/>
    </row>
    <row r="626">
      <c r="A626" s="9"/>
      <c r="B626" s="9"/>
    </row>
    <row r="627">
      <c r="A627" s="9"/>
      <c r="B627" s="9"/>
    </row>
    <row r="628">
      <c r="A628" s="9"/>
      <c r="B628" s="9"/>
    </row>
    <row r="629">
      <c r="A629" s="9"/>
      <c r="B629" s="9"/>
    </row>
    <row r="630">
      <c r="A630" s="9"/>
      <c r="B630" s="9"/>
    </row>
    <row r="631">
      <c r="A631" s="9"/>
      <c r="B631" s="9"/>
    </row>
    <row r="632">
      <c r="A632" s="9"/>
      <c r="B632" s="9"/>
    </row>
    <row r="633">
      <c r="A633" s="9"/>
      <c r="B633" s="9"/>
    </row>
    <row r="634">
      <c r="A634" s="9"/>
      <c r="B634" s="9"/>
    </row>
    <row r="635">
      <c r="A635" s="9"/>
      <c r="B635" s="9"/>
    </row>
    <row r="636">
      <c r="A636" s="9"/>
      <c r="B636" s="9"/>
    </row>
    <row r="637">
      <c r="A637" s="9"/>
      <c r="B637" s="9"/>
    </row>
    <row r="638">
      <c r="A638" s="9"/>
      <c r="B638" s="9"/>
    </row>
    <row r="639">
      <c r="A639" s="9"/>
      <c r="B639" s="9"/>
    </row>
    <row r="640">
      <c r="A640" s="9"/>
      <c r="B640" s="9"/>
    </row>
    <row r="641">
      <c r="A641" s="9"/>
      <c r="B641" s="9"/>
    </row>
    <row r="642">
      <c r="A642" s="9"/>
      <c r="B642" s="9"/>
    </row>
    <row r="643">
      <c r="A643" s="9"/>
      <c r="B643" s="9"/>
    </row>
    <row r="644">
      <c r="A644" s="9"/>
      <c r="B644" s="9"/>
    </row>
    <row r="645">
      <c r="A645" s="9"/>
      <c r="B645" s="9"/>
    </row>
    <row r="646">
      <c r="A646" s="9"/>
      <c r="B646" s="9"/>
    </row>
    <row r="647">
      <c r="A647" s="9"/>
      <c r="B647" s="9"/>
    </row>
    <row r="648">
      <c r="A648" s="9"/>
      <c r="B648" s="9"/>
    </row>
    <row r="649">
      <c r="A649" s="9"/>
      <c r="B649" s="9"/>
    </row>
    <row r="650">
      <c r="A650" s="9"/>
      <c r="B650" s="9"/>
    </row>
    <row r="651">
      <c r="A651" s="9"/>
      <c r="B651" s="9"/>
    </row>
    <row r="652">
      <c r="A652" s="9"/>
      <c r="B652" s="9"/>
    </row>
    <row r="653">
      <c r="A653" s="9"/>
      <c r="B653" s="9"/>
    </row>
    <row r="654">
      <c r="A654" s="9"/>
      <c r="B654" s="9"/>
    </row>
    <row r="655">
      <c r="A655" s="9"/>
      <c r="B655" s="9"/>
    </row>
    <row r="656">
      <c r="A656" s="9"/>
      <c r="B656" s="9"/>
    </row>
    <row r="657">
      <c r="A657" s="9"/>
      <c r="B657" s="9"/>
    </row>
    <row r="658">
      <c r="A658" s="9"/>
      <c r="B658" s="9"/>
    </row>
    <row r="659">
      <c r="A659" s="9"/>
      <c r="B659" s="9"/>
    </row>
    <row r="660">
      <c r="A660" s="9"/>
      <c r="B660" s="9"/>
    </row>
    <row r="661">
      <c r="A661" s="9"/>
      <c r="B661" s="9"/>
    </row>
    <row r="662">
      <c r="A662" s="9"/>
      <c r="B662" s="9"/>
    </row>
    <row r="663">
      <c r="A663" s="9"/>
      <c r="B663" s="9"/>
    </row>
    <row r="664">
      <c r="A664" s="9"/>
      <c r="B664" s="9"/>
    </row>
    <row r="665">
      <c r="A665" s="9"/>
      <c r="B665" s="9"/>
    </row>
    <row r="666">
      <c r="A666" s="9"/>
      <c r="B666" s="9"/>
    </row>
    <row r="667">
      <c r="A667" s="9"/>
      <c r="B667" s="9"/>
    </row>
    <row r="668">
      <c r="A668" s="9"/>
      <c r="B668" s="9"/>
    </row>
    <row r="669">
      <c r="A669" s="9"/>
      <c r="B669" s="9"/>
    </row>
    <row r="670">
      <c r="A670" s="9"/>
      <c r="B670" s="9"/>
    </row>
    <row r="671">
      <c r="A671" s="9"/>
      <c r="B671" s="9"/>
    </row>
    <row r="672">
      <c r="A672" s="9"/>
      <c r="B672" s="9"/>
    </row>
    <row r="673">
      <c r="A673" s="9"/>
      <c r="B673" s="9"/>
    </row>
    <row r="674">
      <c r="A674" s="9"/>
      <c r="B674" s="9"/>
    </row>
    <row r="675">
      <c r="A675" s="9"/>
      <c r="B675" s="9"/>
    </row>
    <row r="676">
      <c r="A676" s="9"/>
      <c r="B676" s="9"/>
    </row>
    <row r="677">
      <c r="A677" s="9"/>
      <c r="B677" s="9"/>
    </row>
    <row r="678">
      <c r="A678" s="9"/>
      <c r="B678" s="9"/>
    </row>
    <row r="679">
      <c r="A679" s="9"/>
      <c r="B679" s="9"/>
    </row>
    <row r="680">
      <c r="A680" s="9"/>
      <c r="B680" s="9"/>
    </row>
    <row r="681">
      <c r="A681" s="9"/>
      <c r="B681" s="9"/>
    </row>
    <row r="682">
      <c r="A682" s="9"/>
      <c r="B682" s="9"/>
    </row>
    <row r="683">
      <c r="A683" s="9"/>
      <c r="B683" s="9"/>
    </row>
    <row r="684">
      <c r="A684" s="9"/>
      <c r="B684" s="9"/>
    </row>
    <row r="685">
      <c r="A685" s="9"/>
      <c r="B685" s="9"/>
    </row>
    <row r="686">
      <c r="A686" s="9"/>
      <c r="B686" s="9"/>
    </row>
    <row r="687">
      <c r="A687" s="9"/>
      <c r="B687" s="9"/>
    </row>
    <row r="688">
      <c r="A688" s="9"/>
      <c r="B688" s="9"/>
    </row>
    <row r="689">
      <c r="A689" s="9"/>
      <c r="B689" s="9"/>
    </row>
    <row r="690">
      <c r="A690" s="9"/>
      <c r="B690" s="9"/>
    </row>
    <row r="691">
      <c r="A691" s="9"/>
      <c r="B691" s="9"/>
    </row>
    <row r="692">
      <c r="A692" s="9"/>
      <c r="B692" s="9"/>
    </row>
    <row r="693">
      <c r="A693" s="9"/>
      <c r="B693" s="9"/>
    </row>
    <row r="694">
      <c r="A694" s="9"/>
      <c r="B694" s="9"/>
    </row>
    <row r="695">
      <c r="A695" s="9"/>
      <c r="B695" s="9"/>
    </row>
    <row r="696">
      <c r="A696" s="9"/>
      <c r="B696" s="9"/>
    </row>
    <row r="697">
      <c r="A697" s="9"/>
      <c r="B697" s="9"/>
    </row>
    <row r="698">
      <c r="A698" s="9"/>
      <c r="B698" s="9"/>
    </row>
    <row r="699">
      <c r="A699" s="9"/>
      <c r="B699" s="9"/>
    </row>
    <row r="700">
      <c r="A700" s="9"/>
      <c r="B700" s="9"/>
    </row>
    <row r="701">
      <c r="A701" s="9"/>
      <c r="B701" s="9"/>
    </row>
    <row r="702">
      <c r="A702" s="9"/>
      <c r="B702" s="9"/>
    </row>
    <row r="703">
      <c r="A703" s="9"/>
      <c r="B703" s="9"/>
    </row>
    <row r="704">
      <c r="A704" s="9"/>
      <c r="B704" s="9"/>
    </row>
    <row r="705">
      <c r="A705" s="9"/>
      <c r="B705" s="9"/>
    </row>
    <row r="706">
      <c r="A706" s="9"/>
      <c r="B706" s="9"/>
    </row>
    <row r="707">
      <c r="A707" s="9"/>
      <c r="B707" s="9"/>
    </row>
    <row r="708">
      <c r="A708" s="9"/>
      <c r="B708" s="9"/>
    </row>
    <row r="709">
      <c r="A709" s="9"/>
      <c r="B709" s="9"/>
    </row>
    <row r="710">
      <c r="A710" s="9"/>
      <c r="B710" s="9"/>
    </row>
    <row r="711">
      <c r="A711" s="9"/>
      <c r="B711" s="9"/>
    </row>
    <row r="712">
      <c r="A712" s="9"/>
      <c r="B712" s="9"/>
    </row>
    <row r="713">
      <c r="A713" s="9"/>
      <c r="B713" s="9"/>
    </row>
    <row r="714">
      <c r="A714" s="9"/>
      <c r="B714" s="9"/>
    </row>
    <row r="715">
      <c r="A715" s="9"/>
      <c r="B715" s="9"/>
    </row>
    <row r="716">
      <c r="A716" s="9"/>
      <c r="B716" s="9"/>
    </row>
    <row r="717">
      <c r="A717" s="9"/>
      <c r="B717" s="9"/>
    </row>
    <row r="718">
      <c r="A718" s="9"/>
      <c r="B718" s="9"/>
    </row>
    <row r="719">
      <c r="A719" s="9"/>
      <c r="B719" s="9"/>
    </row>
    <row r="720">
      <c r="A720" s="9"/>
      <c r="B720" s="9"/>
    </row>
    <row r="721">
      <c r="A721" s="9"/>
      <c r="B721" s="9"/>
    </row>
    <row r="722">
      <c r="A722" s="9"/>
      <c r="B722" s="9"/>
    </row>
    <row r="723">
      <c r="A723" s="9"/>
      <c r="B723" s="9"/>
    </row>
    <row r="724">
      <c r="A724" s="9"/>
      <c r="B724" s="9"/>
    </row>
    <row r="725">
      <c r="A725" s="9"/>
      <c r="B725" s="9"/>
    </row>
    <row r="726">
      <c r="A726" s="9"/>
      <c r="B726" s="9"/>
    </row>
    <row r="727">
      <c r="A727" s="9"/>
      <c r="B727" s="9"/>
    </row>
    <row r="728">
      <c r="A728" s="9"/>
      <c r="B728" s="9"/>
    </row>
    <row r="729">
      <c r="A729" s="9"/>
      <c r="B729" s="9"/>
    </row>
    <row r="730">
      <c r="A730" s="9"/>
      <c r="B730" s="9"/>
    </row>
    <row r="731">
      <c r="A731" s="9"/>
      <c r="B731" s="9"/>
    </row>
    <row r="732">
      <c r="A732" s="9"/>
      <c r="B732" s="9"/>
    </row>
    <row r="733">
      <c r="A733" s="9"/>
      <c r="B733" s="9"/>
    </row>
    <row r="734">
      <c r="A734" s="9"/>
      <c r="B734" s="9"/>
    </row>
    <row r="735">
      <c r="A735" s="9"/>
      <c r="B735" s="9"/>
    </row>
    <row r="736">
      <c r="A736" s="9"/>
      <c r="B736" s="9"/>
    </row>
    <row r="737">
      <c r="A737" s="9"/>
      <c r="B737" s="9"/>
    </row>
    <row r="738">
      <c r="A738" s="9"/>
      <c r="B738" s="9"/>
    </row>
    <row r="739">
      <c r="A739" s="9"/>
      <c r="B739" s="9"/>
    </row>
    <row r="740">
      <c r="A740" s="9"/>
      <c r="B740" s="9"/>
    </row>
    <row r="741">
      <c r="A741" s="9"/>
      <c r="B741" s="9"/>
    </row>
    <row r="742">
      <c r="A742" s="9"/>
      <c r="B742" s="9"/>
    </row>
    <row r="743">
      <c r="A743" s="9"/>
      <c r="B743" s="9"/>
    </row>
    <row r="744">
      <c r="A744" s="9"/>
      <c r="B744" s="9"/>
    </row>
    <row r="745">
      <c r="A745" s="9"/>
      <c r="B745" s="9"/>
    </row>
    <row r="746">
      <c r="A746" s="9"/>
      <c r="B746" s="9"/>
    </row>
    <row r="747">
      <c r="A747" s="9"/>
      <c r="B747" s="9"/>
    </row>
    <row r="748">
      <c r="A748" s="9"/>
      <c r="B748" s="9"/>
    </row>
    <row r="749">
      <c r="A749" s="9"/>
      <c r="B749" s="9"/>
    </row>
    <row r="750">
      <c r="A750" s="9"/>
      <c r="B750" s="9"/>
    </row>
    <row r="751">
      <c r="A751" s="9"/>
      <c r="B751" s="9"/>
    </row>
    <row r="752">
      <c r="A752" s="9"/>
      <c r="B752" s="9"/>
    </row>
    <row r="753">
      <c r="A753" s="9"/>
      <c r="B753" s="9"/>
    </row>
    <row r="754">
      <c r="A754" s="9"/>
      <c r="B754" s="9"/>
    </row>
    <row r="755">
      <c r="A755" s="9"/>
      <c r="B755" s="9"/>
    </row>
    <row r="756">
      <c r="A756" s="9"/>
      <c r="B756" s="9"/>
    </row>
    <row r="757">
      <c r="A757" s="9"/>
      <c r="B757" s="9"/>
    </row>
    <row r="758">
      <c r="A758" s="9"/>
      <c r="B758" s="9"/>
    </row>
    <row r="759">
      <c r="A759" s="9"/>
      <c r="B759" s="9"/>
    </row>
    <row r="760">
      <c r="A760" s="9"/>
      <c r="B760" s="9"/>
    </row>
    <row r="761">
      <c r="A761" s="9"/>
      <c r="B761" s="9"/>
    </row>
    <row r="762">
      <c r="A762" s="9"/>
      <c r="B762" s="9"/>
    </row>
    <row r="763">
      <c r="A763" s="9"/>
      <c r="B763" s="9"/>
    </row>
    <row r="764">
      <c r="A764" s="9"/>
      <c r="B764" s="9"/>
    </row>
    <row r="765">
      <c r="A765" s="9"/>
      <c r="B765" s="9"/>
    </row>
    <row r="766">
      <c r="A766" s="9"/>
      <c r="B766" s="9"/>
    </row>
    <row r="767">
      <c r="A767" s="9"/>
      <c r="B767" s="9"/>
    </row>
    <row r="768">
      <c r="A768" s="9"/>
      <c r="B768" s="9"/>
    </row>
    <row r="769">
      <c r="A769" s="9"/>
      <c r="B769" s="9"/>
    </row>
    <row r="770">
      <c r="A770" s="9"/>
      <c r="B770" s="9"/>
    </row>
    <row r="771">
      <c r="A771" s="9"/>
      <c r="B771" s="9"/>
    </row>
    <row r="772">
      <c r="A772" s="9"/>
      <c r="B772" s="9"/>
    </row>
    <row r="773">
      <c r="A773" s="9"/>
      <c r="B773" s="9"/>
    </row>
    <row r="774">
      <c r="A774" s="9"/>
      <c r="B774" s="9"/>
    </row>
    <row r="775">
      <c r="A775" s="9"/>
      <c r="B775" s="9"/>
    </row>
    <row r="776">
      <c r="A776" s="9"/>
      <c r="B776" s="9"/>
    </row>
    <row r="777">
      <c r="A777" s="9"/>
      <c r="B777" s="9"/>
    </row>
    <row r="778">
      <c r="A778" s="9"/>
      <c r="B778" s="9"/>
    </row>
    <row r="779">
      <c r="A779" s="9"/>
      <c r="B779" s="9"/>
    </row>
    <row r="780">
      <c r="A780" s="9"/>
      <c r="B780" s="9"/>
    </row>
    <row r="781">
      <c r="A781" s="9"/>
      <c r="B781" s="9"/>
    </row>
    <row r="782">
      <c r="A782" s="9"/>
      <c r="B782" s="9"/>
    </row>
    <row r="783">
      <c r="A783" s="9"/>
      <c r="B783" s="9"/>
    </row>
    <row r="784">
      <c r="A784" s="9"/>
      <c r="B784" s="9"/>
    </row>
    <row r="785">
      <c r="A785" s="9"/>
      <c r="B785" s="9"/>
    </row>
    <row r="786">
      <c r="A786" s="9"/>
      <c r="B786" s="9"/>
    </row>
    <row r="787">
      <c r="A787" s="9"/>
      <c r="B787" s="9"/>
    </row>
    <row r="788">
      <c r="A788" s="9"/>
      <c r="B788" s="9"/>
    </row>
    <row r="789">
      <c r="A789" s="9"/>
      <c r="B789" s="9"/>
    </row>
    <row r="790">
      <c r="A790" s="9"/>
      <c r="B790" s="9"/>
    </row>
    <row r="791">
      <c r="A791" s="9"/>
      <c r="B791" s="9"/>
    </row>
    <row r="792">
      <c r="A792" s="9"/>
      <c r="B792" s="9"/>
    </row>
    <row r="793">
      <c r="A793" s="9"/>
      <c r="B793" s="9"/>
    </row>
    <row r="794">
      <c r="A794" s="9"/>
      <c r="B794" s="9"/>
    </row>
    <row r="795">
      <c r="A795" s="9"/>
      <c r="B795" s="9"/>
    </row>
    <row r="796">
      <c r="A796" s="9"/>
      <c r="B796" s="9"/>
    </row>
    <row r="797">
      <c r="A797" s="9"/>
      <c r="B797" s="9"/>
    </row>
    <row r="798">
      <c r="A798" s="9"/>
      <c r="B798" s="9"/>
    </row>
    <row r="799">
      <c r="A799" s="9"/>
      <c r="B799" s="9"/>
    </row>
    <row r="800">
      <c r="A800" s="9"/>
      <c r="B800" s="9"/>
    </row>
    <row r="801">
      <c r="A801" s="9"/>
      <c r="B801" s="9"/>
    </row>
    <row r="802">
      <c r="A802" s="9"/>
      <c r="B802" s="9"/>
    </row>
    <row r="803">
      <c r="A803" s="9"/>
      <c r="B803" s="9"/>
    </row>
    <row r="804">
      <c r="A804" s="9"/>
      <c r="B804" s="9"/>
    </row>
    <row r="805">
      <c r="A805" s="9"/>
      <c r="B805" s="9"/>
    </row>
    <row r="806">
      <c r="A806" s="9"/>
      <c r="B806" s="9"/>
    </row>
    <row r="807">
      <c r="A807" s="9"/>
      <c r="B807" s="9"/>
    </row>
    <row r="808">
      <c r="A808" s="9"/>
      <c r="B808" s="9"/>
    </row>
    <row r="809">
      <c r="A809" s="9"/>
      <c r="B809" s="9"/>
    </row>
    <row r="810">
      <c r="A810" s="9"/>
      <c r="B810" s="9"/>
    </row>
    <row r="811">
      <c r="A811" s="9"/>
      <c r="B811" s="9"/>
    </row>
    <row r="812">
      <c r="A812" s="9"/>
      <c r="B812" s="9"/>
    </row>
    <row r="813">
      <c r="A813" s="9"/>
      <c r="B813" s="9"/>
    </row>
    <row r="814">
      <c r="A814" s="9"/>
      <c r="B814" s="9"/>
    </row>
    <row r="815">
      <c r="A815" s="9"/>
      <c r="B815" s="9"/>
    </row>
    <row r="816">
      <c r="A816" s="9"/>
      <c r="B816" s="9"/>
    </row>
    <row r="817">
      <c r="A817" s="9"/>
      <c r="B817" s="9"/>
    </row>
    <row r="818">
      <c r="A818" s="9"/>
      <c r="B818" s="9"/>
    </row>
    <row r="819">
      <c r="A819" s="9"/>
      <c r="B819" s="9"/>
    </row>
    <row r="820">
      <c r="A820" s="9"/>
      <c r="B820" s="9"/>
    </row>
    <row r="821">
      <c r="A821" s="9"/>
      <c r="B821" s="9"/>
    </row>
    <row r="822">
      <c r="A822" s="9"/>
      <c r="B822" s="9"/>
    </row>
    <row r="823">
      <c r="A823" s="9"/>
      <c r="B823" s="9"/>
    </row>
    <row r="824">
      <c r="A824" s="9"/>
      <c r="B824" s="9"/>
    </row>
    <row r="825">
      <c r="A825" s="9"/>
      <c r="B825" s="9"/>
    </row>
    <row r="826">
      <c r="A826" s="9"/>
      <c r="B826" s="9"/>
    </row>
    <row r="827">
      <c r="A827" s="9"/>
      <c r="B827" s="9"/>
    </row>
    <row r="828">
      <c r="A828" s="9"/>
      <c r="B828" s="9"/>
    </row>
    <row r="829">
      <c r="A829" s="9"/>
      <c r="B829" s="9"/>
    </row>
    <row r="830">
      <c r="A830" s="9"/>
      <c r="B830" s="9"/>
    </row>
    <row r="831">
      <c r="A831" s="9"/>
      <c r="B831" s="9"/>
    </row>
    <row r="832">
      <c r="A832" s="9"/>
      <c r="B832" s="9"/>
    </row>
    <row r="833">
      <c r="A833" s="9"/>
      <c r="B833" s="9"/>
    </row>
    <row r="834">
      <c r="A834" s="9"/>
      <c r="B834" s="9"/>
    </row>
    <row r="835">
      <c r="A835" s="9"/>
      <c r="B835" s="9"/>
    </row>
    <row r="836">
      <c r="A836" s="9"/>
      <c r="B836" s="9"/>
    </row>
    <row r="837">
      <c r="A837" s="9"/>
      <c r="B837" s="9"/>
    </row>
    <row r="838">
      <c r="A838" s="9"/>
      <c r="B838" s="9"/>
    </row>
    <row r="839">
      <c r="A839" s="9"/>
      <c r="B839" s="9"/>
    </row>
    <row r="840">
      <c r="A840" s="9"/>
      <c r="B840" s="9"/>
    </row>
    <row r="841">
      <c r="A841" s="9"/>
      <c r="B841" s="9"/>
    </row>
    <row r="842">
      <c r="A842" s="9"/>
      <c r="B842" s="9"/>
    </row>
    <row r="843">
      <c r="A843" s="9"/>
      <c r="B843" s="9"/>
    </row>
    <row r="844">
      <c r="A844" s="9"/>
      <c r="B844" s="9"/>
    </row>
    <row r="845">
      <c r="A845" s="9"/>
      <c r="B845" s="9"/>
    </row>
    <row r="846">
      <c r="A846" s="9"/>
      <c r="B846" s="9"/>
    </row>
    <row r="847">
      <c r="A847" s="9"/>
      <c r="B847" s="9"/>
    </row>
    <row r="848">
      <c r="A848" s="9"/>
      <c r="B848" s="9"/>
    </row>
    <row r="849">
      <c r="A849" s="9"/>
      <c r="B849" s="9"/>
    </row>
    <row r="850">
      <c r="A850" s="9"/>
      <c r="B850" s="9"/>
    </row>
    <row r="851">
      <c r="A851" s="9"/>
      <c r="B851" s="9"/>
    </row>
    <row r="852">
      <c r="A852" s="9"/>
      <c r="B852" s="9"/>
    </row>
    <row r="853">
      <c r="A853" s="9"/>
      <c r="B853" s="9"/>
    </row>
    <row r="854">
      <c r="A854" s="9"/>
      <c r="B854" s="9"/>
    </row>
    <row r="855">
      <c r="A855" s="9"/>
      <c r="B855" s="9"/>
    </row>
    <row r="856">
      <c r="A856" s="9"/>
      <c r="B856" s="9"/>
    </row>
    <row r="857">
      <c r="A857" s="9"/>
      <c r="B857" s="9"/>
    </row>
    <row r="858">
      <c r="A858" s="9"/>
      <c r="B858" s="9"/>
    </row>
    <row r="859">
      <c r="A859" s="9"/>
      <c r="B859" s="9"/>
    </row>
    <row r="860">
      <c r="A860" s="9"/>
      <c r="B860" s="9"/>
    </row>
    <row r="861">
      <c r="A861" s="9"/>
      <c r="B861" s="9"/>
    </row>
    <row r="862">
      <c r="A862" s="9"/>
      <c r="B862" s="9"/>
    </row>
    <row r="863">
      <c r="A863" s="9"/>
      <c r="B863" s="9"/>
    </row>
    <row r="864">
      <c r="A864" s="9"/>
      <c r="B864" s="9"/>
    </row>
    <row r="865">
      <c r="A865" s="9"/>
      <c r="B865" s="9"/>
    </row>
    <row r="866">
      <c r="A866" s="9"/>
      <c r="B866" s="9"/>
    </row>
    <row r="867">
      <c r="A867" s="9"/>
      <c r="B867" s="9"/>
    </row>
    <row r="868">
      <c r="A868" s="9"/>
      <c r="B868" s="9"/>
    </row>
    <row r="869">
      <c r="A869" s="9"/>
      <c r="B869" s="9"/>
    </row>
    <row r="870">
      <c r="A870" s="9"/>
      <c r="B870" s="9"/>
    </row>
    <row r="871">
      <c r="A871" s="9"/>
      <c r="B871" s="9"/>
    </row>
    <row r="872">
      <c r="A872" s="9"/>
      <c r="B872" s="9"/>
    </row>
    <row r="873">
      <c r="A873" s="9"/>
      <c r="B873" s="9"/>
    </row>
    <row r="874">
      <c r="A874" s="9"/>
      <c r="B874" s="9"/>
    </row>
    <row r="875">
      <c r="A875" s="9"/>
      <c r="B875" s="9"/>
    </row>
    <row r="876">
      <c r="A876" s="9"/>
      <c r="B876" s="9"/>
    </row>
    <row r="877">
      <c r="A877" s="9"/>
      <c r="B877" s="9"/>
    </row>
    <row r="878">
      <c r="A878" s="9"/>
      <c r="B878" s="9"/>
    </row>
    <row r="879">
      <c r="A879" s="9"/>
      <c r="B879" s="9"/>
    </row>
    <row r="880">
      <c r="A880" s="9"/>
      <c r="B880" s="9"/>
    </row>
    <row r="881">
      <c r="A881" s="9"/>
      <c r="B881" s="9"/>
    </row>
    <row r="882">
      <c r="A882" s="9"/>
      <c r="B882" s="9"/>
    </row>
    <row r="883">
      <c r="A883" s="9"/>
      <c r="B883" s="9"/>
    </row>
    <row r="884">
      <c r="A884" s="9"/>
      <c r="B884" s="9"/>
    </row>
    <row r="885">
      <c r="A885" s="9"/>
      <c r="B885" s="9"/>
    </row>
    <row r="886">
      <c r="A886" s="9"/>
      <c r="B886" s="9"/>
    </row>
    <row r="887">
      <c r="A887" s="9"/>
      <c r="B887" s="9"/>
    </row>
    <row r="888">
      <c r="A888" s="9"/>
      <c r="B888" s="9"/>
    </row>
    <row r="889">
      <c r="A889" s="9"/>
      <c r="B889" s="9"/>
    </row>
    <row r="890">
      <c r="A890" s="9"/>
      <c r="B890" s="9"/>
    </row>
    <row r="891">
      <c r="A891" s="9"/>
      <c r="B891" s="9"/>
    </row>
    <row r="892">
      <c r="A892" s="9"/>
      <c r="B892" s="9"/>
    </row>
    <row r="893">
      <c r="A893" s="9"/>
      <c r="B893" s="9"/>
    </row>
    <row r="894">
      <c r="A894" s="9"/>
      <c r="B894" s="9"/>
    </row>
    <row r="895">
      <c r="A895" s="9"/>
      <c r="B895" s="9"/>
    </row>
    <row r="896">
      <c r="A896" s="9"/>
      <c r="B896" s="9"/>
    </row>
    <row r="897">
      <c r="A897" s="9"/>
      <c r="B897" s="9"/>
    </row>
    <row r="898">
      <c r="A898" s="9"/>
      <c r="B898" s="9"/>
    </row>
    <row r="899">
      <c r="A899" s="9"/>
      <c r="B899" s="9"/>
    </row>
    <row r="900">
      <c r="A900" s="9"/>
      <c r="B900" s="9"/>
    </row>
    <row r="901">
      <c r="A901" s="9"/>
      <c r="B901" s="9"/>
    </row>
    <row r="902">
      <c r="A902" s="9"/>
      <c r="B902" s="9"/>
    </row>
    <row r="903">
      <c r="A903" s="9"/>
      <c r="B903" s="9"/>
    </row>
    <row r="904">
      <c r="A904" s="9"/>
      <c r="B904" s="9"/>
    </row>
    <row r="905">
      <c r="A905" s="9"/>
      <c r="B905" s="9"/>
    </row>
    <row r="906">
      <c r="A906" s="9"/>
      <c r="B906" s="9"/>
    </row>
    <row r="907">
      <c r="A907" s="9"/>
      <c r="B907" s="9"/>
    </row>
    <row r="908">
      <c r="A908" s="9"/>
      <c r="B908" s="9"/>
    </row>
    <row r="909">
      <c r="A909" s="9"/>
      <c r="B909" s="9"/>
    </row>
    <row r="910">
      <c r="A910" s="9"/>
      <c r="B910" s="9"/>
    </row>
    <row r="911">
      <c r="A911" s="9"/>
      <c r="B911" s="9"/>
    </row>
    <row r="912">
      <c r="A912" s="9"/>
      <c r="B912" s="9"/>
    </row>
    <row r="913">
      <c r="A913" s="9"/>
      <c r="B913" s="9"/>
    </row>
    <row r="914">
      <c r="A914" s="9"/>
      <c r="B914" s="9"/>
    </row>
    <row r="915">
      <c r="A915" s="9"/>
      <c r="B915" s="9"/>
    </row>
    <row r="916">
      <c r="A916" s="9"/>
      <c r="B916" s="9"/>
    </row>
    <row r="917">
      <c r="A917" s="9"/>
      <c r="B917" s="9"/>
    </row>
    <row r="918">
      <c r="A918" s="9"/>
      <c r="B918" s="9"/>
    </row>
    <row r="919">
      <c r="A919" s="9"/>
      <c r="B919" s="9"/>
    </row>
    <row r="920">
      <c r="A920" s="9"/>
      <c r="B920" s="9"/>
    </row>
    <row r="921">
      <c r="A921" s="9"/>
      <c r="B921" s="9"/>
    </row>
    <row r="922">
      <c r="A922" s="9"/>
      <c r="B922" s="9"/>
    </row>
    <row r="923">
      <c r="A923" s="9"/>
      <c r="B923" s="9"/>
    </row>
    <row r="924">
      <c r="A924" s="9"/>
      <c r="B924" s="9"/>
    </row>
    <row r="925">
      <c r="A925" s="9"/>
      <c r="B925" s="9"/>
    </row>
    <row r="926">
      <c r="A926" s="9"/>
      <c r="B926" s="9"/>
    </row>
    <row r="927">
      <c r="A927" s="9"/>
      <c r="B927" s="9"/>
    </row>
    <row r="928">
      <c r="A928" s="9"/>
      <c r="B928" s="9"/>
    </row>
    <row r="929">
      <c r="A929" s="9"/>
      <c r="B929" s="9"/>
    </row>
    <row r="930">
      <c r="A930" s="9"/>
      <c r="B930" s="9"/>
    </row>
    <row r="931">
      <c r="A931" s="9"/>
      <c r="B931" s="9"/>
    </row>
    <row r="932">
      <c r="A932" s="9"/>
      <c r="B932" s="9"/>
    </row>
    <row r="933">
      <c r="A933" s="9"/>
      <c r="B933" s="9"/>
    </row>
    <row r="934">
      <c r="A934" s="9"/>
      <c r="B934" s="9"/>
    </row>
    <row r="935">
      <c r="A935" s="9"/>
      <c r="B935" s="9"/>
    </row>
    <row r="936">
      <c r="A936" s="9"/>
      <c r="B936" s="9"/>
    </row>
    <row r="937">
      <c r="A937" s="9"/>
      <c r="B937" s="9"/>
    </row>
    <row r="938">
      <c r="A938" s="9"/>
      <c r="B938" s="9"/>
    </row>
    <row r="939">
      <c r="A939" s="9"/>
      <c r="B939" s="9"/>
    </row>
    <row r="940">
      <c r="A940" s="9"/>
      <c r="B940" s="9"/>
    </row>
    <row r="941">
      <c r="A941" s="9"/>
      <c r="B941" s="9"/>
    </row>
    <row r="942">
      <c r="A942" s="9"/>
      <c r="B942" s="9"/>
    </row>
    <row r="943">
      <c r="A943" s="9"/>
      <c r="B943" s="9"/>
    </row>
    <row r="944">
      <c r="A944" s="9"/>
      <c r="B944" s="9"/>
    </row>
    <row r="945">
      <c r="A945" s="9"/>
      <c r="B945" s="9"/>
    </row>
    <row r="946">
      <c r="A946" s="9"/>
      <c r="B946" s="9"/>
    </row>
    <row r="947">
      <c r="A947" s="9"/>
      <c r="B947" s="9"/>
    </row>
    <row r="948">
      <c r="A948" s="9"/>
      <c r="B948" s="9"/>
    </row>
    <row r="949">
      <c r="A949" s="9"/>
      <c r="B949" s="9"/>
    </row>
    <row r="950">
      <c r="A950" s="9"/>
      <c r="B950" s="9"/>
    </row>
    <row r="951">
      <c r="A951" s="9"/>
      <c r="B951" s="9"/>
    </row>
    <row r="952">
      <c r="A952" s="9"/>
      <c r="B952" s="9"/>
    </row>
    <row r="953">
      <c r="A953" s="9"/>
      <c r="B953" s="9"/>
    </row>
    <row r="954">
      <c r="A954" s="9"/>
      <c r="B954" s="9"/>
    </row>
    <row r="955">
      <c r="A955" s="9"/>
      <c r="B955" s="9"/>
    </row>
    <row r="956">
      <c r="A956" s="9"/>
      <c r="B956" s="9"/>
    </row>
    <row r="957">
      <c r="A957" s="9"/>
      <c r="B957" s="9"/>
    </row>
    <row r="958">
      <c r="A958" s="9"/>
      <c r="B958" s="9"/>
    </row>
    <row r="959">
      <c r="A959" s="9"/>
      <c r="B959" s="9"/>
    </row>
    <row r="960">
      <c r="A960" s="9"/>
      <c r="B960" s="9"/>
    </row>
    <row r="961">
      <c r="A961" s="9"/>
      <c r="B961" s="9"/>
    </row>
    <row r="962">
      <c r="A962" s="9"/>
      <c r="B962" s="9"/>
    </row>
  </sheetData>
  <hyperlinks>
    <hyperlink r:id="rId1" location="Current_ISO_3166_country_codes" ref="A3"/>
  </hyperlinks>
  <drawing r:id="rId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2.25"/>
    <col customWidth="1" min="2" max="2" width="20.75"/>
    <col customWidth="1" min="3" max="3" width="24.88"/>
    <col customWidth="1" min="4" max="11" width="23.88"/>
  </cols>
  <sheetData>
    <row r="1">
      <c r="A1" s="12" t="str">
        <f>Entities!A1</f>
        <v>CDA.LS.HCP Kernel Translations, Version 24.8, August 30, 2024</v>
      </c>
      <c r="B1" s="3"/>
      <c r="C1" s="3"/>
      <c r="D1" s="2"/>
      <c r="E1" s="2"/>
      <c r="F1" s="3"/>
      <c r="G1" s="3"/>
      <c r="H1" s="4"/>
      <c r="I1" s="4"/>
      <c r="J1" s="4"/>
      <c r="K1" s="4"/>
      <c r="L1" s="4"/>
      <c r="M1" s="4"/>
      <c r="N1" s="4"/>
      <c r="O1" s="4"/>
      <c r="P1" s="4"/>
      <c r="Q1" s="4"/>
      <c r="R1" s="4"/>
      <c r="S1" s="4"/>
      <c r="T1" s="4"/>
      <c r="U1" s="4"/>
      <c r="V1" s="4"/>
      <c r="W1" s="4"/>
      <c r="X1" s="4"/>
      <c r="Y1" s="4"/>
    </row>
    <row r="2">
      <c r="A2" s="5" t="s">
        <v>48</v>
      </c>
      <c r="B2" s="3"/>
      <c r="C2" s="3"/>
      <c r="D2" s="2"/>
      <c r="E2" s="2"/>
      <c r="F2" s="3"/>
      <c r="G2" s="3"/>
      <c r="H2" s="4"/>
      <c r="I2" s="4"/>
      <c r="J2" s="4"/>
      <c r="K2" s="4"/>
      <c r="L2" s="4"/>
      <c r="M2" s="4"/>
      <c r="N2" s="4"/>
      <c r="O2" s="4"/>
      <c r="P2" s="4"/>
      <c r="Q2" s="4"/>
      <c r="R2" s="4"/>
      <c r="S2" s="4"/>
      <c r="T2" s="4"/>
      <c r="U2" s="4"/>
      <c r="V2" s="4"/>
      <c r="W2" s="4"/>
      <c r="X2" s="4"/>
      <c r="Y2" s="4"/>
    </row>
    <row r="3">
      <c r="A3" s="16" t="s">
        <v>49</v>
      </c>
      <c r="B3" s="8"/>
      <c r="K3" s="17"/>
      <c r="L3" s="8"/>
      <c r="M3" s="8"/>
      <c r="N3" s="17"/>
      <c r="O3" s="8"/>
      <c r="P3" s="8"/>
      <c r="Q3" s="17"/>
      <c r="R3" s="8"/>
      <c r="S3" s="8"/>
      <c r="T3" s="17"/>
      <c r="U3" s="8"/>
      <c r="V3" s="8"/>
      <c r="W3" s="17"/>
    </row>
    <row r="4">
      <c r="A4" s="6" t="s">
        <v>26</v>
      </c>
      <c r="B4" s="6" t="s">
        <v>3</v>
      </c>
      <c r="C4" s="6" t="s">
        <v>4</v>
      </c>
      <c r="D4" s="6" t="s">
        <v>5</v>
      </c>
      <c r="E4" s="6" t="s">
        <v>6</v>
      </c>
      <c r="F4" s="6" t="s">
        <v>7</v>
      </c>
      <c r="G4" s="6" t="s">
        <v>8</v>
      </c>
      <c r="H4" s="6" t="s">
        <v>9</v>
      </c>
      <c r="I4" s="6" t="s">
        <v>10</v>
      </c>
      <c r="J4" s="6" t="s">
        <v>11</v>
      </c>
      <c r="K4" s="6"/>
      <c r="L4" s="6"/>
      <c r="M4" s="6"/>
      <c r="N4" s="6"/>
      <c r="O4" s="6"/>
      <c r="P4" s="6"/>
      <c r="Q4" s="6"/>
      <c r="R4" s="6"/>
      <c r="S4" s="6"/>
      <c r="T4" s="6"/>
      <c r="U4" s="6"/>
      <c r="V4" s="6"/>
      <c r="W4" s="6"/>
      <c r="X4" s="18"/>
      <c r="Y4" s="18"/>
      <c r="Z4" s="18"/>
    </row>
    <row r="5">
      <c r="A5" s="8" t="str">
        <f>IFERROR(__xludf.DUMMYFUNCTION("IMPORTRANGE(""https://docs.google.com/spreadsheets/d/1ZIx3-wJv76bPGccT5CZZ4g3Sy52i_iEnaWf6C0L_ST0/edit#gid=1869488518"",""State Items!A5:A"")"),"Arizona")</f>
        <v>Arizona</v>
      </c>
      <c r="B5" s="8" t="str">
        <f>IFERROR(__xludf.DUMMYFUNCTION("IMPORTRANGE(""https://docs.google.com/spreadsheets/d/1ZIx3-wJv76bPGccT5CZZ4g3Sy52i_iEnaWf6C0L_ST0/edit#gid=1869488518"",""State Items!B5:B"")"),"us-az")</f>
        <v>us-az</v>
      </c>
      <c r="C5" s="9" t="str">
        <f>IFERROR(__xludf.DUMMYFUNCTION("GOOGLETRANSLATE($A5,""en"",""de"")"),"Arizona")</f>
        <v>Arizona</v>
      </c>
      <c r="D5" s="9" t="str">
        <f>IFERROR(__xludf.DUMMYFUNCTION("GOOGLETRANSLATE($A5,""en"",""fr"")"),"Arizona")</f>
        <v>Arizona</v>
      </c>
      <c r="E5" s="9" t="str">
        <f>IFERROR(__xludf.DUMMYFUNCTION("GOOGLETRANSLATE($A5,""en"",""es"")"),"Arizona")</f>
        <v>Arizona</v>
      </c>
      <c r="F5" s="9" t="str">
        <f>IFERROR(__xludf.DUMMYFUNCTION("GOOGLETRANSLATE($A5,""en"",""it"")"),"Arizona")</f>
        <v>Arizona</v>
      </c>
      <c r="G5" s="9" t="str">
        <f>IFERROR(__xludf.DUMMYFUNCTION("GOOGLETRANSLATE($A5,""en"",""zh-cn"")"),"亚利桑那")</f>
        <v>亚利桑那</v>
      </c>
      <c r="H5" s="9" t="str">
        <f>IFERROR(__xludf.DUMMYFUNCTION("GOOGLETRANSLATE($A5,""en"",""ja"")"),"アリゾナ")</f>
        <v>アリゾナ</v>
      </c>
      <c r="I5" s="9" t="str">
        <f>IFERROR(__xludf.DUMMYFUNCTION("GOOGLETRANSLATE($A5,""en"",""ko"")"),"애리조나")</f>
        <v>애리조나</v>
      </c>
      <c r="J5" s="9" t="str">
        <f>IFERROR(__xludf.DUMMYFUNCTION("GOOGLETRANSLATE($A5,""en"",""pt-BR"")"),"Arizona")</f>
        <v>Arizona</v>
      </c>
      <c r="K5" s="17"/>
      <c r="L5" s="8"/>
      <c r="M5" s="8"/>
      <c r="N5" s="17"/>
      <c r="O5" s="8"/>
      <c r="P5" s="8"/>
      <c r="Q5" s="17"/>
      <c r="R5" s="8"/>
      <c r="S5" s="8"/>
      <c r="T5" s="17"/>
      <c r="U5" s="8"/>
      <c r="V5" s="8"/>
      <c r="W5" s="17"/>
    </row>
    <row r="6">
      <c r="A6" s="19" t="str">
        <f>IFERROR(__xludf.DUMMYFUNCTION("""COMPUTED_VALUE"""),"American Samoa")</f>
        <v>American Samoa</v>
      </c>
      <c r="B6" s="19" t="str">
        <f>IFERROR(__xludf.DUMMYFUNCTION("""COMPUTED_VALUE"""),"us-as")</f>
        <v>us-as</v>
      </c>
      <c r="C6" s="9" t="str">
        <f>IFERROR(__xludf.DUMMYFUNCTION("GOOGLETRANSLATE($A6,""en"",""de"")"),"Amerikanisch-Samoa")</f>
        <v>Amerikanisch-Samoa</v>
      </c>
      <c r="D6" s="9" t="str">
        <f>IFERROR(__xludf.DUMMYFUNCTION("GOOGLETRANSLATE($A6,""en"",""fr"")"),"Samoa américaines")</f>
        <v>Samoa américaines</v>
      </c>
      <c r="E6" s="9" t="str">
        <f>IFERROR(__xludf.DUMMYFUNCTION("GOOGLETRANSLATE($A6,""en"",""es"")"),"Samoa Americana")</f>
        <v>Samoa Americana</v>
      </c>
      <c r="F6" s="9" t="str">
        <f>IFERROR(__xludf.DUMMYFUNCTION("GOOGLETRANSLATE($A6,""en"",""it"")"),"Samoa americane")</f>
        <v>Samoa americane</v>
      </c>
      <c r="G6" s="9" t="str">
        <f>IFERROR(__xludf.DUMMYFUNCTION("GOOGLETRANSLATE($A6,""en"",""zh-cn"")"),"美属萨摩亚")</f>
        <v>美属萨摩亚</v>
      </c>
      <c r="H6" s="9" t="str">
        <f>IFERROR(__xludf.DUMMYFUNCTION("GOOGLETRANSLATE($A6,""en"",""ja"")"),"アメリカ領サモア")</f>
        <v>アメリカ領サモア</v>
      </c>
      <c r="I6" s="9" t="str">
        <f>IFERROR(__xludf.DUMMYFUNCTION("GOOGLETRANSLATE($A6,""en"",""ko"")"),"아메리칸사모아")</f>
        <v>아메리칸사모아</v>
      </c>
      <c r="J6" s="9" t="str">
        <f>IFERROR(__xludf.DUMMYFUNCTION("GOOGLETRANSLATE($A6,""en"",""pt-BR"")"),"Samoa Americana")</f>
        <v>Samoa Americana</v>
      </c>
    </row>
    <row r="7">
      <c r="A7" s="19" t="str">
        <f>IFERROR(__xludf.DUMMYFUNCTION("""COMPUTED_VALUE"""),"Arkansas")</f>
        <v>Arkansas</v>
      </c>
      <c r="B7" s="19" t="str">
        <f>IFERROR(__xludf.DUMMYFUNCTION("""COMPUTED_VALUE"""),"us-ar")</f>
        <v>us-ar</v>
      </c>
      <c r="C7" s="9" t="str">
        <f>IFERROR(__xludf.DUMMYFUNCTION("GOOGLETRANSLATE($A7,""en"",""de"")"),"Arkansas")</f>
        <v>Arkansas</v>
      </c>
      <c r="D7" s="9" t="str">
        <f>IFERROR(__xludf.DUMMYFUNCTION("GOOGLETRANSLATE($A7,""en"",""fr"")"),"Arkansas")</f>
        <v>Arkansas</v>
      </c>
      <c r="E7" s="9" t="str">
        <f>IFERROR(__xludf.DUMMYFUNCTION("GOOGLETRANSLATE($A7,""en"",""es"")"),"Arkansas")</f>
        <v>Arkansas</v>
      </c>
      <c r="F7" s="9" t="str">
        <f>IFERROR(__xludf.DUMMYFUNCTION("GOOGLETRANSLATE($A7,""en"",""it"")"),"Arkansas")</f>
        <v>Arkansas</v>
      </c>
      <c r="G7" s="9" t="str">
        <f>IFERROR(__xludf.DUMMYFUNCTION("GOOGLETRANSLATE($A7,""en"",""zh-cn"")"),"阿肯色州")</f>
        <v>阿肯色州</v>
      </c>
      <c r="H7" s="9" t="str">
        <f>IFERROR(__xludf.DUMMYFUNCTION("GOOGLETRANSLATE($A7,""en"",""ja"")"),"アーカンソー州")</f>
        <v>アーカンソー州</v>
      </c>
      <c r="I7" s="9" t="str">
        <f>IFERROR(__xludf.DUMMYFUNCTION("GOOGLETRANSLATE($A7,""en"",""ko"")"),"아칸소")</f>
        <v>아칸소</v>
      </c>
      <c r="J7" s="9" t="str">
        <f>IFERROR(__xludf.DUMMYFUNCTION("GOOGLETRANSLATE($A7,""en"",""pt-BR"")"),"Arcansas")</f>
        <v>Arcansas</v>
      </c>
    </row>
    <row r="8">
      <c r="A8" s="19" t="str">
        <f>IFERROR(__xludf.DUMMYFUNCTION("""COMPUTED_VALUE"""),"Alabama")</f>
        <v>Alabama</v>
      </c>
      <c r="B8" s="19" t="str">
        <f>IFERROR(__xludf.DUMMYFUNCTION("""COMPUTED_VALUE"""),"us-al")</f>
        <v>us-al</v>
      </c>
      <c r="C8" s="9" t="str">
        <f>IFERROR(__xludf.DUMMYFUNCTION("GOOGLETRANSLATE($A8,""en"",""de"")"),"Alabama")</f>
        <v>Alabama</v>
      </c>
      <c r="D8" s="9" t="str">
        <f>IFERROR(__xludf.DUMMYFUNCTION("GOOGLETRANSLATE($A8,""en"",""fr"")"),"Alabama")</f>
        <v>Alabama</v>
      </c>
      <c r="E8" s="9" t="str">
        <f>IFERROR(__xludf.DUMMYFUNCTION("GOOGLETRANSLATE($A8,""en"",""es"")"),"Alabama")</f>
        <v>Alabama</v>
      </c>
      <c r="F8" s="9" t="str">
        <f>IFERROR(__xludf.DUMMYFUNCTION("GOOGLETRANSLATE($A8,""en"",""it"")"),"Alabama")</f>
        <v>Alabama</v>
      </c>
      <c r="G8" s="9" t="str">
        <f>IFERROR(__xludf.DUMMYFUNCTION("GOOGLETRANSLATE($A8,""en"",""zh-cn"")"),"阿拉巴马州")</f>
        <v>阿拉巴马州</v>
      </c>
      <c r="H8" s="9" t="str">
        <f>IFERROR(__xludf.DUMMYFUNCTION("GOOGLETRANSLATE($A8,""en"",""ja"")"),"アラバマ州")</f>
        <v>アラバマ州</v>
      </c>
      <c r="I8" s="9" t="str">
        <f>IFERROR(__xludf.DUMMYFUNCTION("GOOGLETRANSLATE($A8,""en"",""ko"")"),"앨라배마")</f>
        <v>앨라배마</v>
      </c>
      <c r="J8" s="9" t="str">
        <f>IFERROR(__xludf.DUMMYFUNCTION("GOOGLETRANSLATE($A8,""en"",""pt-BR"")"),"Alabama")</f>
        <v>Alabama</v>
      </c>
    </row>
    <row r="9">
      <c r="A9" s="19" t="str">
        <f>IFERROR(__xludf.DUMMYFUNCTION("""COMPUTED_VALUE"""),"Alaska")</f>
        <v>Alaska</v>
      </c>
      <c r="B9" s="19" t="str">
        <f>IFERROR(__xludf.DUMMYFUNCTION("""COMPUTED_VALUE"""),"us-ak")</f>
        <v>us-ak</v>
      </c>
      <c r="C9" s="9" t="str">
        <f>IFERROR(__xludf.DUMMYFUNCTION("GOOGLETRANSLATE($A9,""en"",""de"")"),"Alaska")</f>
        <v>Alaska</v>
      </c>
      <c r="D9" s="9" t="str">
        <f>IFERROR(__xludf.DUMMYFUNCTION("GOOGLETRANSLATE($A9,""en"",""fr"")"),"Alaska")</f>
        <v>Alaska</v>
      </c>
      <c r="E9" s="9" t="str">
        <f>IFERROR(__xludf.DUMMYFUNCTION("GOOGLETRANSLATE($A9,""en"",""es"")"),"Alaska")</f>
        <v>Alaska</v>
      </c>
      <c r="F9" s="9" t="str">
        <f>IFERROR(__xludf.DUMMYFUNCTION("GOOGLETRANSLATE($A9,""en"",""it"")"),"Alaska")</f>
        <v>Alaska</v>
      </c>
      <c r="G9" s="9" t="str">
        <f>IFERROR(__xludf.DUMMYFUNCTION("GOOGLETRANSLATE($A9,""en"",""zh-cn"")"),"阿拉斯加州")</f>
        <v>阿拉斯加州</v>
      </c>
      <c r="H9" s="9" t="str">
        <f>IFERROR(__xludf.DUMMYFUNCTION("GOOGLETRANSLATE($A9,""en"",""ja"")"),"アラスカ")</f>
        <v>アラスカ</v>
      </c>
      <c r="I9" s="9" t="str">
        <f>IFERROR(__xludf.DUMMYFUNCTION("GOOGLETRANSLATE($A9,""en"",""ko"")"),"알래스카")</f>
        <v>알래스카</v>
      </c>
      <c r="J9" s="9" t="str">
        <f>IFERROR(__xludf.DUMMYFUNCTION("GOOGLETRANSLATE($A9,""en"",""pt-BR"")"),"Alasca")</f>
        <v>Alasca</v>
      </c>
    </row>
    <row r="10">
      <c r="A10" s="20" t="str">
        <f>IFERROR(__xludf.DUMMYFUNCTION("""COMPUTED_VALUE"""),"Colorado")</f>
        <v>Colorado</v>
      </c>
      <c r="B10" s="19" t="str">
        <f>IFERROR(__xludf.DUMMYFUNCTION("""COMPUTED_VALUE"""),"us-co")</f>
        <v>us-co</v>
      </c>
      <c r="C10" s="9" t="str">
        <f>IFERROR(__xludf.DUMMYFUNCTION("GOOGLETRANSLATE($A10,""en"",""de"")"),"Colorado")</f>
        <v>Colorado</v>
      </c>
      <c r="D10" s="9" t="str">
        <f>IFERROR(__xludf.DUMMYFUNCTION("GOOGLETRANSLATE($A10,""en"",""fr"")"),"Colorado")</f>
        <v>Colorado</v>
      </c>
      <c r="E10" s="9" t="str">
        <f>IFERROR(__xludf.DUMMYFUNCTION("GOOGLETRANSLATE($A10,""en"",""es"")"),"Colorado")</f>
        <v>Colorado</v>
      </c>
      <c r="F10" s="9" t="str">
        <f>IFERROR(__xludf.DUMMYFUNCTION("GOOGLETRANSLATE($A10,""en"",""it"")"),"Colorado")</f>
        <v>Colorado</v>
      </c>
      <c r="G10" s="9" t="str">
        <f>IFERROR(__xludf.DUMMYFUNCTION("GOOGLETRANSLATE($A10,""en"",""zh-cn"")"),"科罗拉多州")</f>
        <v>科罗拉多州</v>
      </c>
      <c r="H10" s="9" t="str">
        <f>IFERROR(__xludf.DUMMYFUNCTION("GOOGLETRANSLATE($A10,""en"",""ja"")"),"コロラド")</f>
        <v>コロラド</v>
      </c>
      <c r="I10" s="9" t="str">
        <f>IFERROR(__xludf.DUMMYFUNCTION("GOOGLETRANSLATE($A10,""en"",""ko"")"),"콜로라도")</f>
        <v>콜로라도</v>
      </c>
      <c r="J10" s="9" t="str">
        <f>IFERROR(__xludf.DUMMYFUNCTION("GOOGLETRANSLATE($A10,""en"",""pt-BR"")"),"Colorado")</f>
        <v>Colorado</v>
      </c>
    </row>
    <row r="11">
      <c r="A11" s="19" t="str">
        <f>IFERROR(__xludf.DUMMYFUNCTION("""COMPUTED_VALUE"""),"California")</f>
        <v>California</v>
      </c>
      <c r="B11" s="20" t="str">
        <f>IFERROR(__xludf.DUMMYFUNCTION("""COMPUTED_VALUE"""),"us-ca")</f>
        <v>us-ca</v>
      </c>
      <c r="C11" s="9" t="str">
        <f>IFERROR(__xludf.DUMMYFUNCTION("GOOGLETRANSLATE($A11,""en"",""de"")"),"Kalifornien")</f>
        <v>Kalifornien</v>
      </c>
      <c r="D11" s="9" t="str">
        <f>IFERROR(__xludf.DUMMYFUNCTION("GOOGLETRANSLATE($A11,""en"",""fr"")"),"Californie")</f>
        <v>Californie</v>
      </c>
      <c r="E11" s="9" t="str">
        <f>IFERROR(__xludf.DUMMYFUNCTION("GOOGLETRANSLATE($A11,""en"",""es"")"),"California")</f>
        <v>California</v>
      </c>
      <c r="F11" s="9" t="str">
        <f>IFERROR(__xludf.DUMMYFUNCTION("GOOGLETRANSLATE($A11,""en"",""it"")"),"California")</f>
        <v>California</v>
      </c>
      <c r="G11" s="9" t="str">
        <f>IFERROR(__xludf.DUMMYFUNCTION("GOOGLETRANSLATE($A11,""en"",""zh-cn"")"),"加利福尼亚州")</f>
        <v>加利福尼亚州</v>
      </c>
      <c r="H11" s="9" t="str">
        <f>IFERROR(__xludf.DUMMYFUNCTION("GOOGLETRANSLATE($A11,""en"",""ja"")"),"カリフォルニア")</f>
        <v>カリフォルニア</v>
      </c>
      <c r="I11" s="9" t="str">
        <f>IFERROR(__xludf.DUMMYFUNCTION("GOOGLETRANSLATE($A11,""en"",""ko"")"),"캘리포니아")</f>
        <v>캘리포니아</v>
      </c>
      <c r="J11" s="9" t="str">
        <f>IFERROR(__xludf.DUMMYFUNCTION("GOOGLETRANSLATE($A11,""en"",""pt-BR"")"),"Califórnia")</f>
        <v>Califórnia</v>
      </c>
    </row>
    <row r="12">
      <c r="A12" s="9" t="str">
        <f>IFERROR(__xludf.DUMMYFUNCTION("""COMPUTED_VALUE"""),"Florida")</f>
        <v>Florida</v>
      </c>
      <c r="B12" s="9" t="str">
        <f>IFERROR(__xludf.DUMMYFUNCTION("""COMPUTED_VALUE"""),"us-fl")</f>
        <v>us-fl</v>
      </c>
      <c r="C12" s="9" t="str">
        <f>IFERROR(__xludf.DUMMYFUNCTION("GOOGLETRANSLATE($A12,""en"",""de"")"),"Florida")</f>
        <v>Florida</v>
      </c>
      <c r="D12" s="9" t="str">
        <f>IFERROR(__xludf.DUMMYFUNCTION("GOOGLETRANSLATE($A12,""en"",""fr"")"),"Floride")</f>
        <v>Floride</v>
      </c>
      <c r="E12" s="9" t="str">
        <f>IFERROR(__xludf.DUMMYFUNCTION("GOOGLETRANSLATE($A12,""en"",""es"")"),"Florida")</f>
        <v>Florida</v>
      </c>
      <c r="F12" s="9" t="str">
        <f>IFERROR(__xludf.DUMMYFUNCTION("GOOGLETRANSLATE($A12,""en"",""it"")"),"Florida")</f>
        <v>Florida</v>
      </c>
      <c r="G12" s="9" t="str">
        <f>IFERROR(__xludf.DUMMYFUNCTION("GOOGLETRANSLATE($A12,""en"",""zh-cn"")"),"佛罗里达")</f>
        <v>佛罗里达</v>
      </c>
      <c r="H12" s="9" t="str">
        <f>IFERROR(__xludf.DUMMYFUNCTION("GOOGLETRANSLATE($A12,""en"",""ja"")"),"フロリダ")</f>
        <v>フロリダ</v>
      </c>
      <c r="I12" s="9" t="str">
        <f>IFERROR(__xludf.DUMMYFUNCTION("GOOGLETRANSLATE($A12,""en"",""ko"")"),"플로리다")</f>
        <v>플로리다</v>
      </c>
      <c r="J12" s="9" t="str">
        <f>IFERROR(__xludf.DUMMYFUNCTION("GOOGLETRANSLATE($A12,""en"",""pt-BR"")"),"Flórida")</f>
        <v>Flórida</v>
      </c>
    </row>
    <row r="13">
      <c r="A13" s="9" t="str">
        <f>IFERROR(__xludf.DUMMYFUNCTION("""COMPUTED_VALUE"""),"Delaware")</f>
        <v>Delaware</v>
      </c>
      <c r="B13" s="9" t="str">
        <f>IFERROR(__xludf.DUMMYFUNCTION("""COMPUTED_VALUE"""),"us-de")</f>
        <v>us-de</v>
      </c>
      <c r="C13" s="9" t="str">
        <f>IFERROR(__xludf.DUMMYFUNCTION("GOOGLETRANSLATE($A13,""en"",""de"")"),"Delaware")</f>
        <v>Delaware</v>
      </c>
      <c r="D13" s="9" t="str">
        <f>IFERROR(__xludf.DUMMYFUNCTION("GOOGLETRANSLATE($A13,""en"",""fr"")"),"Delaware")</f>
        <v>Delaware</v>
      </c>
      <c r="E13" s="9" t="str">
        <f>IFERROR(__xludf.DUMMYFUNCTION("GOOGLETRANSLATE($A13,""en"",""es"")"),"Delaware")</f>
        <v>Delaware</v>
      </c>
      <c r="F13" s="9" t="str">
        <f>IFERROR(__xludf.DUMMYFUNCTION("GOOGLETRANSLATE($A13,""en"",""it"")"),"Delaware")</f>
        <v>Delaware</v>
      </c>
      <c r="G13" s="9" t="str">
        <f>IFERROR(__xludf.DUMMYFUNCTION("GOOGLETRANSLATE($A13,""en"",""zh-cn"")"),"特拉华州")</f>
        <v>特拉华州</v>
      </c>
      <c r="H13" s="9" t="str">
        <f>IFERROR(__xludf.DUMMYFUNCTION("GOOGLETRANSLATE($A13,""en"",""ja"")"),"デラウェア州")</f>
        <v>デラウェア州</v>
      </c>
      <c r="I13" s="9" t="str">
        <f>IFERROR(__xludf.DUMMYFUNCTION("GOOGLETRANSLATE($A13,""en"",""ko"")"),"델라웨어")</f>
        <v>델라웨어</v>
      </c>
      <c r="J13" s="9" t="str">
        <f>IFERROR(__xludf.DUMMYFUNCTION("GOOGLETRANSLATE($A13,""en"",""pt-BR"")"),"Delaware")</f>
        <v>Delaware</v>
      </c>
    </row>
    <row r="14">
      <c r="A14" s="9" t="str">
        <f>IFERROR(__xludf.DUMMYFUNCTION("""COMPUTED_VALUE"""),"District Of Columbia")</f>
        <v>District Of Columbia</v>
      </c>
      <c r="B14" s="9" t="str">
        <f>IFERROR(__xludf.DUMMYFUNCTION("""COMPUTED_VALUE"""),"us-dc")</f>
        <v>us-dc</v>
      </c>
      <c r="C14" s="9" t="str">
        <f>IFERROR(__xludf.DUMMYFUNCTION("GOOGLETRANSLATE($A14,""en"",""de"")"),"District of Columbia")</f>
        <v>District of Columbia</v>
      </c>
      <c r="D14" s="9" t="str">
        <f>IFERROR(__xludf.DUMMYFUNCTION("GOOGLETRANSLATE($A14,""en"",""fr"")"),"District fédéral de Columbia")</f>
        <v>District fédéral de Columbia</v>
      </c>
      <c r="E14" s="9" t="str">
        <f>IFERROR(__xludf.DUMMYFUNCTION("GOOGLETRANSLATE($A14,""en"",""es"")"),"Distrito de Columbia")</f>
        <v>Distrito de Columbia</v>
      </c>
      <c r="F14" s="9" t="str">
        <f>IFERROR(__xludf.DUMMYFUNCTION("GOOGLETRANSLATE($A14,""en"",""it"")"),"Distretto di Columbia")</f>
        <v>Distretto di Columbia</v>
      </c>
      <c r="G14" s="9" t="str">
        <f>IFERROR(__xludf.DUMMYFUNCTION("GOOGLETRANSLATE($A14,""en"",""zh-cn"")"),"哥伦比亚特区")</f>
        <v>哥伦比亚特区</v>
      </c>
      <c r="H14" s="9" t="str">
        <f>IFERROR(__xludf.DUMMYFUNCTION("GOOGLETRANSLATE($A14,""en"",""ja"")"),"コロンビア特別区")</f>
        <v>コロンビア特別区</v>
      </c>
      <c r="I14" s="9" t="str">
        <f>IFERROR(__xludf.DUMMYFUNCTION("GOOGLETRANSLATE($A14,""en"",""ko"")"),"컬럼비아 특별구")</f>
        <v>컬럼비아 특별구</v>
      </c>
      <c r="J14" s="9" t="str">
        <f>IFERROR(__xludf.DUMMYFUNCTION("GOOGLETRANSLATE($A14,""en"",""pt-BR"")"),"Distrito de Colúmbia")</f>
        <v>Distrito de Colúmbia</v>
      </c>
    </row>
    <row r="15">
      <c r="A15" s="9" t="str">
        <f>IFERROR(__xludf.DUMMYFUNCTION("""COMPUTED_VALUE"""),"Canal Zone")</f>
        <v>Canal Zone</v>
      </c>
      <c r="B15" s="9" t="str">
        <f>IFERROR(__xludf.DUMMYFUNCTION("""COMPUTED_VALUE"""),"us-cz")</f>
        <v>us-cz</v>
      </c>
      <c r="C15" s="9" t="str">
        <f>IFERROR(__xludf.DUMMYFUNCTION("GOOGLETRANSLATE($A15,""en"",""de"")"),"Kanalzone")</f>
        <v>Kanalzone</v>
      </c>
      <c r="D15" s="9" t="str">
        <f>IFERROR(__xludf.DUMMYFUNCTION("GOOGLETRANSLATE($A15,""en"",""fr"")"),"Zone des canaux")</f>
        <v>Zone des canaux</v>
      </c>
      <c r="E15" s="9" t="str">
        <f>IFERROR(__xludf.DUMMYFUNCTION("GOOGLETRANSLATE($A15,""en"",""es"")"),"Zona del Canal")</f>
        <v>Zona del Canal</v>
      </c>
      <c r="F15" s="9" t="str">
        <f>IFERROR(__xludf.DUMMYFUNCTION("GOOGLETRANSLATE($A15,""en"",""it"")"),"Zona Canale")</f>
        <v>Zona Canale</v>
      </c>
      <c r="G15" s="9" t="str">
        <f>IFERROR(__xludf.DUMMYFUNCTION("GOOGLETRANSLATE($A15,""en"",""zh-cn"")"),"运河区")</f>
        <v>运河区</v>
      </c>
      <c r="H15" s="9" t="str">
        <f>IFERROR(__xludf.DUMMYFUNCTION("GOOGLETRANSLATE($A15,""en"",""ja"")"),"カナルゾーン")</f>
        <v>カナルゾーン</v>
      </c>
      <c r="I15" s="9" t="str">
        <f>IFERROR(__xludf.DUMMYFUNCTION("GOOGLETRANSLATE($A15,""en"",""ko"")"),"운하 구역")</f>
        <v>운하 구역</v>
      </c>
      <c r="J15" s="9" t="str">
        <f>IFERROR(__xludf.DUMMYFUNCTION("GOOGLETRANSLATE($A15,""en"",""pt-BR"")"),"Zona do Canal")</f>
        <v>Zona do Canal</v>
      </c>
    </row>
    <row r="16">
      <c r="A16" s="9" t="str">
        <f>IFERROR(__xludf.DUMMYFUNCTION("""COMPUTED_VALUE"""),"Connecticut")</f>
        <v>Connecticut</v>
      </c>
      <c r="B16" s="9" t="str">
        <f>IFERROR(__xludf.DUMMYFUNCTION("""COMPUTED_VALUE"""),"us-ct")</f>
        <v>us-ct</v>
      </c>
      <c r="C16" s="9" t="str">
        <f>IFERROR(__xludf.DUMMYFUNCTION("GOOGLETRANSLATE($A16,""en"",""de"")"),"Connecticut")</f>
        <v>Connecticut</v>
      </c>
      <c r="D16" s="9" t="str">
        <f>IFERROR(__xludf.DUMMYFUNCTION("GOOGLETRANSLATE($A16,""en"",""fr"")"),"Connecticut")</f>
        <v>Connecticut</v>
      </c>
      <c r="E16" s="9" t="str">
        <f>IFERROR(__xludf.DUMMYFUNCTION("GOOGLETRANSLATE($A16,""en"",""es"")"),"Connecticut")</f>
        <v>Connecticut</v>
      </c>
      <c r="F16" s="9" t="str">
        <f>IFERROR(__xludf.DUMMYFUNCTION("GOOGLETRANSLATE($A16,""en"",""it"")"),"Connecticut")</f>
        <v>Connecticut</v>
      </c>
      <c r="G16" s="9" t="str">
        <f>IFERROR(__xludf.DUMMYFUNCTION("GOOGLETRANSLATE($A16,""en"",""zh-cn"")"),"康涅狄格州")</f>
        <v>康涅狄格州</v>
      </c>
      <c r="H16" s="9" t="str">
        <f>IFERROR(__xludf.DUMMYFUNCTION("GOOGLETRANSLATE($A16,""en"",""ja"")"),"コネチカット州")</f>
        <v>コネチカット州</v>
      </c>
      <c r="I16" s="9" t="str">
        <f>IFERROR(__xludf.DUMMYFUNCTION("GOOGLETRANSLATE($A16,""en"",""ko"")"),"코네티컷")</f>
        <v>코네티컷</v>
      </c>
      <c r="J16" s="9" t="str">
        <f>IFERROR(__xludf.DUMMYFUNCTION("GOOGLETRANSLATE($A16,""en"",""pt-BR"")"),"Connecticut")</f>
        <v>Connecticut</v>
      </c>
    </row>
    <row r="17">
      <c r="A17" s="9" t="str">
        <f>IFERROR(__xludf.DUMMYFUNCTION("""COMPUTED_VALUE"""),"Hawaii")</f>
        <v>Hawaii</v>
      </c>
      <c r="B17" s="9" t="str">
        <f>IFERROR(__xludf.DUMMYFUNCTION("""COMPUTED_VALUE"""),"us-hi")</f>
        <v>us-hi</v>
      </c>
      <c r="C17" s="9" t="str">
        <f>IFERROR(__xludf.DUMMYFUNCTION("GOOGLETRANSLATE($A17,""en"",""de"")"),"Hawaii")</f>
        <v>Hawaii</v>
      </c>
      <c r="D17" s="9" t="str">
        <f>IFERROR(__xludf.DUMMYFUNCTION("GOOGLETRANSLATE($A17,""en"",""fr"")"),"Hawaii")</f>
        <v>Hawaii</v>
      </c>
      <c r="E17" s="9" t="str">
        <f>IFERROR(__xludf.DUMMYFUNCTION("GOOGLETRANSLATE($A17,""en"",""es"")"),"Hawai")</f>
        <v>Hawai</v>
      </c>
      <c r="F17" s="9" t="str">
        <f>IFERROR(__xludf.DUMMYFUNCTION("GOOGLETRANSLATE($A17,""en"",""it"")"),"Hawaii")</f>
        <v>Hawaii</v>
      </c>
      <c r="G17" s="9" t="str">
        <f>IFERROR(__xludf.DUMMYFUNCTION("GOOGLETRANSLATE($A17,""en"",""zh-cn"")"),"夏威夷")</f>
        <v>夏威夷</v>
      </c>
      <c r="H17" s="9" t="str">
        <f>IFERROR(__xludf.DUMMYFUNCTION("GOOGLETRANSLATE($A17,""en"",""ja"")"),"ハワイ")</f>
        <v>ハワイ</v>
      </c>
      <c r="I17" s="9" t="str">
        <f>IFERROR(__xludf.DUMMYFUNCTION("GOOGLETRANSLATE($A17,""en"",""ko"")"),"하와이")</f>
        <v>하와이</v>
      </c>
      <c r="J17" s="9" t="str">
        <f>IFERROR(__xludf.DUMMYFUNCTION("GOOGLETRANSLATE($A17,""en"",""pt-BR"")"),"Havaí")</f>
        <v>Havaí</v>
      </c>
    </row>
    <row r="18">
      <c r="A18" s="9" t="str">
        <f>IFERROR(__xludf.DUMMYFUNCTION("""COMPUTED_VALUE"""),"Guam")</f>
        <v>Guam</v>
      </c>
      <c r="B18" s="9" t="str">
        <f>IFERROR(__xludf.DUMMYFUNCTION("""COMPUTED_VALUE"""),"us-gu")</f>
        <v>us-gu</v>
      </c>
      <c r="C18" s="9" t="str">
        <f>IFERROR(__xludf.DUMMYFUNCTION("GOOGLETRANSLATE($A18,""en"",""de"")"),"Guam")</f>
        <v>Guam</v>
      </c>
      <c r="D18" s="9" t="str">
        <f>IFERROR(__xludf.DUMMYFUNCTION("GOOGLETRANSLATE($A18,""en"",""fr"")"),"Guam")</f>
        <v>Guam</v>
      </c>
      <c r="E18" s="9" t="str">
        <f>IFERROR(__xludf.DUMMYFUNCTION("GOOGLETRANSLATE($A18,""en"",""es"")"),"Guam")</f>
        <v>Guam</v>
      </c>
      <c r="F18" s="9" t="str">
        <f>IFERROR(__xludf.DUMMYFUNCTION("GOOGLETRANSLATE($A18,""en"",""it"")"),"Guam")</f>
        <v>Guam</v>
      </c>
      <c r="G18" s="9" t="str">
        <f>IFERROR(__xludf.DUMMYFUNCTION("GOOGLETRANSLATE($A18,""en"",""zh-cn"")"),"关岛")</f>
        <v>关岛</v>
      </c>
      <c r="H18" s="9" t="str">
        <f>IFERROR(__xludf.DUMMYFUNCTION("GOOGLETRANSLATE($A18,""en"",""ja"")"),"グアム")</f>
        <v>グアム</v>
      </c>
      <c r="I18" s="9" t="str">
        <f>IFERROR(__xludf.DUMMYFUNCTION("GOOGLETRANSLATE($A18,""en"",""ko"")"),"괌")</f>
        <v>괌</v>
      </c>
      <c r="J18" s="9" t="str">
        <f>IFERROR(__xludf.DUMMYFUNCTION("GOOGLETRANSLATE($A18,""en"",""pt-BR"")"),"Guam")</f>
        <v>Guam</v>
      </c>
    </row>
    <row r="19">
      <c r="A19" s="9" t="str">
        <f>IFERROR(__xludf.DUMMYFUNCTION("""COMPUTED_VALUE"""),"Georgia")</f>
        <v>Georgia</v>
      </c>
      <c r="B19" s="9" t="str">
        <f>IFERROR(__xludf.DUMMYFUNCTION("""COMPUTED_VALUE"""),"us-ga")</f>
        <v>us-ga</v>
      </c>
      <c r="C19" s="9" t="str">
        <f>IFERROR(__xludf.DUMMYFUNCTION("GOOGLETRANSLATE($A19,""en"",""de"")"),"Georgia")</f>
        <v>Georgia</v>
      </c>
      <c r="D19" s="9" t="str">
        <f>IFERROR(__xludf.DUMMYFUNCTION("GOOGLETRANSLATE($A19,""en"",""fr"")"),"Géorgie")</f>
        <v>Géorgie</v>
      </c>
      <c r="E19" s="9" t="str">
        <f>IFERROR(__xludf.DUMMYFUNCTION("GOOGLETRANSLATE($A19,""en"",""es"")"),"Georgia")</f>
        <v>Georgia</v>
      </c>
      <c r="F19" s="9" t="str">
        <f>IFERROR(__xludf.DUMMYFUNCTION("GOOGLETRANSLATE($A19,""en"",""it"")"),"Georgia")</f>
        <v>Georgia</v>
      </c>
      <c r="G19" s="9" t="str">
        <f>IFERROR(__xludf.DUMMYFUNCTION("GOOGLETRANSLATE($A19,""en"",""zh-cn"")"),"乔治亚州")</f>
        <v>乔治亚州</v>
      </c>
      <c r="H19" s="9" t="str">
        <f>IFERROR(__xludf.DUMMYFUNCTION("GOOGLETRANSLATE($A19,""en"",""ja"")"),"ジョージア")</f>
        <v>ジョージア</v>
      </c>
      <c r="I19" s="9" t="str">
        <f>IFERROR(__xludf.DUMMYFUNCTION("GOOGLETRANSLATE($A19,""en"",""ko"")"),"그루지야")</f>
        <v>그루지야</v>
      </c>
      <c r="J19" s="9" t="str">
        <f>IFERROR(__xludf.DUMMYFUNCTION("GOOGLETRANSLATE($A19,""en"",""pt-BR"")"),"Geórgia")</f>
        <v>Geórgia</v>
      </c>
    </row>
    <row r="20">
      <c r="A20" s="9" t="str">
        <f>IFERROR(__xludf.DUMMYFUNCTION("""COMPUTED_VALUE"""),"Massachusetts")</f>
        <v>Massachusetts</v>
      </c>
      <c r="B20" s="9" t="str">
        <f>IFERROR(__xludf.DUMMYFUNCTION("""COMPUTED_VALUE"""),"us-ma")</f>
        <v>us-ma</v>
      </c>
      <c r="C20" s="9" t="str">
        <f>IFERROR(__xludf.DUMMYFUNCTION("GOOGLETRANSLATE($A20,""en"",""de"")"),"Massachusetts")</f>
        <v>Massachusetts</v>
      </c>
      <c r="D20" s="9" t="str">
        <f>IFERROR(__xludf.DUMMYFUNCTION("GOOGLETRANSLATE($A20,""en"",""fr"")"),"Massachusetts")</f>
        <v>Massachusetts</v>
      </c>
      <c r="E20" s="9" t="str">
        <f>IFERROR(__xludf.DUMMYFUNCTION("GOOGLETRANSLATE($A20,""en"",""es"")"),"Massachusetts")</f>
        <v>Massachusetts</v>
      </c>
      <c r="F20" s="9" t="str">
        <f>IFERROR(__xludf.DUMMYFUNCTION("GOOGLETRANSLATE($A20,""en"",""it"")"),"Massachusetts")</f>
        <v>Massachusetts</v>
      </c>
      <c r="G20" s="9" t="str">
        <f>IFERROR(__xludf.DUMMYFUNCTION("GOOGLETRANSLATE($A20,""en"",""zh-cn"")"),"马萨诸塞州")</f>
        <v>马萨诸塞州</v>
      </c>
      <c r="H20" s="9" t="str">
        <f>IFERROR(__xludf.DUMMYFUNCTION("GOOGLETRANSLATE($A20,""en"",""ja"")"),"マサチューセッツ州")</f>
        <v>マサチューセッツ州</v>
      </c>
      <c r="I20" s="9" t="str">
        <f>IFERROR(__xludf.DUMMYFUNCTION("GOOGLETRANSLATE($A20,""en"",""ko"")"),"매사추세츠 주")</f>
        <v>매사추세츠 주</v>
      </c>
      <c r="J20" s="9" t="str">
        <f>IFERROR(__xludf.DUMMYFUNCTION("GOOGLETRANSLATE($A20,""en"",""pt-BR"")"),"Massachussets")</f>
        <v>Massachussets</v>
      </c>
    </row>
    <row r="21">
      <c r="A21" s="9" t="str">
        <f>IFERROR(__xludf.DUMMYFUNCTION("""COMPUTED_VALUE"""),"Louisiana")</f>
        <v>Louisiana</v>
      </c>
      <c r="B21" s="9" t="str">
        <f>IFERROR(__xludf.DUMMYFUNCTION("""COMPUTED_VALUE"""),"us-la")</f>
        <v>us-la</v>
      </c>
      <c r="C21" s="9" t="str">
        <f>IFERROR(__xludf.DUMMYFUNCTION("GOOGLETRANSLATE($A21,""en"",""de"")"),"Louisiana")</f>
        <v>Louisiana</v>
      </c>
      <c r="D21" s="9" t="str">
        <f>IFERROR(__xludf.DUMMYFUNCTION("GOOGLETRANSLATE($A21,""en"",""fr"")"),"Louisiane")</f>
        <v>Louisiane</v>
      </c>
      <c r="E21" s="9" t="str">
        <f>IFERROR(__xludf.DUMMYFUNCTION("GOOGLETRANSLATE($A21,""en"",""es"")"),"Luisiana")</f>
        <v>Luisiana</v>
      </c>
      <c r="F21" s="9" t="str">
        <f>IFERROR(__xludf.DUMMYFUNCTION("GOOGLETRANSLATE($A21,""en"",""it"")"),"Louisiana")</f>
        <v>Louisiana</v>
      </c>
      <c r="G21" s="9" t="str">
        <f>IFERROR(__xludf.DUMMYFUNCTION("GOOGLETRANSLATE($A21,""en"",""zh-cn"")"),"路易斯安那州")</f>
        <v>路易斯安那州</v>
      </c>
      <c r="H21" s="9" t="str">
        <f>IFERROR(__xludf.DUMMYFUNCTION("GOOGLETRANSLATE($A21,""en"",""ja"")"),"ルイジアナ州")</f>
        <v>ルイジアナ州</v>
      </c>
      <c r="I21" s="9" t="str">
        <f>IFERROR(__xludf.DUMMYFUNCTION("GOOGLETRANSLATE($A21,""en"",""ko"")"),"루이지애나")</f>
        <v>루이지애나</v>
      </c>
      <c r="J21" s="9" t="str">
        <f>IFERROR(__xludf.DUMMYFUNCTION("GOOGLETRANSLATE($A21,""en"",""pt-BR"")"),"Luisiana")</f>
        <v>Luisiana</v>
      </c>
    </row>
    <row r="22">
      <c r="A22" s="9" t="str">
        <f>IFERROR(__xludf.DUMMYFUNCTION("""COMPUTED_VALUE"""),"Kentucky")</f>
        <v>Kentucky</v>
      </c>
      <c r="B22" s="9" t="str">
        <f>IFERROR(__xludf.DUMMYFUNCTION("""COMPUTED_VALUE"""),"us-ky")</f>
        <v>us-ky</v>
      </c>
      <c r="C22" s="9" t="str">
        <f>IFERROR(__xludf.DUMMYFUNCTION("GOOGLETRANSLATE($A22,""en"",""de"")"),"Kentucky")</f>
        <v>Kentucky</v>
      </c>
      <c r="D22" s="9" t="str">
        <f>IFERROR(__xludf.DUMMYFUNCTION("GOOGLETRANSLATE($A22,""en"",""fr"")"),"Kentucky")</f>
        <v>Kentucky</v>
      </c>
      <c r="E22" s="9" t="str">
        <f>IFERROR(__xludf.DUMMYFUNCTION("GOOGLETRANSLATE($A22,""en"",""es"")"),"Kentucky")</f>
        <v>Kentucky</v>
      </c>
      <c r="F22" s="9" t="str">
        <f>IFERROR(__xludf.DUMMYFUNCTION("GOOGLETRANSLATE($A22,""en"",""it"")"),"Kentucky")</f>
        <v>Kentucky</v>
      </c>
      <c r="G22" s="9" t="str">
        <f>IFERROR(__xludf.DUMMYFUNCTION("GOOGLETRANSLATE($A22,""en"",""zh-cn"")"),"肯塔基州")</f>
        <v>肯塔基州</v>
      </c>
      <c r="H22" s="9" t="str">
        <f>IFERROR(__xludf.DUMMYFUNCTION("GOOGLETRANSLATE($A22,""en"",""ja"")"),"ケンタッキー州")</f>
        <v>ケンタッキー州</v>
      </c>
      <c r="I22" s="9" t="str">
        <f>IFERROR(__xludf.DUMMYFUNCTION("GOOGLETRANSLATE($A22,""en"",""ko"")"),"켄터키")</f>
        <v>켄터키</v>
      </c>
      <c r="J22" s="9" t="str">
        <f>IFERROR(__xludf.DUMMYFUNCTION("GOOGLETRANSLATE($A22,""en"",""pt-BR"")"),"Kentucky")</f>
        <v>Kentucky</v>
      </c>
    </row>
    <row r="23">
      <c r="A23" s="9" t="str">
        <f>IFERROR(__xludf.DUMMYFUNCTION("""COMPUTED_VALUE"""),"Kansas")</f>
        <v>Kansas</v>
      </c>
      <c r="B23" s="9" t="str">
        <f>IFERROR(__xludf.DUMMYFUNCTION("""COMPUTED_VALUE"""),"us-ks")</f>
        <v>us-ks</v>
      </c>
      <c r="C23" s="9" t="str">
        <f>IFERROR(__xludf.DUMMYFUNCTION("GOOGLETRANSLATE($A23,""en"",""de"")"),"Kansas")</f>
        <v>Kansas</v>
      </c>
      <c r="D23" s="9" t="str">
        <f>IFERROR(__xludf.DUMMYFUNCTION("GOOGLETRANSLATE($A23,""en"",""fr"")"),"Kansas")</f>
        <v>Kansas</v>
      </c>
      <c r="E23" s="9" t="str">
        <f>IFERROR(__xludf.DUMMYFUNCTION("GOOGLETRANSLATE($A23,""en"",""es"")"),"Kansas")</f>
        <v>Kansas</v>
      </c>
      <c r="F23" s="9" t="str">
        <f>IFERROR(__xludf.DUMMYFUNCTION("GOOGLETRANSLATE($A23,""en"",""it"")"),"Kansas")</f>
        <v>Kansas</v>
      </c>
      <c r="G23" s="9" t="str">
        <f>IFERROR(__xludf.DUMMYFUNCTION("GOOGLETRANSLATE($A23,""en"",""zh-cn"")"),"堪萨斯州")</f>
        <v>堪萨斯州</v>
      </c>
      <c r="H23" s="9" t="str">
        <f>IFERROR(__xludf.DUMMYFUNCTION("GOOGLETRANSLATE($A23,""en"",""ja"")"),"カンザス州")</f>
        <v>カンザス州</v>
      </c>
      <c r="I23" s="9" t="str">
        <f>IFERROR(__xludf.DUMMYFUNCTION("GOOGLETRANSLATE($A23,""en"",""ko"")"),"캔자스")</f>
        <v>캔자스</v>
      </c>
      <c r="J23" s="9" t="str">
        <f>IFERROR(__xludf.DUMMYFUNCTION("GOOGLETRANSLATE($A23,""en"",""pt-BR"")"),"Kansas")</f>
        <v>Kansas</v>
      </c>
    </row>
    <row r="24">
      <c r="A24" s="9" t="str">
        <f>IFERROR(__xludf.DUMMYFUNCTION("""COMPUTED_VALUE"""),"Indiana")</f>
        <v>Indiana</v>
      </c>
      <c r="B24" s="9" t="str">
        <f>IFERROR(__xludf.DUMMYFUNCTION("""COMPUTED_VALUE"""),"us-in")</f>
        <v>us-in</v>
      </c>
      <c r="C24" s="9" t="str">
        <f>IFERROR(__xludf.DUMMYFUNCTION("GOOGLETRANSLATE($A24,""en"",""de"")"),"Indiana")</f>
        <v>Indiana</v>
      </c>
      <c r="D24" s="9" t="str">
        <f>IFERROR(__xludf.DUMMYFUNCTION("GOOGLETRANSLATE($A24,""en"",""fr"")"),"Indiana")</f>
        <v>Indiana</v>
      </c>
      <c r="E24" s="9" t="str">
        <f>IFERROR(__xludf.DUMMYFUNCTION("GOOGLETRANSLATE($A24,""en"",""es"")"),"Indiana")</f>
        <v>Indiana</v>
      </c>
      <c r="F24" s="9" t="str">
        <f>IFERROR(__xludf.DUMMYFUNCTION("GOOGLETRANSLATE($A24,""en"",""it"")"),"Indiana")</f>
        <v>Indiana</v>
      </c>
      <c r="G24" s="9" t="str">
        <f>IFERROR(__xludf.DUMMYFUNCTION("GOOGLETRANSLATE($A24,""en"",""zh-cn"")"),"印第安纳州")</f>
        <v>印第安纳州</v>
      </c>
      <c r="H24" s="9" t="str">
        <f>IFERROR(__xludf.DUMMYFUNCTION("GOOGLETRANSLATE($A24,""en"",""ja"")"),"インディアナ州")</f>
        <v>インディアナ州</v>
      </c>
      <c r="I24" s="9" t="str">
        <f>IFERROR(__xludf.DUMMYFUNCTION("GOOGLETRANSLATE($A24,""en"",""ko"")"),"인디애나")</f>
        <v>인디애나</v>
      </c>
      <c r="J24" s="9" t="str">
        <f>IFERROR(__xludf.DUMMYFUNCTION("GOOGLETRANSLATE($A24,""en"",""pt-BR"")"),"Indiana")</f>
        <v>Indiana</v>
      </c>
    </row>
    <row r="25">
      <c r="A25" s="9" t="str">
        <f>IFERROR(__xludf.DUMMYFUNCTION("""COMPUTED_VALUE"""),"Illinois")</f>
        <v>Illinois</v>
      </c>
      <c r="B25" s="9" t="str">
        <f>IFERROR(__xludf.DUMMYFUNCTION("""COMPUTED_VALUE"""),"us-il")</f>
        <v>us-il</v>
      </c>
      <c r="C25" s="9" t="str">
        <f>IFERROR(__xludf.DUMMYFUNCTION("GOOGLETRANSLATE($A25,""en"",""de"")"),"Illinois")</f>
        <v>Illinois</v>
      </c>
      <c r="D25" s="9" t="str">
        <f>IFERROR(__xludf.DUMMYFUNCTION("GOOGLETRANSLATE($A25,""en"",""fr"")"),"Illinois")</f>
        <v>Illinois</v>
      </c>
      <c r="E25" s="9" t="str">
        <f>IFERROR(__xludf.DUMMYFUNCTION("GOOGLETRANSLATE($A25,""en"",""es"")"),"Illinois")</f>
        <v>Illinois</v>
      </c>
      <c r="F25" s="9" t="str">
        <f>IFERROR(__xludf.DUMMYFUNCTION("GOOGLETRANSLATE($A25,""en"",""it"")"),"Illinois")</f>
        <v>Illinois</v>
      </c>
      <c r="G25" s="9" t="str">
        <f>IFERROR(__xludf.DUMMYFUNCTION("GOOGLETRANSLATE($A25,""en"",""zh-cn"")"),"伊利诺伊州")</f>
        <v>伊利诺伊州</v>
      </c>
      <c r="H25" s="9" t="str">
        <f>IFERROR(__xludf.DUMMYFUNCTION("GOOGLETRANSLATE($A25,""en"",""ja"")"),"イリノイ州")</f>
        <v>イリノイ州</v>
      </c>
      <c r="I25" s="9" t="str">
        <f>IFERROR(__xludf.DUMMYFUNCTION("GOOGLETRANSLATE($A25,""en"",""ko"")"),"일리노이")</f>
        <v>일리노이</v>
      </c>
      <c r="J25" s="9" t="str">
        <f>IFERROR(__xludf.DUMMYFUNCTION("GOOGLETRANSLATE($A25,""en"",""pt-BR"")"),"Illinois")</f>
        <v>Illinois</v>
      </c>
    </row>
    <row r="26">
      <c r="A26" s="9" t="str">
        <f>IFERROR(__xludf.DUMMYFUNCTION("""COMPUTED_VALUE"""),"Idaho")</f>
        <v>Idaho</v>
      </c>
      <c r="B26" s="9" t="str">
        <f>IFERROR(__xludf.DUMMYFUNCTION("""COMPUTED_VALUE"""),"us-id")</f>
        <v>us-id</v>
      </c>
      <c r="C26" s="9" t="str">
        <f>IFERROR(__xludf.DUMMYFUNCTION("GOOGLETRANSLATE($A26,""en"",""de"")"),"Idaho")</f>
        <v>Idaho</v>
      </c>
      <c r="D26" s="9" t="str">
        <f>IFERROR(__xludf.DUMMYFUNCTION("GOOGLETRANSLATE($A26,""en"",""fr"")"),"Idaho")</f>
        <v>Idaho</v>
      </c>
      <c r="E26" s="9" t="str">
        <f>IFERROR(__xludf.DUMMYFUNCTION("GOOGLETRANSLATE($A26,""en"",""es"")"),"Idaho")</f>
        <v>Idaho</v>
      </c>
      <c r="F26" s="9" t="str">
        <f>IFERROR(__xludf.DUMMYFUNCTION("GOOGLETRANSLATE($A26,""en"",""it"")"),"Idaho")</f>
        <v>Idaho</v>
      </c>
      <c r="G26" s="9" t="str">
        <f>IFERROR(__xludf.DUMMYFUNCTION("GOOGLETRANSLATE($A26,""en"",""zh-cn"")"),"爱达荷州")</f>
        <v>爱达荷州</v>
      </c>
      <c r="H26" s="9" t="str">
        <f>IFERROR(__xludf.DUMMYFUNCTION("GOOGLETRANSLATE($A26,""en"",""ja"")"),"アイダホ州")</f>
        <v>アイダホ州</v>
      </c>
      <c r="I26" s="9" t="str">
        <f>IFERROR(__xludf.DUMMYFUNCTION("GOOGLETRANSLATE($A26,""en"",""ko"")"),"아이다호")</f>
        <v>아이다호</v>
      </c>
      <c r="J26" s="9" t="str">
        <f>IFERROR(__xludf.DUMMYFUNCTION("GOOGLETRANSLATE($A26,""en"",""pt-BR"")"),"Idaho")</f>
        <v>Idaho</v>
      </c>
    </row>
    <row r="27">
      <c r="A27" s="9" t="str">
        <f>IFERROR(__xludf.DUMMYFUNCTION("""COMPUTED_VALUE"""),"Iowa")</f>
        <v>Iowa</v>
      </c>
      <c r="B27" s="9" t="str">
        <f>IFERROR(__xludf.DUMMYFUNCTION("""COMPUTED_VALUE"""),"us-ia")</f>
        <v>us-ia</v>
      </c>
      <c r="C27" s="9" t="str">
        <f>IFERROR(__xludf.DUMMYFUNCTION("GOOGLETRANSLATE($A27,""en"",""de"")"),"Iowa")</f>
        <v>Iowa</v>
      </c>
      <c r="D27" s="9" t="str">
        <f>IFERROR(__xludf.DUMMYFUNCTION("GOOGLETRANSLATE($A27,""en"",""fr"")"),"Iowa")</f>
        <v>Iowa</v>
      </c>
      <c r="E27" s="9" t="str">
        <f>IFERROR(__xludf.DUMMYFUNCTION("GOOGLETRANSLATE($A27,""en"",""es"")"),"Iowa")</f>
        <v>Iowa</v>
      </c>
      <c r="F27" s="9" t="str">
        <f>IFERROR(__xludf.DUMMYFUNCTION("GOOGLETRANSLATE($A27,""en"",""it"")"),"Iowa")</f>
        <v>Iowa</v>
      </c>
      <c r="G27" s="9" t="str">
        <f>IFERROR(__xludf.DUMMYFUNCTION("GOOGLETRANSLATE($A27,""en"",""zh-cn"")"),"爱荷华州")</f>
        <v>爱荷华州</v>
      </c>
      <c r="H27" s="9" t="str">
        <f>IFERROR(__xludf.DUMMYFUNCTION("GOOGLETRANSLATE($A27,""en"",""ja"")"),"アイオワ州")</f>
        <v>アイオワ州</v>
      </c>
      <c r="I27" s="9" t="str">
        <f>IFERROR(__xludf.DUMMYFUNCTION("GOOGLETRANSLATE($A27,""en"",""ko"")"),"아이오와")</f>
        <v>아이오와</v>
      </c>
      <c r="J27" s="9" t="str">
        <f>IFERROR(__xludf.DUMMYFUNCTION("GOOGLETRANSLATE($A27,""en"",""pt-BR"")"),"Iowa")</f>
        <v>Iowa</v>
      </c>
    </row>
    <row r="28">
      <c r="A28" s="9" t="str">
        <f>IFERROR(__xludf.DUMMYFUNCTION("""COMPUTED_VALUE"""),"Michigan")</f>
        <v>Michigan</v>
      </c>
      <c r="B28" s="9" t="str">
        <f>IFERROR(__xludf.DUMMYFUNCTION("""COMPUTED_VALUE"""),"us-mi")</f>
        <v>us-mi</v>
      </c>
      <c r="C28" s="9" t="str">
        <f>IFERROR(__xludf.DUMMYFUNCTION("GOOGLETRANSLATE($A28,""en"",""de"")"),"Michigan")</f>
        <v>Michigan</v>
      </c>
      <c r="D28" s="9" t="str">
        <f>IFERROR(__xludf.DUMMYFUNCTION("GOOGLETRANSLATE($A28,""en"",""fr"")"),"Michigan")</f>
        <v>Michigan</v>
      </c>
      <c r="E28" s="9" t="str">
        <f>IFERROR(__xludf.DUMMYFUNCTION("GOOGLETRANSLATE($A28,""en"",""es"")"),"Michigan")</f>
        <v>Michigan</v>
      </c>
      <c r="F28" s="9" t="str">
        <f>IFERROR(__xludf.DUMMYFUNCTION("GOOGLETRANSLATE($A28,""en"",""it"")"),"Michigan")</f>
        <v>Michigan</v>
      </c>
      <c r="G28" s="9" t="str">
        <f>IFERROR(__xludf.DUMMYFUNCTION("GOOGLETRANSLATE($A28,""en"",""zh-cn"")"),"密歇根州")</f>
        <v>密歇根州</v>
      </c>
      <c r="H28" s="9" t="str">
        <f>IFERROR(__xludf.DUMMYFUNCTION("GOOGLETRANSLATE($A28,""en"",""ja"")"),"ミシガン州")</f>
        <v>ミシガン州</v>
      </c>
      <c r="I28" s="9" t="str">
        <f>IFERROR(__xludf.DUMMYFUNCTION("GOOGLETRANSLATE($A28,""en"",""ko"")"),"미시간")</f>
        <v>미시간</v>
      </c>
      <c r="J28" s="9" t="str">
        <f>IFERROR(__xludf.DUMMYFUNCTION("GOOGLETRANSLATE($A28,""en"",""pt-BR"")"),"Michigan")</f>
        <v>Michigan</v>
      </c>
    </row>
    <row r="29">
      <c r="A29" s="9" t="str">
        <f>IFERROR(__xludf.DUMMYFUNCTION("""COMPUTED_VALUE"""),"Marshall Islands")</f>
        <v>Marshall Islands</v>
      </c>
      <c r="B29" s="9" t="str">
        <f>IFERROR(__xludf.DUMMYFUNCTION("""COMPUTED_VALUE"""),"us-mh")</f>
        <v>us-mh</v>
      </c>
      <c r="C29" s="9" t="str">
        <f>IFERROR(__xludf.DUMMYFUNCTION("GOOGLETRANSLATE($A29,""en"",""de"")"),"Marshallinseln")</f>
        <v>Marshallinseln</v>
      </c>
      <c r="D29" s="9" t="str">
        <f>IFERROR(__xludf.DUMMYFUNCTION("GOOGLETRANSLATE($A29,""en"",""fr"")"),"Îles Marshall")</f>
        <v>Îles Marshall</v>
      </c>
      <c r="E29" s="9" t="str">
        <f>IFERROR(__xludf.DUMMYFUNCTION("GOOGLETRANSLATE($A29,""en"",""es"")"),"Islas Marshall")</f>
        <v>Islas Marshall</v>
      </c>
      <c r="F29" s="9" t="str">
        <f>IFERROR(__xludf.DUMMYFUNCTION("GOOGLETRANSLATE($A29,""en"",""it"")"),"Isole Marshall")</f>
        <v>Isole Marshall</v>
      </c>
      <c r="G29" s="9" t="str">
        <f>IFERROR(__xludf.DUMMYFUNCTION("GOOGLETRANSLATE($A29,""en"",""zh-cn"")"),"马绍尔群岛")</f>
        <v>马绍尔群岛</v>
      </c>
      <c r="H29" s="9" t="str">
        <f>IFERROR(__xludf.DUMMYFUNCTION("GOOGLETRANSLATE($A29,""en"",""ja"")"),"マーシャル諸島")</f>
        <v>マーシャル諸島</v>
      </c>
      <c r="I29" s="9" t="str">
        <f>IFERROR(__xludf.DUMMYFUNCTION("GOOGLETRANSLATE($A29,""en"",""ko"")"),"마샬 군도")</f>
        <v>마샬 군도</v>
      </c>
      <c r="J29" s="9" t="str">
        <f>IFERROR(__xludf.DUMMYFUNCTION("GOOGLETRANSLATE($A29,""en"",""pt-BR"")"),"Ilhas Marshall")</f>
        <v>Ilhas Marshall</v>
      </c>
    </row>
    <row r="30">
      <c r="A30" s="9" t="str">
        <f>IFERROR(__xludf.DUMMYFUNCTION("""COMPUTED_VALUE"""),"Maine")</f>
        <v>Maine</v>
      </c>
      <c r="B30" s="9" t="str">
        <f>IFERROR(__xludf.DUMMYFUNCTION("""COMPUTED_VALUE"""),"us-me")</f>
        <v>us-me</v>
      </c>
      <c r="C30" s="9" t="str">
        <f>IFERROR(__xludf.DUMMYFUNCTION("GOOGLETRANSLATE($A30,""en"",""de"")"),"Maine")</f>
        <v>Maine</v>
      </c>
      <c r="D30" s="9" t="str">
        <f>IFERROR(__xludf.DUMMYFUNCTION("GOOGLETRANSLATE($A30,""en"",""fr"")"),"Maine")</f>
        <v>Maine</v>
      </c>
      <c r="E30" s="9" t="str">
        <f>IFERROR(__xludf.DUMMYFUNCTION("GOOGLETRANSLATE($A30,""en"",""es"")"),"Maine")</f>
        <v>Maine</v>
      </c>
      <c r="F30" s="9" t="str">
        <f>IFERROR(__xludf.DUMMYFUNCTION("GOOGLETRANSLATE($A30,""en"",""it"")"),"Maine")</f>
        <v>Maine</v>
      </c>
      <c r="G30" s="9" t="str">
        <f>IFERROR(__xludf.DUMMYFUNCTION("GOOGLETRANSLATE($A30,""en"",""zh-cn"")"),"缅因州")</f>
        <v>缅因州</v>
      </c>
      <c r="H30" s="9" t="str">
        <f>IFERROR(__xludf.DUMMYFUNCTION("GOOGLETRANSLATE($A30,""en"",""ja"")"),"メイン州")</f>
        <v>メイン州</v>
      </c>
      <c r="I30" s="9" t="str">
        <f>IFERROR(__xludf.DUMMYFUNCTION("GOOGLETRANSLATE($A30,""en"",""ko"")"),"메인")</f>
        <v>메인</v>
      </c>
      <c r="J30" s="9" t="str">
        <f>IFERROR(__xludf.DUMMYFUNCTION("GOOGLETRANSLATE($A30,""en"",""pt-BR"")"),"Maine")</f>
        <v>Maine</v>
      </c>
    </row>
    <row r="31">
      <c r="A31" s="9" t="str">
        <f>IFERROR(__xludf.DUMMYFUNCTION("""COMPUTED_VALUE"""),"Maryland")</f>
        <v>Maryland</v>
      </c>
      <c r="B31" s="9" t="str">
        <f>IFERROR(__xludf.DUMMYFUNCTION("""COMPUTED_VALUE"""),"us-md")</f>
        <v>us-md</v>
      </c>
      <c r="C31" s="9" t="str">
        <f>IFERROR(__xludf.DUMMYFUNCTION("GOOGLETRANSLATE($A31,""en"",""de"")"),"Maryland")</f>
        <v>Maryland</v>
      </c>
      <c r="D31" s="9" t="str">
        <f>IFERROR(__xludf.DUMMYFUNCTION("GOOGLETRANSLATE($A31,""en"",""fr"")"),"Maryland")</f>
        <v>Maryland</v>
      </c>
      <c r="E31" s="9" t="str">
        <f>IFERROR(__xludf.DUMMYFUNCTION("GOOGLETRANSLATE($A31,""en"",""es"")"),"Maryland")</f>
        <v>Maryland</v>
      </c>
      <c r="F31" s="9" t="str">
        <f>IFERROR(__xludf.DUMMYFUNCTION("GOOGLETRANSLATE($A31,""en"",""it"")"),"Maryland")</f>
        <v>Maryland</v>
      </c>
      <c r="G31" s="9" t="str">
        <f>IFERROR(__xludf.DUMMYFUNCTION("GOOGLETRANSLATE($A31,""en"",""zh-cn"")"),"马里兰州")</f>
        <v>马里兰州</v>
      </c>
      <c r="H31" s="9" t="str">
        <f>IFERROR(__xludf.DUMMYFUNCTION("GOOGLETRANSLATE($A31,""en"",""ja"")"),"メリーランド州")</f>
        <v>メリーランド州</v>
      </c>
      <c r="I31" s="9" t="str">
        <f>IFERROR(__xludf.DUMMYFUNCTION("GOOGLETRANSLATE($A31,""en"",""ko"")"),"메릴랜드")</f>
        <v>메릴랜드</v>
      </c>
      <c r="J31" s="9" t="str">
        <f>IFERROR(__xludf.DUMMYFUNCTION("GOOGLETRANSLATE($A31,""en"",""pt-BR"")"),"Maryland")</f>
        <v>Maryland</v>
      </c>
    </row>
    <row r="32">
      <c r="A32" s="9" t="str">
        <f>IFERROR(__xludf.DUMMYFUNCTION("""COMPUTED_VALUE"""),"Minnesota")</f>
        <v>Minnesota</v>
      </c>
      <c r="B32" s="9" t="str">
        <f>IFERROR(__xludf.DUMMYFUNCTION("""COMPUTED_VALUE"""),"us-mn")</f>
        <v>us-mn</v>
      </c>
      <c r="C32" s="9" t="str">
        <f>IFERROR(__xludf.DUMMYFUNCTION("GOOGLETRANSLATE($A32,""en"",""de"")"),"Minnesota")</f>
        <v>Minnesota</v>
      </c>
      <c r="D32" s="9" t="str">
        <f>IFERROR(__xludf.DUMMYFUNCTION("GOOGLETRANSLATE($A32,""en"",""fr"")"),"Minnesota")</f>
        <v>Minnesota</v>
      </c>
      <c r="E32" s="9" t="str">
        <f>IFERROR(__xludf.DUMMYFUNCTION("GOOGLETRANSLATE($A32,""en"",""es"")"),"Minnesota")</f>
        <v>Minnesota</v>
      </c>
      <c r="F32" s="9" t="str">
        <f>IFERROR(__xludf.DUMMYFUNCTION("GOOGLETRANSLATE($A32,""en"",""it"")"),"Minnesota")</f>
        <v>Minnesota</v>
      </c>
      <c r="G32" s="9" t="str">
        <f>IFERROR(__xludf.DUMMYFUNCTION("GOOGLETRANSLATE($A32,""en"",""zh-cn"")"),"明尼苏达州")</f>
        <v>明尼苏达州</v>
      </c>
      <c r="H32" s="9" t="str">
        <f>IFERROR(__xludf.DUMMYFUNCTION("GOOGLETRANSLATE($A32,""en"",""ja"")"),"ミネソタ州")</f>
        <v>ミネソタ州</v>
      </c>
      <c r="I32" s="9" t="str">
        <f>IFERROR(__xludf.DUMMYFUNCTION("GOOGLETRANSLATE($A32,""en"",""ko"")"),"미네소타")</f>
        <v>미네소타</v>
      </c>
      <c r="J32" s="9" t="str">
        <f>IFERROR(__xludf.DUMMYFUNCTION("GOOGLETRANSLATE($A32,""en"",""pt-BR"")"),"Minesota")</f>
        <v>Minesota</v>
      </c>
    </row>
    <row r="33">
      <c r="A33" s="9" t="str">
        <f>IFERROR(__xludf.DUMMYFUNCTION("""COMPUTED_VALUE"""),"New Hampshire")</f>
        <v>New Hampshire</v>
      </c>
      <c r="B33" s="9" t="str">
        <f>IFERROR(__xludf.DUMMYFUNCTION("""COMPUTED_VALUE"""),"us-nh")</f>
        <v>us-nh</v>
      </c>
      <c r="C33" s="9" t="str">
        <f>IFERROR(__xludf.DUMMYFUNCTION("GOOGLETRANSLATE($A33,""en"",""de"")"),"New Hampshire")</f>
        <v>New Hampshire</v>
      </c>
      <c r="D33" s="9" t="str">
        <f>IFERROR(__xludf.DUMMYFUNCTION("GOOGLETRANSLATE($A33,""en"",""fr"")"),"New Hampshire")</f>
        <v>New Hampshire</v>
      </c>
      <c r="E33" s="9" t="str">
        <f>IFERROR(__xludf.DUMMYFUNCTION("GOOGLETRANSLATE($A33,""en"",""es"")"),"Nuevo Hampshire")</f>
        <v>Nuevo Hampshire</v>
      </c>
      <c r="F33" s="9" t="str">
        <f>IFERROR(__xludf.DUMMYFUNCTION("GOOGLETRANSLATE($A33,""en"",""it"")"),"New Hampshire")</f>
        <v>New Hampshire</v>
      </c>
      <c r="G33" s="9" t="str">
        <f>IFERROR(__xludf.DUMMYFUNCTION("GOOGLETRANSLATE($A33,""en"",""zh-cn"")"),"新罕布什尔")</f>
        <v>新罕布什尔</v>
      </c>
      <c r="H33" s="9" t="str">
        <f>IFERROR(__xludf.DUMMYFUNCTION("GOOGLETRANSLATE($A33,""en"",""ja"")"),"ニューハンプシャー州")</f>
        <v>ニューハンプシャー州</v>
      </c>
      <c r="I33" s="9" t="str">
        <f>IFERROR(__xludf.DUMMYFUNCTION("GOOGLETRANSLATE($A33,""en"",""ko"")"),"뉴햄프셔")</f>
        <v>뉴햄프셔</v>
      </c>
      <c r="J33" s="9" t="str">
        <f>IFERROR(__xludf.DUMMYFUNCTION("GOOGLETRANSLATE($A33,""en"",""pt-BR"")"),"Nova Hampshire")</f>
        <v>Nova Hampshire</v>
      </c>
    </row>
    <row r="34">
      <c r="A34" s="9" t="str">
        <f>IFERROR(__xludf.DUMMYFUNCTION("""COMPUTED_VALUE"""),"Nebraska")</f>
        <v>Nebraska</v>
      </c>
      <c r="B34" s="9" t="str">
        <f>IFERROR(__xludf.DUMMYFUNCTION("""COMPUTED_VALUE"""),"us-ne")</f>
        <v>us-ne</v>
      </c>
      <c r="C34" s="9" t="str">
        <f>IFERROR(__xludf.DUMMYFUNCTION("GOOGLETRANSLATE($A34,""en"",""de"")"),"Nebraska")</f>
        <v>Nebraska</v>
      </c>
      <c r="D34" s="9" t="str">
        <f>IFERROR(__xludf.DUMMYFUNCTION("GOOGLETRANSLATE($A34,""en"",""fr"")"),"Nebraska")</f>
        <v>Nebraska</v>
      </c>
      <c r="E34" s="9" t="str">
        <f>IFERROR(__xludf.DUMMYFUNCTION("GOOGLETRANSLATE($A34,""en"",""es"")"),"Nebraska")</f>
        <v>Nebraska</v>
      </c>
      <c r="F34" s="9" t="str">
        <f>IFERROR(__xludf.DUMMYFUNCTION("GOOGLETRANSLATE($A34,""en"",""it"")"),"Nebraska")</f>
        <v>Nebraska</v>
      </c>
      <c r="G34" s="9" t="str">
        <f>IFERROR(__xludf.DUMMYFUNCTION("GOOGLETRANSLATE($A34,""en"",""zh-cn"")"),"内布拉斯加州")</f>
        <v>内布拉斯加州</v>
      </c>
      <c r="H34" s="9" t="str">
        <f>IFERROR(__xludf.DUMMYFUNCTION("GOOGLETRANSLATE($A34,""en"",""ja"")"),"ネブラスカ州")</f>
        <v>ネブラスカ州</v>
      </c>
      <c r="I34" s="9" t="str">
        <f>IFERROR(__xludf.DUMMYFUNCTION("GOOGLETRANSLATE($A34,""en"",""ko"")"),"네브라스카")</f>
        <v>네브라스카</v>
      </c>
      <c r="J34" s="9" t="str">
        <f>IFERROR(__xludf.DUMMYFUNCTION("GOOGLETRANSLATE($A34,""en"",""pt-BR"")"),"Nebrasca")</f>
        <v>Nebrasca</v>
      </c>
    </row>
    <row r="35">
      <c r="A35" s="9" t="str">
        <f>IFERROR(__xludf.DUMMYFUNCTION("""COMPUTED_VALUE"""),"North Dakota")</f>
        <v>North Dakota</v>
      </c>
      <c r="B35" s="9" t="str">
        <f>IFERROR(__xludf.DUMMYFUNCTION("""COMPUTED_VALUE"""),"us-nd")</f>
        <v>us-nd</v>
      </c>
      <c r="C35" s="9" t="str">
        <f>IFERROR(__xludf.DUMMYFUNCTION("GOOGLETRANSLATE($A35,""en"",""de"")"),"North Dakota")</f>
        <v>North Dakota</v>
      </c>
      <c r="D35" s="9" t="str">
        <f>IFERROR(__xludf.DUMMYFUNCTION("GOOGLETRANSLATE($A35,""en"",""fr"")"),"Dakota du Nord")</f>
        <v>Dakota du Nord</v>
      </c>
      <c r="E35" s="9" t="str">
        <f>IFERROR(__xludf.DUMMYFUNCTION("GOOGLETRANSLATE($A35,""en"",""es"")"),"Dakota del Norte")</f>
        <v>Dakota del Norte</v>
      </c>
      <c r="F35" s="9" t="str">
        <f>IFERROR(__xludf.DUMMYFUNCTION("GOOGLETRANSLATE($A35,""en"",""it"")"),"Dakota del Nord")</f>
        <v>Dakota del Nord</v>
      </c>
      <c r="G35" s="9" t="str">
        <f>IFERROR(__xludf.DUMMYFUNCTION("GOOGLETRANSLATE($A35,""en"",""zh-cn"")"),"北达科他州")</f>
        <v>北达科他州</v>
      </c>
      <c r="H35" s="9" t="str">
        <f>IFERROR(__xludf.DUMMYFUNCTION("GOOGLETRANSLATE($A35,""en"",""ja"")"),"ノースダコタ州")</f>
        <v>ノースダコタ州</v>
      </c>
      <c r="I35" s="9" t="str">
        <f>IFERROR(__xludf.DUMMYFUNCTION("GOOGLETRANSLATE($A35,""en"",""ko"")"),"노스다코타")</f>
        <v>노스다코타</v>
      </c>
      <c r="J35" s="9" t="str">
        <f>IFERROR(__xludf.DUMMYFUNCTION("GOOGLETRANSLATE($A35,""en"",""pt-BR"")"),"Dakota do Norte")</f>
        <v>Dakota do Norte</v>
      </c>
    </row>
    <row r="36">
      <c r="A36" s="9" t="str">
        <f>IFERROR(__xludf.DUMMYFUNCTION("""COMPUTED_VALUE"""),"North Carolina")</f>
        <v>North Carolina</v>
      </c>
      <c r="B36" s="9" t="str">
        <f>IFERROR(__xludf.DUMMYFUNCTION("""COMPUTED_VALUE"""),"us-nc")</f>
        <v>us-nc</v>
      </c>
      <c r="C36" s="9" t="str">
        <f>IFERROR(__xludf.DUMMYFUNCTION("GOOGLETRANSLATE($A36,""en"",""de"")"),"North Carolina")</f>
        <v>North Carolina</v>
      </c>
      <c r="D36" s="9" t="str">
        <f>IFERROR(__xludf.DUMMYFUNCTION("GOOGLETRANSLATE($A36,""en"",""fr"")"),"Caroline du Nord")</f>
        <v>Caroline du Nord</v>
      </c>
      <c r="E36" s="9" t="str">
        <f>IFERROR(__xludf.DUMMYFUNCTION("GOOGLETRANSLATE($A36,""en"",""es"")"),"Carolina del Norte")</f>
        <v>Carolina del Norte</v>
      </c>
      <c r="F36" s="9" t="str">
        <f>IFERROR(__xludf.DUMMYFUNCTION("GOOGLETRANSLATE($A36,""en"",""it"")"),"Carolina del Nord")</f>
        <v>Carolina del Nord</v>
      </c>
      <c r="G36" s="9" t="str">
        <f>IFERROR(__xludf.DUMMYFUNCTION("GOOGLETRANSLATE($A36,""en"",""zh-cn"")"),"北卡罗来纳州")</f>
        <v>北卡罗来纳州</v>
      </c>
      <c r="H36" s="9" t="str">
        <f>IFERROR(__xludf.DUMMYFUNCTION("GOOGLETRANSLATE($A36,""en"",""ja"")"),"ノースカロライナ州")</f>
        <v>ノースカロライナ州</v>
      </c>
      <c r="I36" s="9" t="str">
        <f>IFERROR(__xludf.DUMMYFUNCTION("GOOGLETRANSLATE($A36,""en"",""ko"")"),"노스캐롤라이나")</f>
        <v>노스캐롤라이나</v>
      </c>
      <c r="J36" s="9" t="str">
        <f>IFERROR(__xludf.DUMMYFUNCTION("GOOGLETRANSLATE($A36,""en"",""pt-BR"")"),"Carolina do Norte")</f>
        <v>Carolina do Norte</v>
      </c>
    </row>
    <row r="37">
      <c r="A37" s="9" t="str">
        <f>IFERROR(__xludf.DUMMYFUNCTION("""COMPUTED_VALUE"""),"Montana")</f>
        <v>Montana</v>
      </c>
      <c r="B37" s="9" t="str">
        <f>IFERROR(__xludf.DUMMYFUNCTION("""COMPUTED_VALUE"""),"us-mt")</f>
        <v>us-mt</v>
      </c>
      <c r="C37" s="9" t="str">
        <f>IFERROR(__xludf.DUMMYFUNCTION("GOOGLETRANSLATE($A37,""en"",""de"")"),"Montana")</f>
        <v>Montana</v>
      </c>
      <c r="D37" s="9" t="str">
        <f>IFERROR(__xludf.DUMMYFUNCTION("GOOGLETRANSLATE($A37,""en"",""fr"")"),"Montana")</f>
        <v>Montana</v>
      </c>
      <c r="E37" s="9" t="str">
        <f>IFERROR(__xludf.DUMMYFUNCTION("GOOGLETRANSLATE($A37,""en"",""es"")"),"Montana")</f>
        <v>Montana</v>
      </c>
      <c r="F37" s="9" t="str">
        <f>IFERROR(__xludf.DUMMYFUNCTION("GOOGLETRANSLATE($A37,""en"",""it"")"),"Montana")</f>
        <v>Montana</v>
      </c>
      <c r="G37" s="9" t="str">
        <f>IFERROR(__xludf.DUMMYFUNCTION("GOOGLETRANSLATE($A37,""en"",""zh-cn"")"),"蒙大拿")</f>
        <v>蒙大拿</v>
      </c>
      <c r="H37" s="9" t="str">
        <f>IFERROR(__xludf.DUMMYFUNCTION("GOOGLETRANSLATE($A37,""en"",""ja"")"),"モンタナ州")</f>
        <v>モンタナ州</v>
      </c>
      <c r="I37" s="9" t="str">
        <f>IFERROR(__xludf.DUMMYFUNCTION("GOOGLETRANSLATE($A37,""en"",""ko"")"),"몬타나")</f>
        <v>몬타나</v>
      </c>
      <c r="J37" s="9" t="str">
        <f>IFERROR(__xludf.DUMMYFUNCTION("GOOGLETRANSLATE($A37,""en"",""pt-BR"")"),"Montana")</f>
        <v>Montana</v>
      </c>
    </row>
    <row r="38">
      <c r="A38" s="9" t="str">
        <f>IFERROR(__xludf.DUMMYFUNCTION("""COMPUTED_VALUE"""),"Mississippi")</f>
        <v>Mississippi</v>
      </c>
      <c r="B38" s="9" t="str">
        <f>IFERROR(__xludf.DUMMYFUNCTION("""COMPUTED_VALUE"""),"us-ms")</f>
        <v>us-ms</v>
      </c>
      <c r="C38" s="9" t="str">
        <f>IFERROR(__xludf.DUMMYFUNCTION("GOOGLETRANSLATE($A38,""en"",""de"")"),"Mississippi")</f>
        <v>Mississippi</v>
      </c>
      <c r="D38" s="9" t="str">
        <f>IFERROR(__xludf.DUMMYFUNCTION("GOOGLETRANSLATE($A38,""en"",""fr"")"),"Mississippi")</f>
        <v>Mississippi</v>
      </c>
      <c r="E38" s="9" t="str">
        <f>IFERROR(__xludf.DUMMYFUNCTION("GOOGLETRANSLATE($A38,""en"",""es"")"),"Misisipí")</f>
        <v>Misisipí</v>
      </c>
      <c r="F38" s="9" t="str">
        <f>IFERROR(__xludf.DUMMYFUNCTION("GOOGLETRANSLATE($A38,""en"",""it"")"),"Mississippi")</f>
        <v>Mississippi</v>
      </c>
      <c r="G38" s="9" t="str">
        <f>IFERROR(__xludf.DUMMYFUNCTION("GOOGLETRANSLATE($A38,""en"",""zh-cn"")"),"密西西比州")</f>
        <v>密西西比州</v>
      </c>
      <c r="H38" s="9" t="str">
        <f>IFERROR(__xludf.DUMMYFUNCTION("GOOGLETRANSLATE($A38,""en"",""ja"")"),"ミシシッピ州")</f>
        <v>ミシシッピ州</v>
      </c>
      <c r="I38" s="9" t="str">
        <f>IFERROR(__xludf.DUMMYFUNCTION("GOOGLETRANSLATE($A38,""en"",""ko"")"),"미시시피")</f>
        <v>미시시피</v>
      </c>
      <c r="J38" s="9" t="str">
        <f>IFERROR(__xludf.DUMMYFUNCTION("GOOGLETRANSLATE($A38,""en"",""pt-BR"")"),"Mississipi")</f>
        <v>Mississipi</v>
      </c>
    </row>
    <row r="39">
      <c r="A39" s="9" t="str">
        <f>IFERROR(__xludf.DUMMYFUNCTION("""COMPUTED_VALUE"""),"Northern Mariana Islands")</f>
        <v>Northern Mariana Islands</v>
      </c>
      <c r="B39" s="9" t="str">
        <f>IFERROR(__xludf.DUMMYFUNCTION("""COMPUTED_VALUE"""),"us-mp")</f>
        <v>us-mp</v>
      </c>
      <c r="C39" s="9" t="str">
        <f>IFERROR(__xludf.DUMMYFUNCTION("GOOGLETRANSLATE($A39,""en"",""de"")"),"Nördliche Marianen")</f>
        <v>Nördliche Marianen</v>
      </c>
      <c r="D39" s="9" t="str">
        <f>IFERROR(__xludf.DUMMYFUNCTION("GOOGLETRANSLATE($A39,""en"",""fr"")"),"Îles Mariannes du Nord")</f>
        <v>Îles Mariannes du Nord</v>
      </c>
      <c r="E39" s="9" t="str">
        <f>IFERROR(__xludf.DUMMYFUNCTION("GOOGLETRANSLATE($A39,""en"",""es"")"),"Islas Marianas del Norte")</f>
        <v>Islas Marianas del Norte</v>
      </c>
      <c r="F39" s="9" t="str">
        <f>IFERROR(__xludf.DUMMYFUNCTION("GOOGLETRANSLATE($A39,""en"",""it"")"),"Isole Marianne Settentrionali")</f>
        <v>Isole Marianne Settentrionali</v>
      </c>
      <c r="G39" s="9" t="str">
        <f>IFERROR(__xludf.DUMMYFUNCTION("GOOGLETRANSLATE($A39,""en"",""zh-cn"")"),"北马里亚纳群岛")</f>
        <v>北马里亚纳群岛</v>
      </c>
      <c r="H39" s="9" t="str">
        <f>IFERROR(__xludf.DUMMYFUNCTION("GOOGLETRANSLATE($A39,""en"",""ja"")"),"北マリアナ諸島")</f>
        <v>北マリアナ諸島</v>
      </c>
      <c r="I39" s="9" t="str">
        <f>IFERROR(__xludf.DUMMYFUNCTION("GOOGLETRANSLATE($A39,""en"",""ko"")"),"북마리아나 제도")</f>
        <v>북마리아나 제도</v>
      </c>
      <c r="J39" s="9" t="str">
        <f>IFERROR(__xludf.DUMMYFUNCTION("GOOGLETRANSLATE($A39,""en"",""pt-BR"")"),"Ilhas Marianas do Norte")</f>
        <v>Ilhas Marianas do Norte</v>
      </c>
    </row>
    <row r="40">
      <c r="A40" s="9" t="str">
        <f>IFERROR(__xludf.DUMMYFUNCTION("""COMPUTED_VALUE"""),"Missouri")</f>
        <v>Missouri</v>
      </c>
      <c r="B40" s="9" t="str">
        <f>IFERROR(__xludf.DUMMYFUNCTION("""COMPUTED_VALUE"""),"us-mo")</f>
        <v>us-mo</v>
      </c>
      <c r="C40" s="9" t="str">
        <f>IFERROR(__xludf.DUMMYFUNCTION("GOOGLETRANSLATE($A40,""en"",""de"")"),"Missouri")</f>
        <v>Missouri</v>
      </c>
      <c r="D40" s="9" t="str">
        <f>IFERROR(__xludf.DUMMYFUNCTION("GOOGLETRANSLATE($A40,""en"",""fr"")"),"Missouri")</f>
        <v>Missouri</v>
      </c>
      <c r="E40" s="9" t="str">
        <f>IFERROR(__xludf.DUMMYFUNCTION("GOOGLETRANSLATE($A40,""en"",""es"")"),"Misuri")</f>
        <v>Misuri</v>
      </c>
      <c r="F40" s="9" t="str">
        <f>IFERROR(__xludf.DUMMYFUNCTION("GOOGLETRANSLATE($A40,""en"",""it"")"),"Missouri")</f>
        <v>Missouri</v>
      </c>
      <c r="G40" s="9" t="str">
        <f>IFERROR(__xludf.DUMMYFUNCTION("GOOGLETRANSLATE($A40,""en"",""zh-cn"")"),"密苏里州")</f>
        <v>密苏里州</v>
      </c>
      <c r="H40" s="9" t="str">
        <f>IFERROR(__xludf.DUMMYFUNCTION("GOOGLETRANSLATE($A40,""en"",""ja"")"),"ミズーリ州")</f>
        <v>ミズーリ州</v>
      </c>
      <c r="I40" s="9" t="str">
        <f>IFERROR(__xludf.DUMMYFUNCTION("GOOGLETRANSLATE($A40,""en"",""ko"")"),"미주리")</f>
        <v>미주리</v>
      </c>
      <c r="J40" s="9" t="str">
        <f>IFERROR(__xludf.DUMMYFUNCTION("GOOGLETRANSLATE($A40,""en"",""pt-BR"")"),"Missouri")</f>
        <v>Missouri</v>
      </c>
    </row>
    <row r="41">
      <c r="A41" s="9" t="str">
        <f>IFERROR(__xludf.DUMMYFUNCTION("""COMPUTED_VALUE"""),"Pennsylvania")</f>
        <v>Pennsylvania</v>
      </c>
      <c r="B41" s="9" t="str">
        <f>IFERROR(__xludf.DUMMYFUNCTION("""COMPUTED_VALUE"""),"us-pa")</f>
        <v>us-pa</v>
      </c>
      <c r="C41" s="9" t="str">
        <f>IFERROR(__xludf.DUMMYFUNCTION("GOOGLETRANSLATE($A41,""en"",""de"")"),"Pennsylvania")</f>
        <v>Pennsylvania</v>
      </c>
      <c r="D41" s="9" t="str">
        <f>IFERROR(__xludf.DUMMYFUNCTION("GOOGLETRANSLATE($A41,""en"",""fr"")"),"Pennsylvanie")</f>
        <v>Pennsylvanie</v>
      </c>
      <c r="E41" s="9" t="str">
        <f>IFERROR(__xludf.DUMMYFUNCTION("GOOGLETRANSLATE($A41,""en"",""es"")"),"Pensilvania")</f>
        <v>Pensilvania</v>
      </c>
      <c r="F41" s="9" t="str">
        <f>IFERROR(__xludf.DUMMYFUNCTION("GOOGLETRANSLATE($A41,""en"",""it"")"),"Pennsylvania")</f>
        <v>Pennsylvania</v>
      </c>
      <c r="G41" s="9" t="str">
        <f>IFERROR(__xludf.DUMMYFUNCTION("GOOGLETRANSLATE($A41,""en"",""zh-cn"")"),"宾夕法尼亚州")</f>
        <v>宾夕法尼亚州</v>
      </c>
      <c r="H41" s="9" t="str">
        <f>IFERROR(__xludf.DUMMYFUNCTION("GOOGLETRANSLATE($A41,""en"",""ja"")"),"ペンシルベニア州")</f>
        <v>ペンシルベニア州</v>
      </c>
      <c r="I41" s="9" t="str">
        <f>IFERROR(__xludf.DUMMYFUNCTION("GOOGLETRANSLATE($A41,""en"",""ko"")"),"펜실베니아")</f>
        <v>펜실베니아</v>
      </c>
      <c r="J41" s="9" t="str">
        <f>IFERROR(__xludf.DUMMYFUNCTION("GOOGLETRANSLATE($A41,""en"",""pt-BR"")"),"Pensilvânia")</f>
        <v>Pensilvânia</v>
      </c>
    </row>
    <row r="42">
      <c r="A42" s="9" t="str">
        <f>IFERROR(__xludf.DUMMYFUNCTION("""COMPUTED_VALUE"""),"Oregon")</f>
        <v>Oregon</v>
      </c>
      <c r="B42" s="9" t="str">
        <f>IFERROR(__xludf.DUMMYFUNCTION("""COMPUTED_VALUE"""),"us-or")</f>
        <v>us-or</v>
      </c>
      <c r="C42" s="9" t="str">
        <f>IFERROR(__xludf.DUMMYFUNCTION("GOOGLETRANSLATE($A42,""en"",""de"")"),"Oregon")</f>
        <v>Oregon</v>
      </c>
      <c r="D42" s="9" t="str">
        <f>IFERROR(__xludf.DUMMYFUNCTION("GOOGLETRANSLATE($A42,""en"",""fr"")"),"Oregon")</f>
        <v>Oregon</v>
      </c>
      <c r="E42" s="9" t="str">
        <f>IFERROR(__xludf.DUMMYFUNCTION("GOOGLETRANSLATE($A42,""en"",""es"")"),"Oregón")</f>
        <v>Oregón</v>
      </c>
      <c r="F42" s="9" t="str">
        <f>IFERROR(__xludf.DUMMYFUNCTION("GOOGLETRANSLATE($A42,""en"",""it"")"),"Oregon")</f>
        <v>Oregon</v>
      </c>
      <c r="G42" s="9" t="str">
        <f>IFERROR(__xludf.DUMMYFUNCTION("GOOGLETRANSLATE($A42,""en"",""zh-cn"")"),"俄勒冈州")</f>
        <v>俄勒冈州</v>
      </c>
      <c r="H42" s="9" t="str">
        <f>IFERROR(__xludf.DUMMYFUNCTION("GOOGLETRANSLATE($A42,""en"",""ja"")"),"オレゴン")</f>
        <v>オレゴン</v>
      </c>
      <c r="I42" s="9" t="str">
        <f>IFERROR(__xludf.DUMMYFUNCTION("GOOGLETRANSLATE($A42,""en"",""ko"")"),"오리건")</f>
        <v>오리건</v>
      </c>
      <c r="J42" s="9" t="str">
        <f>IFERROR(__xludf.DUMMYFUNCTION("GOOGLETRANSLATE($A42,""en"",""pt-BR"")"),"Óregon")</f>
        <v>Óregon</v>
      </c>
    </row>
    <row r="43">
      <c r="A43" s="9" t="str">
        <f>IFERROR(__xludf.DUMMYFUNCTION("""COMPUTED_VALUE"""),"Oklahoma")</f>
        <v>Oklahoma</v>
      </c>
      <c r="B43" s="9" t="str">
        <f>IFERROR(__xludf.DUMMYFUNCTION("""COMPUTED_VALUE"""),"us-ok")</f>
        <v>us-ok</v>
      </c>
      <c r="C43" s="9" t="str">
        <f>IFERROR(__xludf.DUMMYFUNCTION("GOOGLETRANSLATE($A43,""en"",""de"")"),"Oklahoma")</f>
        <v>Oklahoma</v>
      </c>
      <c r="D43" s="9" t="str">
        <f>IFERROR(__xludf.DUMMYFUNCTION("GOOGLETRANSLATE($A43,""en"",""fr"")"),"Oklahoma")</f>
        <v>Oklahoma</v>
      </c>
      <c r="E43" s="9" t="str">
        <f>IFERROR(__xludf.DUMMYFUNCTION("GOOGLETRANSLATE($A43,""en"",""es"")"),"Oklahoma")</f>
        <v>Oklahoma</v>
      </c>
      <c r="F43" s="9" t="str">
        <f>IFERROR(__xludf.DUMMYFUNCTION("GOOGLETRANSLATE($A43,""en"",""it"")"),"Oklahoma")</f>
        <v>Oklahoma</v>
      </c>
      <c r="G43" s="9" t="str">
        <f>IFERROR(__xludf.DUMMYFUNCTION("GOOGLETRANSLATE($A43,""en"",""zh-cn"")"),"俄克拉荷马州")</f>
        <v>俄克拉荷马州</v>
      </c>
      <c r="H43" s="9" t="str">
        <f>IFERROR(__xludf.DUMMYFUNCTION("GOOGLETRANSLATE($A43,""en"",""ja"")"),"オクラホマ州")</f>
        <v>オクラホマ州</v>
      </c>
      <c r="I43" s="9" t="str">
        <f>IFERROR(__xludf.DUMMYFUNCTION("GOOGLETRANSLATE($A43,""en"",""ko"")"),"오클라호마")</f>
        <v>오클라호마</v>
      </c>
      <c r="J43" s="9" t="str">
        <f>IFERROR(__xludf.DUMMYFUNCTION("GOOGLETRANSLATE($A43,""en"",""pt-BR"")"),"Oklahoma")</f>
        <v>Oklahoma</v>
      </c>
    </row>
    <row r="44">
      <c r="A44" s="9" t="str">
        <f>IFERROR(__xludf.DUMMYFUNCTION("""COMPUTED_VALUE"""),"Ohio")</f>
        <v>Ohio</v>
      </c>
      <c r="B44" s="9" t="str">
        <f>IFERROR(__xludf.DUMMYFUNCTION("""COMPUTED_VALUE"""),"us-oh")</f>
        <v>us-oh</v>
      </c>
      <c r="C44" s="9" t="str">
        <f>IFERROR(__xludf.DUMMYFUNCTION("GOOGLETRANSLATE($A44,""en"",""de"")"),"Ohio")</f>
        <v>Ohio</v>
      </c>
      <c r="D44" s="9" t="str">
        <f>IFERROR(__xludf.DUMMYFUNCTION("GOOGLETRANSLATE($A44,""en"",""fr"")"),"Ohio")</f>
        <v>Ohio</v>
      </c>
      <c r="E44" s="9" t="str">
        <f>IFERROR(__xludf.DUMMYFUNCTION("GOOGLETRANSLATE($A44,""en"",""es"")"),"Ohio")</f>
        <v>Ohio</v>
      </c>
      <c r="F44" s="9" t="str">
        <f>IFERROR(__xludf.DUMMYFUNCTION("GOOGLETRANSLATE($A44,""en"",""it"")"),"Ohio")</f>
        <v>Ohio</v>
      </c>
      <c r="G44" s="9" t="str">
        <f>IFERROR(__xludf.DUMMYFUNCTION("GOOGLETRANSLATE($A44,""en"",""zh-cn"")"),"俄亥俄州")</f>
        <v>俄亥俄州</v>
      </c>
      <c r="H44" s="9" t="str">
        <f>IFERROR(__xludf.DUMMYFUNCTION("GOOGLETRANSLATE($A44,""en"",""ja"")"),"オハイオ州")</f>
        <v>オハイオ州</v>
      </c>
      <c r="I44" s="9" t="str">
        <f>IFERROR(__xludf.DUMMYFUNCTION("GOOGLETRANSLATE($A44,""en"",""ko"")"),"오하이오")</f>
        <v>오하이오</v>
      </c>
      <c r="J44" s="9" t="str">
        <f>IFERROR(__xludf.DUMMYFUNCTION("GOOGLETRANSLATE($A44,""en"",""pt-BR"")"),"Ohio")</f>
        <v>Ohio</v>
      </c>
    </row>
    <row r="45">
      <c r="A45" s="9" t="str">
        <f>IFERROR(__xludf.DUMMYFUNCTION("""COMPUTED_VALUE"""),"New York")</f>
        <v>New York</v>
      </c>
      <c r="B45" s="9" t="str">
        <f>IFERROR(__xludf.DUMMYFUNCTION("""COMPUTED_VALUE"""),"us-ny")</f>
        <v>us-ny</v>
      </c>
      <c r="C45" s="9" t="str">
        <f>IFERROR(__xludf.DUMMYFUNCTION("GOOGLETRANSLATE($A45,""en"",""de"")"),"New York")</f>
        <v>New York</v>
      </c>
      <c r="D45" s="9" t="str">
        <f>IFERROR(__xludf.DUMMYFUNCTION("GOOGLETRANSLATE($A45,""en"",""fr"")"),"New York")</f>
        <v>New York</v>
      </c>
      <c r="E45" s="9" t="str">
        <f>IFERROR(__xludf.DUMMYFUNCTION("GOOGLETRANSLATE($A45,""en"",""es"")"),"Nueva York")</f>
        <v>Nueva York</v>
      </c>
      <c r="F45" s="9" t="str">
        <f>IFERROR(__xludf.DUMMYFUNCTION("GOOGLETRANSLATE($A45,""en"",""it"")"),"New York")</f>
        <v>New York</v>
      </c>
      <c r="G45" s="9" t="str">
        <f>IFERROR(__xludf.DUMMYFUNCTION("GOOGLETRANSLATE($A45,""en"",""zh-cn"")"),"纽约")</f>
        <v>纽约</v>
      </c>
      <c r="H45" s="9" t="str">
        <f>IFERROR(__xludf.DUMMYFUNCTION("GOOGLETRANSLATE($A45,""en"",""ja"")"),"ニューヨーク")</f>
        <v>ニューヨーク</v>
      </c>
      <c r="I45" s="9" t="str">
        <f>IFERROR(__xludf.DUMMYFUNCTION("GOOGLETRANSLATE($A45,""en"",""ko"")"),"뉴욕")</f>
        <v>뉴욕</v>
      </c>
      <c r="J45" s="9" t="str">
        <f>IFERROR(__xludf.DUMMYFUNCTION("GOOGLETRANSLATE($A45,""en"",""pt-BR"")"),"Nova Iorque")</f>
        <v>Nova Iorque</v>
      </c>
    </row>
    <row r="46">
      <c r="A46" s="9" t="str">
        <f>IFERROR(__xludf.DUMMYFUNCTION("""COMPUTED_VALUE"""),"Nevada")</f>
        <v>Nevada</v>
      </c>
      <c r="B46" s="9" t="str">
        <f>IFERROR(__xludf.DUMMYFUNCTION("""COMPUTED_VALUE"""),"us-nv")</f>
        <v>us-nv</v>
      </c>
      <c r="C46" s="9" t="str">
        <f>IFERROR(__xludf.DUMMYFUNCTION("GOOGLETRANSLATE($A46,""en"",""de"")"),"Nevada")</f>
        <v>Nevada</v>
      </c>
      <c r="D46" s="9" t="str">
        <f>IFERROR(__xludf.DUMMYFUNCTION("GOOGLETRANSLATE($A46,""en"",""fr"")"),"Nevada")</f>
        <v>Nevada</v>
      </c>
      <c r="E46" s="9" t="str">
        <f>IFERROR(__xludf.DUMMYFUNCTION("GOOGLETRANSLATE($A46,""en"",""es"")"),"Nevada")</f>
        <v>Nevada</v>
      </c>
      <c r="F46" s="9" t="str">
        <f>IFERROR(__xludf.DUMMYFUNCTION("GOOGLETRANSLATE($A46,""en"",""it"")"),"Nevada")</f>
        <v>Nevada</v>
      </c>
      <c r="G46" s="9" t="str">
        <f>IFERROR(__xludf.DUMMYFUNCTION("GOOGLETRANSLATE($A46,""en"",""zh-cn"")"),"内华达州")</f>
        <v>内华达州</v>
      </c>
      <c r="H46" s="9" t="str">
        <f>IFERROR(__xludf.DUMMYFUNCTION("GOOGLETRANSLATE($A46,""en"",""ja"")"),"ネバダ州")</f>
        <v>ネバダ州</v>
      </c>
      <c r="I46" s="9" t="str">
        <f>IFERROR(__xludf.DUMMYFUNCTION("GOOGLETRANSLATE($A46,""en"",""ko"")"),"네바다")</f>
        <v>네바다</v>
      </c>
      <c r="J46" s="9" t="str">
        <f>IFERROR(__xludf.DUMMYFUNCTION("GOOGLETRANSLATE($A46,""en"",""pt-BR"")"),"Nevada")</f>
        <v>Nevada</v>
      </c>
    </row>
    <row r="47">
      <c r="A47" s="9" t="str">
        <f>IFERROR(__xludf.DUMMYFUNCTION("""COMPUTED_VALUE"""),"New Mexico")</f>
        <v>New Mexico</v>
      </c>
      <c r="B47" s="9" t="str">
        <f>IFERROR(__xludf.DUMMYFUNCTION("""COMPUTED_VALUE"""),"us-nm")</f>
        <v>us-nm</v>
      </c>
      <c r="C47" s="9" t="str">
        <f>IFERROR(__xludf.DUMMYFUNCTION("GOOGLETRANSLATE($A47,""en"",""de"")"),"New Mexico")</f>
        <v>New Mexico</v>
      </c>
      <c r="D47" s="9" t="str">
        <f>IFERROR(__xludf.DUMMYFUNCTION("GOOGLETRANSLATE($A47,""en"",""fr"")"),"New Mexico")</f>
        <v>New Mexico</v>
      </c>
      <c r="E47" s="9" t="str">
        <f>IFERROR(__xludf.DUMMYFUNCTION("GOOGLETRANSLATE($A47,""en"",""es"")"),"Nuevo Méjico")</f>
        <v>Nuevo Méjico</v>
      </c>
      <c r="F47" s="9" t="str">
        <f>IFERROR(__xludf.DUMMYFUNCTION("GOOGLETRANSLATE($A47,""en"",""it"")"),"Nuovo Messico")</f>
        <v>Nuovo Messico</v>
      </c>
      <c r="G47" s="9" t="str">
        <f>IFERROR(__xludf.DUMMYFUNCTION("GOOGLETRANSLATE($A47,""en"",""zh-cn"")"),"新墨西哥州")</f>
        <v>新墨西哥州</v>
      </c>
      <c r="H47" s="9" t="str">
        <f>IFERROR(__xludf.DUMMYFUNCTION("GOOGLETRANSLATE($A47,""en"",""ja"")"),"ニューメキシコ州")</f>
        <v>ニューメキシコ州</v>
      </c>
      <c r="I47" s="9" t="str">
        <f>IFERROR(__xludf.DUMMYFUNCTION("GOOGLETRANSLATE($A47,""en"",""ko"")"),"뉴멕시코")</f>
        <v>뉴멕시코</v>
      </c>
      <c r="J47" s="9" t="str">
        <f>IFERROR(__xludf.DUMMYFUNCTION("GOOGLETRANSLATE($A47,""en"",""pt-BR"")"),"Novo México")</f>
        <v>Novo México</v>
      </c>
    </row>
    <row r="48">
      <c r="A48" s="9" t="str">
        <f>IFERROR(__xludf.DUMMYFUNCTION("""COMPUTED_VALUE"""),"New Jersey")</f>
        <v>New Jersey</v>
      </c>
      <c r="B48" s="9" t="str">
        <f>IFERROR(__xludf.DUMMYFUNCTION("""COMPUTED_VALUE"""),"us-nj")</f>
        <v>us-nj</v>
      </c>
      <c r="C48" s="9" t="str">
        <f>IFERROR(__xludf.DUMMYFUNCTION("GOOGLETRANSLATE($A48,""en"",""de"")"),"New Jersey")</f>
        <v>New Jersey</v>
      </c>
      <c r="D48" s="9" t="str">
        <f>IFERROR(__xludf.DUMMYFUNCTION("GOOGLETRANSLATE($A48,""en"",""fr"")"),"New Jersey")</f>
        <v>New Jersey</v>
      </c>
      <c r="E48" s="9" t="str">
        <f>IFERROR(__xludf.DUMMYFUNCTION("GOOGLETRANSLATE($A48,""en"",""es"")"),"Nueva Jersey")</f>
        <v>Nueva Jersey</v>
      </c>
      <c r="F48" s="9" t="str">
        <f>IFERROR(__xludf.DUMMYFUNCTION("GOOGLETRANSLATE($A48,""en"",""it"")"),"New Jersey")</f>
        <v>New Jersey</v>
      </c>
      <c r="G48" s="9" t="str">
        <f>IFERROR(__xludf.DUMMYFUNCTION("GOOGLETRANSLATE($A48,""en"",""zh-cn"")"),"新泽西州")</f>
        <v>新泽西州</v>
      </c>
      <c r="H48" s="9" t="str">
        <f>IFERROR(__xludf.DUMMYFUNCTION("GOOGLETRANSLATE($A48,""en"",""ja"")"),"ニュージャージー州")</f>
        <v>ニュージャージー州</v>
      </c>
      <c r="I48" s="9" t="str">
        <f>IFERROR(__xludf.DUMMYFUNCTION("GOOGLETRANSLATE($A48,""en"",""ko"")"),"뉴저지")</f>
        <v>뉴저지</v>
      </c>
      <c r="J48" s="9" t="str">
        <f>IFERROR(__xludf.DUMMYFUNCTION("GOOGLETRANSLATE($A48,""en"",""pt-BR"")"),"Nova Jersey")</f>
        <v>Nova Jersey</v>
      </c>
    </row>
    <row r="49">
      <c r="A49" s="9" t="str">
        <f>IFERROR(__xludf.DUMMYFUNCTION("""COMPUTED_VALUE"""),"Rhode Island")</f>
        <v>Rhode Island</v>
      </c>
      <c r="B49" s="9" t="str">
        <f>IFERROR(__xludf.DUMMYFUNCTION("""COMPUTED_VALUE"""),"us-ri")</f>
        <v>us-ri</v>
      </c>
      <c r="C49" s="9" t="str">
        <f>IFERROR(__xludf.DUMMYFUNCTION("GOOGLETRANSLATE($A49,""en"",""de"")"),"Rhode Island")</f>
        <v>Rhode Island</v>
      </c>
      <c r="D49" s="9" t="str">
        <f>IFERROR(__xludf.DUMMYFUNCTION("GOOGLETRANSLATE($A49,""en"",""fr"")"),"Rhode Island")</f>
        <v>Rhode Island</v>
      </c>
      <c r="E49" s="9" t="str">
        <f>IFERROR(__xludf.DUMMYFUNCTION("GOOGLETRANSLATE($A49,""en"",""es"")"),"Rhode Island")</f>
        <v>Rhode Island</v>
      </c>
      <c r="F49" s="9" t="str">
        <f>IFERROR(__xludf.DUMMYFUNCTION("GOOGLETRANSLATE($A49,""en"",""it"")"),"Rhode Island")</f>
        <v>Rhode Island</v>
      </c>
      <c r="G49" s="9" t="str">
        <f>IFERROR(__xludf.DUMMYFUNCTION("GOOGLETRANSLATE($A49,""en"",""zh-cn"")"),"罗德岛州")</f>
        <v>罗德岛州</v>
      </c>
      <c r="H49" s="9" t="str">
        <f>IFERROR(__xludf.DUMMYFUNCTION("GOOGLETRANSLATE($A49,""en"",""ja"")"),"ロードアイランド州")</f>
        <v>ロードアイランド州</v>
      </c>
      <c r="I49" s="9" t="str">
        <f>IFERROR(__xludf.DUMMYFUNCTION("GOOGLETRANSLATE($A49,""en"",""ko"")"),"로드아일랜드")</f>
        <v>로드아일랜드</v>
      </c>
      <c r="J49" s="9" t="str">
        <f>IFERROR(__xludf.DUMMYFUNCTION("GOOGLETRANSLATE($A49,""en"",""pt-BR"")"),"Ilha de Rodes")</f>
        <v>Ilha de Rodes</v>
      </c>
    </row>
    <row r="50">
      <c r="A50" s="9" t="str">
        <f>IFERROR(__xludf.DUMMYFUNCTION("""COMPUTED_VALUE"""),"Palau")</f>
        <v>Palau</v>
      </c>
      <c r="B50" s="9" t="str">
        <f>IFERROR(__xludf.DUMMYFUNCTION("""COMPUTED_VALUE"""),"us-pw")</f>
        <v>us-pw</v>
      </c>
      <c r="C50" s="9" t="str">
        <f>IFERROR(__xludf.DUMMYFUNCTION("GOOGLETRANSLATE($A50,""en"",""de"")"),"Palau")</f>
        <v>Palau</v>
      </c>
      <c r="D50" s="9" t="str">
        <f>IFERROR(__xludf.DUMMYFUNCTION("GOOGLETRANSLATE($A50,""en"",""fr"")"),"Palaos")</f>
        <v>Palaos</v>
      </c>
      <c r="E50" s="9" t="str">
        <f>IFERROR(__xludf.DUMMYFUNCTION("GOOGLETRANSLATE($A50,""en"",""es"")"),"Palaos")</f>
        <v>Palaos</v>
      </c>
      <c r="F50" s="9" t="str">
        <f>IFERROR(__xludf.DUMMYFUNCTION("GOOGLETRANSLATE($A50,""en"",""it"")"),"Palau")</f>
        <v>Palau</v>
      </c>
      <c r="G50" s="9" t="str">
        <f>IFERROR(__xludf.DUMMYFUNCTION("GOOGLETRANSLATE($A50,""en"",""zh-cn"")"),"帕劳")</f>
        <v>帕劳</v>
      </c>
      <c r="H50" s="9" t="str">
        <f>IFERROR(__xludf.DUMMYFUNCTION("GOOGLETRANSLATE($A50,""en"",""ja"")"),"パラオ")</f>
        <v>パラオ</v>
      </c>
      <c r="I50" s="9" t="str">
        <f>IFERROR(__xludf.DUMMYFUNCTION("GOOGLETRANSLATE($A50,""en"",""ko"")"),"팔라우")</f>
        <v>팔라우</v>
      </c>
      <c r="J50" s="9" t="str">
        <f>IFERROR(__xludf.DUMMYFUNCTION("GOOGLETRANSLATE($A50,""en"",""pt-BR"")"),"Palau")</f>
        <v>Palau</v>
      </c>
    </row>
    <row r="51">
      <c r="A51" s="9" t="str">
        <f>IFERROR(__xludf.DUMMYFUNCTION("""COMPUTED_VALUE"""),"Puerto Rico")</f>
        <v>Puerto Rico</v>
      </c>
      <c r="B51" s="9" t="str">
        <f>IFERROR(__xludf.DUMMYFUNCTION("""COMPUTED_VALUE"""),"us-pr")</f>
        <v>us-pr</v>
      </c>
      <c r="C51" s="9" t="str">
        <f>IFERROR(__xludf.DUMMYFUNCTION("GOOGLETRANSLATE($A51,""en"",""de"")"),"Puerto Rico")</f>
        <v>Puerto Rico</v>
      </c>
      <c r="D51" s="9" t="str">
        <f>IFERROR(__xludf.DUMMYFUNCTION("GOOGLETRANSLATE($A51,""en"",""fr"")"),"Porto Rico")</f>
        <v>Porto Rico</v>
      </c>
      <c r="E51" s="9" t="str">
        <f>IFERROR(__xludf.DUMMYFUNCTION("GOOGLETRANSLATE($A51,""en"",""es"")"),"Puerto Rico")</f>
        <v>Puerto Rico</v>
      </c>
      <c r="F51" s="9" t="str">
        <f>IFERROR(__xludf.DUMMYFUNCTION("GOOGLETRANSLATE($A51,""en"",""it"")"),"Porto Rico")</f>
        <v>Porto Rico</v>
      </c>
      <c r="G51" s="9" t="str">
        <f>IFERROR(__xludf.DUMMYFUNCTION("GOOGLETRANSLATE($A51,""en"",""zh-cn"")"),"波多黎各")</f>
        <v>波多黎各</v>
      </c>
      <c r="H51" s="9" t="str">
        <f>IFERROR(__xludf.DUMMYFUNCTION("GOOGLETRANSLATE($A51,""en"",""ja"")"),"プエルトリコ")</f>
        <v>プエルトリコ</v>
      </c>
      <c r="I51" s="9" t="str">
        <f>IFERROR(__xludf.DUMMYFUNCTION("GOOGLETRANSLATE($A51,""en"",""ko"")"),"푸에르토리코")</f>
        <v>푸에르토리코</v>
      </c>
      <c r="J51" s="9" t="str">
        <f>IFERROR(__xludf.DUMMYFUNCTION("GOOGLETRANSLATE($A51,""en"",""pt-BR"")"),"Porto Rico")</f>
        <v>Porto Rico</v>
      </c>
    </row>
    <row r="52">
      <c r="A52" s="9" t="str">
        <f>IFERROR(__xludf.DUMMYFUNCTION("""COMPUTED_VALUE"""),"Virgin Islands")</f>
        <v>Virgin Islands</v>
      </c>
      <c r="B52" s="9" t="str">
        <f>IFERROR(__xludf.DUMMYFUNCTION("""COMPUTED_VALUE"""),"us-vi")</f>
        <v>us-vi</v>
      </c>
      <c r="C52" s="9" t="str">
        <f>IFERROR(__xludf.DUMMYFUNCTION("GOOGLETRANSLATE($A52,""en"",""de"")"),"Jungferninseln")</f>
        <v>Jungferninseln</v>
      </c>
      <c r="D52" s="9" t="str">
        <f>IFERROR(__xludf.DUMMYFUNCTION("GOOGLETRANSLATE($A52,""en"",""fr"")"),"îles Vierges")</f>
        <v>îles Vierges</v>
      </c>
      <c r="E52" s="9" t="str">
        <f>IFERROR(__xludf.DUMMYFUNCTION("GOOGLETRANSLATE($A52,""en"",""es"")"),"Islas Vírgenes")</f>
        <v>Islas Vírgenes</v>
      </c>
      <c r="F52" s="9" t="str">
        <f>IFERROR(__xludf.DUMMYFUNCTION("GOOGLETRANSLATE($A52,""en"",""it"")"),"Isole Vergini")</f>
        <v>Isole Vergini</v>
      </c>
      <c r="G52" s="9" t="str">
        <f>IFERROR(__xludf.DUMMYFUNCTION("GOOGLETRANSLATE($A52,""en"",""zh-cn"")"),"维尔京群岛")</f>
        <v>维尔京群岛</v>
      </c>
      <c r="H52" s="9" t="str">
        <f>IFERROR(__xludf.DUMMYFUNCTION("GOOGLETRANSLATE($A52,""en"",""ja"")"),"ヴァージン諸島")</f>
        <v>ヴァージン諸島</v>
      </c>
      <c r="I52" s="9" t="str">
        <f>IFERROR(__xludf.DUMMYFUNCTION("GOOGLETRANSLATE($A52,""en"",""ko"")"),"버진 아일랜드")</f>
        <v>버진 아일랜드</v>
      </c>
      <c r="J52" s="9" t="str">
        <f>IFERROR(__xludf.DUMMYFUNCTION("GOOGLETRANSLATE($A52,""en"",""pt-BR"")"),"Ilhas Virgens")</f>
        <v>Ilhas Virgens</v>
      </c>
    </row>
    <row r="53">
      <c r="A53" s="9" t="str">
        <f>IFERROR(__xludf.DUMMYFUNCTION("""COMPUTED_VALUE"""),"Virginia")</f>
        <v>Virginia</v>
      </c>
      <c r="B53" s="9" t="str">
        <f>IFERROR(__xludf.DUMMYFUNCTION("""COMPUTED_VALUE"""),"us-va")</f>
        <v>us-va</v>
      </c>
      <c r="C53" s="9" t="str">
        <f>IFERROR(__xludf.DUMMYFUNCTION("GOOGLETRANSLATE($A53,""en"",""de"")"),"Virginia")</f>
        <v>Virginia</v>
      </c>
      <c r="D53" s="9" t="str">
        <f>IFERROR(__xludf.DUMMYFUNCTION("GOOGLETRANSLATE($A53,""en"",""fr"")"),"Virginie")</f>
        <v>Virginie</v>
      </c>
      <c r="E53" s="9" t="str">
        <f>IFERROR(__xludf.DUMMYFUNCTION("GOOGLETRANSLATE($A53,""en"",""es"")"),"Virginia")</f>
        <v>Virginia</v>
      </c>
      <c r="F53" s="9" t="str">
        <f>IFERROR(__xludf.DUMMYFUNCTION("GOOGLETRANSLATE($A53,""en"",""it"")"),"Virginia")</f>
        <v>Virginia</v>
      </c>
      <c r="G53" s="9" t="str">
        <f>IFERROR(__xludf.DUMMYFUNCTION("GOOGLETRANSLATE($A53,""en"",""zh-cn"")"),"弗吉尼亚州")</f>
        <v>弗吉尼亚州</v>
      </c>
      <c r="H53" s="9" t="str">
        <f>IFERROR(__xludf.DUMMYFUNCTION("GOOGLETRANSLATE($A53,""en"",""ja"")"),"バージニア州")</f>
        <v>バージニア州</v>
      </c>
      <c r="I53" s="9" t="str">
        <f>IFERROR(__xludf.DUMMYFUNCTION("GOOGLETRANSLATE($A53,""en"",""ko"")"),"여자 이름")</f>
        <v>여자 이름</v>
      </c>
      <c r="J53" s="9" t="str">
        <f>IFERROR(__xludf.DUMMYFUNCTION("GOOGLETRANSLATE($A53,""en"",""pt-BR"")"),"Virgínia")</f>
        <v>Virgínia</v>
      </c>
    </row>
    <row r="54">
      <c r="A54" s="9" t="str">
        <f>IFERROR(__xludf.DUMMYFUNCTION("""COMPUTED_VALUE"""),"Utah")</f>
        <v>Utah</v>
      </c>
      <c r="B54" s="9" t="str">
        <f>IFERROR(__xludf.DUMMYFUNCTION("""COMPUTED_VALUE"""),"us-ut")</f>
        <v>us-ut</v>
      </c>
      <c r="C54" s="9" t="str">
        <f>IFERROR(__xludf.DUMMYFUNCTION("GOOGLETRANSLATE($A54,""en"",""de"")"),"Utah")</f>
        <v>Utah</v>
      </c>
      <c r="D54" s="9" t="str">
        <f>IFERROR(__xludf.DUMMYFUNCTION("GOOGLETRANSLATE($A54,""en"",""fr"")"),"Utah")</f>
        <v>Utah</v>
      </c>
      <c r="E54" s="9" t="str">
        <f>IFERROR(__xludf.DUMMYFUNCTION("GOOGLETRANSLATE($A54,""en"",""es"")"),"Utah")</f>
        <v>Utah</v>
      </c>
      <c r="F54" s="9" t="str">
        <f>IFERROR(__xludf.DUMMYFUNCTION("GOOGLETRANSLATE($A54,""en"",""it"")"),"Utah")</f>
        <v>Utah</v>
      </c>
      <c r="G54" s="9" t="str">
        <f>IFERROR(__xludf.DUMMYFUNCTION("GOOGLETRANSLATE($A54,""en"",""zh-cn"")"),"犹他州")</f>
        <v>犹他州</v>
      </c>
      <c r="H54" s="9" t="str">
        <f>IFERROR(__xludf.DUMMYFUNCTION("GOOGLETRANSLATE($A54,""en"",""ja"")"),"ユタ州")</f>
        <v>ユタ州</v>
      </c>
      <c r="I54" s="9" t="str">
        <f>IFERROR(__xludf.DUMMYFUNCTION("GOOGLETRANSLATE($A54,""en"",""ko"")"),"유타")</f>
        <v>유타</v>
      </c>
      <c r="J54" s="9" t="str">
        <f>IFERROR(__xludf.DUMMYFUNCTION("GOOGLETRANSLATE($A54,""en"",""pt-BR"")"),"Utá")</f>
        <v>Utá</v>
      </c>
    </row>
    <row r="55">
      <c r="A55" s="9" t="str">
        <f>IFERROR(__xludf.DUMMYFUNCTION("""COMPUTED_VALUE"""),"Unknown")</f>
        <v>Unknown</v>
      </c>
      <c r="B55" s="9" t="str">
        <f>IFERROR(__xludf.DUMMYFUNCTION("""COMPUTED_VALUE"""),"us-uk")</f>
        <v>us-uk</v>
      </c>
      <c r="C55" s="9" t="str">
        <f>IFERROR(__xludf.DUMMYFUNCTION("GOOGLETRANSLATE($A55,""en"",""de"")"),"Unbekannt")</f>
        <v>Unbekannt</v>
      </c>
      <c r="D55" s="9" t="str">
        <f>IFERROR(__xludf.DUMMYFUNCTION("GOOGLETRANSLATE($A55,""en"",""fr"")"),"Inconnu")</f>
        <v>Inconnu</v>
      </c>
      <c r="E55" s="9" t="str">
        <f>IFERROR(__xludf.DUMMYFUNCTION("GOOGLETRANSLATE($A55,""en"",""es"")"),"Desconocido")</f>
        <v>Desconocido</v>
      </c>
      <c r="F55" s="9" t="str">
        <f>IFERROR(__xludf.DUMMYFUNCTION("GOOGLETRANSLATE($A55,""en"",""it"")"),"Sconosciuto")</f>
        <v>Sconosciuto</v>
      </c>
      <c r="G55" s="9" t="str">
        <f>IFERROR(__xludf.DUMMYFUNCTION("GOOGLETRANSLATE($A55,""en"",""zh-cn"")"),"未知")</f>
        <v>未知</v>
      </c>
      <c r="H55" s="9" t="str">
        <f>IFERROR(__xludf.DUMMYFUNCTION("GOOGLETRANSLATE($A55,""en"",""ja"")"),"未知")</f>
        <v>未知</v>
      </c>
      <c r="I55" s="9" t="str">
        <f>IFERROR(__xludf.DUMMYFUNCTION("GOOGLETRANSLATE($A55,""en"",""ko"")"),"알려지지 않은")</f>
        <v>알려지지 않은</v>
      </c>
      <c r="J55" s="9" t="str">
        <f>IFERROR(__xludf.DUMMYFUNCTION("GOOGLETRANSLATE($A55,""en"",""pt-BR"")"),"Desconhecido")</f>
        <v>Desconhecido</v>
      </c>
    </row>
    <row r="56">
      <c r="A56" s="9" t="str">
        <f>IFERROR(__xludf.DUMMYFUNCTION("""COMPUTED_VALUE"""),"Texas")</f>
        <v>Texas</v>
      </c>
      <c r="B56" s="9" t="str">
        <f>IFERROR(__xludf.DUMMYFUNCTION("""COMPUTED_VALUE"""),"us-tx")</f>
        <v>us-tx</v>
      </c>
      <c r="C56" s="9" t="str">
        <f>IFERROR(__xludf.DUMMYFUNCTION("GOOGLETRANSLATE($A56,""en"",""de"")"),"Texas")</f>
        <v>Texas</v>
      </c>
      <c r="D56" s="9" t="str">
        <f>IFERROR(__xludf.DUMMYFUNCTION("GOOGLETRANSLATE($A56,""en"",""fr"")"),"Texas")</f>
        <v>Texas</v>
      </c>
      <c r="E56" s="9" t="str">
        <f>IFERROR(__xludf.DUMMYFUNCTION("GOOGLETRANSLATE($A56,""en"",""es"")"),"Texas")</f>
        <v>Texas</v>
      </c>
      <c r="F56" s="9" t="str">
        <f>IFERROR(__xludf.DUMMYFUNCTION("GOOGLETRANSLATE($A56,""en"",""it"")"),"Texas")</f>
        <v>Texas</v>
      </c>
      <c r="G56" s="9" t="str">
        <f>IFERROR(__xludf.DUMMYFUNCTION("GOOGLETRANSLATE($A56,""en"",""zh-cn"")"),"德克萨斯州")</f>
        <v>德克萨斯州</v>
      </c>
      <c r="H56" s="9" t="str">
        <f>IFERROR(__xludf.DUMMYFUNCTION("GOOGLETRANSLATE($A56,""en"",""ja"")"),"テキサス州")</f>
        <v>テキサス州</v>
      </c>
      <c r="I56" s="9" t="str">
        <f>IFERROR(__xludf.DUMMYFUNCTION("GOOGLETRANSLATE($A56,""en"",""ko"")"),"텍사스")</f>
        <v>텍사스</v>
      </c>
      <c r="J56" s="9" t="str">
        <f>IFERROR(__xludf.DUMMYFUNCTION("GOOGLETRANSLATE($A56,""en"",""pt-BR"")"),"Texas")</f>
        <v>Texas</v>
      </c>
    </row>
    <row r="57">
      <c r="A57" s="9" t="str">
        <f>IFERROR(__xludf.DUMMYFUNCTION("""COMPUTED_VALUE"""),"Tennessee")</f>
        <v>Tennessee</v>
      </c>
      <c r="B57" s="9" t="str">
        <f>IFERROR(__xludf.DUMMYFUNCTION("""COMPUTED_VALUE"""),"us-tn")</f>
        <v>us-tn</v>
      </c>
      <c r="C57" s="9" t="str">
        <f>IFERROR(__xludf.DUMMYFUNCTION("GOOGLETRANSLATE($A57,""en"",""de"")"),"Tennessee")</f>
        <v>Tennessee</v>
      </c>
      <c r="D57" s="9" t="str">
        <f>IFERROR(__xludf.DUMMYFUNCTION("GOOGLETRANSLATE($A57,""en"",""fr"")"),"Tennessee")</f>
        <v>Tennessee</v>
      </c>
      <c r="E57" s="9" t="str">
        <f>IFERROR(__xludf.DUMMYFUNCTION("GOOGLETRANSLATE($A57,""en"",""es"")"),"Tennesse")</f>
        <v>Tennesse</v>
      </c>
      <c r="F57" s="9" t="str">
        <f>IFERROR(__xludf.DUMMYFUNCTION("GOOGLETRANSLATE($A57,""en"",""it"")"),"Tennessee")</f>
        <v>Tennessee</v>
      </c>
      <c r="G57" s="9" t="str">
        <f>IFERROR(__xludf.DUMMYFUNCTION("GOOGLETRANSLATE($A57,""en"",""zh-cn"")"),"田纳西州")</f>
        <v>田纳西州</v>
      </c>
      <c r="H57" s="9" t="str">
        <f>IFERROR(__xludf.DUMMYFUNCTION("GOOGLETRANSLATE($A57,""en"",""ja"")"),"テネシー州")</f>
        <v>テネシー州</v>
      </c>
      <c r="I57" s="9" t="str">
        <f>IFERROR(__xludf.DUMMYFUNCTION("GOOGLETRANSLATE($A57,""en"",""ko"")"),"테네시")</f>
        <v>테네시</v>
      </c>
      <c r="J57" s="9" t="str">
        <f>IFERROR(__xludf.DUMMYFUNCTION("GOOGLETRANSLATE($A57,""en"",""pt-BR"")"),"Tenessi")</f>
        <v>Tenessi</v>
      </c>
    </row>
    <row r="58">
      <c r="A58" s="9" t="str">
        <f>IFERROR(__xludf.DUMMYFUNCTION("""COMPUTED_VALUE"""),"South Dakota")</f>
        <v>South Dakota</v>
      </c>
      <c r="B58" s="9" t="str">
        <f>IFERROR(__xludf.DUMMYFUNCTION("""COMPUTED_VALUE"""),"us-sd")</f>
        <v>us-sd</v>
      </c>
      <c r="C58" s="9" t="str">
        <f>IFERROR(__xludf.DUMMYFUNCTION("GOOGLETRANSLATE($A58,""en"",""de"")"),"South Dakota")</f>
        <v>South Dakota</v>
      </c>
      <c r="D58" s="9" t="str">
        <f>IFERROR(__xludf.DUMMYFUNCTION("GOOGLETRANSLATE($A58,""en"",""fr"")"),"Dakota du Sud")</f>
        <v>Dakota du Sud</v>
      </c>
      <c r="E58" s="9" t="str">
        <f>IFERROR(__xludf.DUMMYFUNCTION("GOOGLETRANSLATE($A58,""en"",""es"")"),"Dakota del Sur")</f>
        <v>Dakota del Sur</v>
      </c>
      <c r="F58" s="9" t="str">
        <f>IFERROR(__xludf.DUMMYFUNCTION("GOOGLETRANSLATE($A58,""en"",""it"")"),"Dakota del Sud")</f>
        <v>Dakota del Sud</v>
      </c>
      <c r="G58" s="9" t="str">
        <f>IFERROR(__xludf.DUMMYFUNCTION("GOOGLETRANSLATE($A58,""en"",""zh-cn"")"),"南达科他州")</f>
        <v>南达科他州</v>
      </c>
      <c r="H58" s="9" t="str">
        <f>IFERROR(__xludf.DUMMYFUNCTION("GOOGLETRANSLATE($A58,""en"",""ja"")"),"サウスダコタ州")</f>
        <v>サウスダコタ州</v>
      </c>
      <c r="I58" s="9" t="str">
        <f>IFERROR(__xludf.DUMMYFUNCTION("GOOGLETRANSLATE($A58,""en"",""ko"")"),"사우스다코타")</f>
        <v>사우스다코타</v>
      </c>
      <c r="J58" s="9" t="str">
        <f>IFERROR(__xludf.DUMMYFUNCTION("GOOGLETRANSLATE($A58,""en"",""pt-BR"")"),"Dakota do Sul")</f>
        <v>Dakota do Sul</v>
      </c>
    </row>
    <row r="59">
      <c r="A59" s="9" t="str">
        <f>IFERROR(__xludf.DUMMYFUNCTION("""COMPUTED_VALUE"""),"South Carolina")</f>
        <v>South Carolina</v>
      </c>
      <c r="B59" s="9" t="str">
        <f>IFERROR(__xludf.DUMMYFUNCTION("""COMPUTED_VALUE"""),"us-sc")</f>
        <v>us-sc</v>
      </c>
      <c r="C59" s="9" t="str">
        <f>IFERROR(__xludf.DUMMYFUNCTION("GOOGLETRANSLATE($A59,""en"",""de"")"),"South Carolina")</f>
        <v>South Carolina</v>
      </c>
      <c r="D59" s="9" t="str">
        <f>IFERROR(__xludf.DUMMYFUNCTION("GOOGLETRANSLATE($A59,""en"",""fr"")"),"Caroline du Sud")</f>
        <v>Caroline du Sud</v>
      </c>
      <c r="E59" s="9" t="str">
        <f>IFERROR(__xludf.DUMMYFUNCTION("GOOGLETRANSLATE($A59,""en"",""es"")"),"Carolina del Sur")</f>
        <v>Carolina del Sur</v>
      </c>
      <c r="F59" s="9" t="str">
        <f>IFERROR(__xludf.DUMMYFUNCTION("GOOGLETRANSLATE($A59,""en"",""it"")"),"Carolina del Sud")</f>
        <v>Carolina del Sud</v>
      </c>
      <c r="G59" s="9" t="str">
        <f>IFERROR(__xludf.DUMMYFUNCTION("GOOGLETRANSLATE($A59,""en"",""zh-cn"")"),"南卡罗来纳州")</f>
        <v>南卡罗来纳州</v>
      </c>
      <c r="H59" s="9" t="str">
        <f>IFERROR(__xludf.DUMMYFUNCTION("GOOGLETRANSLATE($A59,""en"",""ja"")"),"サウスカロライナ州")</f>
        <v>サウスカロライナ州</v>
      </c>
      <c r="I59" s="9" t="str">
        <f>IFERROR(__xludf.DUMMYFUNCTION("GOOGLETRANSLATE($A59,""en"",""ko"")"),"사우스캐롤라이나")</f>
        <v>사우스캐롤라이나</v>
      </c>
      <c r="J59" s="9" t="str">
        <f>IFERROR(__xludf.DUMMYFUNCTION("GOOGLETRANSLATE($A59,""en"",""pt-BR"")"),"Carolina do Sul")</f>
        <v>Carolina do Sul</v>
      </c>
    </row>
    <row r="60">
      <c r="A60" s="9" t="str">
        <f>IFERROR(__xludf.DUMMYFUNCTION("""COMPUTED_VALUE"""),"Wyoming")</f>
        <v>Wyoming</v>
      </c>
      <c r="B60" s="9" t="str">
        <f>IFERROR(__xludf.DUMMYFUNCTION("""COMPUTED_VALUE"""),"us-wy")</f>
        <v>us-wy</v>
      </c>
      <c r="C60" s="9" t="str">
        <f>IFERROR(__xludf.DUMMYFUNCTION("GOOGLETRANSLATE($A60,""en"",""de"")"),"Wyoming")</f>
        <v>Wyoming</v>
      </c>
      <c r="D60" s="9" t="str">
        <f>IFERROR(__xludf.DUMMYFUNCTION("GOOGLETRANSLATE($A60,""en"",""fr"")"),"Wyoming")</f>
        <v>Wyoming</v>
      </c>
      <c r="E60" s="9" t="str">
        <f>IFERROR(__xludf.DUMMYFUNCTION("GOOGLETRANSLATE($A60,""en"",""es"")"),"Wyoming")</f>
        <v>Wyoming</v>
      </c>
      <c r="F60" s="9" t="str">
        <f>IFERROR(__xludf.DUMMYFUNCTION("GOOGLETRANSLATE($A60,""en"",""it"")"),"Wyoming")</f>
        <v>Wyoming</v>
      </c>
      <c r="G60" s="9" t="str">
        <f>IFERROR(__xludf.DUMMYFUNCTION("GOOGLETRANSLATE($A60,""en"",""zh-cn"")"),"怀俄明州")</f>
        <v>怀俄明州</v>
      </c>
      <c r="H60" s="9" t="str">
        <f>IFERROR(__xludf.DUMMYFUNCTION("GOOGLETRANSLATE($A60,""en"",""ja"")"),"ワイオミング州")</f>
        <v>ワイオミング州</v>
      </c>
      <c r="I60" s="9" t="str">
        <f>IFERROR(__xludf.DUMMYFUNCTION("GOOGLETRANSLATE($A60,""en"",""ko"")"),"와이오밍")</f>
        <v>와이오밍</v>
      </c>
      <c r="J60" s="9" t="str">
        <f>IFERROR(__xludf.DUMMYFUNCTION("GOOGLETRANSLATE($A60,""en"",""pt-BR"")"),"Wyoming")</f>
        <v>Wyoming</v>
      </c>
    </row>
    <row r="61">
      <c r="A61" s="9" t="str">
        <f>IFERROR(__xludf.DUMMYFUNCTION("""COMPUTED_VALUE"""),"West Virginia")</f>
        <v>West Virginia</v>
      </c>
      <c r="B61" s="9" t="str">
        <f>IFERROR(__xludf.DUMMYFUNCTION("""COMPUTED_VALUE"""),"us-wv")</f>
        <v>us-wv</v>
      </c>
      <c r="C61" s="9" t="str">
        <f>IFERROR(__xludf.DUMMYFUNCTION("GOOGLETRANSLATE($A61,""en"",""de"")"),"West Virginia")</f>
        <v>West Virginia</v>
      </c>
      <c r="D61" s="9" t="str">
        <f>IFERROR(__xludf.DUMMYFUNCTION("GOOGLETRANSLATE($A61,""en"",""fr"")"),"Virginie occidentale")</f>
        <v>Virginie occidentale</v>
      </c>
      <c r="E61" s="9" t="str">
        <f>IFERROR(__xludf.DUMMYFUNCTION("GOOGLETRANSLATE($A61,""en"",""es"")"),"Virginia Occidental")</f>
        <v>Virginia Occidental</v>
      </c>
      <c r="F61" s="9" t="str">
        <f>IFERROR(__xludf.DUMMYFUNCTION("GOOGLETRANSLATE($A61,""en"",""it"")"),"Virginia Occidentale")</f>
        <v>Virginia Occidentale</v>
      </c>
      <c r="G61" s="9" t="str">
        <f>IFERROR(__xludf.DUMMYFUNCTION("GOOGLETRANSLATE($A61,""en"",""zh-cn"")"),"西弗吉尼亚州")</f>
        <v>西弗吉尼亚州</v>
      </c>
      <c r="H61" s="9" t="str">
        <f>IFERROR(__xludf.DUMMYFUNCTION("GOOGLETRANSLATE($A61,""en"",""ja"")"),"ウェストバージニア州")</f>
        <v>ウェストバージニア州</v>
      </c>
      <c r="I61" s="9" t="str">
        <f>IFERROR(__xludf.DUMMYFUNCTION("GOOGLETRANSLATE($A61,""en"",""ko"")"),"웨스트버지니아")</f>
        <v>웨스트버지니아</v>
      </c>
      <c r="J61" s="9" t="str">
        <f>IFERROR(__xludf.DUMMYFUNCTION("GOOGLETRANSLATE($A61,""en"",""pt-BR"")"),"Virgínia Ocidental")</f>
        <v>Virgínia Ocidental</v>
      </c>
    </row>
    <row r="62">
      <c r="A62" s="9" t="str">
        <f>IFERROR(__xludf.DUMMYFUNCTION("""COMPUTED_VALUE"""),"Wisconsin")</f>
        <v>Wisconsin</v>
      </c>
      <c r="B62" s="9" t="str">
        <f>IFERROR(__xludf.DUMMYFUNCTION("""COMPUTED_VALUE"""),"us-wi")</f>
        <v>us-wi</v>
      </c>
      <c r="C62" s="9" t="str">
        <f>IFERROR(__xludf.DUMMYFUNCTION("GOOGLETRANSLATE($A62,""en"",""de"")"),"Wisconsin")</f>
        <v>Wisconsin</v>
      </c>
      <c r="D62" s="9" t="str">
        <f>IFERROR(__xludf.DUMMYFUNCTION("GOOGLETRANSLATE($A62,""en"",""fr"")"),"Wisconsin")</f>
        <v>Wisconsin</v>
      </c>
      <c r="E62" s="9" t="str">
        <f>IFERROR(__xludf.DUMMYFUNCTION("GOOGLETRANSLATE($A62,""en"",""es"")"),"Wisconsin")</f>
        <v>Wisconsin</v>
      </c>
      <c r="F62" s="9" t="str">
        <f>IFERROR(__xludf.DUMMYFUNCTION("GOOGLETRANSLATE($A62,""en"",""it"")"),"Wisconsin")</f>
        <v>Wisconsin</v>
      </c>
      <c r="G62" s="9" t="str">
        <f>IFERROR(__xludf.DUMMYFUNCTION("GOOGLETRANSLATE($A62,""en"",""zh-cn"")"),"威斯康星州")</f>
        <v>威斯康星州</v>
      </c>
      <c r="H62" s="9" t="str">
        <f>IFERROR(__xludf.DUMMYFUNCTION("GOOGLETRANSLATE($A62,""en"",""ja"")"),"ウィスコンシン州")</f>
        <v>ウィスコンシン州</v>
      </c>
      <c r="I62" s="9" t="str">
        <f>IFERROR(__xludf.DUMMYFUNCTION("GOOGLETRANSLATE($A62,""en"",""ko"")"),"위스콘신")</f>
        <v>위스콘신</v>
      </c>
      <c r="J62" s="9" t="str">
        <f>IFERROR(__xludf.DUMMYFUNCTION("GOOGLETRANSLATE($A62,""en"",""pt-BR"")"),"Wisconsin")</f>
        <v>Wisconsin</v>
      </c>
    </row>
    <row r="63">
      <c r="A63" s="9" t="str">
        <f>IFERROR(__xludf.DUMMYFUNCTION("""COMPUTED_VALUE"""),"Washington")</f>
        <v>Washington</v>
      </c>
      <c r="B63" s="9" t="str">
        <f>IFERROR(__xludf.DUMMYFUNCTION("""COMPUTED_VALUE"""),"us-wa")</f>
        <v>us-wa</v>
      </c>
      <c r="C63" s="9" t="str">
        <f>IFERROR(__xludf.DUMMYFUNCTION("GOOGLETRANSLATE($A63,""en"",""de"")"),"Washington")</f>
        <v>Washington</v>
      </c>
      <c r="D63" s="9" t="str">
        <f>IFERROR(__xludf.DUMMYFUNCTION("GOOGLETRANSLATE($A63,""en"",""fr"")"),"Washington")</f>
        <v>Washington</v>
      </c>
      <c r="E63" s="9" t="str">
        <f>IFERROR(__xludf.DUMMYFUNCTION("GOOGLETRANSLATE($A63,""en"",""es"")"),"Washington")</f>
        <v>Washington</v>
      </c>
      <c r="F63" s="9" t="str">
        <f>IFERROR(__xludf.DUMMYFUNCTION("GOOGLETRANSLATE($A63,""en"",""it"")"),"Washington")</f>
        <v>Washington</v>
      </c>
      <c r="G63" s="9" t="str">
        <f>IFERROR(__xludf.DUMMYFUNCTION("GOOGLETRANSLATE($A63,""en"",""zh-cn"")"),"华盛顿")</f>
        <v>华盛顿</v>
      </c>
      <c r="H63" s="9" t="str">
        <f>IFERROR(__xludf.DUMMYFUNCTION("GOOGLETRANSLATE($A63,""en"",""ja"")"),"ワシントン")</f>
        <v>ワシントン</v>
      </c>
      <c r="I63" s="9" t="str">
        <f>IFERROR(__xludf.DUMMYFUNCTION("GOOGLETRANSLATE($A63,""en"",""ko"")"),"워싱턴")</f>
        <v>워싱턴</v>
      </c>
      <c r="J63" s="9" t="str">
        <f>IFERROR(__xludf.DUMMYFUNCTION("GOOGLETRANSLATE($A63,""en"",""pt-BR"")"),"Washington")</f>
        <v>Washington</v>
      </c>
    </row>
    <row r="64">
      <c r="A64" s="9" t="str">
        <f>IFERROR(__xludf.DUMMYFUNCTION("""COMPUTED_VALUE"""),"Vermont")</f>
        <v>Vermont</v>
      </c>
      <c r="B64" s="9" t="str">
        <f>IFERROR(__xludf.DUMMYFUNCTION("""COMPUTED_VALUE"""),"us-vt")</f>
        <v>us-vt</v>
      </c>
      <c r="C64" s="9" t="str">
        <f>IFERROR(__xludf.DUMMYFUNCTION("GOOGLETRANSLATE($A64,""en"",""de"")"),"Vermont")</f>
        <v>Vermont</v>
      </c>
      <c r="D64" s="9" t="str">
        <f>IFERROR(__xludf.DUMMYFUNCTION("GOOGLETRANSLATE($A64,""en"",""fr"")"),"Vermont")</f>
        <v>Vermont</v>
      </c>
      <c r="E64" s="9" t="str">
        <f>IFERROR(__xludf.DUMMYFUNCTION("GOOGLETRANSLATE($A64,""en"",""es"")"),"Vermont")</f>
        <v>Vermont</v>
      </c>
      <c r="F64" s="9" t="str">
        <f>IFERROR(__xludf.DUMMYFUNCTION("GOOGLETRANSLATE($A64,""en"",""it"")"),"Vermont")</f>
        <v>Vermont</v>
      </c>
      <c r="G64" s="9" t="str">
        <f>IFERROR(__xludf.DUMMYFUNCTION("GOOGLETRANSLATE($A64,""en"",""zh-cn"")"),"佛蒙特")</f>
        <v>佛蒙特</v>
      </c>
      <c r="H64" s="9" t="str">
        <f>IFERROR(__xludf.DUMMYFUNCTION("GOOGLETRANSLATE($A64,""en"",""ja"")"),"バーモント州")</f>
        <v>バーモント州</v>
      </c>
      <c r="I64" s="9" t="str">
        <f>IFERROR(__xludf.DUMMYFUNCTION("GOOGLETRANSLATE($A64,""en"",""ko"")"),"버몬트")</f>
        <v>버몬트</v>
      </c>
      <c r="J64" s="9" t="str">
        <f>IFERROR(__xludf.DUMMYFUNCTION("GOOGLETRANSLATE($A64,""en"",""pt-BR"")"),"Vermonte")</f>
        <v>Vermonte</v>
      </c>
    </row>
    <row r="65">
      <c r="A65" s="9" t="str">
        <f>IFERROR(__xludf.DUMMYFUNCTION("""COMPUTED_VALUE"""),"United States Minor Outlying Islands")</f>
        <v>United States Minor Outlying Islands</v>
      </c>
      <c r="B65" s="9" t="str">
        <f>IFERROR(__xludf.DUMMYFUNCTION("""COMPUTED_VALUE"""),"us-um")</f>
        <v>us-um</v>
      </c>
      <c r="C65" s="9" t="str">
        <f>IFERROR(__xludf.DUMMYFUNCTION("GOOGLETRANSLATE($A65,""en"",""de"")"),"Kleinere vorgelagerte Inseln der Vereinigten Staaten")</f>
        <v>Kleinere vorgelagerte Inseln der Vereinigten Staaten</v>
      </c>
      <c r="D65" s="9" t="str">
        <f>IFERROR(__xludf.DUMMYFUNCTION("GOOGLETRANSLATE($A65,""en"",""fr"")"),"Îles mineures éloignées des États-Unis")</f>
        <v>Îles mineures éloignées des États-Unis</v>
      </c>
      <c r="E65" s="9" t="str">
        <f>IFERROR(__xludf.DUMMYFUNCTION("GOOGLETRANSLATE($A65,""en"",""es"")"),"Islas menores alejadas de los Estados Unidos")</f>
        <v>Islas menores alejadas de los Estados Unidos</v>
      </c>
      <c r="F65" s="9" t="str">
        <f>IFERROR(__xludf.DUMMYFUNCTION("GOOGLETRANSLATE($A65,""en"",""it"")"),"Isole Minori Esterne degli Stati Uniti")</f>
        <v>Isole Minori Esterne degli Stati Uniti</v>
      </c>
      <c r="G65" s="9" t="str">
        <f>IFERROR(__xludf.DUMMYFUNCTION("GOOGLETRANSLATE($A65,""en"",""zh-cn"")"),"美国本土外小岛屿")</f>
        <v>美国本土外小岛屿</v>
      </c>
      <c r="H65" s="9" t="str">
        <f>IFERROR(__xludf.DUMMYFUNCTION("GOOGLETRANSLATE($A65,""en"",""ja"")"),"米国小離島")</f>
        <v>米国小離島</v>
      </c>
      <c r="I65" s="9" t="str">
        <f>IFERROR(__xludf.DUMMYFUNCTION("GOOGLETRANSLATE($A65,""en"",""ko"")"),"미국령 군소 제도")</f>
        <v>미국령 군소 제도</v>
      </c>
      <c r="J65" s="9" t="str">
        <f>IFERROR(__xludf.DUMMYFUNCTION("GOOGLETRANSLATE($A65,""en"",""pt-BR"")"),"Ilhas Menores Distantes dos Estados Unidos")</f>
        <v>Ilhas Menores Distantes dos Estados Unidos</v>
      </c>
    </row>
    <row r="66">
      <c r="A66" s="9" t="str">
        <f>IFERROR(__xludf.DUMMYFUNCTION("""COMPUTED_VALUE"""),"York")</f>
        <v>York</v>
      </c>
      <c r="B66" s="9" t="str">
        <f>IFERROR(__xludf.DUMMYFUNCTION("""COMPUTED_VALUE"""),"gb-yor")</f>
        <v>gb-yor</v>
      </c>
      <c r="C66" s="9" t="str">
        <f>IFERROR(__xludf.DUMMYFUNCTION("GOOGLETRANSLATE($A66,""en"",""de"")"),"York")</f>
        <v>York</v>
      </c>
      <c r="D66" s="9" t="str">
        <f>IFERROR(__xludf.DUMMYFUNCTION("GOOGLETRANSLATE($A66,""en"",""fr"")"),"York")</f>
        <v>York</v>
      </c>
      <c r="E66" s="9" t="str">
        <f>IFERROR(__xludf.DUMMYFUNCTION("GOOGLETRANSLATE($A66,""en"",""es"")"),"york")</f>
        <v>york</v>
      </c>
      <c r="F66" s="9" t="str">
        <f>IFERROR(__xludf.DUMMYFUNCTION("GOOGLETRANSLATE($A66,""en"",""it"")"),"York")</f>
        <v>York</v>
      </c>
      <c r="G66" s="9" t="str">
        <f>IFERROR(__xludf.DUMMYFUNCTION("GOOGLETRANSLATE($A66,""en"",""zh-cn"")"),"约克")</f>
        <v>约克</v>
      </c>
      <c r="H66" s="9" t="str">
        <f>IFERROR(__xludf.DUMMYFUNCTION("GOOGLETRANSLATE($A66,""en"",""ja"")"),"ヨーク")</f>
        <v>ヨーク</v>
      </c>
      <c r="I66" s="9" t="str">
        <f>IFERROR(__xludf.DUMMYFUNCTION("GOOGLETRANSLATE($A66,""en"",""ko"")"),"요크")</f>
        <v>요크</v>
      </c>
      <c r="J66" s="9" t="str">
        <f>IFERROR(__xludf.DUMMYFUNCTION("GOOGLETRANSLATE($A66,""en"",""pt-BR"")"),"Iorque")</f>
        <v>Iorque</v>
      </c>
    </row>
    <row r="67">
      <c r="A67" s="9" t="str">
        <f>IFERROR(__xludf.DUMMYFUNCTION("""COMPUTED_VALUE"""),"London, City of")</f>
        <v>London, City of</v>
      </c>
      <c r="B67" s="9" t="str">
        <f>IFERROR(__xludf.DUMMYFUNCTION("""COMPUTED_VALUE"""),"gb-lnd")</f>
        <v>gb-lnd</v>
      </c>
      <c r="C67" s="9" t="str">
        <f>IFERROR(__xludf.DUMMYFUNCTION("GOOGLETRANSLATE($A67,""en"",""de"")"),"London, Stadt")</f>
        <v>London, Stadt</v>
      </c>
      <c r="D67" s="9" t="str">
        <f>IFERROR(__xludf.DUMMYFUNCTION("GOOGLETRANSLATE($A67,""en"",""fr"")"),"Londres, ville de")</f>
        <v>Londres, ville de</v>
      </c>
      <c r="E67" s="9" t="str">
        <f>IFERROR(__xludf.DUMMYFUNCTION("GOOGLETRANSLATE($A67,""en"",""es"")"),"Londres, ciudad de")</f>
        <v>Londres, ciudad de</v>
      </c>
      <c r="F67" s="9" t="str">
        <f>IFERROR(__xludf.DUMMYFUNCTION("GOOGLETRANSLATE($A67,""en"",""it"")"),"Londra, città di")</f>
        <v>Londra, città di</v>
      </c>
      <c r="G67" s="9" t="str">
        <f>IFERROR(__xludf.DUMMYFUNCTION("GOOGLETRANSLATE($A67,""en"",""zh-cn"")"),"伦敦市")</f>
        <v>伦敦市</v>
      </c>
      <c r="H67" s="9" t="str">
        <f>IFERROR(__xludf.DUMMYFUNCTION("GOOGLETRANSLATE($A67,""en"",""ja"")"),"ロンドンの都市")</f>
        <v>ロンドンの都市</v>
      </c>
      <c r="I67" s="9" t="str">
        <f>IFERROR(__xludf.DUMMYFUNCTION("GOOGLETRANSLATE($A67,""en"",""ko"")"),"런던")</f>
        <v>런던</v>
      </c>
      <c r="J67" s="9" t="str">
        <f>IFERROR(__xludf.DUMMYFUNCTION("GOOGLETRANSLATE($A67,""en"",""pt-BR"")"),"Londres, cidade de")</f>
        <v>Londres, cidade de</v>
      </c>
    </row>
    <row r="68">
      <c r="A68" s="9" t="str">
        <f>IFERROR(__xludf.DUMMYFUNCTION("""COMPUTED_VALUE"""),"Antrim")</f>
        <v>Antrim</v>
      </c>
      <c r="B68" s="9" t="str">
        <f>IFERROR(__xludf.DUMMYFUNCTION("""COMPUTED_VALUE"""),"gb-ant")</f>
        <v>gb-ant</v>
      </c>
      <c r="C68" s="9" t="str">
        <f>IFERROR(__xludf.DUMMYFUNCTION("GOOGLETRANSLATE($A68,""en"",""de"")"),"Antrim")</f>
        <v>Antrim</v>
      </c>
      <c r="D68" s="9" t="str">
        <f>IFERROR(__xludf.DUMMYFUNCTION("GOOGLETRANSLATE($A68,""en"",""fr"")"),"Antrim")</f>
        <v>Antrim</v>
      </c>
      <c r="E68" s="9" t="str">
        <f>IFERROR(__xludf.DUMMYFUNCTION("GOOGLETRANSLATE($A68,""en"",""es"")"),"Antrim")</f>
        <v>Antrim</v>
      </c>
      <c r="F68" s="9" t="str">
        <f>IFERROR(__xludf.DUMMYFUNCTION("GOOGLETRANSLATE($A68,""en"",""it"")"),"Antrim")</f>
        <v>Antrim</v>
      </c>
      <c r="G68" s="9" t="str">
        <f>IFERROR(__xludf.DUMMYFUNCTION("GOOGLETRANSLATE($A68,""en"",""zh-cn"")"),"安特里姆")</f>
        <v>安特里姆</v>
      </c>
      <c r="H68" s="9" t="str">
        <f>IFERROR(__xludf.DUMMYFUNCTION("GOOGLETRANSLATE($A68,""en"",""ja"")"),"アントリム")</f>
        <v>アントリム</v>
      </c>
      <c r="I68" s="9" t="str">
        <f>IFERROR(__xludf.DUMMYFUNCTION("GOOGLETRANSLATE($A68,""en"",""ko"")"),"앤트림")</f>
        <v>앤트림</v>
      </c>
      <c r="J68" s="9" t="str">
        <f>IFERROR(__xludf.DUMMYFUNCTION("GOOGLETRANSLATE($A68,""en"",""pt-BR"")"),"Antrim")</f>
        <v>Antrim</v>
      </c>
    </row>
    <row r="69">
      <c r="A69" s="9" t="str">
        <f>IFERROR(__xludf.DUMMYFUNCTION("""COMPUTED_VALUE"""),"Ards")</f>
        <v>Ards</v>
      </c>
      <c r="B69" s="9" t="str">
        <f>IFERROR(__xludf.DUMMYFUNCTION("""COMPUTED_VALUE"""),"gb-ard")</f>
        <v>gb-ard</v>
      </c>
      <c r="C69" s="9" t="str">
        <f>IFERROR(__xludf.DUMMYFUNCTION("GOOGLETRANSLATE($A69,""en"",""de"")"),"Akutes Lungenversagen")</f>
        <v>Akutes Lungenversagen</v>
      </c>
      <c r="D69" s="9" t="str">
        <f>IFERROR(__xludf.DUMMYFUNCTION("GOOGLETRANSLATE($A69,""en"",""fr"")"),"SDRA")</f>
        <v>SDRA</v>
      </c>
      <c r="E69" s="9" t="str">
        <f>IFERROR(__xludf.DUMMYFUNCTION("GOOGLETRANSLATE($A69,""en"",""es"")"),"SDRA")</f>
        <v>SDRA</v>
      </c>
      <c r="F69" s="9" t="str">
        <f>IFERROR(__xludf.DUMMYFUNCTION("GOOGLETRANSLATE($A69,""en"",""it"")"),"Sindrome da distress respiratorio acuto")</f>
        <v>Sindrome da distress respiratorio acuto</v>
      </c>
      <c r="G69" s="9" t="str">
        <f>IFERROR(__xludf.DUMMYFUNCTION("GOOGLETRANSLATE($A69,""en"",""zh-cn"")"),"ARDS")</f>
        <v>ARDS</v>
      </c>
      <c r="H69" s="9" t="str">
        <f>IFERROR(__xludf.DUMMYFUNCTION("GOOGLETRANSLATE($A69,""en"",""ja"")"),"ARDS")</f>
        <v>ARDS</v>
      </c>
      <c r="I69" s="9" t="str">
        <f>IFERROR(__xludf.DUMMYFUNCTION("GOOGLETRANSLATE($A69,""en"",""ko"")"),"급성호흡곤란증후군")</f>
        <v>급성호흡곤란증후군</v>
      </c>
      <c r="J69" s="9" t="str">
        <f>IFERROR(__xludf.DUMMYFUNCTION("GOOGLETRANSLATE($A69,""en"",""pt-BR"")"),"ARDS")</f>
        <v>ARDS</v>
      </c>
    </row>
    <row r="70">
      <c r="A70" s="9" t="str">
        <f>IFERROR(__xludf.DUMMYFUNCTION("""COMPUTED_VALUE"""),"West Berkshire")</f>
        <v>West Berkshire</v>
      </c>
      <c r="B70" s="9" t="str">
        <f>IFERROR(__xludf.DUMMYFUNCTION("""COMPUTED_VALUE"""),"gb-wbk")</f>
        <v>gb-wbk</v>
      </c>
      <c r="C70" s="9" t="str">
        <f>IFERROR(__xludf.DUMMYFUNCTION("GOOGLETRANSLATE($A70,""en"",""de"")"),"West Berkshire")</f>
        <v>West Berkshire</v>
      </c>
      <c r="D70" s="9" t="str">
        <f>IFERROR(__xludf.DUMMYFUNCTION("GOOGLETRANSLATE($A70,""en"",""fr"")"),"Comté de Berkshire occidental")</f>
        <v>Comté de Berkshire occidental</v>
      </c>
      <c r="E70" s="9" t="str">
        <f>IFERROR(__xludf.DUMMYFUNCTION("GOOGLETRANSLATE($A70,""en"",""es"")"),"Berkshire Occidental")</f>
        <v>Berkshire Occidental</v>
      </c>
      <c r="F70" s="9" t="str">
        <f>IFERROR(__xludf.DUMMYFUNCTION("GOOGLETRANSLATE($A70,""en"",""it"")"),"Berkshire occidentale")</f>
        <v>Berkshire occidentale</v>
      </c>
      <c r="G70" s="9" t="str">
        <f>IFERROR(__xludf.DUMMYFUNCTION("GOOGLETRANSLATE($A70,""en"",""zh-cn"")"),"西伯克郡")</f>
        <v>西伯克郡</v>
      </c>
      <c r="H70" s="9" t="str">
        <f>IFERROR(__xludf.DUMMYFUNCTION("GOOGLETRANSLATE($A70,""en"",""ja"")"),"ウェストバークシャー")</f>
        <v>ウェストバークシャー</v>
      </c>
      <c r="I70" s="9" t="str">
        <f>IFERROR(__xludf.DUMMYFUNCTION("GOOGLETRANSLATE($A70,""en"",""ko"")"),"웨스트 버크셔")</f>
        <v>웨스트 버크셔</v>
      </c>
      <c r="J70" s="9" t="str">
        <f>IFERROR(__xludf.DUMMYFUNCTION("GOOGLETRANSLATE($A70,""en"",""pt-BR"")"),"Oeste de Berkshire")</f>
        <v>Oeste de Berkshire</v>
      </c>
    </row>
    <row r="71">
      <c r="A71" s="9" t="str">
        <f>IFERROR(__xludf.DUMMYFUNCTION("""COMPUTED_VALUE"""),"Wiltshire")</f>
        <v>Wiltshire</v>
      </c>
      <c r="B71" s="9" t="str">
        <f>IFERROR(__xludf.DUMMYFUNCTION("""COMPUTED_VALUE"""),"gb-wil")</f>
        <v>gb-wil</v>
      </c>
      <c r="C71" s="9" t="str">
        <f>IFERROR(__xludf.DUMMYFUNCTION("GOOGLETRANSLATE($A71,""en"",""de"")"),"Wiltshire")</f>
        <v>Wiltshire</v>
      </c>
      <c r="D71" s="9" t="str">
        <f>IFERROR(__xludf.DUMMYFUNCTION("GOOGLETRANSLATE($A71,""en"",""fr"")"),"Wiltshire")</f>
        <v>Wiltshire</v>
      </c>
      <c r="E71" s="9" t="str">
        <f>IFERROR(__xludf.DUMMYFUNCTION("GOOGLETRANSLATE($A71,""en"",""es"")"),"Wiltshire")</f>
        <v>Wiltshire</v>
      </c>
      <c r="F71" s="9" t="str">
        <f>IFERROR(__xludf.DUMMYFUNCTION("GOOGLETRANSLATE($A71,""en"",""it"")"),"Wiltshire")</f>
        <v>Wiltshire</v>
      </c>
      <c r="G71" s="9" t="str">
        <f>IFERROR(__xludf.DUMMYFUNCTION("GOOGLETRANSLATE($A71,""en"",""zh-cn"")"),"威尔特郡")</f>
        <v>威尔特郡</v>
      </c>
      <c r="H71" s="9" t="str">
        <f>IFERROR(__xludf.DUMMYFUNCTION("GOOGLETRANSLATE($A71,""en"",""ja"")"),"ウィルトシャー州")</f>
        <v>ウィルトシャー州</v>
      </c>
      <c r="I71" s="9" t="str">
        <f>IFERROR(__xludf.DUMMYFUNCTION("GOOGLETRANSLATE($A71,""en"",""ko"")"),"윌트셔")</f>
        <v>윌트셔</v>
      </c>
      <c r="J71" s="9" t="str">
        <f>IFERROR(__xludf.DUMMYFUNCTION("GOOGLETRANSLATE($A71,""en"",""pt-BR"")"),"Wiltshire")</f>
        <v>Wiltshire</v>
      </c>
    </row>
    <row r="72">
      <c r="A72" s="9" t="str">
        <f>IFERROR(__xludf.DUMMYFUNCTION("""COMPUTED_VALUE"""),"Windsor and Maidenhead")</f>
        <v>Windsor and Maidenhead</v>
      </c>
      <c r="B72" s="9" t="str">
        <f>IFERROR(__xludf.DUMMYFUNCTION("""COMPUTED_VALUE"""),"gb-wnm")</f>
        <v>gb-wnm</v>
      </c>
      <c r="C72" s="9" t="str">
        <f>IFERROR(__xludf.DUMMYFUNCTION("GOOGLETRANSLATE($A72,""en"",""de"")"),"Windsor und Maidenhead")</f>
        <v>Windsor und Maidenhead</v>
      </c>
      <c r="D72" s="9" t="str">
        <f>IFERROR(__xludf.DUMMYFUNCTION("GOOGLETRANSLATE($A72,""en"",""fr"")"),"Windsor et Maidenhead")</f>
        <v>Windsor et Maidenhead</v>
      </c>
      <c r="E72" s="9" t="str">
        <f>IFERROR(__xludf.DUMMYFUNCTION("GOOGLETRANSLATE($A72,""en"",""es"")"),"Windsor y Maidenhead")</f>
        <v>Windsor y Maidenhead</v>
      </c>
      <c r="F72" s="9" t="str">
        <f>IFERROR(__xludf.DUMMYFUNCTION("GOOGLETRANSLATE($A72,""en"",""it"")"),"Windsor e Maidenhead")</f>
        <v>Windsor e Maidenhead</v>
      </c>
      <c r="G72" s="9" t="str">
        <f>IFERROR(__xludf.DUMMYFUNCTION("GOOGLETRANSLATE($A72,""en"",""zh-cn"")"),"温莎和梅登黑德")</f>
        <v>温莎和梅登黑德</v>
      </c>
      <c r="H72" s="9" t="str">
        <f>IFERROR(__xludf.DUMMYFUNCTION("GOOGLETRANSLATE($A72,""en"",""ja"")"),"ウィンザーとメイデンヘッド")</f>
        <v>ウィンザーとメイデンヘッド</v>
      </c>
      <c r="I72" s="9" t="str">
        <f>IFERROR(__xludf.DUMMYFUNCTION("GOOGLETRANSLATE($A72,""en"",""ko"")"),"윈저 앤 메이든헤드")</f>
        <v>윈저 앤 메이든헤드</v>
      </c>
      <c r="J72" s="9" t="str">
        <f>IFERROR(__xludf.DUMMYFUNCTION("GOOGLETRANSLATE($A72,""en"",""pt-BR"")"),"Windsor e Maidenhead")</f>
        <v>Windsor e Maidenhead</v>
      </c>
    </row>
    <row r="73">
      <c r="A73" s="9" t="str">
        <f>IFERROR(__xludf.DUMMYFUNCTION("""COMPUTED_VALUE"""),"Wokingham")</f>
        <v>Wokingham</v>
      </c>
      <c r="B73" s="9" t="str">
        <f>IFERROR(__xludf.DUMMYFUNCTION("""COMPUTED_VALUE"""),"gb-wok")</f>
        <v>gb-wok</v>
      </c>
      <c r="C73" s="9" t="str">
        <f>IFERROR(__xludf.DUMMYFUNCTION("GOOGLETRANSLATE($A73,""en"",""de"")"),"Wokingham")</f>
        <v>Wokingham</v>
      </c>
      <c r="D73" s="9" t="str">
        <f>IFERROR(__xludf.DUMMYFUNCTION("GOOGLETRANSLATE($A73,""en"",""fr"")"),"Wokingham")</f>
        <v>Wokingham</v>
      </c>
      <c r="E73" s="9" t="str">
        <f>IFERROR(__xludf.DUMMYFUNCTION("GOOGLETRANSLATE($A73,""en"",""es"")"),"Wokingham")</f>
        <v>Wokingham</v>
      </c>
      <c r="F73" s="9" t="str">
        <f>IFERROR(__xludf.DUMMYFUNCTION("GOOGLETRANSLATE($A73,""en"",""it"")"),"Wokingham")</f>
        <v>Wokingham</v>
      </c>
      <c r="G73" s="9" t="str">
        <f>IFERROR(__xludf.DUMMYFUNCTION("GOOGLETRANSLATE($A73,""en"",""zh-cn"")"),"沃金厄姆")</f>
        <v>沃金厄姆</v>
      </c>
      <c r="H73" s="9" t="str">
        <f>IFERROR(__xludf.DUMMYFUNCTION("GOOGLETRANSLATE($A73,""en"",""ja"")"),"ウォーキンガム")</f>
        <v>ウォーキンガム</v>
      </c>
      <c r="I73" s="9" t="str">
        <f>IFERROR(__xludf.DUMMYFUNCTION("GOOGLETRANSLATE($A73,""en"",""ko"")"),"워킹엄")</f>
        <v>워킹엄</v>
      </c>
      <c r="J73" s="9" t="str">
        <f>IFERROR(__xludf.DUMMYFUNCTION("GOOGLETRANSLATE($A73,""en"",""pt-BR"")"),"Wokingham")</f>
        <v>Wokingham</v>
      </c>
    </row>
    <row r="74">
      <c r="A74" s="9" t="str">
        <f>IFERROR(__xludf.DUMMYFUNCTION("""COMPUTED_VALUE"""),"Telford and Wrekin")</f>
        <v>Telford and Wrekin</v>
      </c>
      <c r="B74" s="9" t="str">
        <f>IFERROR(__xludf.DUMMYFUNCTION("""COMPUTED_VALUE"""),"gb-tfw")</f>
        <v>gb-tfw</v>
      </c>
      <c r="C74" s="9" t="str">
        <f>IFERROR(__xludf.DUMMYFUNCTION("GOOGLETRANSLATE($A74,""en"",""de"")"),"Telford und Wrekin")</f>
        <v>Telford und Wrekin</v>
      </c>
      <c r="D74" s="9" t="str">
        <f>IFERROR(__xludf.DUMMYFUNCTION("GOOGLETRANSLATE($A74,""en"",""fr"")"),"Telford et Wrekin")</f>
        <v>Telford et Wrekin</v>
      </c>
      <c r="E74" s="9" t="str">
        <f>IFERROR(__xludf.DUMMYFUNCTION("GOOGLETRANSLATE($A74,""en"",""es"")"),"Telford y Wrekin")</f>
        <v>Telford y Wrekin</v>
      </c>
      <c r="F74" s="9" t="str">
        <f>IFERROR(__xludf.DUMMYFUNCTION("GOOGLETRANSLATE($A74,""en"",""it"")"),"Telford e Wrekin")</f>
        <v>Telford e Wrekin</v>
      </c>
      <c r="G74" s="9" t="str">
        <f>IFERROR(__xludf.DUMMYFUNCTION("GOOGLETRANSLATE($A74,""en"",""zh-cn"")"),"特尔福德和雷金")</f>
        <v>特尔福德和雷金</v>
      </c>
      <c r="H74" s="9" t="str">
        <f>IFERROR(__xludf.DUMMYFUNCTION("GOOGLETRANSLATE($A74,""en"",""ja"")"),"テルフォードとレキン")</f>
        <v>テルフォードとレキン</v>
      </c>
      <c r="I74" s="9" t="str">
        <f>IFERROR(__xludf.DUMMYFUNCTION("GOOGLETRANSLATE($A74,""en"",""ko"")"),"텔퍼드와 레킨")</f>
        <v>텔퍼드와 레킨</v>
      </c>
      <c r="J74" s="9" t="str">
        <f>IFERROR(__xludf.DUMMYFUNCTION("GOOGLETRANSLATE($A74,""en"",""pt-BR"")"),"Telford e Wrekin")</f>
        <v>Telford e Wrekin</v>
      </c>
    </row>
    <row r="75">
      <c r="A75" s="9" t="str">
        <f>IFERROR(__xludf.DUMMYFUNCTION("""COMPUTED_VALUE"""),"Thurrock")</f>
        <v>Thurrock</v>
      </c>
      <c r="B75" s="9" t="str">
        <f>IFERROR(__xludf.DUMMYFUNCTION("""COMPUTED_VALUE"""),"gb-thr")</f>
        <v>gb-thr</v>
      </c>
      <c r="C75" s="9" t="str">
        <f>IFERROR(__xludf.DUMMYFUNCTION("GOOGLETRANSLATE($A75,""en"",""de"")"),"Thurrock")</f>
        <v>Thurrock</v>
      </c>
      <c r="D75" s="9" t="str">
        <f>IFERROR(__xludf.DUMMYFUNCTION("GOOGLETRANSLATE($A75,""en"",""fr"")"),"Thurrock")</f>
        <v>Thurrock</v>
      </c>
      <c r="E75" s="9" t="str">
        <f>IFERROR(__xludf.DUMMYFUNCTION("GOOGLETRANSLATE($A75,""en"",""es"")"),"thurrock")</f>
        <v>thurrock</v>
      </c>
      <c r="F75" s="9" t="str">
        <f>IFERROR(__xludf.DUMMYFUNCTION("GOOGLETRANSLATE($A75,""en"",""it"")"),"Thurrock")</f>
        <v>Thurrock</v>
      </c>
      <c r="G75" s="9" t="str">
        <f>IFERROR(__xludf.DUMMYFUNCTION("GOOGLETRANSLATE($A75,""en"",""zh-cn"")"),"瑟罗克")</f>
        <v>瑟罗克</v>
      </c>
      <c r="H75" s="9" t="str">
        <f>IFERROR(__xludf.DUMMYFUNCTION("GOOGLETRANSLATE($A75,""en"",""ja"")"),"サロック")</f>
        <v>サロック</v>
      </c>
      <c r="I75" s="9" t="str">
        <f>IFERROR(__xludf.DUMMYFUNCTION("GOOGLETRANSLATE($A75,""en"",""ko"")"),"서록")</f>
        <v>서록</v>
      </c>
      <c r="J75" s="9" t="str">
        <f>IFERROR(__xludf.DUMMYFUNCTION("GOOGLETRANSLATE($A75,""en"",""pt-BR"")"),"Thurrock")</f>
        <v>Thurrock</v>
      </c>
    </row>
    <row r="76">
      <c r="A76" s="9" t="str">
        <f>IFERROR(__xludf.DUMMYFUNCTION("""COMPUTED_VALUE"""),"Torbay")</f>
        <v>Torbay</v>
      </c>
      <c r="B76" s="9" t="str">
        <f>IFERROR(__xludf.DUMMYFUNCTION("""COMPUTED_VALUE"""),"gb-tob")</f>
        <v>gb-tob</v>
      </c>
      <c r="C76" s="9" t="str">
        <f>IFERROR(__xludf.DUMMYFUNCTION("GOOGLETRANSLATE($A76,""en"",""de"")"),"Torbay")</f>
        <v>Torbay</v>
      </c>
      <c r="D76" s="9" t="str">
        <f>IFERROR(__xludf.DUMMYFUNCTION("GOOGLETRANSLATE($A76,""en"",""fr"")"),"Torbay")</f>
        <v>Torbay</v>
      </c>
      <c r="E76" s="9" t="str">
        <f>IFERROR(__xludf.DUMMYFUNCTION("GOOGLETRANSLATE($A76,""en"",""es"")"),"Torbay")</f>
        <v>Torbay</v>
      </c>
      <c r="F76" s="9" t="str">
        <f>IFERROR(__xludf.DUMMYFUNCTION("GOOGLETRANSLATE($A76,""en"",""it"")"),"Torbay")</f>
        <v>Torbay</v>
      </c>
      <c r="G76" s="9" t="str">
        <f>IFERROR(__xludf.DUMMYFUNCTION("GOOGLETRANSLATE($A76,""en"",""zh-cn"")"),"托贝")</f>
        <v>托贝</v>
      </c>
      <c r="H76" s="9" t="str">
        <f>IFERROR(__xludf.DUMMYFUNCTION("GOOGLETRANSLATE($A76,""en"",""ja"")"),"トーベイ")</f>
        <v>トーベイ</v>
      </c>
      <c r="I76" s="9" t="str">
        <f>IFERROR(__xludf.DUMMYFUNCTION("GOOGLETRANSLATE($A76,""en"",""ko"")"),"토베이")</f>
        <v>토베이</v>
      </c>
      <c r="J76" s="9" t="str">
        <f>IFERROR(__xludf.DUMMYFUNCTION("GOOGLETRANSLATE($A76,""en"",""pt-BR"")"),"Torbay")</f>
        <v>Torbay</v>
      </c>
    </row>
    <row r="77">
      <c r="A77" s="9" t="str">
        <f>IFERROR(__xludf.DUMMYFUNCTION("""COMPUTED_VALUE"""),"Warrington")</f>
        <v>Warrington</v>
      </c>
      <c r="B77" s="9" t="str">
        <f>IFERROR(__xludf.DUMMYFUNCTION("""COMPUTED_VALUE"""),"gb-wrt")</f>
        <v>gb-wrt</v>
      </c>
      <c r="C77" s="9" t="str">
        <f>IFERROR(__xludf.DUMMYFUNCTION("GOOGLETRANSLATE($A77,""en"",""de"")"),"Warrington")</f>
        <v>Warrington</v>
      </c>
      <c r="D77" s="9" t="str">
        <f>IFERROR(__xludf.DUMMYFUNCTION("GOOGLETRANSLATE($A77,""en"",""fr"")"),"Warrington")</f>
        <v>Warrington</v>
      </c>
      <c r="E77" s="9" t="str">
        <f>IFERROR(__xludf.DUMMYFUNCTION("GOOGLETRANSLATE($A77,""en"",""es"")"),"Warrington")</f>
        <v>Warrington</v>
      </c>
      <c r="F77" s="9" t="str">
        <f>IFERROR(__xludf.DUMMYFUNCTION("GOOGLETRANSLATE($A77,""en"",""it"")"),"Warrington")</f>
        <v>Warrington</v>
      </c>
      <c r="G77" s="9" t="str">
        <f>IFERROR(__xludf.DUMMYFUNCTION("GOOGLETRANSLATE($A77,""en"",""zh-cn"")"),"沃灵顿")</f>
        <v>沃灵顿</v>
      </c>
      <c r="H77" s="9" t="str">
        <f>IFERROR(__xludf.DUMMYFUNCTION("GOOGLETRANSLATE($A77,""en"",""ja"")"),"ウォリントン")</f>
        <v>ウォリントン</v>
      </c>
      <c r="I77" s="9" t="str">
        <f>IFERROR(__xludf.DUMMYFUNCTION("GOOGLETRANSLATE($A77,""en"",""ko"")"),"워링턴")</f>
        <v>워링턴</v>
      </c>
      <c r="J77" s="9" t="str">
        <f>IFERROR(__xludf.DUMMYFUNCTION("GOOGLETRANSLATE($A77,""en"",""pt-BR"")"),"Warrington")</f>
        <v>Warrington</v>
      </c>
    </row>
    <row r="78">
      <c r="A78" s="9" t="str">
        <f>IFERROR(__xludf.DUMMYFUNCTION("""COMPUTED_VALUE"""),"Southend-on-Sea")</f>
        <v>Southend-on-Sea</v>
      </c>
      <c r="B78" s="9" t="str">
        <f>IFERROR(__xludf.DUMMYFUNCTION("""COMPUTED_VALUE"""),"gb-sos")</f>
        <v>gb-sos</v>
      </c>
      <c r="C78" s="9" t="str">
        <f>IFERROR(__xludf.DUMMYFUNCTION("GOOGLETRANSLATE($A78,""en"",""de"")"),"Southend-on-Sea")</f>
        <v>Southend-on-Sea</v>
      </c>
      <c r="D78" s="9" t="str">
        <f>IFERROR(__xludf.DUMMYFUNCTION("GOOGLETRANSLATE($A78,""en"",""fr"")"),"Southend-on-Sea")</f>
        <v>Southend-on-Sea</v>
      </c>
      <c r="E78" s="9" t="str">
        <f>IFERROR(__xludf.DUMMYFUNCTION("GOOGLETRANSLATE($A78,""en"",""es"")"),"Southend-on-Sea")</f>
        <v>Southend-on-Sea</v>
      </c>
      <c r="F78" s="9" t="str">
        <f>IFERROR(__xludf.DUMMYFUNCTION("GOOGLETRANSLATE($A78,""en"",""it"")"),"Southend-on-Sea")</f>
        <v>Southend-on-Sea</v>
      </c>
      <c r="G78" s="9" t="str">
        <f>IFERROR(__xludf.DUMMYFUNCTION("GOOGLETRANSLATE($A78,""en"",""zh-cn"")"),"滨海绍森德")</f>
        <v>滨海绍森德</v>
      </c>
      <c r="H78" s="9" t="str">
        <f>IFERROR(__xludf.DUMMYFUNCTION("GOOGLETRANSLATE($A78,""en"",""ja"")"),"サウスエンド・オン・シー")</f>
        <v>サウスエンド・オン・シー</v>
      </c>
      <c r="I78" s="9" t="str">
        <f>IFERROR(__xludf.DUMMYFUNCTION("GOOGLETRANSLATE($A78,""en"",""ko"")"),"사우스엔드온시")</f>
        <v>사우스엔드온시</v>
      </c>
      <c r="J78" s="9" t="str">
        <f>IFERROR(__xludf.DUMMYFUNCTION("GOOGLETRANSLATE($A78,""en"",""pt-BR"")"),"Southend-on-Sea")</f>
        <v>Southend-on-Sea</v>
      </c>
    </row>
    <row r="79">
      <c r="A79" s="9" t="str">
        <f>IFERROR(__xludf.DUMMYFUNCTION("""COMPUTED_VALUE"""),"Stockton-on-Tees")</f>
        <v>Stockton-on-Tees</v>
      </c>
      <c r="B79" s="9" t="str">
        <f>IFERROR(__xludf.DUMMYFUNCTION("""COMPUTED_VALUE"""),"gb-stt")</f>
        <v>gb-stt</v>
      </c>
      <c r="C79" s="9" t="str">
        <f>IFERROR(__xludf.DUMMYFUNCTION("GOOGLETRANSLATE($A79,""en"",""de"")"),"Stockton-on-Tees")</f>
        <v>Stockton-on-Tees</v>
      </c>
      <c r="D79" s="9" t="str">
        <f>IFERROR(__xludf.DUMMYFUNCTION("GOOGLETRANSLATE($A79,""en"",""fr"")"),"Stockton-on-Tees")</f>
        <v>Stockton-on-Tees</v>
      </c>
      <c r="E79" s="9" t="str">
        <f>IFERROR(__xludf.DUMMYFUNCTION("GOOGLETRANSLATE($A79,""en"",""es"")"),"Stockton-on-Tees")</f>
        <v>Stockton-on-Tees</v>
      </c>
      <c r="F79" s="9" t="str">
        <f>IFERROR(__xludf.DUMMYFUNCTION("GOOGLETRANSLATE($A79,""en"",""it"")"),"Stockton-on-Tees")</f>
        <v>Stockton-on-Tees</v>
      </c>
      <c r="G79" s="9" t="str">
        <f>IFERROR(__xludf.DUMMYFUNCTION("GOOGLETRANSLATE($A79,""en"",""zh-cn"")"),"蒂斯河畔斯托克顿")</f>
        <v>蒂斯河畔斯托克顿</v>
      </c>
      <c r="H79" s="9" t="str">
        <f>IFERROR(__xludf.DUMMYFUNCTION("GOOGLETRANSLATE($A79,""en"",""ja"")"),"ストックトンオンティーズ")</f>
        <v>ストックトンオンティーズ</v>
      </c>
      <c r="I79" s="9" t="str">
        <f>IFERROR(__xludf.DUMMYFUNCTION("GOOGLETRANSLATE($A79,""en"",""ko"")"),"스톡턴 온 티즈")</f>
        <v>스톡턴 온 티즈</v>
      </c>
      <c r="J79" s="9" t="str">
        <f>IFERROR(__xludf.DUMMYFUNCTION("GOOGLETRANSLATE($A79,""en"",""pt-BR"")"),"Stockton-on-Tees")</f>
        <v>Stockton-on-Tees</v>
      </c>
    </row>
    <row r="80">
      <c r="A80" s="9" t="str">
        <f>IFERROR(__xludf.DUMMYFUNCTION("""COMPUTED_VALUE"""),"Stoke-on-Trent")</f>
        <v>Stoke-on-Trent</v>
      </c>
      <c r="B80" s="9" t="str">
        <f>IFERROR(__xludf.DUMMYFUNCTION("""COMPUTED_VALUE"""),"gb-ste")</f>
        <v>gb-ste</v>
      </c>
      <c r="C80" s="9" t="str">
        <f>IFERROR(__xludf.DUMMYFUNCTION("GOOGLETRANSLATE($A80,""en"",""de"")"),"Stoke-on-Trent")</f>
        <v>Stoke-on-Trent</v>
      </c>
      <c r="D80" s="9" t="str">
        <f>IFERROR(__xludf.DUMMYFUNCTION("GOOGLETRANSLATE($A80,""en"",""fr"")"),"Stoke-on-Trent")</f>
        <v>Stoke-on-Trent</v>
      </c>
      <c r="E80" s="9" t="str">
        <f>IFERROR(__xludf.DUMMYFUNCTION("GOOGLETRANSLATE($A80,""en"",""es"")"),"Stoke-on-Trent")</f>
        <v>Stoke-on-Trent</v>
      </c>
      <c r="F80" s="9" t="str">
        <f>IFERROR(__xludf.DUMMYFUNCTION("GOOGLETRANSLATE($A80,""en"",""it"")"),"Stoke-on-Trent")</f>
        <v>Stoke-on-Trent</v>
      </c>
      <c r="G80" s="9" t="str">
        <f>IFERROR(__xludf.DUMMYFUNCTION("GOOGLETRANSLATE($A80,""en"",""zh-cn"")"),"特伦特河畔斯托克")</f>
        <v>特伦特河畔斯托克</v>
      </c>
      <c r="H80" s="9" t="str">
        <f>IFERROR(__xludf.DUMMYFUNCTION("GOOGLETRANSLATE($A80,""en"",""ja"")"),"ストークオントレント")</f>
        <v>ストークオントレント</v>
      </c>
      <c r="I80" s="9" t="str">
        <f>IFERROR(__xludf.DUMMYFUNCTION("GOOGLETRANSLATE($A80,""en"",""ko"")"),"스톡 온 트렌트")</f>
        <v>스톡 온 트렌트</v>
      </c>
      <c r="J80" s="9" t="str">
        <f>IFERROR(__xludf.DUMMYFUNCTION("GOOGLETRANSLATE($A80,""en"",""pt-BR"")"),"Stoke-on-Trent")</f>
        <v>Stoke-on-Trent</v>
      </c>
    </row>
    <row r="81">
      <c r="A81" s="9" t="str">
        <f>IFERROR(__xludf.DUMMYFUNCTION("""COMPUTED_VALUE"""),"Swindon")</f>
        <v>Swindon</v>
      </c>
      <c r="B81" s="9" t="str">
        <f>IFERROR(__xludf.DUMMYFUNCTION("""COMPUTED_VALUE"""),"gb-swd")</f>
        <v>gb-swd</v>
      </c>
      <c r="C81" s="9" t="str">
        <f>IFERROR(__xludf.DUMMYFUNCTION("GOOGLETRANSLATE($A81,""en"",""de"")"),"Swindon")</f>
        <v>Swindon</v>
      </c>
      <c r="D81" s="9" t="str">
        <f>IFERROR(__xludf.DUMMYFUNCTION("GOOGLETRANSLATE($A81,""en"",""fr"")"),"Swindon")</f>
        <v>Swindon</v>
      </c>
      <c r="E81" s="9" t="str">
        <f>IFERROR(__xludf.DUMMYFUNCTION("GOOGLETRANSLATE($A81,""en"",""es"")"),"Londres")</f>
        <v>Londres</v>
      </c>
      <c r="F81" s="9" t="str">
        <f>IFERROR(__xludf.DUMMYFUNCTION("GOOGLETRANSLATE($A81,""en"",""it"")"),"Swindon")</f>
        <v>Swindon</v>
      </c>
      <c r="G81" s="9" t="str">
        <f>IFERROR(__xludf.DUMMYFUNCTION("GOOGLETRANSLATE($A81,""en"",""zh-cn"")"),"斯温顿")</f>
        <v>斯温顿</v>
      </c>
      <c r="H81" s="9" t="str">
        <f>IFERROR(__xludf.DUMMYFUNCTION("GOOGLETRANSLATE($A81,""en"",""ja"")"),"スウィンドン")</f>
        <v>スウィンドン</v>
      </c>
      <c r="I81" s="9" t="str">
        <f>IFERROR(__xludf.DUMMYFUNCTION("GOOGLETRANSLATE($A81,""en"",""ko"")"),"스윈던")</f>
        <v>스윈던</v>
      </c>
      <c r="J81" s="9" t="str">
        <f>IFERROR(__xludf.DUMMYFUNCTION("GOOGLETRANSLATE($A81,""en"",""pt-BR"")"),"Swindon")</f>
        <v>Swindon</v>
      </c>
    </row>
    <row r="82">
      <c r="A82" s="9" t="str">
        <f>IFERROR(__xludf.DUMMYFUNCTION("""COMPUTED_VALUE"""),"Dungannon and South Tyrone")</f>
        <v>Dungannon and South Tyrone</v>
      </c>
      <c r="B82" s="9" t="str">
        <f>IFERROR(__xludf.DUMMYFUNCTION("""COMPUTED_VALUE"""),"gb-dgn")</f>
        <v>gb-dgn</v>
      </c>
      <c r="C82" s="9" t="str">
        <f>IFERROR(__xludf.DUMMYFUNCTION("GOOGLETRANSLATE($A82,""en"",""de"")"),"Dungannon und South Tyrone")</f>
        <v>Dungannon und South Tyrone</v>
      </c>
      <c r="D82" s="9" t="str">
        <f>IFERROR(__xludf.DUMMYFUNCTION("GOOGLETRANSLATE($A82,""en"",""fr"")"),"Dungannon et Tyrone du Sud")</f>
        <v>Dungannon et Tyrone du Sud</v>
      </c>
      <c r="E82" s="9" t="str">
        <f>IFERROR(__xludf.DUMMYFUNCTION("GOOGLETRANSLATE($A82,""en"",""es"")"),"Dungannon y Tirone del Sur")</f>
        <v>Dungannon y Tirone del Sur</v>
      </c>
      <c r="F82" s="9" t="str">
        <f>IFERROR(__xludf.DUMMYFUNCTION("GOOGLETRANSLATE($A82,""en"",""it"")"),"Dungannon e Sud Tyrone")</f>
        <v>Dungannon e Sud Tyrone</v>
      </c>
      <c r="G82" s="9" t="str">
        <f>IFERROR(__xludf.DUMMYFUNCTION("GOOGLETRANSLATE($A82,""en"",""zh-cn"")"),"邓甘农和南蒂龙")</f>
        <v>邓甘农和南蒂龙</v>
      </c>
      <c r="H82" s="9" t="str">
        <f>IFERROR(__xludf.DUMMYFUNCTION("GOOGLETRANSLATE($A82,""en"",""ja"")"),"ダンガノンと南ティロン")</f>
        <v>ダンガノンと南ティロン</v>
      </c>
      <c r="I82" s="9" t="str">
        <f>IFERROR(__xludf.DUMMYFUNCTION("GOOGLETRANSLATE($A82,""en"",""ko"")"),"던개넌과 사우스 타이론")</f>
        <v>던개넌과 사우스 타이론</v>
      </c>
      <c r="J82" s="9" t="str">
        <f>IFERROR(__xludf.DUMMYFUNCTION("GOOGLETRANSLATE($A82,""en"",""pt-BR"")"),"Dungannon e South Tyrone")</f>
        <v>Dungannon e South Tyrone</v>
      </c>
    </row>
    <row r="83">
      <c r="A83" s="9" t="str">
        <f>IFERROR(__xludf.DUMMYFUNCTION("""COMPUTED_VALUE"""),"Fermanagh")</f>
        <v>Fermanagh</v>
      </c>
      <c r="B83" s="9" t="str">
        <f>IFERROR(__xludf.DUMMYFUNCTION("""COMPUTED_VALUE"""),"gb-fer")</f>
        <v>gb-fer</v>
      </c>
      <c r="C83" s="9" t="str">
        <f>IFERROR(__xludf.DUMMYFUNCTION("GOOGLETRANSLATE($A83,""en"",""de"")"),"Fermanagh")</f>
        <v>Fermanagh</v>
      </c>
      <c r="D83" s="9" t="str">
        <f>IFERROR(__xludf.DUMMYFUNCTION("GOOGLETRANSLATE($A83,""en"",""fr"")"),"Fermanagh")</f>
        <v>Fermanagh</v>
      </c>
      <c r="E83" s="9" t="str">
        <f>IFERROR(__xludf.DUMMYFUNCTION("GOOGLETRANSLATE($A83,""en"",""es"")"),"Fermanagh")</f>
        <v>Fermanagh</v>
      </c>
      <c r="F83" s="9" t="str">
        <f>IFERROR(__xludf.DUMMYFUNCTION("GOOGLETRANSLATE($A83,""en"",""it"")"),"Fermanagh")</f>
        <v>Fermanagh</v>
      </c>
      <c r="G83" s="9" t="str">
        <f>IFERROR(__xludf.DUMMYFUNCTION("GOOGLETRANSLATE($A83,""en"",""zh-cn"")"),"弗马纳")</f>
        <v>弗马纳</v>
      </c>
      <c r="H83" s="9" t="str">
        <f>IFERROR(__xludf.DUMMYFUNCTION("GOOGLETRANSLATE($A83,""en"",""ja"")"),"ファーマナ")</f>
        <v>ファーマナ</v>
      </c>
      <c r="I83" s="9" t="str">
        <f>IFERROR(__xludf.DUMMYFUNCTION("GOOGLETRANSLATE($A83,""en"",""ko"")"),"페르마나")</f>
        <v>페르마나</v>
      </c>
      <c r="J83" s="9" t="str">
        <f>IFERROR(__xludf.DUMMYFUNCTION("GOOGLETRANSLATE($A83,""en"",""pt-BR"")"),"Fermanagh")</f>
        <v>Fermanagh</v>
      </c>
    </row>
    <row r="84">
      <c r="A84" s="9" t="str">
        <f>IFERROR(__xludf.DUMMYFUNCTION("""COMPUTED_VALUE"""),"Larne")</f>
        <v>Larne</v>
      </c>
      <c r="B84" s="9" t="str">
        <f>IFERROR(__xludf.DUMMYFUNCTION("""COMPUTED_VALUE"""),"gb-lrn")</f>
        <v>gb-lrn</v>
      </c>
      <c r="C84" s="9" t="str">
        <f>IFERROR(__xludf.DUMMYFUNCTION("GOOGLETRANSLATE($A84,""en"",""de"")"),"Larne")</f>
        <v>Larne</v>
      </c>
      <c r="D84" s="9" t="str">
        <f>IFERROR(__xludf.DUMMYFUNCTION("GOOGLETRANSLATE($A84,""en"",""fr"")"),"Larne")</f>
        <v>Larne</v>
      </c>
      <c r="E84" s="9" t="str">
        <f>IFERROR(__xludf.DUMMYFUNCTION("GOOGLETRANSLATE($A84,""en"",""es"")"),"Larne")</f>
        <v>Larne</v>
      </c>
      <c r="F84" s="9" t="str">
        <f>IFERROR(__xludf.DUMMYFUNCTION("GOOGLETRANSLATE($A84,""en"",""it"")"),"Larne")</f>
        <v>Larne</v>
      </c>
      <c r="G84" s="9" t="str">
        <f>IFERROR(__xludf.DUMMYFUNCTION("GOOGLETRANSLATE($A84,""en"",""zh-cn"")"),"拉恩")</f>
        <v>拉恩</v>
      </c>
      <c r="H84" s="9" t="str">
        <f>IFERROR(__xludf.DUMMYFUNCTION("GOOGLETRANSLATE($A84,""en"",""ja"")"),"ラーン")</f>
        <v>ラーン</v>
      </c>
      <c r="I84" s="9" t="str">
        <f>IFERROR(__xludf.DUMMYFUNCTION("GOOGLETRANSLATE($A84,""en"",""ko"")"),"란")</f>
        <v>란</v>
      </c>
      <c r="J84" s="9" t="str">
        <f>IFERROR(__xludf.DUMMYFUNCTION("GOOGLETRANSLATE($A84,""en"",""pt-BR"")"),"Larne")</f>
        <v>Larne</v>
      </c>
    </row>
    <row r="85">
      <c r="A85" s="9" t="str">
        <f>IFERROR(__xludf.DUMMYFUNCTION("""COMPUTED_VALUE"""),"Limavady")</f>
        <v>Limavady</v>
      </c>
      <c r="B85" s="9" t="str">
        <f>IFERROR(__xludf.DUMMYFUNCTION("""COMPUTED_VALUE"""),"gb-lmv")</f>
        <v>gb-lmv</v>
      </c>
      <c r="C85" s="9" t="str">
        <f>IFERROR(__xludf.DUMMYFUNCTION("GOOGLETRANSLATE($A85,""en"",""de"")"),"Limavady")</f>
        <v>Limavady</v>
      </c>
      <c r="D85" s="9" t="str">
        <f>IFERROR(__xludf.DUMMYFUNCTION("GOOGLETRANSLATE($A85,""en"",""fr"")"),"Limavady")</f>
        <v>Limavady</v>
      </c>
      <c r="E85" s="9" t="str">
        <f>IFERROR(__xludf.DUMMYFUNCTION("GOOGLETRANSLATE($A85,""en"",""es"")"),"Limavady")</f>
        <v>Limavady</v>
      </c>
      <c r="F85" s="9" t="str">
        <f>IFERROR(__xludf.DUMMYFUNCTION("GOOGLETRANSLATE($A85,""en"",""it"")"),"Limavady")</f>
        <v>Limavady</v>
      </c>
      <c r="G85" s="9" t="str">
        <f>IFERROR(__xludf.DUMMYFUNCTION("GOOGLETRANSLATE($A85,""en"",""zh-cn"")"),"利马瓦迪")</f>
        <v>利马瓦迪</v>
      </c>
      <c r="H85" s="9" t="str">
        <f>IFERROR(__xludf.DUMMYFUNCTION("GOOGLETRANSLATE($A85,""en"",""ja"")"),"リマバディ")</f>
        <v>リマバディ</v>
      </c>
      <c r="I85" s="9" t="str">
        <f>IFERROR(__xludf.DUMMYFUNCTION("GOOGLETRANSLATE($A85,""en"",""ko"")"),"리마바디")</f>
        <v>리마바디</v>
      </c>
      <c r="J85" s="9" t="str">
        <f>IFERROR(__xludf.DUMMYFUNCTION("GOOGLETRANSLATE($A85,""en"",""pt-BR"")"),"Limavady")</f>
        <v>Limavady</v>
      </c>
    </row>
    <row r="86">
      <c r="A86" s="9" t="str">
        <f>IFERROR(__xludf.DUMMYFUNCTION("""COMPUTED_VALUE"""),"Cookstown")</f>
        <v>Cookstown</v>
      </c>
      <c r="B86" s="9" t="str">
        <f>IFERROR(__xludf.DUMMYFUNCTION("""COMPUTED_VALUE"""),"gb-ckt")</f>
        <v>gb-ckt</v>
      </c>
      <c r="C86" s="9" t="str">
        <f>IFERROR(__xludf.DUMMYFUNCTION("GOOGLETRANSLATE($A86,""en"",""de"")"),"Cookstown")</f>
        <v>Cookstown</v>
      </c>
      <c r="D86" s="9" t="str">
        <f>IFERROR(__xludf.DUMMYFUNCTION("GOOGLETRANSLATE($A86,""en"",""fr"")"),"Cookstown")</f>
        <v>Cookstown</v>
      </c>
      <c r="E86" s="9" t="str">
        <f>IFERROR(__xludf.DUMMYFUNCTION("GOOGLETRANSLATE($A86,""en"",""es"")"),"Cookstown")</f>
        <v>Cookstown</v>
      </c>
      <c r="F86" s="9" t="str">
        <f>IFERROR(__xludf.DUMMYFUNCTION("GOOGLETRANSLATE($A86,""en"",""it"")"),"Cookstown")</f>
        <v>Cookstown</v>
      </c>
      <c r="G86" s="9" t="str">
        <f>IFERROR(__xludf.DUMMYFUNCTION("GOOGLETRANSLATE($A86,""en"",""zh-cn"")"),"库克斯敦")</f>
        <v>库克斯敦</v>
      </c>
      <c r="H86" s="9" t="str">
        <f>IFERROR(__xludf.DUMMYFUNCTION("GOOGLETRANSLATE($A86,""en"",""ja"")"),"クックスタウン")</f>
        <v>クックスタウン</v>
      </c>
      <c r="I86" s="9" t="str">
        <f>IFERROR(__xludf.DUMMYFUNCTION("GOOGLETRANSLATE($A86,""en"",""ko"")"),"쿡스타운")</f>
        <v>쿡스타운</v>
      </c>
      <c r="J86" s="9" t="str">
        <f>IFERROR(__xludf.DUMMYFUNCTION("GOOGLETRANSLATE($A86,""en"",""pt-BR"")"),"Cookstown")</f>
        <v>Cookstown</v>
      </c>
    </row>
    <row r="87">
      <c r="A87" s="9" t="str">
        <f>IFERROR(__xludf.DUMMYFUNCTION("""COMPUTED_VALUE"""),"Craigavon")</f>
        <v>Craigavon</v>
      </c>
      <c r="B87" s="9" t="str">
        <f>IFERROR(__xludf.DUMMYFUNCTION("""COMPUTED_VALUE"""),"gb-cgv")</f>
        <v>gb-cgv</v>
      </c>
      <c r="C87" s="9" t="str">
        <f>IFERROR(__xludf.DUMMYFUNCTION("GOOGLETRANSLATE($A87,""en"",""de"")"),"Craigavon")</f>
        <v>Craigavon</v>
      </c>
      <c r="D87" s="9" t="str">
        <f>IFERROR(__xludf.DUMMYFUNCTION("GOOGLETRANSLATE($A87,""en"",""fr"")"),"Craigavon")</f>
        <v>Craigavon</v>
      </c>
      <c r="E87" s="9" t="str">
        <f>IFERROR(__xludf.DUMMYFUNCTION("GOOGLETRANSLATE($A87,""en"",""es"")"),"Craigavon")</f>
        <v>Craigavon</v>
      </c>
      <c r="F87" s="9" t="str">
        <f>IFERROR(__xludf.DUMMYFUNCTION("GOOGLETRANSLATE($A87,""en"",""it"")"),"Craigavon")</f>
        <v>Craigavon</v>
      </c>
      <c r="G87" s="9" t="str">
        <f>IFERROR(__xludf.DUMMYFUNCTION("GOOGLETRANSLATE($A87,""en"",""zh-cn"")"),"克雷加文")</f>
        <v>克雷加文</v>
      </c>
      <c r="H87" s="9" t="str">
        <f>IFERROR(__xludf.DUMMYFUNCTION("GOOGLETRANSLATE($A87,""en"",""ja"")"),"クレイガボン")</f>
        <v>クレイガボン</v>
      </c>
      <c r="I87" s="9" t="str">
        <f>IFERROR(__xludf.DUMMYFUNCTION("GOOGLETRANSLATE($A87,""en"",""ko"")"),"크레이개번")</f>
        <v>크레이개번</v>
      </c>
      <c r="J87" s="9" t="str">
        <f>IFERROR(__xludf.DUMMYFUNCTION("GOOGLETRANSLATE($A87,""en"",""pt-BR"")"),"Craigavon")</f>
        <v>Craigavon</v>
      </c>
    </row>
    <row r="88">
      <c r="A88" s="9" t="str">
        <f>IFERROR(__xludf.DUMMYFUNCTION("""COMPUTED_VALUE"""),"Derry")</f>
        <v>Derry</v>
      </c>
      <c r="B88" s="9" t="str">
        <f>IFERROR(__xludf.DUMMYFUNCTION("""COMPUTED_VALUE"""),"gb-dry")</f>
        <v>gb-dry</v>
      </c>
      <c r="C88" s="9" t="str">
        <f>IFERROR(__xludf.DUMMYFUNCTION("GOOGLETRANSLATE($A88,""en"",""de"")"),"Derry")</f>
        <v>Derry</v>
      </c>
      <c r="D88" s="9" t="str">
        <f>IFERROR(__xludf.DUMMYFUNCTION("GOOGLETRANSLATE($A88,""en"",""fr"")"),"Derry")</f>
        <v>Derry</v>
      </c>
      <c r="E88" s="9" t="str">
        <f>IFERROR(__xludf.DUMMYFUNCTION("GOOGLETRANSLATE($A88,""en"",""es"")"),"Derry")</f>
        <v>Derry</v>
      </c>
      <c r="F88" s="9" t="str">
        <f>IFERROR(__xludf.DUMMYFUNCTION("GOOGLETRANSLATE($A88,""en"",""it"")"),"Derry")</f>
        <v>Derry</v>
      </c>
      <c r="G88" s="9" t="str">
        <f>IFERROR(__xludf.DUMMYFUNCTION("GOOGLETRANSLATE($A88,""en"",""zh-cn"")"),"德里")</f>
        <v>德里</v>
      </c>
      <c r="H88" s="9" t="str">
        <f>IFERROR(__xludf.DUMMYFUNCTION("GOOGLETRANSLATE($A88,""en"",""ja"")"),"デリー")</f>
        <v>デリー</v>
      </c>
      <c r="I88" s="9" t="str">
        <f>IFERROR(__xludf.DUMMYFUNCTION("GOOGLETRANSLATE($A88,""en"",""ko"")"),"데리")</f>
        <v>데리</v>
      </c>
      <c r="J88" s="9" t="str">
        <f>IFERROR(__xludf.DUMMYFUNCTION("GOOGLETRANSLATE($A88,""en"",""pt-BR"")"),"Derry")</f>
        <v>Derry</v>
      </c>
    </row>
    <row r="89">
      <c r="A89" s="9" t="str">
        <f>IFERROR(__xludf.DUMMYFUNCTION("""COMPUTED_VALUE"""),"Down")</f>
        <v>Down</v>
      </c>
      <c r="B89" s="9" t="str">
        <f>IFERROR(__xludf.DUMMYFUNCTION("""COMPUTED_VALUE"""),"gb-dow")</f>
        <v>gb-dow</v>
      </c>
      <c r="C89" s="9" t="str">
        <f>IFERROR(__xludf.DUMMYFUNCTION("GOOGLETRANSLATE($A89,""en"",""de"")"),"Runter")</f>
        <v>Runter</v>
      </c>
      <c r="D89" s="9" t="str">
        <f>IFERROR(__xludf.DUMMYFUNCTION("GOOGLETRANSLATE($A89,""en"",""fr"")"),"Vers le bas")</f>
        <v>Vers le bas</v>
      </c>
      <c r="E89" s="9" t="str">
        <f>IFERROR(__xludf.DUMMYFUNCTION("GOOGLETRANSLATE($A89,""en"",""es"")"),"Abajo")</f>
        <v>Abajo</v>
      </c>
      <c r="F89" s="9" t="str">
        <f>IFERROR(__xludf.DUMMYFUNCTION("GOOGLETRANSLATE($A89,""en"",""it"")"),"Giù")</f>
        <v>Giù</v>
      </c>
      <c r="G89" s="9" t="str">
        <f>IFERROR(__xludf.DUMMYFUNCTION("GOOGLETRANSLATE($A89,""en"",""zh-cn"")"),"向下")</f>
        <v>向下</v>
      </c>
      <c r="H89" s="9" t="str">
        <f>IFERROR(__xludf.DUMMYFUNCTION("GOOGLETRANSLATE($A89,""en"",""ja"")"),"下")</f>
        <v>下</v>
      </c>
      <c r="I89" s="9" t="str">
        <f>IFERROR(__xludf.DUMMYFUNCTION("GOOGLETRANSLATE($A89,""en"",""ko"")"),"아래에")</f>
        <v>아래에</v>
      </c>
      <c r="J89" s="9" t="str">
        <f>IFERROR(__xludf.DUMMYFUNCTION("GOOGLETRANSLATE($A89,""en"",""pt-BR"")"),"Abaixo")</f>
        <v>Abaixo</v>
      </c>
    </row>
    <row r="90">
      <c r="A90" s="9" t="str">
        <f>IFERROR(__xludf.DUMMYFUNCTION("""COMPUTED_VALUE"""),"Belfast")</f>
        <v>Belfast</v>
      </c>
      <c r="B90" s="9" t="str">
        <f>IFERROR(__xludf.DUMMYFUNCTION("""COMPUTED_VALUE"""),"gb-bfs")</f>
        <v>gb-bfs</v>
      </c>
      <c r="C90" s="9" t="str">
        <f>IFERROR(__xludf.DUMMYFUNCTION("GOOGLETRANSLATE($A90,""en"",""de"")"),"Belfast")</f>
        <v>Belfast</v>
      </c>
      <c r="D90" s="9" t="str">
        <f>IFERROR(__xludf.DUMMYFUNCTION("GOOGLETRANSLATE($A90,""en"",""fr"")"),"Belfast")</f>
        <v>Belfast</v>
      </c>
      <c r="E90" s="9" t="str">
        <f>IFERROR(__xludf.DUMMYFUNCTION("GOOGLETRANSLATE($A90,""en"",""es"")"),"belfast")</f>
        <v>belfast</v>
      </c>
      <c r="F90" s="9" t="str">
        <f>IFERROR(__xludf.DUMMYFUNCTION("GOOGLETRANSLATE($A90,""en"",""it"")"),"Belfast")</f>
        <v>Belfast</v>
      </c>
      <c r="G90" s="9" t="str">
        <f>IFERROR(__xludf.DUMMYFUNCTION("GOOGLETRANSLATE($A90,""en"",""zh-cn"")"),"贝尔法斯特")</f>
        <v>贝尔法斯特</v>
      </c>
      <c r="H90" s="9" t="str">
        <f>IFERROR(__xludf.DUMMYFUNCTION("GOOGLETRANSLATE($A90,""en"",""ja"")"),"ベルファスト")</f>
        <v>ベルファスト</v>
      </c>
      <c r="I90" s="9" t="str">
        <f>IFERROR(__xludf.DUMMYFUNCTION("GOOGLETRANSLATE($A90,""en"",""ko"")"),"벨파스트")</f>
        <v>벨파스트</v>
      </c>
      <c r="J90" s="9" t="str">
        <f>IFERROR(__xludf.DUMMYFUNCTION("GOOGLETRANSLATE($A90,""en"",""pt-BR"")"),"Belfast")</f>
        <v>Belfast</v>
      </c>
    </row>
    <row r="91">
      <c r="A91" s="9" t="str">
        <f>IFERROR(__xludf.DUMMYFUNCTION("""COMPUTED_VALUE"""),"Carrickfergus")</f>
        <v>Carrickfergus</v>
      </c>
      <c r="B91" s="9" t="str">
        <f>IFERROR(__xludf.DUMMYFUNCTION("""COMPUTED_VALUE"""),"gb-ckf")</f>
        <v>gb-ckf</v>
      </c>
      <c r="C91" s="9" t="str">
        <f>IFERROR(__xludf.DUMMYFUNCTION("GOOGLETRANSLATE($A91,""en"",""de"")"),"Carrickfergus")</f>
        <v>Carrickfergus</v>
      </c>
      <c r="D91" s="9" t="str">
        <f>IFERROR(__xludf.DUMMYFUNCTION("GOOGLETRANSLATE($A91,""en"",""fr"")"),"Carrickfergus")</f>
        <v>Carrickfergus</v>
      </c>
      <c r="E91" s="9" t="str">
        <f>IFERROR(__xludf.DUMMYFUNCTION("GOOGLETRANSLATE($A91,""en"",""es"")"),"carrickfergus")</f>
        <v>carrickfergus</v>
      </c>
      <c r="F91" s="9" t="str">
        <f>IFERROR(__xludf.DUMMYFUNCTION("GOOGLETRANSLATE($A91,""en"",""it"")"),"Carrickfergus")</f>
        <v>Carrickfergus</v>
      </c>
      <c r="G91" s="9" t="str">
        <f>IFERROR(__xludf.DUMMYFUNCTION("GOOGLETRANSLATE($A91,""en"",""zh-cn"")"),"卡里克弗格斯")</f>
        <v>卡里克弗格斯</v>
      </c>
      <c r="H91" s="9" t="str">
        <f>IFERROR(__xludf.DUMMYFUNCTION("GOOGLETRANSLATE($A91,""en"",""ja"")"),"キャリクファーガス")</f>
        <v>キャリクファーガス</v>
      </c>
      <c r="I91" s="9" t="str">
        <f>IFERROR(__xludf.DUMMYFUNCTION("GOOGLETRANSLATE($A91,""en"",""ko"")"),"캐릭퍼거스")</f>
        <v>캐릭퍼거스</v>
      </c>
      <c r="J91" s="9" t="str">
        <f>IFERROR(__xludf.DUMMYFUNCTION("GOOGLETRANSLATE($A91,""en"",""pt-BR"")"),"Carrickfergus")</f>
        <v>Carrickfergus</v>
      </c>
    </row>
    <row r="92">
      <c r="A92" s="9" t="str">
        <f>IFERROR(__xludf.DUMMYFUNCTION("""COMPUTED_VALUE"""),"Castlereagh")</f>
        <v>Castlereagh</v>
      </c>
      <c r="B92" s="9" t="str">
        <f>IFERROR(__xludf.DUMMYFUNCTION("""COMPUTED_VALUE"""),"gb-csr")</f>
        <v>gb-csr</v>
      </c>
      <c r="C92" s="9" t="str">
        <f>IFERROR(__xludf.DUMMYFUNCTION("GOOGLETRANSLATE($A92,""en"",""de"")"),"Castlereagh")</f>
        <v>Castlereagh</v>
      </c>
      <c r="D92" s="9" t="str">
        <f>IFERROR(__xludf.DUMMYFUNCTION("GOOGLETRANSLATE($A92,""en"",""fr"")"),"Châteaureagh")</f>
        <v>Châteaureagh</v>
      </c>
      <c r="E92" s="9" t="str">
        <f>IFERROR(__xludf.DUMMYFUNCTION("GOOGLETRANSLATE($A92,""en"",""es"")"),"castilloreagh")</f>
        <v>castilloreagh</v>
      </c>
      <c r="F92" s="9" t="str">
        <f>IFERROR(__xludf.DUMMYFUNCTION("GOOGLETRANSLATE($A92,""en"",""it"")"),"Castlereagh")</f>
        <v>Castlereagh</v>
      </c>
      <c r="G92" s="9" t="str">
        <f>IFERROR(__xludf.DUMMYFUNCTION("GOOGLETRANSLATE($A92,""en"",""zh-cn"")"),"卡斯尔雷")</f>
        <v>卡斯尔雷</v>
      </c>
      <c r="H92" s="9" t="str">
        <f>IFERROR(__xludf.DUMMYFUNCTION("GOOGLETRANSLATE($A92,""en"",""ja"")"),"キャッスルリー")</f>
        <v>キャッスルリー</v>
      </c>
      <c r="I92" s="9" t="str">
        <f>IFERROR(__xludf.DUMMYFUNCTION("GOOGLETRANSLATE($A92,""en"",""ko"")"),"캐슬레이")</f>
        <v>캐슬레이</v>
      </c>
      <c r="J92" s="9" t="str">
        <f>IFERROR(__xludf.DUMMYFUNCTION("GOOGLETRANSLATE($A92,""en"",""pt-BR"")"),"Casteloreagh")</f>
        <v>Casteloreagh</v>
      </c>
    </row>
    <row r="93">
      <c r="A93" s="9" t="str">
        <f>IFERROR(__xludf.DUMMYFUNCTION("""COMPUTED_VALUE"""),"Coleraine")</f>
        <v>Coleraine</v>
      </c>
      <c r="B93" s="9" t="str">
        <f>IFERROR(__xludf.DUMMYFUNCTION("""COMPUTED_VALUE"""),"gb-clr")</f>
        <v>gb-clr</v>
      </c>
      <c r="C93" s="9" t="str">
        <f>IFERROR(__xludf.DUMMYFUNCTION("GOOGLETRANSLATE($A93,""en"",""de"")"),"Coleraine")</f>
        <v>Coleraine</v>
      </c>
      <c r="D93" s="9" t="str">
        <f>IFERROR(__xludf.DUMMYFUNCTION("GOOGLETRANSLATE($A93,""en"",""fr"")"),"Coleraine")</f>
        <v>Coleraine</v>
      </c>
      <c r="E93" s="9" t="str">
        <f>IFERROR(__xludf.DUMMYFUNCTION("GOOGLETRANSLATE($A93,""en"",""es"")"),"Coleraine")</f>
        <v>Coleraine</v>
      </c>
      <c r="F93" s="9" t="str">
        <f>IFERROR(__xludf.DUMMYFUNCTION("GOOGLETRANSLATE($A93,""en"",""it"")"),"Coleraine")</f>
        <v>Coleraine</v>
      </c>
      <c r="G93" s="9" t="str">
        <f>IFERROR(__xludf.DUMMYFUNCTION("GOOGLETRANSLATE($A93,""en"",""zh-cn"")"),"科尔雷恩")</f>
        <v>科尔雷恩</v>
      </c>
      <c r="H93" s="9" t="str">
        <f>IFERROR(__xludf.DUMMYFUNCTION("GOOGLETRANSLATE($A93,""en"",""ja"")"),"コールレーン")</f>
        <v>コールレーン</v>
      </c>
      <c r="I93" s="9" t="str">
        <f>IFERROR(__xludf.DUMMYFUNCTION("GOOGLETRANSLATE($A93,""en"",""ko"")"),"콜레인")</f>
        <v>콜레인</v>
      </c>
      <c r="J93" s="9" t="str">
        <f>IFERROR(__xludf.DUMMYFUNCTION("GOOGLETRANSLATE($A93,""en"",""pt-BR"")"),"Coleraine")</f>
        <v>Coleraine</v>
      </c>
    </row>
    <row r="94">
      <c r="A94" s="9" t="str">
        <f>IFERROR(__xludf.DUMMYFUNCTION("""COMPUTED_VALUE"""),"Armagh")</f>
        <v>Armagh</v>
      </c>
      <c r="B94" s="9" t="str">
        <f>IFERROR(__xludf.DUMMYFUNCTION("""COMPUTED_VALUE"""),"gb-arm")</f>
        <v>gb-arm</v>
      </c>
      <c r="C94" s="9" t="str">
        <f>IFERROR(__xludf.DUMMYFUNCTION("GOOGLETRANSLATE($A94,""en"",""de"")"),"Armagh")</f>
        <v>Armagh</v>
      </c>
      <c r="D94" s="9" t="str">
        <f>IFERROR(__xludf.DUMMYFUNCTION("GOOGLETRANSLATE($A94,""en"",""fr"")"),"Armagh")</f>
        <v>Armagh</v>
      </c>
      <c r="E94" s="9" t="str">
        <f>IFERROR(__xludf.DUMMYFUNCTION("GOOGLETRANSLATE($A94,""en"",""es"")"),"Armagh")</f>
        <v>Armagh</v>
      </c>
      <c r="F94" s="9" t="str">
        <f>IFERROR(__xludf.DUMMYFUNCTION("GOOGLETRANSLATE($A94,""en"",""it"")"),"Armagh")</f>
        <v>Armagh</v>
      </c>
      <c r="G94" s="9" t="str">
        <f>IFERROR(__xludf.DUMMYFUNCTION("GOOGLETRANSLATE($A94,""en"",""zh-cn"")"),"阿尔马")</f>
        <v>阿尔马</v>
      </c>
      <c r="H94" s="9" t="str">
        <f>IFERROR(__xludf.DUMMYFUNCTION("GOOGLETRANSLATE($A94,""en"",""ja"")"),"アーマー")</f>
        <v>アーマー</v>
      </c>
      <c r="I94" s="9" t="str">
        <f>IFERROR(__xludf.DUMMYFUNCTION("GOOGLETRANSLATE($A94,""en"",""ko"")"),"아마")</f>
        <v>아마</v>
      </c>
      <c r="J94" s="9" t="str">
        <f>IFERROR(__xludf.DUMMYFUNCTION("GOOGLETRANSLATE($A94,""en"",""pt-BR"")"),"Armagh")</f>
        <v>Armagh</v>
      </c>
    </row>
    <row r="95">
      <c r="A95" s="9" t="str">
        <f>IFERROR(__xludf.DUMMYFUNCTION("""COMPUTED_VALUE"""),"Ballymena")</f>
        <v>Ballymena</v>
      </c>
      <c r="B95" s="9" t="str">
        <f>IFERROR(__xludf.DUMMYFUNCTION("""COMPUTED_VALUE"""),"gb-bla")</f>
        <v>gb-bla</v>
      </c>
      <c r="C95" s="9" t="str">
        <f>IFERROR(__xludf.DUMMYFUNCTION("GOOGLETRANSLATE($A95,""en"",""de"")"),"Ballymena")</f>
        <v>Ballymena</v>
      </c>
      <c r="D95" s="9" t="str">
        <f>IFERROR(__xludf.DUMMYFUNCTION("GOOGLETRANSLATE($A95,""en"",""fr"")"),"Ballyména")</f>
        <v>Ballyména</v>
      </c>
      <c r="E95" s="9" t="str">
        <f>IFERROR(__xludf.DUMMYFUNCTION("GOOGLETRANSLATE($A95,""en"",""es"")"),"Ballymena")</f>
        <v>Ballymena</v>
      </c>
      <c r="F95" s="9" t="str">
        <f>IFERROR(__xludf.DUMMYFUNCTION("GOOGLETRANSLATE($A95,""en"",""it"")"),"Ballymena")</f>
        <v>Ballymena</v>
      </c>
      <c r="G95" s="9" t="str">
        <f>IFERROR(__xludf.DUMMYFUNCTION("GOOGLETRANSLATE($A95,""en"",""zh-cn"")"),"巴利米纳")</f>
        <v>巴利米纳</v>
      </c>
      <c r="H95" s="9" t="str">
        <f>IFERROR(__xludf.DUMMYFUNCTION("GOOGLETRANSLATE($A95,""en"",""ja"")"),"バリミーナ")</f>
        <v>バリミーナ</v>
      </c>
      <c r="I95" s="9" t="str">
        <f>IFERROR(__xludf.DUMMYFUNCTION("GOOGLETRANSLATE($A95,""en"",""ko"")"),"밸리미나")</f>
        <v>밸리미나</v>
      </c>
      <c r="J95" s="9" t="str">
        <f>IFERROR(__xludf.DUMMYFUNCTION("GOOGLETRANSLATE($A95,""en"",""pt-BR"")"),"Ballymena")</f>
        <v>Ballymena</v>
      </c>
    </row>
    <row r="96">
      <c r="A96" s="9" t="str">
        <f>IFERROR(__xludf.DUMMYFUNCTION("""COMPUTED_VALUE"""),"Ballymoney")</f>
        <v>Ballymoney</v>
      </c>
      <c r="B96" s="9" t="str">
        <f>IFERROR(__xludf.DUMMYFUNCTION("""COMPUTED_VALUE"""),"gb-bly")</f>
        <v>gb-bly</v>
      </c>
      <c r="C96" s="9" t="str">
        <f>IFERROR(__xludf.DUMMYFUNCTION("GOOGLETRANSLATE($A96,""en"",""de"")"),"Ballymoney")</f>
        <v>Ballymoney</v>
      </c>
      <c r="D96" s="9" t="str">
        <f>IFERROR(__xludf.DUMMYFUNCTION("GOOGLETRANSLATE($A96,""en"",""fr"")"),"BallyMoney")</f>
        <v>BallyMoney</v>
      </c>
      <c r="E96" s="9" t="str">
        <f>IFERROR(__xludf.DUMMYFUNCTION("GOOGLETRANSLATE($A96,""en"",""es"")"),"Ballymoney")</f>
        <v>Ballymoney</v>
      </c>
      <c r="F96" s="9" t="str">
        <f>IFERROR(__xludf.DUMMYFUNCTION("GOOGLETRANSLATE($A96,""en"",""it"")"),"Ballymoney")</f>
        <v>Ballymoney</v>
      </c>
      <c r="G96" s="9" t="str">
        <f>IFERROR(__xludf.DUMMYFUNCTION("GOOGLETRANSLATE($A96,""en"",""zh-cn"")"),"巴利马尼")</f>
        <v>巴利马尼</v>
      </c>
      <c r="H96" s="9" t="str">
        <f>IFERROR(__xludf.DUMMYFUNCTION("GOOGLETRANSLATE($A96,""en"",""ja"")"),"バリマネー")</f>
        <v>バリマネー</v>
      </c>
      <c r="I96" s="9" t="str">
        <f>IFERROR(__xludf.DUMMYFUNCTION("GOOGLETRANSLATE($A96,""en"",""ko"")"),"발리머니")</f>
        <v>발리머니</v>
      </c>
      <c r="J96" s="9" t="str">
        <f>IFERROR(__xludf.DUMMYFUNCTION("GOOGLETRANSLATE($A96,""en"",""pt-BR"")"),"Ballymoney")</f>
        <v>Ballymoney</v>
      </c>
    </row>
    <row r="97">
      <c r="A97" s="9" t="str">
        <f>IFERROR(__xludf.DUMMYFUNCTION("""COMPUTED_VALUE"""),"Banbridge")</f>
        <v>Banbridge</v>
      </c>
      <c r="B97" s="9" t="str">
        <f>IFERROR(__xludf.DUMMYFUNCTION("""COMPUTED_VALUE"""),"gb-bnb")</f>
        <v>gb-bnb</v>
      </c>
      <c r="C97" s="9" t="str">
        <f>IFERROR(__xludf.DUMMYFUNCTION("GOOGLETRANSLATE($A97,""en"",""de"")"),"Banbridge")</f>
        <v>Banbridge</v>
      </c>
      <c r="D97" s="9" t="str">
        <f>IFERROR(__xludf.DUMMYFUNCTION("GOOGLETRANSLATE($A97,""en"",""fr"")"),"Banbridge")</f>
        <v>Banbridge</v>
      </c>
      <c r="E97" s="9" t="str">
        <f>IFERROR(__xludf.DUMMYFUNCTION("GOOGLETRANSLATE($A97,""en"",""es"")"),"Banbridge")</f>
        <v>Banbridge</v>
      </c>
      <c r="F97" s="9" t="str">
        <f>IFERROR(__xludf.DUMMYFUNCTION("GOOGLETRANSLATE($A97,""en"",""it"")"),"Banbridge")</f>
        <v>Banbridge</v>
      </c>
      <c r="G97" s="9" t="str">
        <f>IFERROR(__xludf.DUMMYFUNCTION("GOOGLETRANSLATE($A97,""en"",""zh-cn"")"),"班布里奇")</f>
        <v>班布里奇</v>
      </c>
      <c r="H97" s="9" t="str">
        <f>IFERROR(__xludf.DUMMYFUNCTION("GOOGLETRANSLATE($A97,""en"",""ja"")"),"バンブリッジ")</f>
        <v>バンブリッジ</v>
      </c>
      <c r="I97" s="9" t="str">
        <f>IFERROR(__xludf.DUMMYFUNCTION("GOOGLETRANSLATE($A97,""en"",""ko"")"),"밴브리지")</f>
        <v>밴브리지</v>
      </c>
      <c r="J97" s="9" t="str">
        <f>IFERROR(__xludf.DUMMYFUNCTION("GOOGLETRANSLATE($A97,""en"",""pt-BR"")"),"Banbridge")</f>
        <v>Banbridge</v>
      </c>
    </row>
    <row r="98">
      <c r="A98" s="9" t="str">
        <f>IFERROR(__xludf.DUMMYFUNCTION("""COMPUTED_VALUE"""),"Aberdeen City")</f>
        <v>Aberdeen City</v>
      </c>
      <c r="B98" s="9" t="str">
        <f>IFERROR(__xludf.DUMMYFUNCTION("""COMPUTED_VALUE"""),"gb-abe")</f>
        <v>gb-abe</v>
      </c>
      <c r="C98" s="9" t="str">
        <f>IFERROR(__xludf.DUMMYFUNCTION("GOOGLETRANSLATE($A98,""en"",""de"")"),"Aberdeen-Stadt")</f>
        <v>Aberdeen-Stadt</v>
      </c>
      <c r="D98" s="9" t="str">
        <f>IFERROR(__xludf.DUMMYFUNCTION("GOOGLETRANSLATE($A98,""en"",""fr"")"),"Ville d'Aberdeen")</f>
        <v>Ville d'Aberdeen</v>
      </c>
      <c r="E98" s="9" t="str">
        <f>IFERROR(__xludf.DUMMYFUNCTION("GOOGLETRANSLATE($A98,""en"",""es"")"),"ciudad de aberdeen")</f>
        <v>ciudad de aberdeen</v>
      </c>
      <c r="F98" s="9" t="str">
        <f>IFERROR(__xludf.DUMMYFUNCTION("GOOGLETRANSLATE($A98,""en"",""it"")"),"Città di Aberdeen")</f>
        <v>Città di Aberdeen</v>
      </c>
      <c r="G98" s="9" t="str">
        <f>IFERROR(__xludf.DUMMYFUNCTION("GOOGLETRANSLATE($A98,""en"",""zh-cn"")"),"阿伯丁市")</f>
        <v>阿伯丁市</v>
      </c>
      <c r="H98" s="9" t="str">
        <f>IFERROR(__xludf.DUMMYFUNCTION("GOOGLETRANSLATE($A98,""en"",""ja"")"),"アバディーン市")</f>
        <v>アバディーン市</v>
      </c>
      <c r="I98" s="9" t="str">
        <f>IFERROR(__xludf.DUMMYFUNCTION("GOOGLETRANSLATE($A98,""en"",""ko"")"),"애버딘 시티")</f>
        <v>애버딘 시티</v>
      </c>
      <c r="J98" s="9" t="str">
        <f>IFERROR(__xludf.DUMMYFUNCTION("GOOGLETRANSLATE($A98,""en"",""pt-BR"")"),"Cidade de Aberdeen")</f>
        <v>Cidade de Aberdeen</v>
      </c>
    </row>
    <row r="99">
      <c r="A99" s="9" t="str">
        <f>IFERROR(__xludf.DUMMYFUNCTION("""COMPUTED_VALUE"""),"Newtownabbey")</f>
        <v>Newtownabbey</v>
      </c>
      <c r="B99" s="9" t="str">
        <f>IFERROR(__xludf.DUMMYFUNCTION("""COMPUTED_VALUE"""),"gb-nta")</f>
        <v>gb-nta</v>
      </c>
      <c r="C99" s="9" t="str">
        <f>IFERROR(__xludf.DUMMYFUNCTION("GOOGLETRANSLATE($A99,""en"",""de"")"),"Newtownabbey")</f>
        <v>Newtownabbey</v>
      </c>
      <c r="D99" s="9" t="str">
        <f>IFERROR(__xludf.DUMMYFUNCTION("GOOGLETRANSLATE($A99,""en"",""fr"")"),"Abbaye de Newtown")</f>
        <v>Abbaye de Newtown</v>
      </c>
      <c r="E99" s="9" t="str">
        <f>IFERROR(__xludf.DUMMYFUNCTION("GOOGLETRANSLATE($A99,""en"",""es"")"),"Newtownabbey")</f>
        <v>Newtownabbey</v>
      </c>
      <c r="F99" s="9" t="str">
        <f>IFERROR(__xludf.DUMMYFUNCTION("GOOGLETRANSLATE($A99,""en"",""it"")"),"Abbazia di Newtown")</f>
        <v>Abbazia di Newtown</v>
      </c>
      <c r="G99" s="9" t="str">
        <f>IFERROR(__xludf.DUMMYFUNCTION("GOOGLETRANSLATE($A99,""en"",""zh-cn"")"),"纽敦修道院")</f>
        <v>纽敦修道院</v>
      </c>
      <c r="H99" s="9" t="str">
        <f>IFERROR(__xludf.DUMMYFUNCTION("GOOGLETRANSLATE($A99,""en"",""ja"")"),"ニュータウン修道院")</f>
        <v>ニュータウン修道院</v>
      </c>
      <c r="I99" s="9" t="str">
        <f>IFERROR(__xludf.DUMMYFUNCTION("GOOGLETRANSLATE($A99,""en"",""ko"")"),"뉴타운애비")</f>
        <v>뉴타운애비</v>
      </c>
      <c r="J99" s="9" t="str">
        <f>IFERROR(__xludf.DUMMYFUNCTION("GOOGLETRANSLATE($A99,""en"",""pt-BR"")"),"Abadia de Newtown")</f>
        <v>Abadia de Newtown</v>
      </c>
    </row>
    <row r="100">
      <c r="A100" s="9" t="str">
        <f>IFERROR(__xludf.DUMMYFUNCTION("""COMPUTED_VALUE"""),"North Down")</f>
        <v>North Down</v>
      </c>
      <c r="B100" s="9" t="str">
        <f>IFERROR(__xludf.DUMMYFUNCTION("""COMPUTED_VALUE"""),"gb-ndn")</f>
        <v>gb-ndn</v>
      </c>
      <c r="C100" s="9" t="str">
        <f>IFERROR(__xludf.DUMMYFUNCTION("GOOGLETRANSLATE($A100,""en"",""de"")"),"Norden unten")</f>
        <v>Norden unten</v>
      </c>
      <c r="D100" s="9" t="str">
        <f>IFERROR(__xludf.DUMMYFUNCTION("GOOGLETRANSLATE($A100,""en"",""fr"")"),"Nord vers le bas")</f>
        <v>Nord vers le bas</v>
      </c>
      <c r="E100" s="9" t="str">
        <f>IFERROR(__xludf.DUMMYFUNCTION("GOOGLETRANSLATE($A100,""en"",""es"")"),"Norte abajo")</f>
        <v>Norte abajo</v>
      </c>
      <c r="F100" s="9" t="str">
        <f>IFERROR(__xludf.DUMMYFUNCTION("GOOGLETRANSLATE($A100,""en"",""it"")"),"Nord giù")</f>
        <v>Nord giù</v>
      </c>
      <c r="G100" s="9" t="str">
        <f>IFERROR(__xludf.DUMMYFUNCTION("GOOGLETRANSLATE($A100,""en"",""zh-cn"")"),"北下")</f>
        <v>北下</v>
      </c>
      <c r="H100" s="9" t="str">
        <f>IFERROR(__xludf.DUMMYFUNCTION("GOOGLETRANSLATE($A100,""en"",""ja"")"),"ノースダウン")</f>
        <v>ノースダウン</v>
      </c>
      <c r="I100" s="9" t="str">
        <f>IFERROR(__xludf.DUMMYFUNCTION("GOOGLETRANSLATE($A100,""en"",""ko"")"),"노스 다운")</f>
        <v>노스 다운</v>
      </c>
      <c r="J100" s="9" t="str">
        <f>IFERROR(__xludf.DUMMYFUNCTION("GOOGLETRANSLATE($A100,""en"",""pt-BR"")"),"Norte para baixo")</f>
        <v>Norte para baixo</v>
      </c>
    </row>
    <row r="101">
      <c r="A101" s="9" t="str">
        <f>IFERROR(__xludf.DUMMYFUNCTION("""COMPUTED_VALUE"""),"Omagh")</f>
        <v>Omagh</v>
      </c>
      <c r="B101" s="9" t="str">
        <f>IFERROR(__xludf.DUMMYFUNCTION("""COMPUTED_VALUE"""),"gb-omh")</f>
        <v>gb-omh</v>
      </c>
      <c r="C101" s="9" t="str">
        <f>IFERROR(__xludf.DUMMYFUNCTION("GOOGLETRANSLATE($A101,""en"",""de"")"),"Omagh")</f>
        <v>Omagh</v>
      </c>
      <c r="D101" s="9" t="str">
        <f>IFERROR(__xludf.DUMMYFUNCTION("GOOGLETRANSLATE($A101,""en"",""fr"")"),"Omagh")</f>
        <v>Omagh</v>
      </c>
      <c r="E101" s="9" t="str">
        <f>IFERROR(__xludf.DUMMYFUNCTION("GOOGLETRANSLATE($A101,""en"",""es"")"),"Omagh")</f>
        <v>Omagh</v>
      </c>
      <c r="F101" s="9" t="str">
        <f>IFERROR(__xludf.DUMMYFUNCTION("GOOGLETRANSLATE($A101,""en"",""it"")"),"Omagh")</f>
        <v>Omagh</v>
      </c>
      <c r="G101" s="9" t="str">
        <f>IFERROR(__xludf.DUMMYFUNCTION("GOOGLETRANSLATE($A101,""en"",""zh-cn"")"),"奥马")</f>
        <v>奥马</v>
      </c>
      <c r="H101" s="9" t="str">
        <f>IFERROR(__xludf.DUMMYFUNCTION("GOOGLETRANSLATE($A101,""en"",""ja"")"),"オマー")</f>
        <v>オマー</v>
      </c>
      <c r="I101" s="9" t="str">
        <f>IFERROR(__xludf.DUMMYFUNCTION("GOOGLETRANSLATE($A101,""en"",""ko"")"),"오마")</f>
        <v>오마</v>
      </c>
      <c r="J101" s="9" t="str">
        <f>IFERROR(__xludf.DUMMYFUNCTION("GOOGLETRANSLATE($A101,""en"",""pt-BR"")"),"Omagh")</f>
        <v>Omagh</v>
      </c>
    </row>
    <row r="102">
      <c r="A102" s="9" t="str">
        <f>IFERROR(__xludf.DUMMYFUNCTION("""COMPUTED_VALUE"""),"Strabane")</f>
        <v>Strabane</v>
      </c>
      <c r="B102" s="9" t="str">
        <f>IFERROR(__xludf.DUMMYFUNCTION("""COMPUTED_VALUE"""),"gb-stb")</f>
        <v>gb-stb</v>
      </c>
      <c r="C102" s="9" t="str">
        <f>IFERROR(__xludf.DUMMYFUNCTION("GOOGLETRANSLATE($A102,""en"",""de"")"),"Strabane")</f>
        <v>Strabane</v>
      </c>
      <c r="D102" s="9" t="str">
        <f>IFERROR(__xludf.DUMMYFUNCTION("GOOGLETRANSLATE($A102,""en"",""fr"")"),"Strabane")</f>
        <v>Strabane</v>
      </c>
      <c r="E102" s="9" t="str">
        <f>IFERROR(__xludf.DUMMYFUNCTION("GOOGLETRANSLATE($A102,""en"",""es"")"),"Strabane")</f>
        <v>Strabane</v>
      </c>
      <c r="F102" s="9" t="str">
        <f>IFERROR(__xludf.DUMMYFUNCTION("GOOGLETRANSLATE($A102,""en"",""it"")"),"Strabane")</f>
        <v>Strabane</v>
      </c>
      <c r="G102" s="9" t="str">
        <f>IFERROR(__xludf.DUMMYFUNCTION("GOOGLETRANSLATE($A102,""en"",""zh-cn"")"),"斯特拉巴内")</f>
        <v>斯特拉巴内</v>
      </c>
      <c r="H102" s="9" t="str">
        <f>IFERROR(__xludf.DUMMYFUNCTION("GOOGLETRANSLATE($A102,""en"",""ja"")"),"ストラバネ")</f>
        <v>ストラバネ</v>
      </c>
      <c r="I102" s="9" t="str">
        <f>IFERROR(__xludf.DUMMYFUNCTION("GOOGLETRANSLATE($A102,""en"",""ko"")"),"스트라베인")</f>
        <v>스트라베인</v>
      </c>
      <c r="J102" s="9" t="str">
        <f>IFERROR(__xludf.DUMMYFUNCTION("GOOGLETRANSLATE($A102,""en"",""pt-BR"")"),"Strabane")</f>
        <v>Strabane</v>
      </c>
    </row>
    <row r="103">
      <c r="A103" s="9" t="str">
        <f>IFERROR(__xludf.DUMMYFUNCTION("""COMPUTED_VALUE"""),"Lisburn")</f>
        <v>Lisburn</v>
      </c>
      <c r="B103" s="9" t="str">
        <f>IFERROR(__xludf.DUMMYFUNCTION("""COMPUTED_VALUE"""),"gb-lsb")</f>
        <v>gb-lsb</v>
      </c>
      <c r="C103" s="9" t="str">
        <f>IFERROR(__xludf.DUMMYFUNCTION("GOOGLETRANSLATE($A103,""en"",""de"")"),"Lisburn")</f>
        <v>Lisburn</v>
      </c>
      <c r="D103" s="9" t="str">
        <f>IFERROR(__xludf.DUMMYFUNCTION("GOOGLETRANSLATE($A103,""en"",""fr"")"),"Lisburn")</f>
        <v>Lisburn</v>
      </c>
      <c r="E103" s="9" t="str">
        <f>IFERROR(__xludf.DUMMYFUNCTION("GOOGLETRANSLATE($A103,""en"",""es"")"),"Lisburn")</f>
        <v>Lisburn</v>
      </c>
      <c r="F103" s="9" t="str">
        <f>IFERROR(__xludf.DUMMYFUNCTION("GOOGLETRANSLATE($A103,""en"",""it"")"),"Lisburn")</f>
        <v>Lisburn</v>
      </c>
      <c r="G103" s="9" t="str">
        <f>IFERROR(__xludf.DUMMYFUNCTION("GOOGLETRANSLATE($A103,""en"",""zh-cn"")"),"利斯本")</f>
        <v>利斯本</v>
      </c>
      <c r="H103" s="9" t="str">
        <f>IFERROR(__xludf.DUMMYFUNCTION("GOOGLETRANSLATE($A103,""en"",""ja"")"),"リズバーン")</f>
        <v>リズバーン</v>
      </c>
      <c r="I103" s="9" t="str">
        <f>IFERROR(__xludf.DUMMYFUNCTION("GOOGLETRANSLATE($A103,""en"",""ko"")"),"리스번")</f>
        <v>리스번</v>
      </c>
      <c r="J103" s="9" t="str">
        <f>IFERROR(__xludf.DUMMYFUNCTION("GOOGLETRANSLATE($A103,""en"",""pt-BR"")"),"Lisboa")</f>
        <v>Lisboa</v>
      </c>
    </row>
    <row r="104">
      <c r="A104" s="9" t="str">
        <f>IFERROR(__xludf.DUMMYFUNCTION("""COMPUTED_VALUE"""),"Magherafelt")</f>
        <v>Magherafelt</v>
      </c>
      <c r="B104" s="9" t="str">
        <f>IFERROR(__xludf.DUMMYFUNCTION("""COMPUTED_VALUE"""),"gb-mft")</f>
        <v>gb-mft</v>
      </c>
      <c r="C104" s="9" t="str">
        <f>IFERROR(__xludf.DUMMYFUNCTION("GOOGLETRANSLATE($A104,""en"",""de"")"),"Magherafelt")</f>
        <v>Magherafelt</v>
      </c>
      <c r="D104" s="9" t="str">
        <f>IFERROR(__xludf.DUMMYFUNCTION("GOOGLETRANSLATE($A104,""en"",""fr"")"),"Magherafelt")</f>
        <v>Magherafelt</v>
      </c>
      <c r="E104" s="9" t="str">
        <f>IFERROR(__xludf.DUMMYFUNCTION("GOOGLETRANSLATE($A104,""en"",""es"")"),"Magherafelt")</f>
        <v>Magherafelt</v>
      </c>
      <c r="F104" s="9" t="str">
        <f>IFERROR(__xludf.DUMMYFUNCTION("GOOGLETRANSLATE($A104,""en"",""it"")"),"Magherfelt")</f>
        <v>Magherfelt</v>
      </c>
      <c r="G104" s="9" t="str">
        <f>IFERROR(__xludf.DUMMYFUNCTION("GOOGLETRANSLATE($A104,""en"",""zh-cn"")"),"马赫拉费尔特")</f>
        <v>马赫拉费尔特</v>
      </c>
      <c r="H104" s="9" t="str">
        <f>IFERROR(__xludf.DUMMYFUNCTION("GOOGLETRANSLATE($A104,""en"",""ja"")"),"マゲラフェルト")</f>
        <v>マゲラフェルト</v>
      </c>
      <c r="I104" s="9" t="str">
        <f>IFERROR(__xludf.DUMMYFUNCTION("GOOGLETRANSLATE($A104,""en"",""ko"")"),"마게라펠트")</f>
        <v>마게라펠트</v>
      </c>
      <c r="J104" s="9" t="str">
        <f>IFERROR(__xludf.DUMMYFUNCTION("GOOGLETRANSLATE($A104,""en"",""pt-BR"")"),"Magherafelt")</f>
        <v>Magherafelt</v>
      </c>
    </row>
    <row r="105">
      <c r="A105" s="9" t="str">
        <f>IFERROR(__xludf.DUMMYFUNCTION("""COMPUTED_VALUE"""),"Moyle")</f>
        <v>Moyle</v>
      </c>
      <c r="B105" s="9" t="str">
        <f>IFERROR(__xludf.DUMMYFUNCTION("""COMPUTED_VALUE"""),"gb-myl")</f>
        <v>gb-myl</v>
      </c>
      <c r="C105" s="9" t="str">
        <f>IFERROR(__xludf.DUMMYFUNCTION("GOOGLETRANSLATE($A105,""en"",""de"")"),"Moyle")</f>
        <v>Moyle</v>
      </c>
      <c r="D105" s="9" t="str">
        <f>IFERROR(__xludf.DUMMYFUNCTION("GOOGLETRANSLATE($A105,""en"",""fr"")"),"Moyle")</f>
        <v>Moyle</v>
      </c>
      <c r="E105" s="9" t="str">
        <f>IFERROR(__xludf.DUMMYFUNCTION("GOOGLETRANSLATE($A105,""en"",""es"")"),"Moyle")</f>
        <v>Moyle</v>
      </c>
      <c r="F105" s="9" t="str">
        <f>IFERROR(__xludf.DUMMYFUNCTION("GOOGLETRANSLATE($A105,""en"",""it"")"),"Moyle")</f>
        <v>Moyle</v>
      </c>
      <c r="G105" s="9" t="str">
        <f>IFERROR(__xludf.DUMMYFUNCTION("GOOGLETRANSLATE($A105,""en"",""zh-cn"")"),"莫伊尔")</f>
        <v>莫伊尔</v>
      </c>
      <c r="H105" s="9" t="str">
        <f>IFERROR(__xludf.DUMMYFUNCTION("GOOGLETRANSLATE($A105,""en"",""ja"")"),"モイル")</f>
        <v>モイル</v>
      </c>
      <c r="I105" s="9" t="str">
        <f>IFERROR(__xludf.DUMMYFUNCTION("GOOGLETRANSLATE($A105,""en"",""ko"")"),"모일")</f>
        <v>모일</v>
      </c>
      <c r="J105" s="9" t="str">
        <f>IFERROR(__xludf.DUMMYFUNCTION("GOOGLETRANSLATE($A105,""en"",""pt-BR"")"),"Moyle")</f>
        <v>Moyle</v>
      </c>
    </row>
    <row r="106">
      <c r="A106" s="9" t="str">
        <f>IFERROR(__xludf.DUMMYFUNCTION("""COMPUTED_VALUE"""),"Newry and Mourne District")</f>
        <v>Newry and Mourne District</v>
      </c>
      <c r="B106" s="9" t="str">
        <f>IFERROR(__xludf.DUMMYFUNCTION("""COMPUTED_VALUE"""),"gb-nym")</f>
        <v>gb-nym</v>
      </c>
      <c r="C106" s="9" t="str">
        <f>IFERROR(__xludf.DUMMYFUNCTION("GOOGLETRANSLATE($A106,""en"",""de"")"),"Bezirk Newry und Mourne")</f>
        <v>Bezirk Newry und Mourne</v>
      </c>
      <c r="D106" s="9" t="str">
        <f>IFERROR(__xludf.DUMMYFUNCTION("GOOGLETRANSLATE($A106,""en"",""fr"")"),"District de Newry et Mourne")</f>
        <v>District de Newry et Mourne</v>
      </c>
      <c r="E106" s="9" t="str">
        <f>IFERROR(__xludf.DUMMYFUNCTION("GOOGLETRANSLATE($A106,""en"",""es"")"),"Distrito de Newry y Mourne")</f>
        <v>Distrito de Newry y Mourne</v>
      </c>
      <c r="F106" s="9" t="str">
        <f>IFERROR(__xludf.DUMMYFUNCTION("GOOGLETRANSLATE($A106,""en"",""it"")"),"Distretto di Newry e Mourne")</f>
        <v>Distretto di Newry e Mourne</v>
      </c>
      <c r="G106" s="9" t="str">
        <f>IFERROR(__xludf.DUMMYFUNCTION("GOOGLETRANSLATE($A106,""en"",""zh-cn"")"),"纽里和莫恩区")</f>
        <v>纽里和莫恩区</v>
      </c>
      <c r="H106" s="9" t="str">
        <f>IFERROR(__xludf.DUMMYFUNCTION("GOOGLETRANSLATE($A106,""en"",""ja"")"),"ニューリー・アンド・モーン地区")</f>
        <v>ニューリー・アンド・モーン地区</v>
      </c>
      <c r="I106" s="9" t="str">
        <f>IFERROR(__xludf.DUMMYFUNCTION("GOOGLETRANSLATE($A106,""en"",""ko"")"),"뉴리 앤 몬 지구")</f>
        <v>뉴리 앤 몬 지구</v>
      </c>
      <c r="J106" s="9" t="str">
        <f>IFERROR(__xludf.DUMMYFUNCTION("GOOGLETRANSLATE($A106,""en"",""pt-BR"")"),"Distrito de Newry e Mourne")</f>
        <v>Distrito de Newry e Mourne</v>
      </c>
    </row>
    <row r="107">
      <c r="A107" s="9" t="str">
        <f>IFERROR(__xludf.DUMMYFUNCTION("""COMPUTED_VALUE"""),"Kirkcudbrightshire")</f>
        <v>Kirkcudbrightshire</v>
      </c>
      <c r="B107" s="9" t="str">
        <f>IFERROR(__xludf.DUMMYFUNCTION("""COMPUTED_VALUE"""),"gb-kkd")</f>
        <v>gb-kkd</v>
      </c>
      <c r="C107" s="9" t="str">
        <f>IFERROR(__xludf.DUMMYFUNCTION("GOOGLETRANSLATE($A107,""en"",""de"")"),"Kirkcudbrightshire")</f>
        <v>Kirkcudbrightshire</v>
      </c>
      <c r="D107" s="9" t="str">
        <f>IFERROR(__xludf.DUMMYFUNCTION("GOOGLETRANSLATE($A107,""en"",""fr"")"),"Kirkcudbrightshire")</f>
        <v>Kirkcudbrightshire</v>
      </c>
      <c r="E107" s="9" t="str">
        <f>IFERROR(__xludf.DUMMYFUNCTION("GOOGLETRANSLATE($A107,""en"",""es"")"),"Kirkcudbrightshire")</f>
        <v>Kirkcudbrightshire</v>
      </c>
      <c r="F107" s="9" t="str">
        <f>IFERROR(__xludf.DUMMYFUNCTION("GOOGLETRANSLATE($A107,""en"",""it"")"),"Kirkcudbrightshire")</f>
        <v>Kirkcudbrightshire</v>
      </c>
      <c r="G107" s="9" t="str">
        <f>IFERROR(__xludf.DUMMYFUNCTION("GOOGLETRANSLATE($A107,""en"",""zh-cn"")"),"柯库布里郡")</f>
        <v>柯库布里郡</v>
      </c>
      <c r="H107" s="9" t="str">
        <f>IFERROR(__xludf.DUMMYFUNCTION("GOOGLETRANSLATE($A107,""en"",""ja"")"),"カーククブライトシャー")</f>
        <v>カーククブライトシャー</v>
      </c>
      <c r="I107" s="9" t="str">
        <f>IFERROR(__xludf.DUMMYFUNCTION("GOOGLETRANSLATE($A107,""en"",""ko"")"),"커크커드브라이트셔")</f>
        <v>커크커드브라이트셔</v>
      </c>
      <c r="J107" s="9" t="str">
        <f>IFERROR(__xludf.DUMMYFUNCTION("GOOGLETRANSLATE($A107,""en"",""pt-BR"")"),"Kirkcudbrightshire")</f>
        <v>Kirkcudbrightshire</v>
      </c>
    </row>
    <row r="108">
      <c r="A108" s="9" t="str">
        <f>IFERROR(__xludf.DUMMYFUNCTION("""COMPUTED_VALUE"""),"Halton")</f>
        <v>Halton</v>
      </c>
      <c r="B108" s="9" t="str">
        <f>IFERROR(__xludf.DUMMYFUNCTION("""COMPUTED_VALUE"""),"gb-hal")</f>
        <v>gb-hal</v>
      </c>
      <c r="C108" s="9" t="str">
        <f>IFERROR(__xludf.DUMMYFUNCTION("GOOGLETRANSLATE($A108,""en"",""de"")"),"Halton")</f>
        <v>Halton</v>
      </c>
      <c r="D108" s="9" t="str">
        <f>IFERROR(__xludf.DUMMYFUNCTION("GOOGLETRANSLATE($A108,""en"",""fr"")"),"Halton")</f>
        <v>Halton</v>
      </c>
      <c r="E108" s="9" t="str">
        <f>IFERROR(__xludf.DUMMYFUNCTION("GOOGLETRANSLATE($A108,""en"",""es"")"),"halton")</f>
        <v>halton</v>
      </c>
      <c r="F108" s="9" t="str">
        <f>IFERROR(__xludf.DUMMYFUNCTION("GOOGLETRANSLATE($A108,""en"",""it"")"),"Halton")</f>
        <v>Halton</v>
      </c>
      <c r="G108" s="9" t="str">
        <f>IFERROR(__xludf.DUMMYFUNCTION("GOOGLETRANSLATE($A108,""en"",""zh-cn"")"),"荷顿")</f>
        <v>荷顿</v>
      </c>
      <c r="H108" s="9" t="str">
        <f>IFERROR(__xludf.DUMMYFUNCTION("GOOGLETRANSLATE($A108,""en"",""ja"")"),"ハルトン")</f>
        <v>ハルトン</v>
      </c>
      <c r="I108" s="9" t="str">
        <f>IFERROR(__xludf.DUMMYFUNCTION("GOOGLETRANSLATE($A108,""en"",""ko"")"),"할턴")</f>
        <v>할턴</v>
      </c>
      <c r="J108" s="9" t="str">
        <f>IFERROR(__xludf.DUMMYFUNCTION("GOOGLETRANSLATE($A108,""en"",""pt-BR"")"),"Halton")</f>
        <v>Halton</v>
      </c>
    </row>
    <row r="109">
      <c r="A109" s="9" t="str">
        <f>IFERROR(__xludf.DUMMYFUNCTION("""COMPUTED_VALUE"""),"Hartlepool")</f>
        <v>Hartlepool</v>
      </c>
      <c r="B109" s="9" t="str">
        <f>IFERROR(__xludf.DUMMYFUNCTION("""COMPUTED_VALUE"""),"gb-hpl")</f>
        <v>gb-hpl</v>
      </c>
      <c r="C109" s="9" t="str">
        <f>IFERROR(__xludf.DUMMYFUNCTION("GOOGLETRANSLATE($A109,""en"",""de"")"),"Hartlepool")</f>
        <v>Hartlepool</v>
      </c>
      <c r="D109" s="9" t="str">
        <f>IFERROR(__xludf.DUMMYFUNCTION("GOOGLETRANSLATE($A109,""en"",""fr"")"),"Hartlepool")</f>
        <v>Hartlepool</v>
      </c>
      <c r="E109" s="9" t="str">
        <f>IFERROR(__xludf.DUMMYFUNCTION("GOOGLETRANSLATE($A109,""en"",""es"")"),"Hartlepool")</f>
        <v>Hartlepool</v>
      </c>
      <c r="F109" s="9" t="str">
        <f>IFERROR(__xludf.DUMMYFUNCTION("GOOGLETRANSLATE($A109,""en"",""it"")"),"Hartlepool")</f>
        <v>Hartlepool</v>
      </c>
      <c r="G109" s="9" t="str">
        <f>IFERROR(__xludf.DUMMYFUNCTION("GOOGLETRANSLATE($A109,""en"",""zh-cn"")"),"哈特尔普尔")</f>
        <v>哈特尔普尔</v>
      </c>
      <c r="H109" s="9" t="str">
        <f>IFERROR(__xludf.DUMMYFUNCTION("GOOGLETRANSLATE($A109,""en"",""ja"")"),"ハートリプール")</f>
        <v>ハートリプール</v>
      </c>
      <c r="I109" s="9" t="str">
        <f>IFERROR(__xludf.DUMMYFUNCTION("GOOGLETRANSLATE($A109,""en"",""ko"")"),"하틀풀")</f>
        <v>하틀풀</v>
      </c>
      <c r="J109" s="9" t="str">
        <f>IFERROR(__xludf.DUMMYFUNCTION("GOOGLETRANSLATE($A109,""en"",""pt-BR"")"),"Hartlepool")</f>
        <v>Hartlepool</v>
      </c>
    </row>
    <row r="110">
      <c r="A110" s="9" t="str">
        <f>IFERROR(__xludf.DUMMYFUNCTION("""COMPUTED_VALUE"""),"Herefordshire")</f>
        <v>Herefordshire</v>
      </c>
      <c r="B110" s="9" t="str">
        <f>IFERROR(__xludf.DUMMYFUNCTION("""COMPUTED_VALUE"""),"gb-hef")</f>
        <v>gb-hef</v>
      </c>
      <c r="C110" s="9" t="str">
        <f>IFERROR(__xludf.DUMMYFUNCTION("GOOGLETRANSLATE($A110,""en"",""de"")"),"Herefordshire")</f>
        <v>Herefordshire</v>
      </c>
      <c r="D110" s="9" t="str">
        <f>IFERROR(__xludf.DUMMYFUNCTION("GOOGLETRANSLATE($A110,""en"",""fr"")"),"Comté de Herefordshire")</f>
        <v>Comté de Herefordshire</v>
      </c>
      <c r="E110" s="9" t="str">
        <f>IFERROR(__xludf.DUMMYFUNCTION("GOOGLETRANSLATE($A110,""en"",""es"")"),"Herefordshire")</f>
        <v>Herefordshire</v>
      </c>
      <c r="F110" s="9" t="str">
        <f>IFERROR(__xludf.DUMMYFUNCTION("GOOGLETRANSLATE($A110,""en"",""it"")"),"Herefordshire")</f>
        <v>Herefordshire</v>
      </c>
      <c r="G110" s="9" t="str">
        <f>IFERROR(__xludf.DUMMYFUNCTION("GOOGLETRANSLATE($A110,""en"",""zh-cn"")"),"赫里福德郡")</f>
        <v>赫里福德郡</v>
      </c>
      <c r="H110" s="9" t="str">
        <f>IFERROR(__xludf.DUMMYFUNCTION("GOOGLETRANSLATE($A110,""en"",""ja"")"),"ヘレフォードシャー")</f>
        <v>ヘレフォードシャー</v>
      </c>
      <c r="I110" s="9" t="str">
        <f>IFERROR(__xludf.DUMMYFUNCTION("GOOGLETRANSLATE($A110,""en"",""ko"")"),"헤리퍼드셔")</f>
        <v>헤리퍼드셔</v>
      </c>
      <c r="J110" s="9" t="str">
        <f>IFERROR(__xludf.DUMMYFUNCTION("GOOGLETRANSLATE($A110,""en"",""pt-BR"")"),"Herefordshire")</f>
        <v>Herefordshire</v>
      </c>
    </row>
    <row r="111">
      <c r="A111" s="9" t="str">
        <f>IFERROR(__xludf.DUMMYFUNCTION("""COMPUTED_VALUE"""),"Isle of Wight")</f>
        <v>Isle of Wight</v>
      </c>
      <c r="B111" s="9" t="str">
        <f>IFERROR(__xludf.DUMMYFUNCTION("""COMPUTED_VALUE"""),"gb-iow")</f>
        <v>gb-iow</v>
      </c>
      <c r="C111" s="9" t="str">
        <f>IFERROR(__xludf.DUMMYFUNCTION("GOOGLETRANSLATE($A111,""en"",""de"")"),"Isle of Wight")</f>
        <v>Isle of Wight</v>
      </c>
      <c r="D111" s="9" t="str">
        <f>IFERROR(__xludf.DUMMYFUNCTION("GOOGLETRANSLATE($A111,""en"",""fr"")"),"Île de Wight")</f>
        <v>Île de Wight</v>
      </c>
      <c r="E111" s="9" t="str">
        <f>IFERROR(__xludf.DUMMYFUNCTION("GOOGLETRANSLATE($A111,""en"",""es"")"),"Isla de Wight")</f>
        <v>Isla de Wight</v>
      </c>
      <c r="F111" s="9" t="str">
        <f>IFERROR(__xludf.DUMMYFUNCTION("GOOGLETRANSLATE($A111,""en"",""it"")"),"Isola di Wight")</f>
        <v>Isola di Wight</v>
      </c>
      <c r="G111" s="9" t="str">
        <f>IFERROR(__xludf.DUMMYFUNCTION("GOOGLETRANSLATE($A111,""en"",""zh-cn"")"),"怀特岛")</f>
        <v>怀特岛</v>
      </c>
      <c r="H111" s="9" t="str">
        <f>IFERROR(__xludf.DUMMYFUNCTION("GOOGLETRANSLATE($A111,""en"",""ja"")"),"ワイト島")</f>
        <v>ワイト島</v>
      </c>
      <c r="I111" s="9" t="str">
        <f>IFERROR(__xludf.DUMMYFUNCTION("GOOGLETRANSLATE($A111,""en"",""ko"")"),"와이트 섬")</f>
        <v>와이트 섬</v>
      </c>
      <c r="J111" s="9" t="str">
        <f>IFERROR(__xludf.DUMMYFUNCTION("GOOGLETRANSLATE($A111,""en"",""pt-BR"")"),"Ilha de Wight")</f>
        <v>Ilha de Wight</v>
      </c>
    </row>
    <row r="112">
      <c r="A112" s="9" t="str">
        <f>IFERROR(__xludf.DUMMYFUNCTION("""COMPUTED_VALUE"""),"Darlington")</f>
        <v>Darlington</v>
      </c>
      <c r="B112" s="9" t="str">
        <f>IFERROR(__xludf.DUMMYFUNCTION("""COMPUTED_VALUE"""),"gb-dal")</f>
        <v>gb-dal</v>
      </c>
      <c r="C112" s="9" t="str">
        <f>IFERROR(__xludf.DUMMYFUNCTION("GOOGLETRANSLATE($A112,""en"",""de"")"),"Darlington")</f>
        <v>Darlington</v>
      </c>
      <c r="D112" s="9" t="str">
        <f>IFERROR(__xludf.DUMMYFUNCTION("GOOGLETRANSLATE($A112,""en"",""fr"")"),"Darlington")</f>
        <v>Darlington</v>
      </c>
      <c r="E112" s="9" t="str">
        <f>IFERROR(__xludf.DUMMYFUNCTION("GOOGLETRANSLATE($A112,""en"",""es"")"),"Darlington")</f>
        <v>Darlington</v>
      </c>
      <c r="F112" s="9" t="str">
        <f>IFERROR(__xludf.DUMMYFUNCTION("GOOGLETRANSLATE($A112,""en"",""it"")"),"Darlington")</f>
        <v>Darlington</v>
      </c>
      <c r="G112" s="9" t="str">
        <f>IFERROR(__xludf.DUMMYFUNCTION("GOOGLETRANSLATE($A112,""en"",""zh-cn"")"),"达林顿")</f>
        <v>达林顿</v>
      </c>
      <c r="H112" s="9" t="str">
        <f>IFERROR(__xludf.DUMMYFUNCTION("GOOGLETRANSLATE($A112,""en"",""ja"")"),"ダーリントン")</f>
        <v>ダーリントン</v>
      </c>
      <c r="I112" s="9" t="str">
        <f>IFERROR(__xludf.DUMMYFUNCTION("GOOGLETRANSLATE($A112,""en"",""ko"")"),"달링턴")</f>
        <v>달링턴</v>
      </c>
      <c r="J112" s="9" t="str">
        <f>IFERROR(__xludf.DUMMYFUNCTION("GOOGLETRANSLATE($A112,""en"",""pt-BR"")"),"Darlington")</f>
        <v>Darlington</v>
      </c>
    </row>
    <row r="113">
      <c r="A113" s="9" t="str">
        <f>IFERROR(__xludf.DUMMYFUNCTION("""COMPUTED_VALUE"""),"Derby")</f>
        <v>Derby</v>
      </c>
      <c r="B113" s="9" t="str">
        <f>IFERROR(__xludf.DUMMYFUNCTION("""COMPUTED_VALUE"""),"gb-der")</f>
        <v>gb-der</v>
      </c>
      <c r="C113" s="9" t="str">
        <f>IFERROR(__xludf.DUMMYFUNCTION("GOOGLETRANSLATE($A113,""en"",""de"")"),"Derby")</f>
        <v>Derby</v>
      </c>
      <c r="D113" s="9" t="str">
        <f>IFERROR(__xludf.DUMMYFUNCTION("GOOGLETRANSLATE($A113,""en"",""fr"")"),"Derby")</f>
        <v>Derby</v>
      </c>
      <c r="E113" s="9" t="str">
        <f>IFERROR(__xludf.DUMMYFUNCTION("GOOGLETRANSLATE($A113,""en"",""es"")"),"derby")</f>
        <v>derby</v>
      </c>
      <c r="F113" s="9" t="str">
        <f>IFERROR(__xludf.DUMMYFUNCTION("GOOGLETRANSLATE($A113,""en"",""it"")"),"Derby")</f>
        <v>Derby</v>
      </c>
      <c r="G113" s="9" t="str">
        <f>IFERROR(__xludf.DUMMYFUNCTION("GOOGLETRANSLATE($A113,""en"",""zh-cn"")"),"德比")</f>
        <v>德比</v>
      </c>
      <c r="H113" s="9" t="str">
        <f>IFERROR(__xludf.DUMMYFUNCTION("GOOGLETRANSLATE($A113,""en"",""ja"")"),"ダービー")</f>
        <v>ダービー</v>
      </c>
      <c r="I113" s="9" t="str">
        <f>IFERROR(__xludf.DUMMYFUNCTION("GOOGLETRANSLATE($A113,""en"",""ko"")"),"더비")</f>
        <v>더비</v>
      </c>
      <c r="J113" s="9" t="str">
        <f>IFERROR(__xludf.DUMMYFUNCTION("GOOGLETRANSLATE($A113,""en"",""pt-BR"")"),"Dérbi")</f>
        <v>Dérbi</v>
      </c>
    </row>
    <row r="114">
      <c r="A114" s="9" t="str">
        <f>IFERROR(__xludf.DUMMYFUNCTION("""COMPUTED_VALUE"""),"Durham County")</f>
        <v>Durham County</v>
      </c>
      <c r="B114" s="9" t="str">
        <f>IFERROR(__xludf.DUMMYFUNCTION("""COMPUTED_VALUE"""),"gb-dur")</f>
        <v>gb-dur</v>
      </c>
      <c r="C114" s="9" t="str">
        <f>IFERROR(__xludf.DUMMYFUNCTION("GOOGLETRANSLATE($A114,""en"",""de"")"),"Durham County")</f>
        <v>Durham County</v>
      </c>
      <c r="D114" s="9" t="str">
        <f>IFERROR(__xludf.DUMMYFUNCTION("GOOGLETRANSLATE($A114,""en"",""fr"")"),"Comté de Durham")</f>
        <v>Comté de Durham</v>
      </c>
      <c r="E114" s="9" t="str">
        <f>IFERROR(__xludf.DUMMYFUNCTION("GOOGLETRANSLATE($A114,""en"",""es"")"),"Condado de Durham")</f>
        <v>Condado de Durham</v>
      </c>
      <c r="F114" s="9" t="str">
        <f>IFERROR(__xludf.DUMMYFUNCTION("GOOGLETRANSLATE($A114,""en"",""it"")"),"Contea di Durham")</f>
        <v>Contea di Durham</v>
      </c>
      <c r="G114" s="9" t="str">
        <f>IFERROR(__xludf.DUMMYFUNCTION("GOOGLETRANSLATE($A114,""en"",""zh-cn"")"),"达勒姆县")</f>
        <v>达勒姆县</v>
      </c>
      <c r="H114" s="9" t="str">
        <f>IFERROR(__xludf.DUMMYFUNCTION("GOOGLETRANSLATE($A114,""en"",""ja"")"),"ダーラム郡")</f>
        <v>ダーラム郡</v>
      </c>
      <c r="I114" s="9" t="str">
        <f>IFERROR(__xludf.DUMMYFUNCTION("GOOGLETRANSLATE($A114,""en"",""ko"")"),"더럼 카운티")</f>
        <v>더럼 카운티</v>
      </c>
      <c r="J114" s="9" t="str">
        <f>IFERROR(__xludf.DUMMYFUNCTION("GOOGLETRANSLATE($A114,""en"",""pt-BR"")"),"Condado de Durham")</f>
        <v>Condado de Durham</v>
      </c>
    </row>
    <row r="115">
      <c r="A115" s="9" t="str">
        <f>IFERROR(__xludf.DUMMYFUNCTION("""COMPUTED_VALUE"""),"East Riding of Yorkshire")</f>
        <v>East Riding of Yorkshire</v>
      </c>
      <c r="B115" s="9" t="str">
        <f>IFERROR(__xludf.DUMMYFUNCTION("""COMPUTED_VALUE"""),"gb-ery")</f>
        <v>gb-ery</v>
      </c>
      <c r="C115" s="9" t="str">
        <f>IFERROR(__xludf.DUMMYFUNCTION("GOOGLETRANSLATE($A115,""en"",""de"")"),"East Riding von Yorkshire")</f>
        <v>East Riding von Yorkshire</v>
      </c>
      <c r="D115" s="9" t="str">
        <f>IFERROR(__xludf.DUMMYFUNCTION("GOOGLETRANSLATE($A115,""en"",""fr"")"),"Circonscription Est du Yorkshire")</f>
        <v>Circonscription Est du Yorkshire</v>
      </c>
      <c r="E115" s="9" t="str">
        <f>IFERROR(__xludf.DUMMYFUNCTION("GOOGLETRANSLATE($A115,""en"",""es"")"),"East Riding de Yorkshire")</f>
        <v>East Riding de Yorkshire</v>
      </c>
      <c r="F115" s="9" t="str">
        <f>IFERROR(__xludf.DUMMYFUNCTION("GOOGLETRANSLATE($A115,""en"",""it"")"),"Equitazione orientale dello Yorkshire")</f>
        <v>Equitazione orientale dello Yorkshire</v>
      </c>
      <c r="G115" s="9" t="str">
        <f>IFERROR(__xludf.DUMMYFUNCTION("GOOGLETRANSLATE($A115,""en"",""zh-cn"")"),"约克郡东区")</f>
        <v>约克郡东区</v>
      </c>
      <c r="H115" s="9" t="str">
        <f>IFERROR(__xludf.DUMMYFUNCTION("GOOGLETRANSLATE($A115,""en"",""ja"")"),"イースト ライディング オブ ヨークシャー")</f>
        <v>イースト ライディング オブ ヨークシャー</v>
      </c>
      <c r="I115" s="9" t="str">
        <f>IFERROR(__xludf.DUMMYFUNCTION("GOOGLETRANSLATE($A115,""en"",""ko"")"),"요크셔의 이스트 라이딩")</f>
        <v>요크셔의 이스트 라이딩</v>
      </c>
      <c r="J115" s="9" t="str">
        <f>IFERROR(__xludf.DUMMYFUNCTION("GOOGLETRANSLATE($A115,""en"",""pt-BR"")"),"Equitação Leste de Yorkshire")</f>
        <v>Equitação Leste de Yorkshire</v>
      </c>
    </row>
    <row r="116">
      <c r="A116" s="9" t="str">
        <f>IFERROR(__xludf.DUMMYFUNCTION("""COMPUTED_VALUE"""),"Central Bedfordshire")</f>
        <v>Central Bedfordshire</v>
      </c>
      <c r="B116" s="9" t="str">
        <f>IFERROR(__xludf.DUMMYFUNCTION("""COMPUTED_VALUE"""),"gb-cbf")</f>
        <v>gb-cbf</v>
      </c>
      <c r="C116" s="9" t="str">
        <f>IFERROR(__xludf.DUMMYFUNCTION("GOOGLETRANSLATE($A116,""en"",""de"")"),"Zentral-Bedfordshire")</f>
        <v>Zentral-Bedfordshire</v>
      </c>
      <c r="D116" s="9" t="str">
        <f>IFERROR(__xludf.DUMMYFUNCTION("GOOGLETRANSLATE($A116,""en"",""fr"")"),"Centre du Bedfordshire")</f>
        <v>Centre du Bedfordshire</v>
      </c>
      <c r="E116" s="9" t="str">
        <f>IFERROR(__xludf.DUMMYFUNCTION("GOOGLETRANSLATE($A116,""en"",""es"")"),"Bedfordshire central")</f>
        <v>Bedfordshire central</v>
      </c>
      <c r="F116" s="9" t="str">
        <f>IFERROR(__xludf.DUMMYFUNCTION("GOOGLETRANSLATE($A116,""en"",""it"")"),"Bedfordshire centrale")</f>
        <v>Bedfordshire centrale</v>
      </c>
      <c r="G116" s="9" t="str">
        <f>IFERROR(__xludf.DUMMYFUNCTION("GOOGLETRANSLATE($A116,""en"",""zh-cn"")"),"贝德福德郡中部")</f>
        <v>贝德福德郡中部</v>
      </c>
      <c r="H116" s="9" t="str">
        <f>IFERROR(__xludf.DUMMYFUNCTION("GOOGLETRANSLATE($A116,""en"",""ja"")"),"中央ベッドフォードシャー")</f>
        <v>中央ベッドフォードシャー</v>
      </c>
      <c r="I116" s="9" t="str">
        <f>IFERROR(__xludf.DUMMYFUNCTION("GOOGLETRANSLATE($A116,""en"",""ko"")"),"센트럴 베드퍼드셔")</f>
        <v>센트럴 베드퍼드셔</v>
      </c>
      <c r="J116" s="9" t="str">
        <f>IFERROR(__xludf.DUMMYFUNCTION("GOOGLETRANSLATE($A116,""en"",""pt-BR"")"),"Centro de Bedfordshire")</f>
        <v>Centro de Bedfordshire</v>
      </c>
    </row>
    <row r="117">
      <c r="A117" s="9" t="str">
        <f>IFERROR(__xludf.DUMMYFUNCTION("""COMPUTED_VALUE"""),"Cheshire East")</f>
        <v>Cheshire East</v>
      </c>
      <c r="B117" s="9" t="str">
        <f>IFERROR(__xludf.DUMMYFUNCTION("""COMPUTED_VALUE"""),"gb-che")</f>
        <v>gb-che</v>
      </c>
      <c r="C117" s="9" t="str">
        <f>IFERROR(__xludf.DUMMYFUNCTION("GOOGLETRANSLATE($A117,""en"",""de"")"),"Cheshire Ost")</f>
        <v>Cheshire Ost</v>
      </c>
      <c r="D117" s="9" t="str">
        <f>IFERROR(__xludf.DUMMYFUNCTION("GOOGLETRANSLATE($A117,""en"",""fr"")"),"Cheshire Est")</f>
        <v>Cheshire Est</v>
      </c>
      <c r="E117" s="9" t="str">
        <f>IFERROR(__xludf.DUMMYFUNCTION("GOOGLETRANSLATE($A117,""en"",""es"")"),"Este de Cheshire")</f>
        <v>Este de Cheshire</v>
      </c>
      <c r="F117" s="9" t="str">
        <f>IFERROR(__xludf.DUMMYFUNCTION("GOOGLETRANSLATE($A117,""en"",""it"")"),"Cheshire orientale")</f>
        <v>Cheshire orientale</v>
      </c>
      <c r="G117" s="9" t="str">
        <f>IFERROR(__xludf.DUMMYFUNCTION("GOOGLETRANSLATE($A117,""en"",""zh-cn"")"),"东柴郡")</f>
        <v>东柴郡</v>
      </c>
      <c r="H117" s="9" t="str">
        <f>IFERROR(__xludf.DUMMYFUNCTION("GOOGLETRANSLATE($A117,""en"",""ja"")"),"チェシャー・イースト")</f>
        <v>チェシャー・イースト</v>
      </c>
      <c r="I117" s="9" t="str">
        <f>IFERROR(__xludf.DUMMYFUNCTION("GOOGLETRANSLATE($A117,""en"",""ko"")"),"체셔 이스트")</f>
        <v>체셔 이스트</v>
      </c>
      <c r="J117" s="9" t="str">
        <f>IFERROR(__xludf.DUMMYFUNCTION("GOOGLETRANSLATE($A117,""en"",""pt-BR"")"),"Leste de Cheshire")</f>
        <v>Leste de Cheshire</v>
      </c>
    </row>
    <row r="118">
      <c r="A118" s="9" t="str">
        <f>IFERROR(__xludf.DUMMYFUNCTION("""COMPUTED_VALUE"""),"Cheshire West and Chester")</f>
        <v>Cheshire West and Chester</v>
      </c>
      <c r="B118" s="9" t="str">
        <f>IFERROR(__xludf.DUMMYFUNCTION("""COMPUTED_VALUE"""),"gb-chw")</f>
        <v>gb-chw</v>
      </c>
      <c r="C118" s="9" t="str">
        <f>IFERROR(__xludf.DUMMYFUNCTION("GOOGLETRANSLATE($A118,""en"",""de"")"),"Cheshire West und Chester")</f>
        <v>Cheshire West und Chester</v>
      </c>
      <c r="D118" s="9" t="str">
        <f>IFERROR(__xludf.DUMMYFUNCTION("GOOGLETRANSLATE($A118,""en"",""fr"")"),"Cheshire Ouest et Chester")</f>
        <v>Cheshire Ouest et Chester</v>
      </c>
      <c r="E118" s="9" t="str">
        <f>IFERROR(__xludf.DUMMYFUNCTION("GOOGLETRANSLATE($A118,""en"",""es"")"),"Cheshire Oeste y Chester")</f>
        <v>Cheshire Oeste y Chester</v>
      </c>
      <c r="F118" s="9" t="str">
        <f>IFERROR(__xludf.DUMMYFUNCTION("GOOGLETRANSLATE($A118,""en"",""it"")"),"Cheshire occidentale e Chester")</f>
        <v>Cheshire occidentale e Chester</v>
      </c>
      <c r="G118" s="9" t="str">
        <f>IFERROR(__xludf.DUMMYFUNCTION("GOOGLETRANSLATE($A118,""en"",""zh-cn"")"),"西柴郡和切斯特")</f>
        <v>西柴郡和切斯特</v>
      </c>
      <c r="H118" s="9" t="str">
        <f>IFERROR(__xludf.DUMMYFUNCTION("GOOGLETRANSLATE($A118,""en"",""ja"")"),"チェシャー・ウェストとチェスター")</f>
        <v>チェシャー・ウェストとチェスター</v>
      </c>
      <c r="I118" s="9" t="str">
        <f>IFERROR(__xludf.DUMMYFUNCTION("GOOGLETRANSLATE($A118,""en"",""ko"")"),"체셔 웨스트와 체스터")</f>
        <v>체셔 웨스트와 체스터</v>
      </c>
      <c r="J118" s="9" t="str">
        <f>IFERROR(__xludf.DUMMYFUNCTION("GOOGLETRANSLATE($A118,""en"",""pt-BR"")"),"Cheshire Oeste e Chester")</f>
        <v>Cheshire Oeste e Chester</v>
      </c>
    </row>
    <row r="119">
      <c r="A119" s="9" t="str">
        <f>IFERROR(__xludf.DUMMYFUNCTION("""COMPUTED_VALUE"""),"Cornwall")</f>
        <v>Cornwall</v>
      </c>
      <c r="B119" s="9" t="str">
        <f>IFERROR(__xludf.DUMMYFUNCTION("""COMPUTED_VALUE"""),"gb-con")</f>
        <v>gb-con</v>
      </c>
      <c r="C119" s="9" t="str">
        <f>IFERROR(__xludf.DUMMYFUNCTION("GOOGLETRANSLATE($A119,""en"",""de"")"),"Cornwall")</f>
        <v>Cornwall</v>
      </c>
      <c r="D119" s="9" t="str">
        <f>IFERROR(__xludf.DUMMYFUNCTION("GOOGLETRANSLATE($A119,""en"",""fr"")"),"Cornouailles")</f>
        <v>Cornouailles</v>
      </c>
      <c r="E119" s="9" t="str">
        <f>IFERROR(__xludf.DUMMYFUNCTION("GOOGLETRANSLATE($A119,""en"",""es"")"),"Cornualles")</f>
        <v>Cornualles</v>
      </c>
      <c r="F119" s="9" t="str">
        <f>IFERROR(__xludf.DUMMYFUNCTION("GOOGLETRANSLATE($A119,""en"",""it"")"),"Cornovaglia")</f>
        <v>Cornovaglia</v>
      </c>
      <c r="G119" s="9" t="str">
        <f>IFERROR(__xludf.DUMMYFUNCTION("GOOGLETRANSLATE($A119,""en"",""zh-cn"")"),"康沃尔郡")</f>
        <v>康沃尔郡</v>
      </c>
      <c r="H119" s="9" t="str">
        <f>IFERROR(__xludf.DUMMYFUNCTION("GOOGLETRANSLATE($A119,""en"",""ja"")"),"コーンウォール")</f>
        <v>コーンウォール</v>
      </c>
      <c r="I119" s="9" t="str">
        <f>IFERROR(__xludf.DUMMYFUNCTION("GOOGLETRANSLATE($A119,""en"",""ko"")"),"콘월")</f>
        <v>콘월</v>
      </c>
      <c r="J119" s="9" t="str">
        <f>IFERROR(__xludf.DUMMYFUNCTION("GOOGLETRANSLATE($A119,""en"",""pt-BR"")"),"Cornualha")</f>
        <v>Cornualha</v>
      </c>
    </row>
    <row r="120">
      <c r="A120" s="9" t="str">
        <f>IFERROR(__xludf.DUMMYFUNCTION("""COMPUTED_VALUE"""),"Bournemouth")</f>
        <v>Bournemouth</v>
      </c>
      <c r="B120" s="9" t="str">
        <f>IFERROR(__xludf.DUMMYFUNCTION("""COMPUTED_VALUE"""),"gb-bmh")</f>
        <v>gb-bmh</v>
      </c>
      <c r="C120" s="9" t="str">
        <f>IFERROR(__xludf.DUMMYFUNCTION("GOOGLETRANSLATE($A120,""en"",""de"")"),"Bournemouth")</f>
        <v>Bournemouth</v>
      </c>
      <c r="D120" s="9" t="str">
        <f>IFERROR(__xludf.DUMMYFUNCTION("GOOGLETRANSLATE($A120,""en"",""fr"")"),"Bournemouth")</f>
        <v>Bournemouth</v>
      </c>
      <c r="E120" s="9" t="str">
        <f>IFERROR(__xludf.DUMMYFUNCTION("GOOGLETRANSLATE($A120,""en"",""es"")"),"Bournemouth")</f>
        <v>Bournemouth</v>
      </c>
      <c r="F120" s="9" t="str">
        <f>IFERROR(__xludf.DUMMYFUNCTION("GOOGLETRANSLATE($A120,""en"",""it"")"),"Bournemouth")</f>
        <v>Bournemouth</v>
      </c>
      <c r="G120" s="9" t="str">
        <f>IFERROR(__xludf.DUMMYFUNCTION("GOOGLETRANSLATE($A120,""en"",""zh-cn"")"),"伯恩茅斯")</f>
        <v>伯恩茅斯</v>
      </c>
      <c r="H120" s="9" t="str">
        <f>IFERROR(__xludf.DUMMYFUNCTION("GOOGLETRANSLATE($A120,""en"",""ja"")"),"ボーンマス")</f>
        <v>ボーンマス</v>
      </c>
      <c r="I120" s="9" t="str">
        <f>IFERROR(__xludf.DUMMYFUNCTION("GOOGLETRANSLATE($A120,""en"",""ko"")"),"본머스")</f>
        <v>본머스</v>
      </c>
      <c r="J120" s="9" t="str">
        <f>IFERROR(__xludf.DUMMYFUNCTION("GOOGLETRANSLATE($A120,""en"",""pt-BR"")"),"Bournemouth")</f>
        <v>Bournemouth</v>
      </c>
    </row>
    <row r="121">
      <c r="A121" s="9" t="str">
        <f>IFERROR(__xludf.DUMMYFUNCTION("""COMPUTED_VALUE"""),"Bracknell Forest")</f>
        <v>Bracknell Forest</v>
      </c>
      <c r="B121" s="9" t="str">
        <f>IFERROR(__xludf.DUMMYFUNCTION("""COMPUTED_VALUE"""),"gb-brc")</f>
        <v>gb-brc</v>
      </c>
      <c r="C121" s="9" t="str">
        <f>IFERROR(__xludf.DUMMYFUNCTION("GOOGLETRANSLATE($A121,""en"",""de"")"),"Bracknell-Wald")</f>
        <v>Bracknell-Wald</v>
      </c>
      <c r="D121" s="9" t="str">
        <f>IFERROR(__xludf.DUMMYFUNCTION("GOOGLETRANSLATE($A121,""en"",""fr"")"),"Forêt de Bracknell")</f>
        <v>Forêt de Bracknell</v>
      </c>
      <c r="E121" s="9" t="str">
        <f>IFERROR(__xludf.DUMMYFUNCTION("GOOGLETRANSLATE($A121,""en"",""es"")"),"Bosque de Bracknell")</f>
        <v>Bosque de Bracknell</v>
      </c>
      <c r="F121" s="9" t="str">
        <f>IFERROR(__xludf.DUMMYFUNCTION("GOOGLETRANSLATE($A121,""en"",""it"")"),"Foresta di Bracknell")</f>
        <v>Foresta di Bracknell</v>
      </c>
      <c r="G121" s="9" t="str">
        <f>IFERROR(__xludf.DUMMYFUNCTION("GOOGLETRANSLATE($A121,""en"",""zh-cn"")"),"布拉克内尔森林")</f>
        <v>布拉克内尔森林</v>
      </c>
      <c r="H121" s="9" t="str">
        <f>IFERROR(__xludf.DUMMYFUNCTION("GOOGLETRANSLATE($A121,""en"",""ja"")"),"ブラックネルの森")</f>
        <v>ブラックネルの森</v>
      </c>
      <c r="I121" s="9" t="str">
        <f>IFERROR(__xludf.DUMMYFUNCTION("GOOGLETRANSLATE($A121,""en"",""ko"")"),"브랙넬 숲")</f>
        <v>브랙넬 숲</v>
      </c>
      <c r="J121" s="9" t="str">
        <f>IFERROR(__xludf.DUMMYFUNCTION("GOOGLETRANSLATE($A121,""en"",""pt-BR"")"),"Floresta Bracknell")</f>
        <v>Floresta Bracknell</v>
      </c>
    </row>
    <row r="122">
      <c r="A122" s="9" t="str">
        <f>IFERROR(__xludf.DUMMYFUNCTION("""COMPUTED_VALUE"""),"Brighton and Hove")</f>
        <v>Brighton and Hove</v>
      </c>
      <c r="B122" s="9" t="str">
        <f>IFERROR(__xludf.DUMMYFUNCTION("""COMPUTED_VALUE"""),"gb-bnh")</f>
        <v>gb-bnh</v>
      </c>
      <c r="C122" s="9" t="str">
        <f>IFERROR(__xludf.DUMMYFUNCTION("GOOGLETRANSLATE($A122,""en"",""de"")"),"Brighton und Hove")</f>
        <v>Brighton und Hove</v>
      </c>
      <c r="D122" s="9" t="str">
        <f>IFERROR(__xludf.DUMMYFUNCTION("GOOGLETRANSLATE($A122,""en"",""fr"")"),"Brighton et Hove")</f>
        <v>Brighton et Hove</v>
      </c>
      <c r="E122" s="9" t="str">
        <f>IFERROR(__xludf.DUMMYFUNCTION("GOOGLETRANSLATE($A122,""en"",""es"")"),"Brighton y Hove")</f>
        <v>Brighton y Hove</v>
      </c>
      <c r="F122" s="9" t="str">
        <f>IFERROR(__xludf.DUMMYFUNCTION("GOOGLETRANSLATE($A122,""en"",""it"")"),"Brighton e Hove")</f>
        <v>Brighton e Hove</v>
      </c>
      <c r="G122" s="9" t="str">
        <f>IFERROR(__xludf.DUMMYFUNCTION("GOOGLETRANSLATE($A122,""en"",""zh-cn"")"),"布莱顿和霍夫")</f>
        <v>布莱顿和霍夫</v>
      </c>
      <c r="H122" s="9" t="str">
        <f>IFERROR(__xludf.DUMMYFUNCTION("GOOGLETRANSLATE($A122,""en"",""ja"")"),"ブライトン・アンド・ホーブ")</f>
        <v>ブライトン・アンド・ホーブ</v>
      </c>
      <c r="I122" s="9" t="str">
        <f>IFERROR(__xludf.DUMMYFUNCTION("GOOGLETRANSLATE($A122,""en"",""ko"")"),"브라이튼 앤 호브")</f>
        <v>브라이튼 앤 호브</v>
      </c>
      <c r="J122" s="9" t="str">
        <f>IFERROR(__xludf.DUMMYFUNCTION("GOOGLETRANSLATE($A122,""en"",""pt-BR"")"),"Brighton e Hove")</f>
        <v>Brighton e Hove</v>
      </c>
    </row>
    <row r="123">
      <c r="A123" s="9" t="str">
        <f>IFERROR(__xludf.DUMMYFUNCTION("""COMPUTED_VALUE"""),"Bristol, City of")</f>
        <v>Bristol, City of</v>
      </c>
      <c r="B123" s="9" t="str">
        <f>IFERROR(__xludf.DUMMYFUNCTION("""COMPUTED_VALUE"""),"gb-bst")</f>
        <v>gb-bst</v>
      </c>
      <c r="C123" s="9" t="str">
        <f>IFERROR(__xludf.DUMMYFUNCTION("GOOGLETRANSLATE($A123,""en"",""de"")"),"Bristol, Stadt")</f>
        <v>Bristol, Stadt</v>
      </c>
      <c r="D123" s="9" t="str">
        <f>IFERROR(__xludf.DUMMYFUNCTION("GOOGLETRANSLATE($A123,""en"",""fr"")"),"Bristol, ville de")</f>
        <v>Bristol, ville de</v>
      </c>
      <c r="E123" s="9" t="str">
        <f>IFERROR(__xludf.DUMMYFUNCTION("GOOGLETRANSLATE($A123,""en"",""es"")"),"Bristol, ciudad de")</f>
        <v>Bristol, ciudad de</v>
      </c>
      <c r="F123" s="9" t="str">
        <f>IFERROR(__xludf.DUMMYFUNCTION("GOOGLETRANSLATE($A123,""en"",""it"")"),"Bristol, città di")</f>
        <v>Bristol, città di</v>
      </c>
      <c r="G123" s="9" t="str">
        <f>IFERROR(__xludf.DUMMYFUNCTION("GOOGLETRANSLATE($A123,""en"",""zh-cn"")"),"布里斯托尔市")</f>
        <v>布里斯托尔市</v>
      </c>
      <c r="H123" s="9" t="str">
        <f>IFERROR(__xludf.DUMMYFUNCTION("GOOGLETRANSLATE($A123,""en"",""ja"")"),"ブリストル市")</f>
        <v>ブリストル市</v>
      </c>
      <c r="I123" s="9" t="str">
        <f>IFERROR(__xludf.DUMMYFUNCTION("GOOGLETRANSLATE($A123,""en"",""ko"")"),"브리스톨, 도시")</f>
        <v>브리스톨, 도시</v>
      </c>
      <c r="J123" s="9" t="str">
        <f>IFERROR(__xludf.DUMMYFUNCTION("GOOGLETRANSLATE($A123,""en"",""pt-BR"")"),"Bristol, cidade de")</f>
        <v>Bristol, cidade de</v>
      </c>
    </row>
    <row r="124">
      <c r="A124" s="9" t="str">
        <f>IFERROR(__xludf.DUMMYFUNCTION("""COMPUTED_VALUE"""),"Plymouth")</f>
        <v>Plymouth</v>
      </c>
      <c r="B124" s="9" t="str">
        <f>IFERROR(__xludf.DUMMYFUNCTION("""COMPUTED_VALUE"""),"gb-ply")</f>
        <v>gb-ply</v>
      </c>
      <c r="C124" s="9" t="str">
        <f>IFERROR(__xludf.DUMMYFUNCTION("GOOGLETRANSLATE($A124,""en"",""de"")"),"Plymouth")</f>
        <v>Plymouth</v>
      </c>
      <c r="D124" s="9" t="str">
        <f>IFERROR(__xludf.DUMMYFUNCTION("GOOGLETRANSLATE($A124,""en"",""fr"")"),"Plymouth")</f>
        <v>Plymouth</v>
      </c>
      <c r="E124" s="9" t="str">
        <f>IFERROR(__xludf.DUMMYFUNCTION("GOOGLETRANSLATE($A124,""en"",""es"")"),"Plymouth")</f>
        <v>Plymouth</v>
      </c>
      <c r="F124" s="9" t="str">
        <f>IFERROR(__xludf.DUMMYFUNCTION("GOOGLETRANSLATE($A124,""en"",""it"")"),"Plymouth")</f>
        <v>Plymouth</v>
      </c>
      <c r="G124" s="9" t="str">
        <f>IFERROR(__xludf.DUMMYFUNCTION("GOOGLETRANSLATE($A124,""en"",""zh-cn"")"),"普利茅斯")</f>
        <v>普利茅斯</v>
      </c>
      <c r="H124" s="9" t="str">
        <f>IFERROR(__xludf.DUMMYFUNCTION("GOOGLETRANSLATE($A124,""en"",""ja"")"),"プリマス")</f>
        <v>プリマス</v>
      </c>
      <c r="I124" s="9" t="str">
        <f>IFERROR(__xludf.DUMMYFUNCTION("GOOGLETRANSLATE($A124,""en"",""ko"")"),"플리머스")</f>
        <v>플리머스</v>
      </c>
      <c r="J124" s="9" t="str">
        <f>IFERROR(__xludf.DUMMYFUNCTION("GOOGLETRANSLATE($A124,""en"",""pt-BR"")"),"Plymouth")</f>
        <v>Plymouth</v>
      </c>
    </row>
    <row r="125">
      <c r="A125" s="9" t="str">
        <f>IFERROR(__xludf.DUMMYFUNCTION("""COMPUTED_VALUE"""),"Poole")</f>
        <v>Poole</v>
      </c>
      <c r="B125" s="9" t="str">
        <f>IFERROR(__xludf.DUMMYFUNCTION("""COMPUTED_VALUE"""),"gb-pol")</f>
        <v>gb-pol</v>
      </c>
      <c r="C125" s="9" t="str">
        <f>IFERROR(__xludf.DUMMYFUNCTION("GOOGLETRANSLATE($A125,""en"",""de"")"),"Poole")</f>
        <v>Poole</v>
      </c>
      <c r="D125" s="9" t="str">
        <f>IFERROR(__xludf.DUMMYFUNCTION("GOOGLETRANSLATE($A125,""en"",""fr"")"),"Poole")</f>
        <v>Poole</v>
      </c>
      <c r="E125" s="9" t="str">
        <f>IFERROR(__xludf.DUMMYFUNCTION("GOOGLETRANSLATE($A125,""en"",""es"")"),"piscina")</f>
        <v>piscina</v>
      </c>
      <c r="F125" s="9" t="str">
        <f>IFERROR(__xludf.DUMMYFUNCTION("GOOGLETRANSLATE($A125,""en"",""it"")"),"Poole")</f>
        <v>Poole</v>
      </c>
      <c r="G125" s="9" t="str">
        <f>IFERROR(__xludf.DUMMYFUNCTION("GOOGLETRANSLATE($A125,""en"",""zh-cn"")"),"普尔")</f>
        <v>普尔</v>
      </c>
      <c r="H125" s="9" t="str">
        <f>IFERROR(__xludf.DUMMYFUNCTION("GOOGLETRANSLATE($A125,""en"",""ja"")"),"プール")</f>
        <v>プール</v>
      </c>
      <c r="I125" s="9" t="str">
        <f>IFERROR(__xludf.DUMMYFUNCTION("GOOGLETRANSLATE($A125,""en"",""ko"")"),"풀")</f>
        <v>풀</v>
      </c>
      <c r="J125" s="9" t="str">
        <f>IFERROR(__xludf.DUMMYFUNCTION("GOOGLETRANSLATE($A125,""en"",""pt-BR"")"),"Poole")</f>
        <v>Poole</v>
      </c>
    </row>
    <row r="126">
      <c r="A126" s="9" t="str">
        <f>IFERROR(__xludf.DUMMYFUNCTION("""COMPUTED_VALUE"""),"Portsmouth")</f>
        <v>Portsmouth</v>
      </c>
      <c r="B126" s="9" t="str">
        <f>IFERROR(__xludf.DUMMYFUNCTION("""COMPUTED_VALUE"""),"gb-por")</f>
        <v>gb-por</v>
      </c>
      <c r="C126" s="9" t="str">
        <f>IFERROR(__xludf.DUMMYFUNCTION("GOOGLETRANSLATE($A126,""en"",""de"")"),"Portsmouth")</f>
        <v>Portsmouth</v>
      </c>
      <c r="D126" s="9" t="str">
        <f>IFERROR(__xludf.DUMMYFUNCTION("GOOGLETRANSLATE($A126,""en"",""fr"")"),"Portsmouth")</f>
        <v>Portsmouth</v>
      </c>
      <c r="E126" s="9" t="str">
        <f>IFERROR(__xludf.DUMMYFUNCTION("GOOGLETRANSLATE($A126,""en"",""es"")"),"Portsmouth")</f>
        <v>Portsmouth</v>
      </c>
      <c r="F126" s="9" t="str">
        <f>IFERROR(__xludf.DUMMYFUNCTION("GOOGLETRANSLATE($A126,""en"",""it"")"),"Portsmouth")</f>
        <v>Portsmouth</v>
      </c>
      <c r="G126" s="9" t="str">
        <f>IFERROR(__xludf.DUMMYFUNCTION("GOOGLETRANSLATE($A126,""en"",""zh-cn"")"),"朴茨茅斯")</f>
        <v>朴茨茅斯</v>
      </c>
      <c r="H126" s="9" t="str">
        <f>IFERROR(__xludf.DUMMYFUNCTION("GOOGLETRANSLATE($A126,""en"",""ja"")"),"ポーツマス")</f>
        <v>ポーツマス</v>
      </c>
      <c r="I126" s="9" t="str">
        <f>IFERROR(__xludf.DUMMYFUNCTION("GOOGLETRANSLATE($A126,""en"",""ko"")"),"포츠머스")</f>
        <v>포츠머스</v>
      </c>
      <c r="J126" s="9" t="str">
        <f>IFERROR(__xludf.DUMMYFUNCTION("GOOGLETRANSLATE($A126,""en"",""pt-BR"")"),"Portsmouth")</f>
        <v>Portsmouth</v>
      </c>
    </row>
    <row r="127">
      <c r="A127" s="9" t="str">
        <f>IFERROR(__xludf.DUMMYFUNCTION("""COMPUTED_VALUE"""),"Reading")</f>
        <v>Reading</v>
      </c>
      <c r="B127" s="9" t="str">
        <f>IFERROR(__xludf.DUMMYFUNCTION("""COMPUTED_VALUE"""),"gb-rdg")</f>
        <v>gb-rdg</v>
      </c>
      <c r="C127" s="9" t="str">
        <f>IFERROR(__xludf.DUMMYFUNCTION("GOOGLETRANSLATE($A127,""en"",""de"")"),"Lektüre")</f>
        <v>Lektüre</v>
      </c>
      <c r="D127" s="9" t="str">
        <f>IFERROR(__xludf.DUMMYFUNCTION("GOOGLETRANSLATE($A127,""en"",""fr"")"),"En lisant")</f>
        <v>En lisant</v>
      </c>
      <c r="E127" s="9" t="str">
        <f>IFERROR(__xludf.DUMMYFUNCTION("GOOGLETRANSLATE($A127,""en"",""es"")"),"Lectura")</f>
        <v>Lectura</v>
      </c>
      <c r="F127" s="9" t="str">
        <f>IFERROR(__xludf.DUMMYFUNCTION("GOOGLETRANSLATE($A127,""en"",""it"")"),"Lettura")</f>
        <v>Lettura</v>
      </c>
      <c r="G127" s="9" t="str">
        <f>IFERROR(__xludf.DUMMYFUNCTION("GOOGLETRANSLATE($A127,""en"",""zh-cn"")"),"阅读")</f>
        <v>阅读</v>
      </c>
      <c r="H127" s="9" t="str">
        <f>IFERROR(__xludf.DUMMYFUNCTION("GOOGLETRANSLATE($A127,""en"",""ja"")"),"読む")</f>
        <v>読む</v>
      </c>
      <c r="I127" s="9" t="str">
        <f>IFERROR(__xludf.DUMMYFUNCTION("GOOGLETRANSLATE($A127,""en"",""ko"")"),"독서")</f>
        <v>독서</v>
      </c>
      <c r="J127" s="9" t="str">
        <f>IFERROR(__xludf.DUMMYFUNCTION("GOOGLETRANSLATE($A127,""en"",""pt-BR"")"),"Leitura")</f>
        <v>Leitura</v>
      </c>
    </row>
    <row r="128">
      <c r="A128" s="9" t="str">
        <f>IFERROR(__xludf.DUMMYFUNCTION("""COMPUTED_VALUE"""),"North Somerset")</f>
        <v>North Somerset</v>
      </c>
      <c r="B128" s="9" t="str">
        <f>IFERROR(__xludf.DUMMYFUNCTION("""COMPUTED_VALUE"""),"gb-nsm")</f>
        <v>gb-nsm</v>
      </c>
      <c r="C128" s="9" t="str">
        <f>IFERROR(__xludf.DUMMYFUNCTION("GOOGLETRANSLATE($A128,""en"",""de"")"),"Nord-Somerset")</f>
        <v>Nord-Somerset</v>
      </c>
      <c r="D128" s="9" t="str">
        <f>IFERROR(__xludf.DUMMYFUNCTION("GOOGLETRANSLATE($A128,""en"",""fr"")"),"Somerset Nord")</f>
        <v>Somerset Nord</v>
      </c>
      <c r="E128" s="9" t="str">
        <f>IFERROR(__xludf.DUMMYFUNCTION("GOOGLETRANSLATE($A128,""en"",""es"")"),"Somerset del norte")</f>
        <v>Somerset del norte</v>
      </c>
      <c r="F128" s="9" t="str">
        <f>IFERROR(__xludf.DUMMYFUNCTION("GOOGLETRANSLATE($A128,""en"",""it"")"),"Somerset settentrionale")</f>
        <v>Somerset settentrionale</v>
      </c>
      <c r="G128" s="9" t="str">
        <f>IFERROR(__xludf.DUMMYFUNCTION("GOOGLETRANSLATE($A128,""en"",""zh-cn"")"),"北萨默塞特")</f>
        <v>北萨默塞特</v>
      </c>
      <c r="H128" s="9" t="str">
        <f>IFERROR(__xludf.DUMMYFUNCTION("GOOGLETRANSLATE($A128,""en"",""ja"")"),"ノースサマセット")</f>
        <v>ノースサマセット</v>
      </c>
      <c r="I128" s="9" t="str">
        <f>IFERROR(__xludf.DUMMYFUNCTION("GOOGLETRANSLATE($A128,""en"",""ko"")"),"노스 서머셋")</f>
        <v>노스 서머셋</v>
      </c>
      <c r="J128" s="9" t="str">
        <f>IFERROR(__xludf.DUMMYFUNCTION("GOOGLETRANSLATE($A128,""en"",""pt-BR"")"),"Norte de Somerset")</f>
        <v>Norte de Somerset</v>
      </c>
    </row>
    <row r="129">
      <c r="A129" s="9" t="str">
        <f>IFERROR(__xludf.DUMMYFUNCTION("""COMPUTED_VALUE"""),"Northumberland")</f>
        <v>Northumberland</v>
      </c>
      <c r="B129" s="9" t="str">
        <f>IFERROR(__xludf.DUMMYFUNCTION("""COMPUTED_VALUE"""),"gb-nbl")</f>
        <v>gb-nbl</v>
      </c>
      <c r="C129" s="9" t="str">
        <f>IFERROR(__xludf.DUMMYFUNCTION("GOOGLETRANSLATE($A129,""en"",""de"")"),"Northumberland")</f>
        <v>Northumberland</v>
      </c>
      <c r="D129" s="9" t="str">
        <f>IFERROR(__xludf.DUMMYFUNCTION("GOOGLETRANSLATE($A129,""en"",""fr"")"),"Northumberland")</f>
        <v>Northumberland</v>
      </c>
      <c r="E129" s="9" t="str">
        <f>IFERROR(__xludf.DUMMYFUNCTION("GOOGLETRANSLATE($A129,""en"",""es"")"),"Northumberland")</f>
        <v>Northumberland</v>
      </c>
      <c r="F129" s="9" t="str">
        <f>IFERROR(__xludf.DUMMYFUNCTION("GOOGLETRANSLATE($A129,""en"",""it"")"),"Northumberland")</f>
        <v>Northumberland</v>
      </c>
      <c r="G129" s="9" t="str">
        <f>IFERROR(__xludf.DUMMYFUNCTION("GOOGLETRANSLATE($A129,""en"",""zh-cn"")"),"诺森伯兰郡")</f>
        <v>诺森伯兰郡</v>
      </c>
      <c r="H129" s="9" t="str">
        <f>IFERROR(__xludf.DUMMYFUNCTION("GOOGLETRANSLATE($A129,""en"",""ja"")"),"ノーサンバーランド州")</f>
        <v>ノーサンバーランド州</v>
      </c>
      <c r="I129" s="9" t="str">
        <f>IFERROR(__xludf.DUMMYFUNCTION("GOOGLETRANSLATE($A129,""en"",""ko"")"),"노섬벌랜드")</f>
        <v>노섬벌랜드</v>
      </c>
      <c r="J129" s="9" t="str">
        <f>IFERROR(__xludf.DUMMYFUNCTION("GOOGLETRANSLATE($A129,""en"",""pt-BR"")"),"Northumberland")</f>
        <v>Northumberland</v>
      </c>
    </row>
    <row r="130">
      <c r="A130" s="9" t="str">
        <f>IFERROR(__xludf.DUMMYFUNCTION("""COMPUTED_VALUE"""),"Nottingham")</f>
        <v>Nottingham</v>
      </c>
      <c r="B130" s="9" t="str">
        <f>IFERROR(__xludf.DUMMYFUNCTION("""COMPUTED_VALUE"""),"gb-ngm")</f>
        <v>gb-ngm</v>
      </c>
      <c r="C130" s="9" t="str">
        <f>IFERROR(__xludf.DUMMYFUNCTION("GOOGLETRANSLATE($A130,""en"",""de"")"),"Nottingham")</f>
        <v>Nottingham</v>
      </c>
      <c r="D130" s="9" t="str">
        <f>IFERROR(__xludf.DUMMYFUNCTION("GOOGLETRANSLATE($A130,""en"",""fr"")"),"Nottingham")</f>
        <v>Nottingham</v>
      </c>
      <c r="E130" s="9" t="str">
        <f>IFERROR(__xludf.DUMMYFUNCTION("GOOGLETRANSLATE($A130,""en"",""es"")"),"Nottingham")</f>
        <v>Nottingham</v>
      </c>
      <c r="F130" s="9" t="str">
        <f>IFERROR(__xludf.DUMMYFUNCTION("GOOGLETRANSLATE($A130,""en"",""it"")"),"Nottingham")</f>
        <v>Nottingham</v>
      </c>
      <c r="G130" s="9" t="str">
        <f>IFERROR(__xludf.DUMMYFUNCTION("GOOGLETRANSLATE($A130,""en"",""zh-cn"")"),"诺丁汉")</f>
        <v>诺丁汉</v>
      </c>
      <c r="H130" s="9" t="str">
        <f>IFERROR(__xludf.DUMMYFUNCTION("GOOGLETRANSLATE($A130,""en"",""ja"")"),"ノッティンガム")</f>
        <v>ノッティンガム</v>
      </c>
      <c r="I130" s="9" t="str">
        <f>IFERROR(__xludf.DUMMYFUNCTION("GOOGLETRANSLATE($A130,""en"",""ko"")"),"노팅엄")</f>
        <v>노팅엄</v>
      </c>
      <c r="J130" s="9" t="str">
        <f>IFERROR(__xludf.DUMMYFUNCTION("GOOGLETRANSLATE($A130,""en"",""pt-BR"")"),"Nottingham")</f>
        <v>Nottingham</v>
      </c>
    </row>
    <row r="131">
      <c r="A131" s="9" t="str">
        <f>IFERROR(__xludf.DUMMYFUNCTION("""COMPUTED_VALUE"""),"Peterborough")</f>
        <v>Peterborough</v>
      </c>
      <c r="B131" s="9" t="str">
        <f>IFERROR(__xludf.DUMMYFUNCTION("""COMPUTED_VALUE"""),"gb-pte")</f>
        <v>gb-pte</v>
      </c>
      <c r="C131" s="9" t="str">
        <f>IFERROR(__xludf.DUMMYFUNCTION("GOOGLETRANSLATE($A131,""en"",""de"")"),"Peterborough")</f>
        <v>Peterborough</v>
      </c>
      <c r="D131" s="9" t="str">
        <f>IFERROR(__xludf.DUMMYFUNCTION("GOOGLETRANSLATE($A131,""en"",""fr"")"),"Peterborough")</f>
        <v>Peterborough</v>
      </c>
      <c r="E131" s="9" t="str">
        <f>IFERROR(__xludf.DUMMYFUNCTION("GOOGLETRANSLATE($A131,""en"",""es"")"),"Peterborough")</f>
        <v>Peterborough</v>
      </c>
      <c r="F131" s="9" t="str">
        <f>IFERROR(__xludf.DUMMYFUNCTION("GOOGLETRANSLATE($A131,""en"",""it"")"),"Peterborough")</f>
        <v>Peterborough</v>
      </c>
      <c r="G131" s="9" t="str">
        <f>IFERROR(__xludf.DUMMYFUNCTION("GOOGLETRANSLATE($A131,""en"",""zh-cn"")"),"彼得伯勒")</f>
        <v>彼得伯勒</v>
      </c>
      <c r="H131" s="9" t="str">
        <f>IFERROR(__xludf.DUMMYFUNCTION("GOOGLETRANSLATE($A131,""en"",""ja"")"),"ピーターバラ")</f>
        <v>ピーターバラ</v>
      </c>
      <c r="I131" s="9" t="str">
        <f>IFERROR(__xludf.DUMMYFUNCTION("GOOGLETRANSLATE($A131,""en"",""ko"")"),"피터버러")</f>
        <v>피터버러</v>
      </c>
      <c r="J131" s="9" t="str">
        <f>IFERROR(__xludf.DUMMYFUNCTION("GOOGLETRANSLATE($A131,""en"",""pt-BR"")"),"Peterborough")</f>
        <v>Peterborough</v>
      </c>
    </row>
    <row r="132">
      <c r="A132" s="9" t="str">
        <f>IFERROR(__xludf.DUMMYFUNCTION("""COMPUTED_VALUE"""),"Middlesbrough")</f>
        <v>Middlesbrough</v>
      </c>
      <c r="B132" s="9" t="str">
        <f>IFERROR(__xludf.DUMMYFUNCTION("""COMPUTED_VALUE"""),"gb-mdb")</f>
        <v>gb-mdb</v>
      </c>
      <c r="C132" s="9" t="str">
        <f>IFERROR(__xludf.DUMMYFUNCTION("GOOGLETRANSLATE($A132,""en"",""de"")"),"Middlesbrough")</f>
        <v>Middlesbrough</v>
      </c>
      <c r="D132" s="9" t="str">
        <f>IFERROR(__xludf.DUMMYFUNCTION("GOOGLETRANSLATE($A132,""en"",""fr"")"),"Middlesbrough")</f>
        <v>Middlesbrough</v>
      </c>
      <c r="E132" s="9" t="str">
        <f>IFERROR(__xludf.DUMMYFUNCTION("GOOGLETRANSLATE($A132,""en"",""es"")"),"Middlesbrough")</f>
        <v>Middlesbrough</v>
      </c>
      <c r="F132" s="9" t="str">
        <f>IFERROR(__xludf.DUMMYFUNCTION("GOOGLETRANSLATE($A132,""en"",""it"")"),"Middlesbrough")</f>
        <v>Middlesbrough</v>
      </c>
      <c r="G132" s="9" t="str">
        <f>IFERROR(__xludf.DUMMYFUNCTION("GOOGLETRANSLATE($A132,""en"",""zh-cn"")"),"米德尔斯堡")</f>
        <v>米德尔斯堡</v>
      </c>
      <c r="H132" s="9" t="str">
        <f>IFERROR(__xludf.DUMMYFUNCTION("GOOGLETRANSLATE($A132,""en"",""ja"")"),"ミドルズブラ")</f>
        <v>ミドルズブラ</v>
      </c>
      <c r="I132" s="9" t="str">
        <f>IFERROR(__xludf.DUMMYFUNCTION("GOOGLETRANSLATE($A132,""en"",""ko"")"),"미들즈브러")</f>
        <v>미들즈브러</v>
      </c>
      <c r="J132" s="9" t="str">
        <f>IFERROR(__xludf.DUMMYFUNCTION("GOOGLETRANSLATE($A132,""en"",""pt-BR"")"),"Middlesbrough")</f>
        <v>Middlesbrough</v>
      </c>
    </row>
    <row r="133">
      <c r="A133" s="9" t="str">
        <f>IFERROR(__xludf.DUMMYFUNCTION("""COMPUTED_VALUE"""),"Milton Keynes")</f>
        <v>Milton Keynes</v>
      </c>
      <c r="B133" s="9" t="str">
        <f>IFERROR(__xludf.DUMMYFUNCTION("""COMPUTED_VALUE"""),"gb-mik")</f>
        <v>gb-mik</v>
      </c>
      <c r="C133" s="9" t="str">
        <f>IFERROR(__xludf.DUMMYFUNCTION("GOOGLETRANSLATE($A133,""en"",""de"")"),"Milton Keynes")</f>
        <v>Milton Keynes</v>
      </c>
      <c r="D133" s="9" t="str">
        <f>IFERROR(__xludf.DUMMYFUNCTION("GOOGLETRANSLATE($A133,""en"",""fr"")"),"Milton Keynes")</f>
        <v>Milton Keynes</v>
      </c>
      <c r="E133" s="9" t="str">
        <f>IFERROR(__xludf.DUMMYFUNCTION("GOOGLETRANSLATE($A133,""en"",""es"")"),"Milton Keynes")</f>
        <v>Milton Keynes</v>
      </c>
      <c r="F133" s="9" t="str">
        <f>IFERROR(__xludf.DUMMYFUNCTION("GOOGLETRANSLATE($A133,""en"",""it"")"),"Milton Keynes")</f>
        <v>Milton Keynes</v>
      </c>
      <c r="G133" s="9" t="str">
        <f>IFERROR(__xludf.DUMMYFUNCTION("GOOGLETRANSLATE($A133,""en"",""zh-cn"")"),"米尔顿凯恩斯")</f>
        <v>米尔顿凯恩斯</v>
      </c>
      <c r="H133" s="9" t="str">
        <f>IFERROR(__xludf.DUMMYFUNCTION("GOOGLETRANSLATE($A133,""en"",""ja"")"),"ミルトン・ケインズ")</f>
        <v>ミルトン・ケインズ</v>
      </c>
      <c r="I133" s="9" t="str">
        <f>IFERROR(__xludf.DUMMYFUNCTION("GOOGLETRANSLATE($A133,""en"",""ko"")"),"밀턴 케인스")</f>
        <v>밀턴 케인스</v>
      </c>
      <c r="J133" s="9" t="str">
        <f>IFERROR(__xludf.DUMMYFUNCTION("GOOGLETRANSLATE($A133,""en"",""pt-BR"")"),"Milton Keynes")</f>
        <v>Milton Keynes</v>
      </c>
    </row>
    <row r="134">
      <c r="A134" s="9" t="str">
        <f>IFERROR(__xludf.DUMMYFUNCTION("""COMPUTED_VALUE"""),"North East Lincolnshire")</f>
        <v>North East Lincolnshire</v>
      </c>
      <c r="B134" s="9" t="str">
        <f>IFERROR(__xludf.DUMMYFUNCTION("""COMPUTED_VALUE"""),"gb-nel")</f>
        <v>gb-nel</v>
      </c>
      <c r="C134" s="9" t="str">
        <f>IFERROR(__xludf.DUMMYFUNCTION("GOOGLETRANSLATE($A134,""en"",""de"")"),"Nordost-Lincolnshire")</f>
        <v>Nordost-Lincolnshire</v>
      </c>
      <c r="D134" s="9" t="str">
        <f>IFERROR(__xludf.DUMMYFUNCTION("GOOGLETRANSLATE($A134,""en"",""fr"")"),"Lincolnshire du nord-est")</f>
        <v>Lincolnshire du nord-est</v>
      </c>
      <c r="E134" s="9" t="str">
        <f>IFERROR(__xludf.DUMMYFUNCTION("GOOGLETRANSLATE($A134,""en"",""es"")"),"Noreste de Lincolnshire")</f>
        <v>Noreste de Lincolnshire</v>
      </c>
      <c r="F134" s="9" t="str">
        <f>IFERROR(__xludf.DUMMYFUNCTION("GOOGLETRANSLATE($A134,""en"",""it"")"),"Lincolnshire nordorientale")</f>
        <v>Lincolnshire nordorientale</v>
      </c>
      <c r="G134" s="9" t="str">
        <f>IFERROR(__xludf.DUMMYFUNCTION("GOOGLETRANSLATE($A134,""en"",""zh-cn"")"),"东北林肯郡")</f>
        <v>东北林肯郡</v>
      </c>
      <c r="H134" s="9" t="str">
        <f>IFERROR(__xludf.DUMMYFUNCTION("GOOGLETRANSLATE($A134,""en"",""ja"")"),"北東リンカンシャー")</f>
        <v>北東リンカンシャー</v>
      </c>
      <c r="I134" s="9" t="str">
        <f>IFERROR(__xludf.DUMMYFUNCTION("GOOGLETRANSLATE($A134,""en"",""ko"")"),"노스이스트 링컨셔")</f>
        <v>노스이스트 링컨셔</v>
      </c>
      <c r="J134" s="9" t="str">
        <f>IFERROR(__xludf.DUMMYFUNCTION("GOOGLETRANSLATE($A134,""en"",""pt-BR"")"),"Nordeste de Lincolnshire")</f>
        <v>Nordeste de Lincolnshire</v>
      </c>
    </row>
    <row r="135">
      <c r="A135" s="9" t="str">
        <f>IFERROR(__xludf.DUMMYFUNCTION("""COMPUTED_VALUE"""),"North Lincolnshire")</f>
        <v>North Lincolnshire</v>
      </c>
      <c r="B135" s="9" t="str">
        <f>IFERROR(__xludf.DUMMYFUNCTION("""COMPUTED_VALUE"""),"gb-nln")</f>
        <v>gb-nln</v>
      </c>
      <c r="C135" s="9" t="str">
        <f>IFERROR(__xludf.DUMMYFUNCTION("GOOGLETRANSLATE($A135,""en"",""de"")"),"Nord-Lincolnshire")</f>
        <v>Nord-Lincolnshire</v>
      </c>
      <c r="D135" s="9" t="str">
        <f>IFERROR(__xludf.DUMMYFUNCTION("GOOGLETRANSLATE($A135,""en"",""fr"")"),"Lincolnshire du Nord")</f>
        <v>Lincolnshire du Nord</v>
      </c>
      <c r="E135" s="9" t="str">
        <f>IFERROR(__xludf.DUMMYFUNCTION("GOOGLETRANSLATE($A135,""en"",""es"")"),"norte de lincolnshire")</f>
        <v>norte de lincolnshire</v>
      </c>
      <c r="F135" s="9" t="str">
        <f>IFERROR(__xludf.DUMMYFUNCTION("GOOGLETRANSLATE($A135,""en"",""it"")"),"Lincolnshire settentrionale")</f>
        <v>Lincolnshire settentrionale</v>
      </c>
      <c r="G135" s="9" t="str">
        <f>IFERROR(__xludf.DUMMYFUNCTION("GOOGLETRANSLATE($A135,""en"",""zh-cn"")"),"北林肯郡")</f>
        <v>北林肯郡</v>
      </c>
      <c r="H135" s="9" t="str">
        <f>IFERROR(__xludf.DUMMYFUNCTION("GOOGLETRANSLATE($A135,""en"",""ja"")"),"ノースリンカンシャー")</f>
        <v>ノースリンカンシャー</v>
      </c>
      <c r="I135" s="9" t="str">
        <f>IFERROR(__xludf.DUMMYFUNCTION("GOOGLETRANSLATE($A135,""en"",""ko"")"),"노스 링컨셔")</f>
        <v>노스 링컨셔</v>
      </c>
      <c r="J135" s="9" t="str">
        <f>IFERROR(__xludf.DUMMYFUNCTION("GOOGLETRANSLATE($A135,""en"",""pt-BR"")"),"Norte de Lincolnshire")</f>
        <v>Norte de Lincolnshire</v>
      </c>
    </row>
    <row r="136">
      <c r="A136" s="9" t="str">
        <f>IFERROR(__xludf.DUMMYFUNCTION("""COMPUTED_VALUE"""),"Kingston Upon Hull")</f>
        <v>Kingston Upon Hull</v>
      </c>
      <c r="B136" s="9" t="str">
        <f>IFERROR(__xludf.DUMMYFUNCTION("""COMPUTED_VALUE"""),"gb-khl")</f>
        <v>gb-khl</v>
      </c>
      <c r="C136" s="9" t="str">
        <f>IFERROR(__xludf.DUMMYFUNCTION("GOOGLETRANSLATE($A136,""en"",""de"")"),"Kingston upon Hull")</f>
        <v>Kingston upon Hull</v>
      </c>
      <c r="D136" s="9" t="str">
        <f>IFERROR(__xludf.DUMMYFUNCTION("GOOGLETRANSLATE($A136,""en"",""fr"")"),"Kingston sur Hull")</f>
        <v>Kingston sur Hull</v>
      </c>
      <c r="E136" s="9" t="str">
        <f>IFERROR(__xludf.DUMMYFUNCTION("GOOGLETRANSLATE($A136,""en"",""es"")"),"Kingston-upon-Hull")</f>
        <v>Kingston-upon-Hull</v>
      </c>
      <c r="F136" s="9" t="str">
        <f>IFERROR(__xludf.DUMMYFUNCTION("GOOGLETRANSLATE($A136,""en"",""it"")"),"Kingston Upon Hull")</f>
        <v>Kingston Upon Hull</v>
      </c>
      <c r="G136" s="9" t="str">
        <f>IFERROR(__xludf.DUMMYFUNCTION("GOOGLETRANSLATE($A136,""en"",""zh-cn"")"),"赫尔河畔金斯顿")</f>
        <v>赫尔河畔金斯顿</v>
      </c>
      <c r="H136" s="9" t="str">
        <f>IFERROR(__xludf.DUMMYFUNCTION("GOOGLETRANSLATE($A136,""en"",""ja"")"),"キングストン・アポン・ハル")</f>
        <v>キングストン・アポン・ハル</v>
      </c>
      <c r="I136" s="9" t="str">
        <f>IFERROR(__xludf.DUMMYFUNCTION("GOOGLETRANSLATE($A136,""en"",""ko"")"),"킹스턴 어폰 헐")</f>
        <v>킹스턴 어폰 헐</v>
      </c>
      <c r="J136" s="9" t="str">
        <f>IFERROR(__xludf.DUMMYFUNCTION("GOOGLETRANSLATE($A136,""en"",""pt-BR"")"),"Kingston em cima do casco")</f>
        <v>Kingston em cima do casco</v>
      </c>
    </row>
    <row r="137">
      <c r="A137" s="9" t="str">
        <f>IFERROR(__xludf.DUMMYFUNCTION("""COMPUTED_VALUE"""),"Leicester")</f>
        <v>Leicester</v>
      </c>
      <c r="B137" s="9" t="str">
        <f>IFERROR(__xludf.DUMMYFUNCTION("""COMPUTED_VALUE"""),"gb-lce")</f>
        <v>gb-lce</v>
      </c>
      <c r="C137" s="9" t="str">
        <f>IFERROR(__xludf.DUMMYFUNCTION("GOOGLETRANSLATE($A137,""en"",""de"")"),"Leicester")</f>
        <v>Leicester</v>
      </c>
      <c r="D137" s="9" t="str">
        <f>IFERROR(__xludf.DUMMYFUNCTION("GOOGLETRANSLATE($A137,""en"",""fr"")"),"Leicester")</f>
        <v>Leicester</v>
      </c>
      <c r="E137" s="9" t="str">
        <f>IFERROR(__xludf.DUMMYFUNCTION("GOOGLETRANSLATE($A137,""en"",""es"")"),"leicester")</f>
        <v>leicester</v>
      </c>
      <c r="F137" s="9" t="str">
        <f>IFERROR(__xludf.DUMMYFUNCTION("GOOGLETRANSLATE($A137,""en"",""it"")"),"Leicester")</f>
        <v>Leicester</v>
      </c>
      <c r="G137" s="9" t="str">
        <f>IFERROR(__xludf.DUMMYFUNCTION("GOOGLETRANSLATE($A137,""en"",""zh-cn"")"),"莱斯特")</f>
        <v>莱斯特</v>
      </c>
      <c r="H137" s="9" t="str">
        <f>IFERROR(__xludf.DUMMYFUNCTION("GOOGLETRANSLATE($A137,""en"",""ja"")"),"レスター")</f>
        <v>レスター</v>
      </c>
      <c r="I137" s="9" t="str">
        <f>IFERROR(__xludf.DUMMYFUNCTION("GOOGLETRANSLATE($A137,""en"",""ko"")"),"레스터")</f>
        <v>레스터</v>
      </c>
      <c r="J137" s="9" t="str">
        <f>IFERROR(__xludf.DUMMYFUNCTION("GOOGLETRANSLATE($A137,""en"",""pt-BR"")"),"Leicester")</f>
        <v>Leicester</v>
      </c>
    </row>
    <row r="138">
      <c r="A138" s="9" t="str">
        <f>IFERROR(__xludf.DUMMYFUNCTION("""COMPUTED_VALUE"""),"Luton")</f>
        <v>Luton</v>
      </c>
      <c r="B138" s="9" t="str">
        <f>IFERROR(__xludf.DUMMYFUNCTION("""COMPUTED_VALUE"""),"gb-lut")</f>
        <v>gb-lut</v>
      </c>
      <c r="C138" s="9" t="str">
        <f>IFERROR(__xludf.DUMMYFUNCTION("GOOGLETRANSLATE($A138,""en"",""de"")"),"Luton")</f>
        <v>Luton</v>
      </c>
      <c r="D138" s="9" t="str">
        <f>IFERROR(__xludf.DUMMYFUNCTION("GOOGLETRANSLATE($A138,""en"",""fr"")"),"Luton")</f>
        <v>Luton</v>
      </c>
      <c r="E138" s="9" t="str">
        <f>IFERROR(__xludf.DUMMYFUNCTION("GOOGLETRANSLATE($A138,""en"",""es"")"),"Londres")</f>
        <v>Londres</v>
      </c>
      <c r="F138" s="9" t="str">
        <f>IFERROR(__xludf.DUMMYFUNCTION("GOOGLETRANSLATE($A138,""en"",""it"")"),"Lutone")</f>
        <v>Lutone</v>
      </c>
      <c r="G138" s="9" t="str">
        <f>IFERROR(__xludf.DUMMYFUNCTION("GOOGLETRANSLATE($A138,""en"",""zh-cn"")"),"卢顿")</f>
        <v>卢顿</v>
      </c>
      <c r="H138" s="9" t="str">
        <f>IFERROR(__xludf.DUMMYFUNCTION("GOOGLETRANSLATE($A138,""en"",""ja"")"),"ルートン")</f>
        <v>ルートン</v>
      </c>
      <c r="I138" s="9" t="str">
        <f>IFERROR(__xludf.DUMMYFUNCTION("GOOGLETRANSLATE($A138,""en"",""ko"")"),"루턴")</f>
        <v>루턴</v>
      </c>
      <c r="J138" s="9" t="str">
        <f>IFERROR(__xludf.DUMMYFUNCTION("GOOGLETRANSLATE($A138,""en"",""pt-BR"")"),"Luton")</f>
        <v>Luton</v>
      </c>
    </row>
    <row r="139">
      <c r="A139" s="9" t="str">
        <f>IFERROR(__xludf.DUMMYFUNCTION("""COMPUTED_VALUE"""),"Medway")</f>
        <v>Medway</v>
      </c>
      <c r="B139" s="9" t="str">
        <f>IFERROR(__xludf.DUMMYFUNCTION("""COMPUTED_VALUE"""),"gb-mdw")</f>
        <v>gb-mdw</v>
      </c>
      <c r="C139" s="9" t="str">
        <f>IFERROR(__xludf.DUMMYFUNCTION("GOOGLETRANSLATE($A139,""en"",""de"")"),"Medway")</f>
        <v>Medway</v>
      </c>
      <c r="D139" s="9" t="str">
        <f>IFERROR(__xludf.DUMMYFUNCTION("GOOGLETRANSLATE($A139,""en"",""fr"")"),"Medway")</f>
        <v>Medway</v>
      </c>
      <c r="E139" s="9" t="str">
        <f>IFERROR(__xludf.DUMMYFUNCTION("GOOGLETRANSLATE($A139,""en"",""es"")"),"Medway")</f>
        <v>Medway</v>
      </c>
      <c r="F139" s="9" t="str">
        <f>IFERROR(__xludf.DUMMYFUNCTION("GOOGLETRANSLATE($A139,""en"",""it"")"),"Medway")</f>
        <v>Medway</v>
      </c>
      <c r="G139" s="9" t="str">
        <f>IFERROR(__xludf.DUMMYFUNCTION("GOOGLETRANSLATE($A139,""en"",""zh-cn"")"),"梅德韦")</f>
        <v>梅德韦</v>
      </c>
      <c r="H139" s="9" t="str">
        <f>IFERROR(__xludf.DUMMYFUNCTION("GOOGLETRANSLATE($A139,""en"",""ja"")"),"メドウェイ")</f>
        <v>メドウェイ</v>
      </c>
      <c r="I139" s="9" t="str">
        <f>IFERROR(__xludf.DUMMYFUNCTION("GOOGLETRANSLATE($A139,""en"",""ko"")"),"메드웨이")</f>
        <v>메드웨이</v>
      </c>
      <c r="J139" s="9" t="str">
        <f>IFERROR(__xludf.DUMMYFUNCTION("GOOGLETRANSLATE($A139,""en"",""pt-BR"")"),"Medway")</f>
        <v>Medway</v>
      </c>
    </row>
    <row r="140">
      <c r="A140" s="9" t="str">
        <f>IFERROR(__xludf.DUMMYFUNCTION("""COMPUTED_VALUE"""),"South Gloucestershire")</f>
        <v>South Gloucestershire</v>
      </c>
      <c r="B140" s="9" t="str">
        <f>IFERROR(__xludf.DUMMYFUNCTION("""COMPUTED_VALUE"""),"gb-sgc")</f>
        <v>gb-sgc</v>
      </c>
      <c r="C140" s="9" t="str">
        <f>IFERROR(__xludf.DUMMYFUNCTION("GOOGLETRANSLATE($A140,""en"",""de"")"),"Süd-Gloucestershire")</f>
        <v>Süd-Gloucestershire</v>
      </c>
      <c r="D140" s="9" t="str">
        <f>IFERROR(__xludf.DUMMYFUNCTION("GOOGLETRANSLATE($A140,""en"",""fr"")"),"Gloucestershire du Sud")</f>
        <v>Gloucestershire du Sud</v>
      </c>
      <c r="E140" s="9" t="str">
        <f>IFERROR(__xludf.DUMMYFUNCTION("GOOGLETRANSLATE($A140,""en"",""es"")"),"Gloucestershire del sur")</f>
        <v>Gloucestershire del sur</v>
      </c>
      <c r="F140" s="9" t="str">
        <f>IFERROR(__xludf.DUMMYFUNCTION("GOOGLETRANSLATE($A140,""en"",""it"")"),"Gloucestershire meridionale")</f>
        <v>Gloucestershire meridionale</v>
      </c>
      <c r="G140" s="9" t="str">
        <f>IFERROR(__xludf.DUMMYFUNCTION("GOOGLETRANSLATE($A140,""en"",""zh-cn"")"),"南格洛斯特郡")</f>
        <v>南格洛斯特郡</v>
      </c>
      <c r="H140" s="9" t="str">
        <f>IFERROR(__xludf.DUMMYFUNCTION("GOOGLETRANSLATE($A140,""en"",""ja"")"),"サウスグロスターシャー")</f>
        <v>サウスグロスターシャー</v>
      </c>
      <c r="I140" s="9" t="str">
        <f>IFERROR(__xludf.DUMMYFUNCTION("GOOGLETRANSLATE($A140,""en"",""ko"")"),"사우스 글로스터셔")</f>
        <v>사우스 글로스터셔</v>
      </c>
      <c r="J140" s="9" t="str">
        <f>IFERROR(__xludf.DUMMYFUNCTION("GOOGLETRANSLATE($A140,""en"",""pt-BR"")"),"Sul de Gloucestershire")</f>
        <v>Sul de Gloucestershire</v>
      </c>
    </row>
    <row r="141">
      <c r="A141" s="9" t="str">
        <f>IFERROR(__xludf.DUMMYFUNCTION("""COMPUTED_VALUE"""),"Southampton")</f>
        <v>Southampton</v>
      </c>
      <c r="B141" s="9" t="str">
        <f>IFERROR(__xludf.DUMMYFUNCTION("""COMPUTED_VALUE"""),"gb-sth")</f>
        <v>gb-sth</v>
      </c>
      <c r="C141" s="9" t="str">
        <f>IFERROR(__xludf.DUMMYFUNCTION("GOOGLETRANSLATE($A141,""en"",""de"")"),"Southampton")</f>
        <v>Southampton</v>
      </c>
      <c r="D141" s="9" t="str">
        <f>IFERROR(__xludf.DUMMYFUNCTION("GOOGLETRANSLATE($A141,""en"",""fr"")"),"Southampton")</f>
        <v>Southampton</v>
      </c>
      <c r="E141" s="9" t="str">
        <f>IFERROR(__xludf.DUMMYFUNCTION("GOOGLETRANSLATE($A141,""en"",""es"")"),"Southampton")</f>
        <v>Southampton</v>
      </c>
      <c r="F141" s="9" t="str">
        <f>IFERROR(__xludf.DUMMYFUNCTION("GOOGLETRANSLATE($A141,""en"",""it"")"),"Southampton")</f>
        <v>Southampton</v>
      </c>
      <c r="G141" s="9" t="str">
        <f>IFERROR(__xludf.DUMMYFUNCTION("GOOGLETRANSLATE($A141,""en"",""zh-cn"")"),"南安普敦")</f>
        <v>南安普敦</v>
      </c>
      <c r="H141" s="9" t="str">
        <f>IFERROR(__xludf.DUMMYFUNCTION("GOOGLETRANSLATE($A141,""en"",""ja"")"),"サウサンプトン")</f>
        <v>サウサンプトン</v>
      </c>
      <c r="I141" s="9" t="str">
        <f>IFERROR(__xludf.DUMMYFUNCTION("GOOGLETRANSLATE($A141,""en"",""ko"")"),"사우샘프턴")</f>
        <v>사우샘프턴</v>
      </c>
      <c r="J141" s="9" t="str">
        <f>IFERROR(__xludf.DUMMYFUNCTION("GOOGLETRANSLATE($A141,""en"",""pt-BR"")"),"Southampton")</f>
        <v>Southampton</v>
      </c>
    </row>
    <row r="142">
      <c r="A142" s="9" t="str">
        <f>IFERROR(__xludf.DUMMYFUNCTION("""COMPUTED_VALUE"""),"Redcar and Cleveland")</f>
        <v>Redcar and Cleveland</v>
      </c>
      <c r="B142" s="9" t="str">
        <f>IFERROR(__xludf.DUMMYFUNCTION("""COMPUTED_VALUE"""),"gb-rcc")</f>
        <v>gb-rcc</v>
      </c>
      <c r="C142" s="9" t="str">
        <f>IFERROR(__xludf.DUMMYFUNCTION("GOOGLETRANSLATE($A142,""en"",""de"")"),"Redcar und Cleveland")</f>
        <v>Redcar und Cleveland</v>
      </c>
      <c r="D142" s="9" t="str">
        <f>IFERROR(__xludf.DUMMYFUNCTION("GOOGLETRANSLATE($A142,""en"",""fr"")"),"Redcar et Cleveland")</f>
        <v>Redcar et Cleveland</v>
      </c>
      <c r="E142" s="9" t="str">
        <f>IFERROR(__xludf.DUMMYFUNCTION("GOOGLETRANSLATE($A142,""en"",""es"")"),"Redcar y Cleveland")</f>
        <v>Redcar y Cleveland</v>
      </c>
      <c r="F142" s="9" t="str">
        <f>IFERROR(__xludf.DUMMYFUNCTION("GOOGLETRANSLATE($A142,""en"",""it"")"),"Redcar e Cleveland")</f>
        <v>Redcar e Cleveland</v>
      </c>
      <c r="G142" s="9" t="str">
        <f>IFERROR(__xludf.DUMMYFUNCTION("GOOGLETRANSLATE($A142,""en"",""zh-cn"")"),"雷德卡和克利夫兰")</f>
        <v>雷德卡和克利夫兰</v>
      </c>
      <c r="H142" s="9" t="str">
        <f>IFERROR(__xludf.DUMMYFUNCTION("GOOGLETRANSLATE($A142,""en"",""ja"")"),"レッドカーとクリーブランド")</f>
        <v>レッドカーとクリーブランド</v>
      </c>
      <c r="I142" s="9" t="str">
        <f>IFERROR(__xludf.DUMMYFUNCTION("GOOGLETRANSLATE($A142,""en"",""ko"")"),"레드카와 클리블랜드")</f>
        <v>레드카와 클리블랜드</v>
      </c>
      <c r="J142" s="9" t="str">
        <f>IFERROR(__xludf.DUMMYFUNCTION("GOOGLETRANSLATE($A142,""en"",""pt-BR"")"),"Redcar e Cleveland")</f>
        <v>Redcar e Cleveland</v>
      </c>
    </row>
    <row r="143">
      <c r="A143" s="9" t="str">
        <f>IFERROR(__xludf.DUMMYFUNCTION("""COMPUTED_VALUE"""),"Rutland")</f>
        <v>Rutland</v>
      </c>
      <c r="B143" s="9" t="str">
        <f>IFERROR(__xludf.DUMMYFUNCTION("""COMPUTED_VALUE"""),"gb-rut")</f>
        <v>gb-rut</v>
      </c>
      <c r="C143" s="9" t="str">
        <f>IFERROR(__xludf.DUMMYFUNCTION("GOOGLETRANSLATE($A143,""en"",""de"")"),"Rutland")</f>
        <v>Rutland</v>
      </c>
      <c r="D143" s="9" t="str">
        <f>IFERROR(__xludf.DUMMYFUNCTION("GOOGLETRANSLATE($A143,""en"",""fr"")"),"Rutland")</f>
        <v>Rutland</v>
      </c>
      <c r="E143" s="9" t="str">
        <f>IFERROR(__xludf.DUMMYFUNCTION("GOOGLETRANSLATE($A143,""en"",""es"")"),"rutland")</f>
        <v>rutland</v>
      </c>
      <c r="F143" s="9" t="str">
        <f>IFERROR(__xludf.DUMMYFUNCTION("GOOGLETRANSLATE($A143,""en"",""it"")"),"Rutland")</f>
        <v>Rutland</v>
      </c>
      <c r="G143" s="9" t="str">
        <f>IFERROR(__xludf.DUMMYFUNCTION("GOOGLETRANSLATE($A143,""en"",""zh-cn"")"),"拉特兰")</f>
        <v>拉特兰</v>
      </c>
      <c r="H143" s="9" t="str">
        <f>IFERROR(__xludf.DUMMYFUNCTION("GOOGLETRANSLATE($A143,""en"",""ja"")"),"ラトランド")</f>
        <v>ラトランド</v>
      </c>
      <c r="I143" s="9" t="str">
        <f>IFERROR(__xludf.DUMMYFUNCTION("GOOGLETRANSLATE($A143,""en"",""ko"")"),"러틀랜드")</f>
        <v>러틀랜드</v>
      </c>
      <c r="J143" s="9" t="str">
        <f>IFERROR(__xludf.DUMMYFUNCTION("GOOGLETRANSLATE($A143,""en"",""pt-BR"")"),"Rutland")</f>
        <v>Rutland</v>
      </c>
    </row>
    <row r="144">
      <c r="A144" s="9" t="str">
        <f>IFERROR(__xludf.DUMMYFUNCTION("""COMPUTED_VALUE"""),"Shropshire")</f>
        <v>Shropshire</v>
      </c>
      <c r="B144" s="9" t="str">
        <f>IFERROR(__xludf.DUMMYFUNCTION("""COMPUTED_VALUE"""),"gb-shr")</f>
        <v>gb-shr</v>
      </c>
      <c r="C144" s="9" t="str">
        <f>IFERROR(__xludf.DUMMYFUNCTION("GOOGLETRANSLATE($A144,""en"",""de"")"),"Shropshire")</f>
        <v>Shropshire</v>
      </c>
      <c r="D144" s="9" t="str">
        <f>IFERROR(__xludf.DUMMYFUNCTION("GOOGLETRANSLATE($A144,""en"",""fr"")"),"Shropshire")</f>
        <v>Shropshire</v>
      </c>
      <c r="E144" s="9" t="str">
        <f>IFERROR(__xludf.DUMMYFUNCTION("GOOGLETRANSLATE($A144,""en"",""es"")"),"Shropshire")</f>
        <v>Shropshire</v>
      </c>
      <c r="F144" s="9" t="str">
        <f>IFERROR(__xludf.DUMMYFUNCTION("GOOGLETRANSLATE($A144,""en"",""it"")"),"Shropshire")</f>
        <v>Shropshire</v>
      </c>
      <c r="G144" s="9" t="str">
        <f>IFERROR(__xludf.DUMMYFUNCTION("GOOGLETRANSLATE($A144,""en"",""zh-cn"")"),"什罗普郡")</f>
        <v>什罗普郡</v>
      </c>
      <c r="H144" s="9" t="str">
        <f>IFERROR(__xludf.DUMMYFUNCTION("GOOGLETRANSLATE($A144,""en"",""ja"")"),"シュロップシャー州")</f>
        <v>シュロップシャー州</v>
      </c>
      <c r="I144" s="9" t="str">
        <f>IFERROR(__xludf.DUMMYFUNCTION("GOOGLETRANSLATE($A144,""en"",""ko"")"),"슈롭셔")</f>
        <v>슈롭셔</v>
      </c>
      <c r="J144" s="9" t="str">
        <f>IFERROR(__xludf.DUMMYFUNCTION("GOOGLETRANSLATE($A144,""en"",""pt-BR"")"),"Shropshire")</f>
        <v>Shropshire</v>
      </c>
    </row>
    <row r="145">
      <c r="A145" s="9" t="str">
        <f>IFERROR(__xludf.DUMMYFUNCTION("""COMPUTED_VALUE"""),"Slough")</f>
        <v>Slough</v>
      </c>
      <c r="B145" s="9" t="str">
        <f>IFERROR(__xludf.DUMMYFUNCTION("""COMPUTED_VALUE"""),"gb-slg")</f>
        <v>gb-slg</v>
      </c>
      <c r="C145" s="9" t="str">
        <f>IFERROR(__xludf.DUMMYFUNCTION("GOOGLETRANSLATE($A145,""en"",""de"")"),"Sumpf")</f>
        <v>Sumpf</v>
      </c>
      <c r="D145" s="9" t="str">
        <f>IFERROR(__xludf.DUMMYFUNCTION("GOOGLETRANSLATE($A145,""en"",""fr"")"),"Bourbier")</f>
        <v>Bourbier</v>
      </c>
      <c r="E145" s="9" t="str">
        <f>IFERROR(__xludf.DUMMYFUNCTION("GOOGLETRANSLATE($A145,""en"",""es"")"),"Mudar")</f>
        <v>Mudar</v>
      </c>
      <c r="F145" s="9" t="str">
        <f>IFERROR(__xludf.DUMMYFUNCTION("GOOGLETRANSLATE($A145,""en"",""it"")"),"Pantano")</f>
        <v>Pantano</v>
      </c>
      <c r="G145" s="9" t="str">
        <f>IFERROR(__xludf.DUMMYFUNCTION("GOOGLETRANSLATE($A145,""en"",""zh-cn"")"),"泥沼")</f>
        <v>泥沼</v>
      </c>
      <c r="H145" s="9" t="str">
        <f>IFERROR(__xludf.DUMMYFUNCTION("GOOGLETRANSLATE($A145,""en"",""ja"")"),"スラウ")</f>
        <v>スラウ</v>
      </c>
      <c r="I145" s="9" t="str">
        <f>IFERROR(__xludf.DUMMYFUNCTION("GOOGLETRANSLATE($A145,""en"",""ko"")"),"허물")</f>
        <v>허물</v>
      </c>
      <c r="J145" s="9" t="str">
        <f>IFERROR(__xludf.DUMMYFUNCTION("GOOGLETRANSLATE($A145,""en"",""pt-BR"")"),"Pântano")</f>
        <v>Pântano</v>
      </c>
    </row>
    <row r="146">
      <c r="A146" s="9" t="str">
        <f>IFERROR(__xludf.DUMMYFUNCTION("""COMPUTED_VALUE"""),"Jersey")</f>
        <v>Jersey</v>
      </c>
      <c r="B146" s="9" t="str">
        <f>IFERROR(__xludf.DUMMYFUNCTION("""COMPUTED_VALUE"""),"gb-jsy")</f>
        <v>gb-jsy</v>
      </c>
      <c r="C146" s="9" t="str">
        <f>IFERROR(__xludf.DUMMYFUNCTION("GOOGLETRANSLATE($A146,""en"",""de"")"),"Jersey")</f>
        <v>Jersey</v>
      </c>
      <c r="D146" s="9" t="str">
        <f>IFERROR(__xludf.DUMMYFUNCTION("GOOGLETRANSLATE($A146,""en"",""fr"")"),"Jersey")</f>
        <v>Jersey</v>
      </c>
      <c r="E146" s="9" t="str">
        <f>IFERROR(__xludf.DUMMYFUNCTION("GOOGLETRANSLATE($A146,""en"",""es"")"),"Jersey")</f>
        <v>Jersey</v>
      </c>
      <c r="F146" s="9" t="str">
        <f>IFERROR(__xludf.DUMMYFUNCTION("GOOGLETRANSLATE($A146,""en"",""it"")"),"Maglia")</f>
        <v>Maglia</v>
      </c>
      <c r="G146" s="9" t="str">
        <f>IFERROR(__xludf.DUMMYFUNCTION("GOOGLETRANSLATE($A146,""en"",""zh-cn"")"),"球衣")</f>
        <v>球衣</v>
      </c>
      <c r="H146" s="9" t="str">
        <f>IFERROR(__xludf.DUMMYFUNCTION("GOOGLETRANSLATE($A146,""en"",""ja"")"),"ジャージー")</f>
        <v>ジャージー</v>
      </c>
      <c r="I146" s="9" t="str">
        <f>IFERROR(__xludf.DUMMYFUNCTION("GOOGLETRANSLATE($A146,""en"",""ko"")"),"저지")</f>
        <v>저지</v>
      </c>
      <c r="J146" s="9" t="str">
        <f>IFERROR(__xludf.DUMMYFUNCTION("GOOGLETRANSLATE($A146,""en"",""pt-BR"")"),"Jersey")</f>
        <v>Jersey</v>
      </c>
    </row>
    <row r="147">
      <c r="A147" s="9" t="str">
        <f>IFERROR(__xludf.DUMMYFUNCTION("""COMPUTED_VALUE"""),"Knowsley")</f>
        <v>Knowsley</v>
      </c>
      <c r="B147" s="9" t="str">
        <f>IFERROR(__xludf.DUMMYFUNCTION("""COMPUTED_VALUE"""),"gb-kwl")</f>
        <v>gb-kwl</v>
      </c>
      <c r="C147" s="9" t="str">
        <f>IFERROR(__xludf.DUMMYFUNCTION("GOOGLETRANSLATE($A147,""en"",""de"")"),"Knowsley")</f>
        <v>Knowsley</v>
      </c>
      <c r="D147" s="9" t="str">
        <f>IFERROR(__xludf.DUMMYFUNCTION("GOOGLETRANSLATE($A147,""en"",""fr"")"),"Knowsley")</f>
        <v>Knowsley</v>
      </c>
      <c r="E147" s="9" t="str">
        <f>IFERROR(__xludf.DUMMYFUNCTION("GOOGLETRANSLATE($A147,""en"",""es"")"),"Knowsley")</f>
        <v>Knowsley</v>
      </c>
      <c r="F147" s="9" t="str">
        <f>IFERROR(__xludf.DUMMYFUNCTION("GOOGLETRANSLATE($A147,""en"",""it"")"),"Knowsley")</f>
        <v>Knowsley</v>
      </c>
      <c r="G147" s="9" t="str">
        <f>IFERROR(__xludf.DUMMYFUNCTION("GOOGLETRANSLATE($A147,""en"",""zh-cn"")"),"诺斯利")</f>
        <v>诺斯利</v>
      </c>
      <c r="H147" s="9" t="str">
        <f>IFERROR(__xludf.DUMMYFUNCTION("GOOGLETRANSLATE($A147,""en"",""ja"")"),"ノーズリー")</f>
        <v>ノーズリー</v>
      </c>
      <c r="I147" s="9" t="str">
        <f>IFERROR(__xludf.DUMMYFUNCTION("GOOGLETRANSLATE($A147,""en"",""ko"")"),"노슬리")</f>
        <v>노슬리</v>
      </c>
      <c r="J147" s="9" t="str">
        <f>IFERROR(__xludf.DUMMYFUNCTION("GOOGLETRANSLATE($A147,""en"",""pt-BR"")"),"Knowsley")</f>
        <v>Knowsley</v>
      </c>
    </row>
    <row r="148">
      <c r="A148" s="9" t="str">
        <f>IFERROR(__xludf.DUMMYFUNCTION("""COMPUTED_VALUE"""),"Leeds")</f>
        <v>Leeds</v>
      </c>
      <c r="B148" s="9" t="str">
        <f>IFERROR(__xludf.DUMMYFUNCTION("""COMPUTED_VALUE"""),"gb-lds")</f>
        <v>gb-lds</v>
      </c>
      <c r="C148" s="9" t="str">
        <f>IFERROR(__xludf.DUMMYFUNCTION("GOOGLETRANSLATE($A148,""en"",""de"")"),"Leeds")</f>
        <v>Leeds</v>
      </c>
      <c r="D148" s="9" t="str">
        <f>IFERROR(__xludf.DUMMYFUNCTION("GOOGLETRANSLATE($A148,""en"",""fr"")"),"Leeds")</f>
        <v>Leeds</v>
      </c>
      <c r="E148" s="9" t="str">
        <f>IFERROR(__xludf.DUMMYFUNCTION("GOOGLETRANSLATE($A148,""en"",""es"")"),"leeds")</f>
        <v>leeds</v>
      </c>
      <c r="F148" s="9" t="str">
        <f>IFERROR(__xludf.DUMMYFUNCTION("GOOGLETRANSLATE($A148,""en"",""it"")"),"Leeds")</f>
        <v>Leeds</v>
      </c>
      <c r="G148" s="9" t="str">
        <f>IFERROR(__xludf.DUMMYFUNCTION("GOOGLETRANSLATE($A148,""en"",""zh-cn"")"),"利兹")</f>
        <v>利兹</v>
      </c>
      <c r="H148" s="9" t="str">
        <f>IFERROR(__xludf.DUMMYFUNCTION("GOOGLETRANSLATE($A148,""en"",""ja"")"),"リーズ")</f>
        <v>リーズ</v>
      </c>
      <c r="I148" s="9" t="str">
        <f>IFERROR(__xludf.DUMMYFUNCTION("GOOGLETRANSLATE($A148,""en"",""ko"")"),"리즈")</f>
        <v>리즈</v>
      </c>
      <c r="J148" s="9" t="str">
        <f>IFERROR(__xludf.DUMMYFUNCTION("GOOGLETRANSLATE($A148,""en"",""pt-BR"")"),"Leeds")</f>
        <v>Leeds</v>
      </c>
    </row>
    <row r="149">
      <c r="A149" s="9" t="str">
        <f>IFERROR(__xludf.DUMMYFUNCTION("""COMPUTED_VALUE"""),"Liverpool")</f>
        <v>Liverpool</v>
      </c>
      <c r="B149" s="9" t="str">
        <f>IFERROR(__xludf.DUMMYFUNCTION("""COMPUTED_VALUE"""),"gb-liv")</f>
        <v>gb-liv</v>
      </c>
      <c r="C149" s="9" t="str">
        <f>IFERROR(__xludf.DUMMYFUNCTION("GOOGLETRANSLATE($A149,""en"",""de"")"),"Liverpool")</f>
        <v>Liverpool</v>
      </c>
      <c r="D149" s="9" t="str">
        <f>IFERROR(__xludf.DUMMYFUNCTION("GOOGLETRANSLATE($A149,""en"",""fr"")"),"Liverpool")</f>
        <v>Liverpool</v>
      </c>
      <c r="E149" s="9" t="str">
        <f>IFERROR(__xludf.DUMMYFUNCTION("GOOGLETRANSLATE($A149,""en"",""es"")"),"Liverpool")</f>
        <v>Liverpool</v>
      </c>
      <c r="F149" s="9" t="str">
        <f>IFERROR(__xludf.DUMMYFUNCTION("GOOGLETRANSLATE($A149,""en"",""it"")"),"Liverpool")</f>
        <v>Liverpool</v>
      </c>
      <c r="G149" s="9" t="str">
        <f>IFERROR(__xludf.DUMMYFUNCTION("GOOGLETRANSLATE($A149,""en"",""zh-cn"")"),"利物浦")</f>
        <v>利物浦</v>
      </c>
      <c r="H149" s="9" t="str">
        <f>IFERROR(__xludf.DUMMYFUNCTION("GOOGLETRANSLATE($A149,""en"",""ja"")"),"リバプール")</f>
        <v>リバプール</v>
      </c>
      <c r="I149" s="9" t="str">
        <f>IFERROR(__xludf.DUMMYFUNCTION("GOOGLETRANSLATE($A149,""en"",""ko"")"),"리버풀")</f>
        <v>리버풀</v>
      </c>
      <c r="J149" s="9" t="str">
        <f>IFERROR(__xludf.DUMMYFUNCTION("GOOGLETRANSLATE($A149,""en"",""pt-BR"")"),"Liverpool")</f>
        <v>Liverpool</v>
      </c>
    </row>
    <row r="150">
      <c r="A150" s="9" t="str">
        <f>IFERROR(__xludf.DUMMYFUNCTION("""COMPUTED_VALUE"""),"Manchester (GB)")</f>
        <v>Manchester (GB)</v>
      </c>
      <c r="B150" s="9" t="str">
        <f>IFERROR(__xludf.DUMMYFUNCTION("""COMPUTED_VALUE"""),"gb-man")</f>
        <v>gb-man</v>
      </c>
      <c r="C150" s="9" t="str">
        <f>IFERROR(__xludf.DUMMYFUNCTION("GOOGLETRANSLATE($A150,""en"",""de"")"),"Manchester (GB)")</f>
        <v>Manchester (GB)</v>
      </c>
      <c r="D150" s="9" t="str">
        <f>IFERROR(__xludf.DUMMYFUNCTION("GOOGLETRANSLATE($A150,""en"",""fr"")"),"Manchester (GB)")</f>
        <v>Manchester (GB)</v>
      </c>
      <c r="E150" s="9" t="str">
        <f>IFERROR(__xludf.DUMMYFUNCTION("GOOGLETRANSLATE($A150,""en"",""es"")"),"Mánchester (GB)")</f>
        <v>Mánchester (GB)</v>
      </c>
      <c r="F150" s="9" t="str">
        <f>IFERROR(__xludf.DUMMYFUNCTION("GOOGLETRANSLATE($A150,""en"",""it"")"),"Manchester (GB)")</f>
        <v>Manchester (GB)</v>
      </c>
      <c r="G150" s="9" t="str">
        <f>IFERROR(__xludf.DUMMYFUNCTION("GOOGLETRANSLATE($A150,""en"",""zh-cn"")"),"曼彻斯特（英国）")</f>
        <v>曼彻斯特（英国）</v>
      </c>
      <c r="H150" s="9" t="str">
        <f>IFERROR(__xludf.DUMMYFUNCTION("GOOGLETRANSLATE($A150,""en"",""ja"")"),"マンチェスター (イギリス)")</f>
        <v>マンチェスター (イギリス)</v>
      </c>
      <c r="I150" s="9" t="str">
        <f>IFERROR(__xludf.DUMMYFUNCTION("GOOGLETRANSLATE($A150,""en"",""ko"")"),"맨체스터(GB)")</f>
        <v>맨체스터(GB)</v>
      </c>
      <c r="J150" s="9" t="str">
        <f>IFERROR(__xludf.DUMMYFUNCTION("GOOGLETRANSLATE($A150,""en"",""pt-BR"")"),"Manchester (GB)")</f>
        <v>Manchester (GB)</v>
      </c>
    </row>
    <row r="151">
      <c r="A151" s="9" t="str">
        <f>IFERROR(__xludf.DUMMYFUNCTION("""COMPUTED_VALUE"""),"Doncaster")</f>
        <v>Doncaster</v>
      </c>
      <c r="B151" s="9" t="str">
        <f>IFERROR(__xludf.DUMMYFUNCTION("""COMPUTED_VALUE"""),"gb-dnc")</f>
        <v>gb-dnc</v>
      </c>
      <c r="C151" s="9" t="str">
        <f>IFERROR(__xludf.DUMMYFUNCTION("GOOGLETRANSLATE($A151,""en"",""de"")"),"Doncaster")</f>
        <v>Doncaster</v>
      </c>
      <c r="D151" s="9" t="str">
        <f>IFERROR(__xludf.DUMMYFUNCTION("GOOGLETRANSLATE($A151,""en"",""fr"")"),"Doncaster")</f>
        <v>Doncaster</v>
      </c>
      <c r="E151" s="9" t="str">
        <f>IFERROR(__xludf.DUMMYFUNCTION("GOOGLETRANSLATE($A151,""en"",""es"")"),"Doncaster")</f>
        <v>Doncaster</v>
      </c>
      <c r="F151" s="9" t="str">
        <f>IFERROR(__xludf.DUMMYFUNCTION("GOOGLETRANSLATE($A151,""en"",""it"")"),"Doncaster")</f>
        <v>Doncaster</v>
      </c>
      <c r="G151" s="9" t="str">
        <f>IFERROR(__xludf.DUMMYFUNCTION("GOOGLETRANSLATE($A151,""en"",""zh-cn"")"),"唐卡斯特")</f>
        <v>唐卡斯特</v>
      </c>
      <c r="H151" s="9" t="str">
        <f>IFERROR(__xludf.DUMMYFUNCTION("GOOGLETRANSLATE($A151,""en"",""ja"")"),"ドンカスター")</f>
        <v>ドンカスター</v>
      </c>
      <c r="I151" s="9" t="str">
        <f>IFERROR(__xludf.DUMMYFUNCTION("GOOGLETRANSLATE($A151,""en"",""ko"")"),"돈캐스터")</f>
        <v>돈캐스터</v>
      </c>
      <c r="J151" s="9" t="str">
        <f>IFERROR(__xludf.DUMMYFUNCTION("GOOGLETRANSLATE($A151,""en"",""pt-BR"")"),"Doncaster")</f>
        <v>Doncaster</v>
      </c>
    </row>
    <row r="152">
      <c r="A152" s="9" t="str">
        <f>IFERROR(__xludf.DUMMYFUNCTION("""COMPUTED_VALUE"""),"Dudley")</f>
        <v>Dudley</v>
      </c>
      <c r="B152" s="9" t="str">
        <f>IFERROR(__xludf.DUMMYFUNCTION("""COMPUTED_VALUE"""),"gb-dud")</f>
        <v>gb-dud</v>
      </c>
      <c r="C152" s="9" t="str">
        <f>IFERROR(__xludf.DUMMYFUNCTION("GOOGLETRANSLATE($A152,""en"",""de"")"),"Dudley")</f>
        <v>Dudley</v>
      </c>
      <c r="D152" s="9" t="str">
        <f>IFERROR(__xludf.DUMMYFUNCTION("GOOGLETRANSLATE($A152,""en"",""fr"")"),"Dudley")</f>
        <v>Dudley</v>
      </c>
      <c r="E152" s="9" t="str">
        <f>IFERROR(__xludf.DUMMYFUNCTION("GOOGLETRANSLATE($A152,""en"",""es"")"),"Dudley")</f>
        <v>Dudley</v>
      </c>
      <c r="F152" s="9" t="str">
        <f>IFERROR(__xludf.DUMMYFUNCTION("GOOGLETRANSLATE($A152,""en"",""it"")"),"Dudley")</f>
        <v>Dudley</v>
      </c>
      <c r="G152" s="9" t="str">
        <f>IFERROR(__xludf.DUMMYFUNCTION("GOOGLETRANSLATE($A152,""en"",""zh-cn"")"),"达德利")</f>
        <v>达德利</v>
      </c>
      <c r="H152" s="9" t="str">
        <f>IFERROR(__xludf.DUMMYFUNCTION("GOOGLETRANSLATE($A152,""en"",""ja"")"),"ダドリー")</f>
        <v>ダドリー</v>
      </c>
      <c r="I152" s="9" t="str">
        <f>IFERROR(__xludf.DUMMYFUNCTION("GOOGLETRANSLATE($A152,""en"",""ko"")"),"더들리")</f>
        <v>더들리</v>
      </c>
      <c r="J152" s="9" t="str">
        <f>IFERROR(__xludf.DUMMYFUNCTION("GOOGLETRANSLATE($A152,""en"",""pt-BR"")"),"Dudley")</f>
        <v>Dudley</v>
      </c>
    </row>
    <row r="153">
      <c r="A153" s="9" t="str">
        <f>IFERROR(__xludf.DUMMYFUNCTION("""COMPUTED_VALUE"""),"Gateshead")</f>
        <v>Gateshead</v>
      </c>
      <c r="B153" s="9" t="str">
        <f>IFERROR(__xludf.DUMMYFUNCTION("""COMPUTED_VALUE"""),"gb-gat")</f>
        <v>gb-gat</v>
      </c>
      <c r="C153" s="9" t="str">
        <f>IFERROR(__xludf.DUMMYFUNCTION("GOOGLETRANSLATE($A153,""en"",""de"")"),"Gateshead")</f>
        <v>Gateshead</v>
      </c>
      <c r="D153" s="9" t="str">
        <f>IFERROR(__xludf.DUMMYFUNCTION("GOOGLETRANSLATE($A153,""en"",""fr"")"),"Tête de porte")</f>
        <v>Tête de porte</v>
      </c>
      <c r="E153" s="9" t="str">
        <f>IFERROR(__xludf.DUMMYFUNCTION("GOOGLETRANSLATE($A153,""en"",""es"")"),"puerta")</f>
        <v>puerta</v>
      </c>
      <c r="F153" s="9" t="str">
        <f>IFERROR(__xludf.DUMMYFUNCTION("GOOGLETRANSLATE($A153,""en"",""it"")"),"Gateshead")</f>
        <v>Gateshead</v>
      </c>
      <c r="G153" s="9" t="str">
        <f>IFERROR(__xludf.DUMMYFUNCTION("GOOGLETRANSLATE($A153,""en"",""zh-cn"")"),"盖茨黑德")</f>
        <v>盖茨黑德</v>
      </c>
      <c r="H153" s="9" t="str">
        <f>IFERROR(__xludf.DUMMYFUNCTION("GOOGLETRANSLATE($A153,""en"",""ja"")"),"ゲーツヘッド")</f>
        <v>ゲーツヘッド</v>
      </c>
      <c r="I153" s="9" t="str">
        <f>IFERROR(__xludf.DUMMYFUNCTION("GOOGLETRANSLATE($A153,""en"",""ko"")"),"게이츠헤드")</f>
        <v>게이츠헤드</v>
      </c>
      <c r="J153" s="9" t="str">
        <f>IFERROR(__xludf.DUMMYFUNCTION("GOOGLETRANSLATE($A153,""en"",""pt-BR"")"),"Gateshead")</f>
        <v>Gateshead</v>
      </c>
    </row>
    <row r="154">
      <c r="A154" s="9" t="str">
        <f>IFERROR(__xludf.DUMMYFUNCTION("""COMPUTED_VALUE"""),"Kirklees")</f>
        <v>Kirklees</v>
      </c>
      <c r="B154" s="9" t="str">
        <f>IFERROR(__xludf.DUMMYFUNCTION("""COMPUTED_VALUE"""),"gb-kir")</f>
        <v>gb-kir</v>
      </c>
      <c r="C154" s="9" t="str">
        <f>IFERROR(__xludf.DUMMYFUNCTION("GOOGLETRANSLATE($A154,""en"",""de"")"),"Kirklees")</f>
        <v>Kirklees</v>
      </c>
      <c r="D154" s="9" t="str">
        <f>IFERROR(__xludf.DUMMYFUNCTION("GOOGLETRANSLATE($A154,""en"",""fr"")"),"Kirklee")</f>
        <v>Kirklee</v>
      </c>
      <c r="E154" s="9" t="str">
        <f>IFERROR(__xludf.DUMMYFUNCTION("GOOGLETRANSLATE($A154,""en"",""es"")"),"Kirklees")</f>
        <v>Kirklees</v>
      </c>
      <c r="F154" s="9" t="str">
        <f>IFERROR(__xludf.DUMMYFUNCTION("GOOGLETRANSLATE($A154,""en"",""it"")"),"Kirklees")</f>
        <v>Kirklees</v>
      </c>
      <c r="G154" s="9" t="str">
        <f>IFERROR(__xludf.DUMMYFUNCTION("GOOGLETRANSLATE($A154,""en"",""zh-cn"")"),"柯克利斯")</f>
        <v>柯克利斯</v>
      </c>
      <c r="H154" s="9" t="str">
        <f>IFERROR(__xludf.DUMMYFUNCTION("GOOGLETRANSLATE($A154,""en"",""ja"")"),"カークリーズ")</f>
        <v>カークリーズ</v>
      </c>
      <c r="I154" s="9" t="str">
        <f>IFERROR(__xludf.DUMMYFUNCTION("GOOGLETRANSLATE($A154,""en"",""ko"")"),"커클리스")</f>
        <v>커클리스</v>
      </c>
      <c r="J154" s="9" t="str">
        <f>IFERROR(__xludf.DUMMYFUNCTION("GOOGLETRANSLATE($A154,""en"",""pt-BR"")"),"Kirklees")</f>
        <v>Kirklees</v>
      </c>
    </row>
    <row r="155">
      <c r="A155" s="9" t="str">
        <f>IFERROR(__xludf.DUMMYFUNCTION("""COMPUTED_VALUE"""),"Scotland")</f>
        <v>Scotland</v>
      </c>
      <c r="B155" s="9" t="str">
        <f>IFERROR(__xludf.DUMMYFUNCTION("""COMPUTED_VALUE"""),"gb-sct")</f>
        <v>gb-sct</v>
      </c>
      <c r="C155" s="9" t="str">
        <f>IFERROR(__xludf.DUMMYFUNCTION("GOOGLETRANSLATE($A155,""en"",""de"")"),"Schottland")</f>
        <v>Schottland</v>
      </c>
      <c r="D155" s="9" t="str">
        <f>IFERROR(__xludf.DUMMYFUNCTION("GOOGLETRANSLATE($A155,""en"",""fr"")"),"Écosse")</f>
        <v>Écosse</v>
      </c>
      <c r="E155" s="9" t="str">
        <f>IFERROR(__xludf.DUMMYFUNCTION("GOOGLETRANSLATE($A155,""en"",""es"")"),"Escocia")</f>
        <v>Escocia</v>
      </c>
      <c r="F155" s="9" t="str">
        <f>IFERROR(__xludf.DUMMYFUNCTION("GOOGLETRANSLATE($A155,""en"",""it"")"),"Scozia")</f>
        <v>Scozia</v>
      </c>
      <c r="G155" s="9" t="str">
        <f>IFERROR(__xludf.DUMMYFUNCTION("GOOGLETRANSLATE($A155,""en"",""zh-cn"")"),"苏格兰")</f>
        <v>苏格兰</v>
      </c>
      <c r="H155" s="9" t="str">
        <f>IFERROR(__xludf.DUMMYFUNCTION("GOOGLETRANSLATE($A155,""en"",""ja"")"),"スコットランド")</f>
        <v>スコットランド</v>
      </c>
      <c r="I155" s="9" t="str">
        <f>IFERROR(__xludf.DUMMYFUNCTION("GOOGLETRANSLATE($A155,""en"",""ko"")"),"스코틀랜드")</f>
        <v>스코틀랜드</v>
      </c>
      <c r="J155" s="9" t="str">
        <f>IFERROR(__xludf.DUMMYFUNCTION("GOOGLETRANSLATE($A155,""en"",""pt-BR"")"),"Escócia")</f>
        <v>Escócia</v>
      </c>
    </row>
    <row r="156">
      <c r="A156" s="9" t="str">
        <f>IFERROR(__xludf.DUMMYFUNCTION("""COMPUTED_VALUE"""),"Bradford")</f>
        <v>Bradford</v>
      </c>
      <c r="B156" s="9" t="str">
        <f>IFERROR(__xludf.DUMMYFUNCTION("""COMPUTED_VALUE"""),"gb-brd")</f>
        <v>gb-brd</v>
      </c>
      <c r="C156" s="9" t="str">
        <f>IFERROR(__xludf.DUMMYFUNCTION("GOOGLETRANSLATE($A156,""en"",""de"")"),"Bradford")</f>
        <v>Bradford</v>
      </c>
      <c r="D156" s="9" t="str">
        <f>IFERROR(__xludf.DUMMYFUNCTION("GOOGLETRANSLATE($A156,""en"",""fr"")"),"Bradford")</f>
        <v>Bradford</v>
      </c>
      <c r="E156" s="9" t="str">
        <f>IFERROR(__xludf.DUMMYFUNCTION("GOOGLETRANSLATE($A156,""en"",""es"")"),"bradford")</f>
        <v>bradford</v>
      </c>
      <c r="F156" s="9" t="str">
        <f>IFERROR(__xludf.DUMMYFUNCTION("GOOGLETRANSLATE($A156,""en"",""it"")"),"Bradford")</f>
        <v>Bradford</v>
      </c>
      <c r="G156" s="9" t="str">
        <f>IFERROR(__xludf.DUMMYFUNCTION("GOOGLETRANSLATE($A156,""en"",""zh-cn"")"),"布拉德福德")</f>
        <v>布拉德福德</v>
      </c>
      <c r="H156" s="9" t="str">
        <f>IFERROR(__xludf.DUMMYFUNCTION("GOOGLETRANSLATE($A156,""en"",""ja"")"),"ブラッドフォード")</f>
        <v>ブラッドフォード</v>
      </c>
      <c r="I156" s="9" t="str">
        <f>IFERROR(__xludf.DUMMYFUNCTION("GOOGLETRANSLATE($A156,""en"",""ko"")"),"브래드포드")</f>
        <v>브래드포드</v>
      </c>
      <c r="J156" s="9" t="str">
        <f>IFERROR(__xludf.DUMMYFUNCTION("GOOGLETRANSLATE($A156,""en"",""pt-BR"")"),"Bradford")</f>
        <v>Bradford</v>
      </c>
    </row>
    <row r="157">
      <c r="A157" s="9" t="str">
        <f>IFERROR(__xludf.DUMMYFUNCTION("""COMPUTED_VALUE"""),"Bury")</f>
        <v>Bury</v>
      </c>
      <c r="B157" s="9" t="str">
        <f>IFERROR(__xludf.DUMMYFUNCTION("""COMPUTED_VALUE"""),"gb-bur")</f>
        <v>gb-bur</v>
      </c>
      <c r="C157" s="9" t="str">
        <f>IFERROR(__xludf.DUMMYFUNCTION("GOOGLETRANSLATE($A157,""en"",""de"")"),"Begraben")</f>
        <v>Begraben</v>
      </c>
      <c r="D157" s="9" t="str">
        <f>IFERROR(__xludf.DUMMYFUNCTION("GOOGLETRANSLATE($A157,""en"",""fr"")"),"Enterrer")</f>
        <v>Enterrer</v>
      </c>
      <c r="E157" s="9" t="str">
        <f>IFERROR(__xludf.DUMMYFUNCTION("GOOGLETRANSLATE($A157,""en"",""es"")"),"Enterrar")</f>
        <v>Enterrar</v>
      </c>
      <c r="F157" s="9" t="str">
        <f>IFERROR(__xludf.DUMMYFUNCTION("GOOGLETRANSLATE($A157,""en"",""it"")"),"Seppellire")</f>
        <v>Seppellire</v>
      </c>
      <c r="G157" s="9" t="str">
        <f>IFERROR(__xludf.DUMMYFUNCTION("GOOGLETRANSLATE($A157,""en"",""zh-cn"")"),"埋葬")</f>
        <v>埋葬</v>
      </c>
      <c r="H157" s="9" t="str">
        <f>IFERROR(__xludf.DUMMYFUNCTION("GOOGLETRANSLATE($A157,""en"",""ja"")"),"埋める")</f>
        <v>埋める</v>
      </c>
      <c r="I157" s="9" t="str">
        <f>IFERROR(__xludf.DUMMYFUNCTION("GOOGLETRANSLATE($A157,""en"",""ko"")"),"묻다")</f>
        <v>묻다</v>
      </c>
      <c r="J157" s="9" t="str">
        <f>IFERROR(__xludf.DUMMYFUNCTION("GOOGLETRANSLATE($A157,""en"",""pt-BR"")"),"Enterrar")</f>
        <v>Enterrar</v>
      </c>
    </row>
    <row r="158">
      <c r="A158" s="9" t="str">
        <f>IFERROR(__xludf.DUMMYFUNCTION("""COMPUTED_VALUE"""),"Calderdale")</f>
        <v>Calderdale</v>
      </c>
      <c r="B158" s="9" t="str">
        <f>IFERROR(__xludf.DUMMYFUNCTION("""COMPUTED_VALUE"""),"gb-cld")</f>
        <v>gb-cld</v>
      </c>
      <c r="C158" s="9" t="str">
        <f>IFERROR(__xludf.DUMMYFUNCTION("GOOGLETRANSLATE($A158,""en"",""de"")"),"Calderdale")</f>
        <v>Calderdale</v>
      </c>
      <c r="D158" s="9" t="str">
        <f>IFERROR(__xludf.DUMMYFUNCTION("GOOGLETRANSLATE($A158,""en"",""fr"")"),"Calderdale")</f>
        <v>Calderdale</v>
      </c>
      <c r="E158" s="9" t="str">
        <f>IFERROR(__xludf.DUMMYFUNCTION("GOOGLETRANSLATE($A158,""en"",""es"")"),"Calderdale")</f>
        <v>Calderdale</v>
      </c>
      <c r="F158" s="9" t="str">
        <f>IFERROR(__xludf.DUMMYFUNCTION("GOOGLETRANSLATE($A158,""en"",""it"")"),"Calderdale")</f>
        <v>Calderdale</v>
      </c>
      <c r="G158" s="9" t="str">
        <f>IFERROR(__xludf.DUMMYFUNCTION("GOOGLETRANSLATE($A158,""en"",""zh-cn"")"),"卡尔德代尔")</f>
        <v>卡尔德代尔</v>
      </c>
      <c r="H158" s="9" t="str">
        <f>IFERROR(__xludf.DUMMYFUNCTION("GOOGLETRANSLATE($A158,""en"",""ja"")"),"カルダーデール")</f>
        <v>カルダーデール</v>
      </c>
      <c r="I158" s="9" t="str">
        <f>IFERROR(__xludf.DUMMYFUNCTION("GOOGLETRANSLATE($A158,""en"",""ko"")"),"칼더데일")</f>
        <v>칼더데일</v>
      </c>
      <c r="J158" s="9" t="str">
        <f>IFERROR(__xludf.DUMMYFUNCTION("GOOGLETRANSLATE($A158,""en"",""pt-BR"")"),"Calderdale")</f>
        <v>Calderdale</v>
      </c>
    </row>
    <row r="159">
      <c r="A159" s="9" t="str">
        <f>IFERROR(__xludf.DUMMYFUNCTION("""COMPUTED_VALUE"""),"Coventry")</f>
        <v>Coventry</v>
      </c>
      <c r="B159" s="9" t="str">
        <f>IFERROR(__xludf.DUMMYFUNCTION("""COMPUTED_VALUE"""),"gb-cov")</f>
        <v>gb-cov</v>
      </c>
      <c r="C159" s="9" t="str">
        <f>IFERROR(__xludf.DUMMYFUNCTION("GOOGLETRANSLATE($A159,""en"",""de"")"),"Coventry")</f>
        <v>Coventry</v>
      </c>
      <c r="D159" s="9" t="str">
        <f>IFERROR(__xludf.DUMMYFUNCTION("GOOGLETRANSLATE($A159,""en"",""fr"")"),"Coventry")</f>
        <v>Coventry</v>
      </c>
      <c r="E159" s="9" t="str">
        <f>IFERROR(__xludf.DUMMYFUNCTION("GOOGLETRANSLATE($A159,""en"",""es"")"),"Coventry")</f>
        <v>Coventry</v>
      </c>
      <c r="F159" s="9" t="str">
        <f>IFERROR(__xludf.DUMMYFUNCTION("GOOGLETRANSLATE($A159,""en"",""it"")"),"Coventry")</f>
        <v>Coventry</v>
      </c>
      <c r="G159" s="9" t="str">
        <f>IFERROR(__xludf.DUMMYFUNCTION("GOOGLETRANSLATE($A159,""en"",""zh-cn"")"),"考文垂")</f>
        <v>考文垂</v>
      </c>
      <c r="H159" s="9" t="str">
        <f>IFERROR(__xludf.DUMMYFUNCTION("GOOGLETRANSLATE($A159,""en"",""ja"")"),"コベントリー")</f>
        <v>コベントリー</v>
      </c>
      <c r="I159" s="9" t="str">
        <f>IFERROR(__xludf.DUMMYFUNCTION("GOOGLETRANSLATE($A159,""en"",""ko"")"),"코번트리")</f>
        <v>코번트리</v>
      </c>
      <c r="J159" s="9" t="str">
        <f>IFERROR(__xludf.DUMMYFUNCTION("GOOGLETRANSLATE($A159,""en"",""pt-BR"")"),"Coventry")</f>
        <v>Coventry</v>
      </c>
    </row>
    <row r="160">
      <c r="A160" s="9" t="str">
        <f>IFERROR(__xludf.DUMMYFUNCTION("""COMPUTED_VALUE"""),"Westminster")</f>
        <v>Westminster</v>
      </c>
      <c r="B160" s="9" t="str">
        <f>IFERROR(__xludf.DUMMYFUNCTION("""COMPUTED_VALUE"""),"gb-wsm")</f>
        <v>gb-wsm</v>
      </c>
      <c r="C160" s="9" t="str">
        <f>IFERROR(__xludf.DUMMYFUNCTION("GOOGLETRANSLATE($A160,""en"",""de"")"),"Westminster")</f>
        <v>Westminster</v>
      </c>
      <c r="D160" s="9" t="str">
        <f>IFERROR(__xludf.DUMMYFUNCTION("GOOGLETRANSLATE($A160,""en"",""fr"")"),"Westminster")</f>
        <v>Westminster</v>
      </c>
      <c r="E160" s="9" t="str">
        <f>IFERROR(__xludf.DUMMYFUNCTION("GOOGLETRANSLATE($A160,""en"",""es"")"),"Westminster")</f>
        <v>Westminster</v>
      </c>
      <c r="F160" s="9" t="str">
        <f>IFERROR(__xludf.DUMMYFUNCTION("GOOGLETRANSLATE($A160,""en"",""it"")"),"Westminster")</f>
        <v>Westminster</v>
      </c>
      <c r="G160" s="9" t="str">
        <f>IFERROR(__xludf.DUMMYFUNCTION("GOOGLETRANSLATE($A160,""en"",""zh-cn"")"),"威斯敏斯特")</f>
        <v>威斯敏斯特</v>
      </c>
      <c r="H160" s="9" t="str">
        <f>IFERROR(__xludf.DUMMYFUNCTION("GOOGLETRANSLATE($A160,""en"",""ja"")"),"ウェストミンスター")</f>
        <v>ウェストミンスター</v>
      </c>
      <c r="I160" s="9" t="str">
        <f>IFERROR(__xludf.DUMMYFUNCTION("GOOGLETRANSLATE($A160,""en"",""ko"")"),"영국 국회 의사당")</f>
        <v>영국 국회 의사당</v>
      </c>
      <c r="J160" s="9" t="str">
        <f>IFERROR(__xludf.DUMMYFUNCTION("GOOGLETRANSLATE($A160,""en"",""pt-BR"")"),"Westminster")</f>
        <v>Westminster</v>
      </c>
    </row>
    <row r="161">
      <c r="A161" s="9" t="str">
        <f>IFERROR(__xludf.DUMMYFUNCTION("""COMPUTED_VALUE"""),"Barnsley")</f>
        <v>Barnsley</v>
      </c>
      <c r="B161" s="9" t="str">
        <f>IFERROR(__xludf.DUMMYFUNCTION("""COMPUTED_VALUE"""),"gb-bns")</f>
        <v>gb-bns</v>
      </c>
      <c r="C161" s="9" t="str">
        <f>IFERROR(__xludf.DUMMYFUNCTION("GOOGLETRANSLATE($A161,""en"",""de"")"),"Barnsley")</f>
        <v>Barnsley</v>
      </c>
      <c r="D161" s="9" t="str">
        <f>IFERROR(__xludf.DUMMYFUNCTION("GOOGLETRANSLATE($A161,""en"",""fr"")"),"Barnsley")</f>
        <v>Barnsley</v>
      </c>
      <c r="E161" s="9" t="str">
        <f>IFERROR(__xludf.DUMMYFUNCTION("GOOGLETRANSLATE($A161,""en"",""es"")"),"Barnsley")</f>
        <v>Barnsley</v>
      </c>
      <c r="F161" s="9" t="str">
        <f>IFERROR(__xludf.DUMMYFUNCTION("GOOGLETRANSLATE($A161,""en"",""it"")"),"Barnsley")</f>
        <v>Barnsley</v>
      </c>
      <c r="G161" s="9" t="str">
        <f>IFERROR(__xludf.DUMMYFUNCTION("GOOGLETRANSLATE($A161,""en"",""zh-cn"")"),"巴恩斯利")</f>
        <v>巴恩斯利</v>
      </c>
      <c r="H161" s="9" t="str">
        <f>IFERROR(__xludf.DUMMYFUNCTION("GOOGLETRANSLATE($A161,""en"",""ja"")"),"バーンズリー")</f>
        <v>バーンズリー</v>
      </c>
      <c r="I161" s="9" t="str">
        <f>IFERROR(__xludf.DUMMYFUNCTION("GOOGLETRANSLATE($A161,""en"",""ko"")"),"반슬리")</f>
        <v>반슬리</v>
      </c>
      <c r="J161" s="9" t="str">
        <f>IFERROR(__xludf.DUMMYFUNCTION("GOOGLETRANSLATE($A161,""en"",""pt-BR"")"),"Barnsley")</f>
        <v>Barnsley</v>
      </c>
    </row>
    <row r="162">
      <c r="A162" s="9" t="str">
        <f>IFERROR(__xludf.DUMMYFUNCTION("""COMPUTED_VALUE"""),"Birmingham")</f>
        <v>Birmingham</v>
      </c>
      <c r="B162" s="9" t="str">
        <f>IFERROR(__xludf.DUMMYFUNCTION("""COMPUTED_VALUE"""),"gb-bir")</f>
        <v>gb-bir</v>
      </c>
      <c r="C162" s="9" t="str">
        <f>IFERROR(__xludf.DUMMYFUNCTION("GOOGLETRANSLATE($A162,""en"",""de"")"),"Birmingham")</f>
        <v>Birmingham</v>
      </c>
      <c r="D162" s="9" t="str">
        <f>IFERROR(__xludf.DUMMYFUNCTION("GOOGLETRANSLATE($A162,""en"",""fr"")"),"Birmingham")</f>
        <v>Birmingham</v>
      </c>
      <c r="E162" s="9" t="str">
        <f>IFERROR(__xludf.DUMMYFUNCTION("GOOGLETRANSLATE($A162,""en"",""es"")"),"Birmingham")</f>
        <v>Birmingham</v>
      </c>
      <c r="F162" s="9" t="str">
        <f>IFERROR(__xludf.DUMMYFUNCTION("GOOGLETRANSLATE($A162,""en"",""it"")"),"Birmingham")</f>
        <v>Birmingham</v>
      </c>
      <c r="G162" s="9" t="str">
        <f>IFERROR(__xludf.DUMMYFUNCTION("GOOGLETRANSLATE($A162,""en"",""zh-cn"")"),"伯明翰")</f>
        <v>伯明翰</v>
      </c>
      <c r="H162" s="9" t="str">
        <f>IFERROR(__xludf.DUMMYFUNCTION("GOOGLETRANSLATE($A162,""en"",""ja"")"),"バーミンガム")</f>
        <v>バーミンガム</v>
      </c>
      <c r="I162" s="9" t="str">
        <f>IFERROR(__xludf.DUMMYFUNCTION("GOOGLETRANSLATE($A162,""en"",""ko"")"),"버밍엄")</f>
        <v>버밍엄</v>
      </c>
      <c r="J162" s="9" t="str">
        <f>IFERROR(__xludf.DUMMYFUNCTION("GOOGLETRANSLATE($A162,""en"",""pt-BR"")"),"Birmingham")</f>
        <v>Birmingham</v>
      </c>
    </row>
    <row r="163">
      <c r="A163" s="9" t="str">
        <f>IFERROR(__xludf.DUMMYFUNCTION("""COMPUTED_VALUE"""),"Bolton")</f>
        <v>Bolton</v>
      </c>
      <c r="B163" s="9" t="str">
        <f>IFERROR(__xludf.DUMMYFUNCTION("""COMPUTED_VALUE"""),"gb-bol")</f>
        <v>gb-bol</v>
      </c>
      <c r="C163" s="9" t="str">
        <f>IFERROR(__xludf.DUMMYFUNCTION("GOOGLETRANSLATE($A163,""en"",""de"")"),"Bolton")</f>
        <v>Bolton</v>
      </c>
      <c r="D163" s="9" t="str">
        <f>IFERROR(__xludf.DUMMYFUNCTION("GOOGLETRANSLATE($A163,""en"",""fr"")"),"Boulonner")</f>
        <v>Boulonner</v>
      </c>
      <c r="E163" s="9" t="str">
        <f>IFERROR(__xludf.DUMMYFUNCTION("GOOGLETRANSLATE($A163,""en"",""es"")"),"Bolton")</f>
        <v>Bolton</v>
      </c>
      <c r="F163" s="9" t="str">
        <f>IFERROR(__xludf.DUMMYFUNCTION("GOOGLETRANSLATE($A163,""en"",""it"")"),"Boltone")</f>
        <v>Boltone</v>
      </c>
      <c r="G163" s="9" t="str">
        <f>IFERROR(__xludf.DUMMYFUNCTION("GOOGLETRANSLATE($A163,""en"",""zh-cn"")"),"博尔顿")</f>
        <v>博尔顿</v>
      </c>
      <c r="H163" s="9" t="str">
        <f>IFERROR(__xludf.DUMMYFUNCTION("GOOGLETRANSLATE($A163,""en"",""ja"")"),"ボルトン")</f>
        <v>ボルトン</v>
      </c>
      <c r="I163" s="9" t="str">
        <f>IFERROR(__xludf.DUMMYFUNCTION("GOOGLETRANSLATE($A163,""en"",""ko"")"),"볼튼")</f>
        <v>볼튼</v>
      </c>
      <c r="J163" s="9" t="str">
        <f>IFERROR(__xludf.DUMMYFUNCTION("GOOGLETRANSLATE($A163,""en"",""pt-BR"")"),"Bolton")</f>
        <v>Bolton</v>
      </c>
    </row>
    <row r="164">
      <c r="A164" s="9" t="str">
        <f>IFERROR(__xludf.DUMMYFUNCTION("""COMPUTED_VALUE"""),"Stockport")</f>
        <v>Stockport</v>
      </c>
      <c r="B164" s="9" t="str">
        <f>IFERROR(__xludf.DUMMYFUNCTION("""COMPUTED_VALUE"""),"gb-skp")</f>
        <v>gb-skp</v>
      </c>
      <c r="C164" s="9" t="str">
        <f>IFERROR(__xludf.DUMMYFUNCTION("GOOGLETRANSLATE($A164,""en"",""de"")"),"Stockport")</f>
        <v>Stockport</v>
      </c>
      <c r="D164" s="9" t="str">
        <f>IFERROR(__xludf.DUMMYFUNCTION("GOOGLETRANSLATE($A164,""en"",""fr"")"),"Stockport")</f>
        <v>Stockport</v>
      </c>
      <c r="E164" s="9" t="str">
        <f>IFERROR(__xludf.DUMMYFUNCTION("GOOGLETRANSLATE($A164,""en"",""es"")"),"Stockport")</f>
        <v>Stockport</v>
      </c>
      <c r="F164" s="9" t="str">
        <f>IFERROR(__xludf.DUMMYFUNCTION("GOOGLETRANSLATE($A164,""en"",""it"")"),"Stockport")</f>
        <v>Stockport</v>
      </c>
      <c r="G164" s="9" t="str">
        <f>IFERROR(__xludf.DUMMYFUNCTION("GOOGLETRANSLATE($A164,""en"",""zh-cn"")"),"斯托克波特")</f>
        <v>斯托克波特</v>
      </c>
      <c r="H164" s="9" t="str">
        <f>IFERROR(__xludf.DUMMYFUNCTION("GOOGLETRANSLATE($A164,""en"",""ja"")"),"ストックポート")</f>
        <v>ストックポート</v>
      </c>
      <c r="I164" s="9" t="str">
        <f>IFERROR(__xludf.DUMMYFUNCTION("GOOGLETRANSLATE($A164,""en"",""ko"")"),"스톡포트")</f>
        <v>스톡포트</v>
      </c>
      <c r="J164" s="9" t="str">
        <f>IFERROR(__xludf.DUMMYFUNCTION("GOOGLETRANSLATE($A164,""en"",""pt-BR"")"),"Porto de Stock")</f>
        <v>Porto de Stock</v>
      </c>
    </row>
    <row r="165">
      <c r="A165" s="9" t="str">
        <f>IFERROR(__xludf.DUMMYFUNCTION("""COMPUTED_VALUE"""),"Sunderland")</f>
        <v>Sunderland</v>
      </c>
      <c r="B165" s="9" t="str">
        <f>IFERROR(__xludf.DUMMYFUNCTION("""COMPUTED_VALUE"""),"gb-snd")</f>
        <v>gb-snd</v>
      </c>
      <c r="C165" s="9" t="str">
        <f>IFERROR(__xludf.DUMMYFUNCTION("GOOGLETRANSLATE($A165,""en"",""de"")"),"Sunderland")</f>
        <v>Sunderland</v>
      </c>
      <c r="D165" s="9" t="str">
        <f>IFERROR(__xludf.DUMMYFUNCTION("GOOGLETRANSLATE($A165,""en"",""fr"")"),"Sunderland")</f>
        <v>Sunderland</v>
      </c>
      <c r="E165" s="9" t="str">
        <f>IFERROR(__xludf.DUMMYFUNCTION("GOOGLETRANSLATE($A165,""en"",""es"")"),"Sunderland")</f>
        <v>Sunderland</v>
      </c>
      <c r="F165" s="9" t="str">
        <f>IFERROR(__xludf.DUMMYFUNCTION("GOOGLETRANSLATE($A165,""en"",""it"")"),"Sunderland")</f>
        <v>Sunderland</v>
      </c>
      <c r="G165" s="9" t="str">
        <f>IFERROR(__xludf.DUMMYFUNCTION("GOOGLETRANSLATE($A165,""en"",""zh-cn"")"),"桑德兰")</f>
        <v>桑德兰</v>
      </c>
      <c r="H165" s="9" t="str">
        <f>IFERROR(__xludf.DUMMYFUNCTION("GOOGLETRANSLATE($A165,""en"",""ja"")"),"サンダーランド")</f>
        <v>サンダーランド</v>
      </c>
      <c r="I165" s="9" t="str">
        <f>IFERROR(__xludf.DUMMYFUNCTION("GOOGLETRANSLATE($A165,""en"",""ko"")"),"선덜랜드")</f>
        <v>선덜랜드</v>
      </c>
      <c r="J165" s="9" t="str">
        <f>IFERROR(__xludf.DUMMYFUNCTION("GOOGLETRANSLATE($A165,""en"",""pt-BR"")"),"Sunderland")</f>
        <v>Sunderland</v>
      </c>
    </row>
    <row r="166">
      <c r="A166" s="9" t="str">
        <f>IFERROR(__xludf.DUMMYFUNCTION("""COMPUTED_VALUE"""),"Tameside")</f>
        <v>Tameside</v>
      </c>
      <c r="B166" s="9" t="str">
        <f>IFERROR(__xludf.DUMMYFUNCTION("""COMPUTED_VALUE"""),"gb-tam")</f>
        <v>gb-tam</v>
      </c>
      <c r="C166" s="9" t="str">
        <f>IFERROR(__xludf.DUMMYFUNCTION("GOOGLETRANSLATE($A166,""en"",""de"")"),"Tameside")</f>
        <v>Tameside</v>
      </c>
      <c r="D166" s="9" t="str">
        <f>IFERROR(__xludf.DUMMYFUNCTION("GOOGLETRANSLATE($A166,""en"",""fr"")"),"Tameside")</f>
        <v>Tameside</v>
      </c>
      <c r="E166" s="9" t="str">
        <f>IFERROR(__xludf.DUMMYFUNCTION("GOOGLETRANSLATE($A166,""en"",""es"")"),"Tameside")</f>
        <v>Tameside</v>
      </c>
      <c r="F166" s="9" t="str">
        <f>IFERROR(__xludf.DUMMYFUNCTION("GOOGLETRANSLATE($A166,""en"",""it"")"),"Addomesticato")</f>
        <v>Addomesticato</v>
      </c>
      <c r="G166" s="9" t="str">
        <f>IFERROR(__xludf.DUMMYFUNCTION("GOOGLETRANSLATE($A166,""en"",""zh-cn"")"),"塔梅赛德")</f>
        <v>塔梅赛德</v>
      </c>
      <c r="H166" s="9" t="str">
        <f>IFERROR(__xludf.DUMMYFUNCTION("GOOGLETRANSLATE($A166,""en"",""ja"")"),"タムサイド")</f>
        <v>タムサイド</v>
      </c>
      <c r="I166" s="9" t="str">
        <f>IFERROR(__xludf.DUMMYFUNCTION("GOOGLETRANSLATE($A166,""en"",""ko"")"),"테임사이드")</f>
        <v>테임사이드</v>
      </c>
      <c r="J166" s="9" t="str">
        <f>IFERROR(__xludf.DUMMYFUNCTION("GOOGLETRANSLATE($A166,""en"",""pt-BR"")"),"Tameside")</f>
        <v>Tameside</v>
      </c>
    </row>
    <row r="167">
      <c r="A167" s="9" t="str">
        <f>IFERROR(__xludf.DUMMYFUNCTION("""COMPUTED_VALUE"""),"Trafford")</f>
        <v>Trafford</v>
      </c>
      <c r="B167" s="9" t="str">
        <f>IFERROR(__xludf.DUMMYFUNCTION("""COMPUTED_VALUE"""),"gb-trf")</f>
        <v>gb-trf</v>
      </c>
      <c r="C167" s="9" t="str">
        <f>IFERROR(__xludf.DUMMYFUNCTION("GOOGLETRANSLATE($A167,""en"",""de"")"),"Trafford")</f>
        <v>Trafford</v>
      </c>
      <c r="D167" s="9" t="str">
        <f>IFERROR(__xludf.DUMMYFUNCTION("GOOGLETRANSLATE($A167,""en"",""fr"")"),"Trafford")</f>
        <v>Trafford</v>
      </c>
      <c r="E167" s="9" t="str">
        <f>IFERROR(__xludf.DUMMYFUNCTION("GOOGLETRANSLATE($A167,""en"",""es"")"),"Trafford")</f>
        <v>Trafford</v>
      </c>
      <c r="F167" s="9" t="str">
        <f>IFERROR(__xludf.DUMMYFUNCTION("GOOGLETRANSLATE($A167,""en"",""it"")"),"Trafford")</f>
        <v>Trafford</v>
      </c>
      <c r="G167" s="9" t="str">
        <f>IFERROR(__xludf.DUMMYFUNCTION("GOOGLETRANSLATE($A167,""en"",""zh-cn"")"),"特拉福德")</f>
        <v>特拉福德</v>
      </c>
      <c r="H167" s="9" t="str">
        <f>IFERROR(__xludf.DUMMYFUNCTION("GOOGLETRANSLATE($A167,""en"",""ja"")"),"トラフォード")</f>
        <v>トラフォード</v>
      </c>
      <c r="I167" s="9" t="str">
        <f>IFERROR(__xludf.DUMMYFUNCTION("GOOGLETRANSLATE($A167,""en"",""ko"")"),"트래포드")</f>
        <v>트래포드</v>
      </c>
      <c r="J167" s="9" t="str">
        <f>IFERROR(__xludf.DUMMYFUNCTION("GOOGLETRANSLATE($A167,""en"",""pt-BR"")"),"Trafford")</f>
        <v>Trafford</v>
      </c>
    </row>
    <row r="168">
      <c r="A168" s="9" t="str">
        <f>IFERROR(__xludf.DUMMYFUNCTION("""COMPUTED_VALUE"""),"Sefton")</f>
        <v>Sefton</v>
      </c>
      <c r="B168" s="9" t="str">
        <f>IFERROR(__xludf.DUMMYFUNCTION("""COMPUTED_VALUE"""),"gb-sft")</f>
        <v>gb-sft</v>
      </c>
      <c r="C168" s="9" t="str">
        <f>IFERROR(__xludf.DUMMYFUNCTION("GOOGLETRANSLATE($A168,""en"",""de"")"),"Sefton")</f>
        <v>Sefton</v>
      </c>
      <c r="D168" s="9" t="str">
        <f>IFERROR(__xludf.DUMMYFUNCTION("GOOGLETRANSLATE($A168,""en"",""fr"")"),"Sefton")</f>
        <v>Sefton</v>
      </c>
      <c r="E168" s="9" t="str">
        <f>IFERROR(__xludf.DUMMYFUNCTION("GOOGLETRANSLATE($A168,""en"",""es"")"),"sefton")</f>
        <v>sefton</v>
      </c>
      <c r="F168" s="9" t="str">
        <f>IFERROR(__xludf.DUMMYFUNCTION("GOOGLETRANSLATE($A168,""en"",""it"")"),"Sefton")</f>
        <v>Sefton</v>
      </c>
      <c r="G168" s="9" t="str">
        <f>IFERROR(__xludf.DUMMYFUNCTION("GOOGLETRANSLATE($A168,""en"",""zh-cn"")"),"塞夫顿")</f>
        <v>塞夫顿</v>
      </c>
      <c r="H168" s="9" t="str">
        <f>IFERROR(__xludf.DUMMYFUNCTION("GOOGLETRANSLATE($A168,""en"",""ja"")"),"セフトン")</f>
        <v>セフトン</v>
      </c>
      <c r="I168" s="9" t="str">
        <f>IFERROR(__xludf.DUMMYFUNCTION("GOOGLETRANSLATE($A168,""en"",""ko"")"),"세프턴")</f>
        <v>세프턴</v>
      </c>
      <c r="J168" s="9" t="str">
        <f>IFERROR(__xludf.DUMMYFUNCTION("GOOGLETRANSLATE($A168,""en"",""pt-BR"")"),"Sefton")</f>
        <v>Sefton</v>
      </c>
    </row>
    <row r="169">
      <c r="A169" s="9" t="str">
        <f>IFERROR(__xludf.DUMMYFUNCTION("""COMPUTED_VALUE"""),"Sheffield")</f>
        <v>Sheffield</v>
      </c>
      <c r="B169" s="9" t="str">
        <f>IFERROR(__xludf.DUMMYFUNCTION("""COMPUTED_VALUE"""),"gb-shf")</f>
        <v>gb-shf</v>
      </c>
      <c r="C169" s="9" t="str">
        <f>IFERROR(__xludf.DUMMYFUNCTION("GOOGLETRANSLATE($A169,""en"",""de"")"),"Sheffield")</f>
        <v>Sheffield</v>
      </c>
      <c r="D169" s="9" t="str">
        <f>IFERROR(__xludf.DUMMYFUNCTION("GOOGLETRANSLATE($A169,""en"",""fr"")"),"Sheffield")</f>
        <v>Sheffield</v>
      </c>
      <c r="E169" s="9" t="str">
        <f>IFERROR(__xludf.DUMMYFUNCTION("GOOGLETRANSLATE($A169,""en"",""es"")"),"Sheffield")</f>
        <v>Sheffield</v>
      </c>
      <c r="F169" s="9" t="str">
        <f>IFERROR(__xludf.DUMMYFUNCTION("GOOGLETRANSLATE($A169,""en"",""it"")"),"Sheffield")</f>
        <v>Sheffield</v>
      </c>
      <c r="G169" s="9" t="str">
        <f>IFERROR(__xludf.DUMMYFUNCTION("GOOGLETRANSLATE($A169,""en"",""zh-cn"")"),"谢菲尔德")</f>
        <v>谢菲尔德</v>
      </c>
      <c r="H169" s="9" t="str">
        <f>IFERROR(__xludf.DUMMYFUNCTION("GOOGLETRANSLATE($A169,""en"",""ja"")"),"シェフィールド")</f>
        <v>シェフィールド</v>
      </c>
      <c r="I169" s="9" t="str">
        <f>IFERROR(__xludf.DUMMYFUNCTION("GOOGLETRANSLATE($A169,""en"",""ko"")"),"셰필드")</f>
        <v>셰필드</v>
      </c>
      <c r="J169" s="9" t="str">
        <f>IFERROR(__xludf.DUMMYFUNCTION("GOOGLETRANSLATE($A169,""en"",""pt-BR"")"),"Sheffield")</f>
        <v>Sheffield</v>
      </c>
    </row>
    <row r="170">
      <c r="A170" s="9" t="str">
        <f>IFERROR(__xludf.DUMMYFUNCTION("""COMPUTED_VALUE"""),"Solihull")</f>
        <v>Solihull</v>
      </c>
      <c r="B170" s="9" t="str">
        <f>IFERROR(__xludf.DUMMYFUNCTION("""COMPUTED_VALUE"""),"gb-sol")</f>
        <v>gb-sol</v>
      </c>
      <c r="C170" s="9" t="str">
        <f>IFERROR(__xludf.DUMMYFUNCTION("GOOGLETRANSLATE($A170,""en"",""de"")"),"Solihull")</f>
        <v>Solihull</v>
      </c>
      <c r="D170" s="9" t="str">
        <f>IFERROR(__xludf.DUMMYFUNCTION("GOOGLETRANSLATE($A170,""en"",""fr"")"),"Solihull")</f>
        <v>Solihull</v>
      </c>
      <c r="E170" s="9" t="str">
        <f>IFERROR(__xludf.DUMMYFUNCTION("GOOGLETRANSLATE($A170,""en"",""es"")"),"Solihull")</f>
        <v>Solihull</v>
      </c>
      <c r="F170" s="9" t="str">
        <f>IFERROR(__xludf.DUMMYFUNCTION("GOOGLETRANSLATE($A170,""en"",""it"")"),"Solihull")</f>
        <v>Solihull</v>
      </c>
      <c r="G170" s="9" t="str">
        <f>IFERROR(__xludf.DUMMYFUNCTION("GOOGLETRANSLATE($A170,""en"",""zh-cn"")"),"索利哈尔")</f>
        <v>索利哈尔</v>
      </c>
      <c r="H170" s="9" t="str">
        <f>IFERROR(__xludf.DUMMYFUNCTION("GOOGLETRANSLATE($A170,""en"",""ja"")"),"ソリハル")</f>
        <v>ソリハル</v>
      </c>
      <c r="I170" s="9" t="str">
        <f>IFERROR(__xludf.DUMMYFUNCTION("GOOGLETRANSLATE($A170,""en"",""ko"")"),"솔리헐")</f>
        <v>솔리헐</v>
      </c>
      <c r="J170" s="9" t="str">
        <f>IFERROR(__xludf.DUMMYFUNCTION("GOOGLETRANSLATE($A170,""en"",""pt-BR"")"),"Solihull")</f>
        <v>Solihull</v>
      </c>
    </row>
    <row r="171">
      <c r="A171" s="9" t="str">
        <f>IFERROR(__xludf.DUMMYFUNCTION("""COMPUTED_VALUE"""),"South Tyneside")</f>
        <v>South Tyneside</v>
      </c>
      <c r="B171" s="9" t="str">
        <f>IFERROR(__xludf.DUMMYFUNCTION("""COMPUTED_VALUE"""),"gb-sty")</f>
        <v>gb-sty</v>
      </c>
      <c r="C171" s="9" t="str">
        <f>IFERROR(__xludf.DUMMYFUNCTION("GOOGLETRANSLATE($A171,""en"",""de"")"),"Süd-Tyneside")</f>
        <v>Süd-Tyneside</v>
      </c>
      <c r="D171" s="9" t="str">
        <f>IFERROR(__xludf.DUMMYFUNCTION("GOOGLETRANSLATE($A171,""en"",""fr"")"),"Tyneside Sud")</f>
        <v>Tyneside Sud</v>
      </c>
      <c r="E171" s="9" t="str">
        <f>IFERROR(__xludf.DUMMYFUNCTION("GOOGLETRANSLATE($A171,""en"",""es"")"),"Tyneside del sur")</f>
        <v>Tyneside del sur</v>
      </c>
      <c r="F171" s="9" t="str">
        <f>IFERROR(__xludf.DUMMYFUNCTION("GOOGLETRANSLATE($A171,""en"",""it"")"),"Tyneside meridionale")</f>
        <v>Tyneside meridionale</v>
      </c>
      <c r="G171" s="9" t="str">
        <f>IFERROR(__xludf.DUMMYFUNCTION("GOOGLETRANSLATE($A171,""en"",""zh-cn"")"),"南泰恩赛德")</f>
        <v>南泰恩赛德</v>
      </c>
      <c r="H171" s="9" t="str">
        <f>IFERROR(__xludf.DUMMYFUNCTION("GOOGLETRANSLATE($A171,""en"",""ja"")"),"サウス・タインサイド")</f>
        <v>サウス・タインサイド</v>
      </c>
      <c r="I171" s="9" t="str">
        <f>IFERROR(__xludf.DUMMYFUNCTION("GOOGLETRANSLATE($A171,""en"",""ko"")"),"사우스 타인사이드")</f>
        <v>사우스 타인사이드</v>
      </c>
      <c r="J171" s="9" t="str">
        <f>IFERROR(__xludf.DUMMYFUNCTION("GOOGLETRANSLATE($A171,""en"",""pt-BR"")"),"Sul de Tyneside")</f>
        <v>Sul de Tyneside</v>
      </c>
    </row>
    <row r="172">
      <c r="A172" s="9" t="str">
        <f>IFERROR(__xludf.DUMMYFUNCTION("""COMPUTED_VALUE"""),"Rotherham")</f>
        <v>Rotherham</v>
      </c>
      <c r="B172" s="9" t="str">
        <f>IFERROR(__xludf.DUMMYFUNCTION("""COMPUTED_VALUE"""),"gb-rot")</f>
        <v>gb-rot</v>
      </c>
      <c r="C172" s="9" t="str">
        <f>IFERROR(__xludf.DUMMYFUNCTION("GOOGLETRANSLATE($A172,""en"",""de"")"),"Rotherham")</f>
        <v>Rotherham</v>
      </c>
      <c r="D172" s="9" t="str">
        <f>IFERROR(__xludf.DUMMYFUNCTION("GOOGLETRANSLATE($A172,""en"",""fr"")"),"Rotherham")</f>
        <v>Rotherham</v>
      </c>
      <c r="E172" s="9" t="str">
        <f>IFERROR(__xludf.DUMMYFUNCTION("GOOGLETRANSLATE($A172,""en"",""es"")"),"Rotherham")</f>
        <v>Rotherham</v>
      </c>
      <c r="F172" s="9" t="str">
        <f>IFERROR(__xludf.DUMMYFUNCTION("GOOGLETRANSLATE($A172,""en"",""it"")"),"Rotherham")</f>
        <v>Rotherham</v>
      </c>
      <c r="G172" s="9" t="str">
        <f>IFERROR(__xludf.DUMMYFUNCTION("GOOGLETRANSLATE($A172,""en"",""zh-cn"")"),"罗瑟勒姆")</f>
        <v>罗瑟勒姆</v>
      </c>
      <c r="H172" s="9" t="str">
        <f>IFERROR(__xludf.DUMMYFUNCTION("GOOGLETRANSLATE($A172,""en"",""ja"")"),"ロザラム")</f>
        <v>ロザラム</v>
      </c>
      <c r="I172" s="9" t="str">
        <f>IFERROR(__xludf.DUMMYFUNCTION("GOOGLETRANSLATE($A172,""en"",""ko"")"),"로더럼")</f>
        <v>로더럼</v>
      </c>
      <c r="J172" s="9" t="str">
        <f>IFERROR(__xludf.DUMMYFUNCTION("GOOGLETRANSLATE($A172,""en"",""pt-BR"")"),"Rotherham")</f>
        <v>Rotherham</v>
      </c>
    </row>
    <row r="173">
      <c r="A173" s="9" t="str">
        <f>IFERROR(__xludf.DUMMYFUNCTION("""COMPUTED_VALUE"""),"St Helens")</f>
        <v>St Helens</v>
      </c>
      <c r="B173" s="9" t="str">
        <f>IFERROR(__xludf.DUMMYFUNCTION("""COMPUTED_VALUE"""),"gb-shn")</f>
        <v>gb-shn</v>
      </c>
      <c r="C173" s="9" t="str">
        <f>IFERROR(__xludf.DUMMYFUNCTION("GOOGLETRANSLATE($A173,""en"",""de"")"),"St. Helens")</f>
        <v>St. Helens</v>
      </c>
      <c r="D173" s="9" t="str">
        <f>IFERROR(__xludf.DUMMYFUNCTION("GOOGLETRANSLATE($A173,""en"",""fr"")"),"Sainte-Hélène")</f>
        <v>Sainte-Hélène</v>
      </c>
      <c r="E173" s="9" t="str">
        <f>IFERROR(__xludf.DUMMYFUNCTION("GOOGLETRANSLATE($A173,""en"",""es"")"),"Santa Helena")</f>
        <v>Santa Helena</v>
      </c>
      <c r="F173" s="9" t="str">
        <f>IFERROR(__xludf.DUMMYFUNCTION("GOOGLETRANSLATE($A173,""en"",""it"")"),"Sant'Elena")</f>
        <v>Sant'Elena</v>
      </c>
      <c r="G173" s="9" t="str">
        <f>IFERROR(__xludf.DUMMYFUNCTION("GOOGLETRANSLATE($A173,""en"",""zh-cn"")"),"圣海伦斯")</f>
        <v>圣海伦斯</v>
      </c>
      <c r="H173" s="9" t="str">
        <f>IFERROR(__xludf.DUMMYFUNCTION("GOOGLETRANSLATE($A173,""en"",""ja"")"),"セントヘレンズ")</f>
        <v>セントヘレンズ</v>
      </c>
      <c r="I173" s="9" t="str">
        <f>IFERROR(__xludf.DUMMYFUNCTION("GOOGLETRANSLATE($A173,""en"",""ko"")"),"세인트헬렌스")</f>
        <v>세인트헬렌스</v>
      </c>
      <c r="J173" s="9" t="str">
        <f>IFERROR(__xludf.DUMMYFUNCTION("GOOGLETRANSLATE($A173,""en"",""pt-BR"")"),"Santa Helena")</f>
        <v>Santa Helena</v>
      </c>
    </row>
    <row r="174">
      <c r="A174" s="9" t="str">
        <f>IFERROR(__xludf.DUMMYFUNCTION("""COMPUTED_VALUE"""),"Salford")</f>
        <v>Salford</v>
      </c>
      <c r="B174" s="9" t="str">
        <f>IFERROR(__xludf.DUMMYFUNCTION("""COMPUTED_VALUE"""),"gb-slf")</f>
        <v>gb-slf</v>
      </c>
      <c r="C174" s="9" t="str">
        <f>IFERROR(__xludf.DUMMYFUNCTION("GOOGLETRANSLATE($A174,""en"",""de"")"),"Salford")</f>
        <v>Salford</v>
      </c>
      <c r="D174" s="9" t="str">
        <f>IFERROR(__xludf.DUMMYFUNCTION("GOOGLETRANSLATE($A174,""en"",""fr"")"),"Salford")</f>
        <v>Salford</v>
      </c>
      <c r="E174" s="9" t="str">
        <f>IFERROR(__xludf.DUMMYFUNCTION("GOOGLETRANSLATE($A174,""en"",""es"")"),"Salford")</f>
        <v>Salford</v>
      </c>
      <c r="F174" s="9" t="str">
        <f>IFERROR(__xludf.DUMMYFUNCTION("GOOGLETRANSLATE($A174,""en"",""it"")"),"Salford")</f>
        <v>Salford</v>
      </c>
      <c r="G174" s="9" t="str">
        <f>IFERROR(__xludf.DUMMYFUNCTION("GOOGLETRANSLATE($A174,""en"",""zh-cn"")"),"索尔福德")</f>
        <v>索尔福德</v>
      </c>
      <c r="H174" s="9" t="str">
        <f>IFERROR(__xludf.DUMMYFUNCTION("GOOGLETRANSLATE($A174,""en"",""ja"")"),"サルフォード")</f>
        <v>サルフォード</v>
      </c>
      <c r="I174" s="9" t="str">
        <f>IFERROR(__xludf.DUMMYFUNCTION("GOOGLETRANSLATE($A174,""en"",""ko"")"),"샐퍼드")</f>
        <v>샐퍼드</v>
      </c>
      <c r="J174" s="9" t="str">
        <f>IFERROR(__xludf.DUMMYFUNCTION("GOOGLETRANSLATE($A174,""en"",""pt-BR"")"),"Salford")</f>
        <v>Salford</v>
      </c>
    </row>
    <row r="175">
      <c r="A175" s="9" t="str">
        <f>IFERROR(__xludf.DUMMYFUNCTION("""COMPUTED_VALUE"""),"Sandwell")</f>
        <v>Sandwell</v>
      </c>
      <c r="B175" s="9" t="str">
        <f>IFERROR(__xludf.DUMMYFUNCTION("""COMPUTED_VALUE"""),"gb-saw")</f>
        <v>gb-saw</v>
      </c>
      <c r="C175" s="9" t="str">
        <f>IFERROR(__xludf.DUMMYFUNCTION("GOOGLETRANSLATE($A175,""en"",""de"")"),"Sandwell")</f>
        <v>Sandwell</v>
      </c>
      <c r="D175" s="9" t="str">
        <f>IFERROR(__xludf.DUMMYFUNCTION("GOOGLETRANSLATE($A175,""en"",""fr"")"),"Sandwell")</f>
        <v>Sandwell</v>
      </c>
      <c r="E175" s="9" t="str">
        <f>IFERROR(__xludf.DUMMYFUNCTION("GOOGLETRANSLATE($A175,""en"",""es"")"),"sandwell")</f>
        <v>sandwell</v>
      </c>
      <c r="F175" s="9" t="str">
        <f>IFERROR(__xludf.DUMMYFUNCTION("GOOGLETRANSLATE($A175,""en"",""it"")"),"Sandwell")</f>
        <v>Sandwell</v>
      </c>
      <c r="G175" s="9" t="str">
        <f>IFERROR(__xludf.DUMMYFUNCTION("GOOGLETRANSLATE($A175,""en"",""zh-cn"")"),"桑德韦尔")</f>
        <v>桑德韦尔</v>
      </c>
      <c r="H175" s="9" t="str">
        <f>IFERROR(__xludf.DUMMYFUNCTION("GOOGLETRANSLATE($A175,""en"",""ja"")"),"サンドウェル")</f>
        <v>サンドウェル</v>
      </c>
      <c r="I175" s="9" t="str">
        <f>IFERROR(__xludf.DUMMYFUNCTION("GOOGLETRANSLATE($A175,""en"",""ko"")"),"샌드웰")</f>
        <v>샌드웰</v>
      </c>
      <c r="J175" s="9" t="str">
        <f>IFERROR(__xludf.DUMMYFUNCTION("GOOGLETRANSLATE($A175,""en"",""pt-BR"")"),"Poço de areia")</f>
        <v>Poço de areia</v>
      </c>
    </row>
    <row r="176">
      <c r="A176" s="9" t="str">
        <f>IFERROR(__xludf.DUMMYFUNCTION("""COMPUTED_VALUE"""),"Newcastle Upon Tyne")</f>
        <v>Newcastle Upon Tyne</v>
      </c>
      <c r="B176" s="9" t="str">
        <f>IFERROR(__xludf.DUMMYFUNCTION("""COMPUTED_VALUE"""),"gb-net")</f>
        <v>gb-net</v>
      </c>
      <c r="C176" s="9" t="str">
        <f>IFERROR(__xludf.DUMMYFUNCTION("GOOGLETRANSLATE($A176,""en"",""de"")"),"Newcastle upon Tyne")</f>
        <v>Newcastle upon Tyne</v>
      </c>
      <c r="D176" s="9" t="str">
        <f>IFERROR(__xludf.DUMMYFUNCTION("GOOGLETRANSLATE($A176,""en"",""fr"")"),"Newcastle-upon-Tyne")</f>
        <v>Newcastle-upon-Tyne</v>
      </c>
      <c r="E176" s="9" t="str">
        <f>IFERROR(__xludf.DUMMYFUNCTION("GOOGLETRANSLATE($A176,""en"",""es"")"),"Newcastle-upon-Tyne")</f>
        <v>Newcastle-upon-Tyne</v>
      </c>
      <c r="F176" s="9" t="str">
        <f>IFERROR(__xludf.DUMMYFUNCTION("GOOGLETRANSLATE($A176,""en"",""it"")"),"Newcastle sul Tyne")</f>
        <v>Newcastle sul Tyne</v>
      </c>
      <c r="G176" s="9" t="str">
        <f>IFERROR(__xludf.DUMMYFUNCTION("GOOGLETRANSLATE($A176,""en"",""zh-cn"")"),"泰恩河畔纽卡斯尔")</f>
        <v>泰恩河畔纽卡斯尔</v>
      </c>
      <c r="H176" s="9" t="str">
        <f>IFERROR(__xludf.DUMMYFUNCTION("GOOGLETRANSLATE($A176,""en"",""ja"")"),"ニューカッスル・アポン・タイン")</f>
        <v>ニューカッスル・アポン・タイン</v>
      </c>
      <c r="I176" s="9" t="str">
        <f>IFERROR(__xludf.DUMMYFUNCTION("GOOGLETRANSLATE($A176,""en"",""ko"")"),"뉴캐슬어폰타인")</f>
        <v>뉴캐슬어폰타인</v>
      </c>
      <c r="J176" s="9" t="str">
        <f>IFERROR(__xludf.DUMMYFUNCTION("GOOGLETRANSLATE($A176,""en"",""pt-BR"")"),"Newcastle em cima de Tyne")</f>
        <v>Newcastle em cima de Tyne</v>
      </c>
    </row>
    <row r="177">
      <c r="A177" s="9" t="str">
        <f>IFERROR(__xludf.DUMMYFUNCTION("""COMPUTED_VALUE"""),"North Tyneside")</f>
        <v>North Tyneside</v>
      </c>
      <c r="B177" s="9" t="str">
        <f>IFERROR(__xludf.DUMMYFUNCTION("""COMPUTED_VALUE"""),"gb-nty")</f>
        <v>gb-nty</v>
      </c>
      <c r="C177" s="9" t="str">
        <f>IFERROR(__xludf.DUMMYFUNCTION("GOOGLETRANSLATE($A177,""en"",""de"")"),"Nord-Tyneside")</f>
        <v>Nord-Tyneside</v>
      </c>
      <c r="D177" s="9" t="str">
        <f>IFERROR(__xludf.DUMMYFUNCTION("GOOGLETRANSLATE($A177,""en"",""fr"")"),"Tyneside Nord")</f>
        <v>Tyneside Nord</v>
      </c>
      <c r="E177" s="9" t="str">
        <f>IFERROR(__xludf.DUMMYFUNCTION("GOOGLETRANSLATE($A177,""en"",""es"")"),"Norte de Tyneside")</f>
        <v>Norte de Tyneside</v>
      </c>
      <c r="F177" s="9" t="str">
        <f>IFERROR(__xludf.DUMMYFUNCTION("GOOGLETRANSLATE($A177,""en"",""it"")"),"Tyneside nord")</f>
        <v>Tyneside nord</v>
      </c>
      <c r="G177" s="9" t="str">
        <f>IFERROR(__xludf.DUMMYFUNCTION("GOOGLETRANSLATE($A177,""en"",""zh-cn"")"),"北泰恩赛德")</f>
        <v>北泰恩赛德</v>
      </c>
      <c r="H177" s="9" t="str">
        <f>IFERROR(__xludf.DUMMYFUNCTION("GOOGLETRANSLATE($A177,""en"",""ja"")"),"ノース・タインサイド")</f>
        <v>ノース・タインサイド</v>
      </c>
      <c r="I177" s="9" t="str">
        <f>IFERROR(__xludf.DUMMYFUNCTION("GOOGLETRANSLATE($A177,""en"",""ko"")"),"노스 타인사이드")</f>
        <v>노스 타인사이드</v>
      </c>
      <c r="J177" s="9" t="str">
        <f>IFERROR(__xludf.DUMMYFUNCTION("GOOGLETRANSLATE($A177,""en"",""pt-BR"")"),"Norte de Tyneside")</f>
        <v>Norte de Tyneside</v>
      </c>
    </row>
    <row r="178">
      <c r="A178" s="9" t="str">
        <f>IFERROR(__xludf.DUMMYFUNCTION("""COMPUTED_VALUE"""),"Oldham")</f>
        <v>Oldham</v>
      </c>
      <c r="B178" s="9" t="str">
        <f>IFERROR(__xludf.DUMMYFUNCTION("""COMPUTED_VALUE"""),"gb-old")</f>
        <v>gb-old</v>
      </c>
      <c r="C178" s="9" t="str">
        <f>IFERROR(__xludf.DUMMYFUNCTION("GOOGLETRANSLATE($A178,""en"",""de"")"),"Oldham")</f>
        <v>Oldham</v>
      </c>
      <c r="D178" s="9" t="str">
        <f>IFERROR(__xludf.DUMMYFUNCTION("GOOGLETRANSLATE($A178,""en"",""fr"")"),"Oldham")</f>
        <v>Oldham</v>
      </c>
      <c r="E178" s="9" t="str">
        <f>IFERROR(__xludf.DUMMYFUNCTION("GOOGLETRANSLATE($A178,""en"",""es"")"),"Oldham")</f>
        <v>Oldham</v>
      </c>
      <c r="F178" s="9" t="str">
        <f>IFERROR(__xludf.DUMMYFUNCTION("GOOGLETRANSLATE($A178,""en"",""it"")"),"Oldham")</f>
        <v>Oldham</v>
      </c>
      <c r="G178" s="9" t="str">
        <f>IFERROR(__xludf.DUMMYFUNCTION("GOOGLETRANSLATE($A178,""en"",""zh-cn"")"),"奥尔德姆")</f>
        <v>奥尔德姆</v>
      </c>
      <c r="H178" s="9" t="str">
        <f>IFERROR(__xludf.DUMMYFUNCTION("GOOGLETRANSLATE($A178,""en"",""ja"")"),"オールダム")</f>
        <v>オールダム</v>
      </c>
      <c r="I178" s="9" t="str">
        <f>IFERROR(__xludf.DUMMYFUNCTION("GOOGLETRANSLATE($A178,""en"",""ko"")"),"올덤")</f>
        <v>올덤</v>
      </c>
      <c r="J178" s="9" t="str">
        <f>IFERROR(__xludf.DUMMYFUNCTION("GOOGLETRANSLATE($A178,""en"",""pt-BR"")"),"Oldham")</f>
        <v>Oldham</v>
      </c>
    </row>
    <row r="179">
      <c r="A179" s="9" t="str">
        <f>IFERROR(__xludf.DUMMYFUNCTION("""COMPUTED_VALUE"""),"Rochdale")</f>
        <v>Rochdale</v>
      </c>
      <c r="B179" s="9" t="str">
        <f>IFERROR(__xludf.DUMMYFUNCTION("""COMPUTED_VALUE"""),"gb-rch")</f>
        <v>gb-rch</v>
      </c>
      <c r="C179" s="9" t="str">
        <f>IFERROR(__xludf.DUMMYFUNCTION("GOOGLETRANSLATE($A179,""en"",""de"")"),"Rochdale")</f>
        <v>Rochdale</v>
      </c>
      <c r="D179" s="9" t="str">
        <f>IFERROR(__xludf.DUMMYFUNCTION("GOOGLETRANSLATE($A179,""en"",""fr"")"),"Rochdale")</f>
        <v>Rochdale</v>
      </c>
      <c r="E179" s="9" t="str">
        <f>IFERROR(__xludf.DUMMYFUNCTION("GOOGLETRANSLATE($A179,""en"",""es"")"),"Rochdale")</f>
        <v>Rochdale</v>
      </c>
      <c r="F179" s="9" t="str">
        <f>IFERROR(__xludf.DUMMYFUNCTION("GOOGLETRANSLATE($A179,""en"",""it"")"),"Rochdale")</f>
        <v>Rochdale</v>
      </c>
      <c r="G179" s="9" t="str">
        <f>IFERROR(__xludf.DUMMYFUNCTION("GOOGLETRANSLATE($A179,""en"",""zh-cn"")"),"罗奇代尔")</f>
        <v>罗奇代尔</v>
      </c>
      <c r="H179" s="9" t="str">
        <f>IFERROR(__xludf.DUMMYFUNCTION("GOOGLETRANSLATE($A179,""en"",""ja"")"),"ロッチデール")</f>
        <v>ロッチデール</v>
      </c>
      <c r="I179" s="9" t="str">
        <f>IFERROR(__xludf.DUMMYFUNCTION("GOOGLETRANSLATE($A179,""en"",""ko"")"),"로치데일")</f>
        <v>로치데일</v>
      </c>
      <c r="J179" s="9" t="str">
        <f>IFERROR(__xludf.DUMMYFUNCTION("GOOGLETRANSLATE($A179,""en"",""pt-BR"")"),"Rochdale")</f>
        <v>Rochdale</v>
      </c>
    </row>
    <row r="180">
      <c r="A180" s="9" t="str">
        <f>IFERROR(__xludf.DUMMYFUNCTION("""COMPUTED_VALUE"""),"Blackpool")</f>
        <v>Blackpool</v>
      </c>
      <c r="B180" s="9" t="str">
        <f>IFERROR(__xludf.DUMMYFUNCTION("""COMPUTED_VALUE"""),"gb-bpl")</f>
        <v>gb-bpl</v>
      </c>
      <c r="C180" s="9" t="str">
        <f>IFERROR(__xludf.DUMMYFUNCTION("GOOGLETRANSLATE($A180,""en"",""de"")"),"Blackpool")</f>
        <v>Blackpool</v>
      </c>
      <c r="D180" s="9" t="str">
        <f>IFERROR(__xludf.DUMMYFUNCTION("GOOGLETRANSLATE($A180,""en"",""fr"")"),"Blackpool")</f>
        <v>Blackpool</v>
      </c>
      <c r="E180" s="9" t="str">
        <f>IFERROR(__xludf.DUMMYFUNCTION("GOOGLETRANSLATE($A180,""en"",""es"")"),"Liverpool")</f>
        <v>Liverpool</v>
      </c>
      <c r="F180" s="9" t="str">
        <f>IFERROR(__xludf.DUMMYFUNCTION("GOOGLETRANSLATE($A180,""en"",""it"")"),"Blackpool")</f>
        <v>Blackpool</v>
      </c>
      <c r="G180" s="9" t="str">
        <f>IFERROR(__xludf.DUMMYFUNCTION("GOOGLETRANSLATE($A180,""en"",""zh-cn"")"),"布莱克浦")</f>
        <v>布莱克浦</v>
      </c>
      <c r="H180" s="9" t="str">
        <f>IFERROR(__xludf.DUMMYFUNCTION("GOOGLETRANSLATE($A180,""en"",""ja"")"),"ブラックプール")</f>
        <v>ブラックプール</v>
      </c>
      <c r="I180" s="9" t="str">
        <f>IFERROR(__xludf.DUMMYFUNCTION("GOOGLETRANSLATE($A180,""en"",""ko"")"),"블랙풀")</f>
        <v>블랙풀</v>
      </c>
      <c r="J180" s="9" t="str">
        <f>IFERROR(__xludf.DUMMYFUNCTION("GOOGLETRANSLATE($A180,""en"",""pt-BR"")"),"Blackpool")</f>
        <v>Blackpool</v>
      </c>
    </row>
    <row r="181">
      <c r="A181" s="9" t="str">
        <f>IFERROR(__xludf.DUMMYFUNCTION("""COMPUTED_VALUE"""),"Wolverhampton")</f>
        <v>Wolverhampton</v>
      </c>
      <c r="B181" s="9" t="str">
        <f>IFERROR(__xludf.DUMMYFUNCTION("""COMPUTED_VALUE"""),"gb-wlv")</f>
        <v>gb-wlv</v>
      </c>
      <c r="C181" s="9" t="str">
        <f>IFERROR(__xludf.DUMMYFUNCTION("GOOGLETRANSLATE($A181,""en"",""de"")"),"Wolverhampton")</f>
        <v>Wolverhampton</v>
      </c>
      <c r="D181" s="9" t="str">
        <f>IFERROR(__xludf.DUMMYFUNCTION("GOOGLETRANSLATE($A181,""en"",""fr"")"),"Wolverhampton")</f>
        <v>Wolverhampton</v>
      </c>
      <c r="E181" s="9" t="str">
        <f>IFERROR(__xludf.DUMMYFUNCTION("GOOGLETRANSLATE($A181,""en"",""es"")"),"Wolverhampton")</f>
        <v>Wolverhampton</v>
      </c>
      <c r="F181" s="9" t="str">
        <f>IFERROR(__xludf.DUMMYFUNCTION("GOOGLETRANSLATE($A181,""en"",""it"")"),"Wolverhampton")</f>
        <v>Wolverhampton</v>
      </c>
      <c r="G181" s="9" t="str">
        <f>IFERROR(__xludf.DUMMYFUNCTION("GOOGLETRANSLATE($A181,""en"",""zh-cn"")"),"伍尔弗汉普顿")</f>
        <v>伍尔弗汉普顿</v>
      </c>
      <c r="H181" s="9" t="str">
        <f>IFERROR(__xludf.DUMMYFUNCTION("GOOGLETRANSLATE($A181,""en"",""ja"")"),"ウルヴァーハンプトン")</f>
        <v>ウルヴァーハンプトン</v>
      </c>
      <c r="I181" s="9" t="str">
        <f>IFERROR(__xludf.DUMMYFUNCTION("GOOGLETRANSLATE($A181,""en"",""ko"")"),"울버햄튼")</f>
        <v>울버햄튼</v>
      </c>
      <c r="J181" s="9" t="str">
        <f>IFERROR(__xludf.DUMMYFUNCTION("GOOGLETRANSLATE($A181,""en"",""pt-BR"")"),"Wolverhampton")</f>
        <v>Wolverhampton</v>
      </c>
    </row>
    <row r="182">
      <c r="A182" s="9" t="str">
        <f>IFERROR(__xludf.DUMMYFUNCTION("""COMPUTED_VALUE"""),"Bath and North East Somerset")</f>
        <v>Bath and North East Somerset</v>
      </c>
      <c r="B182" s="9" t="str">
        <f>IFERROR(__xludf.DUMMYFUNCTION("""COMPUTED_VALUE"""),"gb-bas")</f>
        <v>gb-bas</v>
      </c>
      <c r="C182" s="9" t="str">
        <f>IFERROR(__xludf.DUMMYFUNCTION("GOOGLETRANSLATE($A182,""en"",""de"")"),"Bath und Nordost-Somerset")</f>
        <v>Bath und Nordost-Somerset</v>
      </c>
      <c r="D182" s="9" t="str">
        <f>IFERROR(__xludf.DUMMYFUNCTION("GOOGLETRANSLATE($A182,""en"",""fr"")"),"Bath et nord-est du Somerset")</f>
        <v>Bath et nord-est du Somerset</v>
      </c>
      <c r="E182" s="9" t="str">
        <f>IFERROR(__xludf.DUMMYFUNCTION("GOOGLETRANSLATE($A182,""en"",""es"")"),"Bath y noreste de Somerset")</f>
        <v>Bath y noreste de Somerset</v>
      </c>
      <c r="F182" s="9" t="str">
        <f>IFERROR(__xludf.DUMMYFUNCTION("GOOGLETRANSLATE($A182,""en"",""it"")"),"Bath e Somerset nord-orientale")</f>
        <v>Bath e Somerset nord-orientale</v>
      </c>
      <c r="G182" s="9" t="str">
        <f>IFERROR(__xludf.DUMMYFUNCTION("GOOGLETRANSLATE($A182,""en"",""zh-cn"")"),"巴斯和东北萨默塞特")</f>
        <v>巴斯和东北萨默塞特</v>
      </c>
      <c r="H182" s="9" t="str">
        <f>IFERROR(__xludf.DUMMYFUNCTION("GOOGLETRANSLATE($A182,""en"",""ja"")"),"バースとサマセット州北東部")</f>
        <v>バースとサマセット州北東部</v>
      </c>
      <c r="I182" s="9" t="str">
        <f>IFERROR(__xludf.DUMMYFUNCTION("GOOGLETRANSLATE($A182,""en"",""ko"")"),"바스 및 노스 이스트 서머셋")</f>
        <v>바스 및 노스 이스트 서머셋</v>
      </c>
      <c r="J182" s="9" t="str">
        <f>IFERROR(__xludf.DUMMYFUNCTION("GOOGLETRANSLATE($A182,""en"",""pt-BR"")"),"Bath e Nordeste de Somerset")</f>
        <v>Bath e Nordeste de Somerset</v>
      </c>
    </row>
    <row r="183">
      <c r="A183" s="9" t="str">
        <f>IFERROR(__xludf.DUMMYFUNCTION("""COMPUTED_VALUE"""),"Blackburn with Darwen")</f>
        <v>Blackburn with Darwen</v>
      </c>
      <c r="B183" s="9" t="str">
        <f>IFERROR(__xludf.DUMMYFUNCTION("""COMPUTED_VALUE"""),"gb-bbd")</f>
        <v>gb-bbd</v>
      </c>
      <c r="C183" s="9" t="str">
        <f>IFERROR(__xludf.DUMMYFUNCTION("GOOGLETRANSLATE($A183,""en"",""de"")"),"Blackburn mit Darwen")</f>
        <v>Blackburn mit Darwen</v>
      </c>
      <c r="D183" s="9" t="str">
        <f>IFERROR(__xludf.DUMMYFUNCTION("GOOGLETRANSLATE($A183,""en"",""fr"")"),"Blackburn avec Darwen")</f>
        <v>Blackburn avec Darwen</v>
      </c>
      <c r="E183" s="9" t="str">
        <f>IFERROR(__xludf.DUMMYFUNCTION("GOOGLETRANSLATE($A183,""en"",""es"")"),"Blackburn con Darwen")</f>
        <v>Blackburn con Darwen</v>
      </c>
      <c r="F183" s="9" t="str">
        <f>IFERROR(__xludf.DUMMYFUNCTION("GOOGLETRANSLATE($A183,""en"",""it"")"),"Blackburn con Darwen")</f>
        <v>Blackburn con Darwen</v>
      </c>
      <c r="G183" s="9" t="str">
        <f>IFERROR(__xludf.DUMMYFUNCTION("GOOGLETRANSLATE($A183,""en"",""zh-cn"")"),"布莱克本与达尔文")</f>
        <v>布莱克本与达尔文</v>
      </c>
      <c r="H183" s="9" t="str">
        <f>IFERROR(__xludf.DUMMYFUNCTION("GOOGLETRANSLATE($A183,""en"",""ja"")"),"ブラックバーンとダーウェン")</f>
        <v>ブラックバーンとダーウェン</v>
      </c>
      <c r="I183" s="9" t="str">
        <f>IFERROR(__xludf.DUMMYFUNCTION("GOOGLETRANSLATE($A183,""en"",""ko"")"),"블랙번과 다웬")</f>
        <v>블랙번과 다웬</v>
      </c>
      <c r="J183" s="9" t="str">
        <f>IFERROR(__xludf.DUMMYFUNCTION("GOOGLETRANSLATE($A183,""en"",""pt-BR"")"),"Blackburn com Darwen")</f>
        <v>Blackburn com Darwen</v>
      </c>
    </row>
    <row r="184">
      <c r="A184" s="9" t="str">
        <f>IFERROR(__xludf.DUMMYFUNCTION("""COMPUTED_VALUE"""),"Bedford")</f>
        <v>Bedford</v>
      </c>
      <c r="B184" s="9" t="str">
        <f>IFERROR(__xludf.DUMMYFUNCTION("""COMPUTED_VALUE"""),"gb-bdf")</f>
        <v>gb-bdf</v>
      </c>
      <c r="C184" s="9" t="str">
        <f>IFERROR(__xludf.DUMMYFUNCTION("GOOGLETRANSLATE($A184,""en"",""de"")"),"Bedford")</f>
        <v>Bedford</v>
      </c>
      <c r="D184" s="9" t="str">
        <f>IFERROR(__xludf.DUMMYFUNCTION("GOOGLETRANSLATE($A184,""en"",""fr"")"),"Bedford")</f>
        <v>Bedford</v>
      </c>
      <c r="E184" s="9" t="str">
        <f>IFERROR(__xludf.DUMMYFUNCTION("GOOGLETRANSLATE($A184,""en"",""es"")"),"Bedford")</f>
        <v>Bedford</v>
      </c>
      <c r="F184" s="9" t="str">
        <f>IFERROR(__xludf.DUMMYFUNCTION("GOOGLETRANSLATE($A184,""en"",""it"")"),"Bedford")</f>
        <v>Bedford</v>
      </c>
      <c r="G184" s="9" t="str">
        <f>IFERROR(__xludf.DUMMYFUNCTION("GOOGLETRANSLATE($A184,""en"",""zh-cn"")"),"贝德福德")</f>
        <v>贝德福德</v>
      </c>
      <c r="H184" s="9" t="str">
        <f>IFERROR(__xludf.DUMMYFUNCTION("GOOGLETRANSLATE($A184,""en"",""ja"")"),"ベッドフォード")</f>
        <v>ベッドフォード</v>
      </c>
      <c r="I184" s="9" t="str">
        <f>IFERROR(__xludf.DUMMYFUNCTION("GOOGLETRANSLATE($A184,""en"",""ko"")"),"베드퍼드")</f>
        <v>베드퍼드</v>
      </c>
      <c r="J184" s="9" t="str">
        <f>IFERROR(__xludf.DUMMYFUNCTION("GOOGLETRANSLATE($A184,""en"",""pt-BR"")"),"Bedford")</f>
        <v>Bedford</v>
      </c>
    </row>
    <row r="185">
      <c r="A185" s="9" t="str">
        <f>IFERROR(__xludf.DUMMYFUNCTION("""COMPUTED_VALUE"""),"Wakefield")</f>
        <v>Wakefield</v>
      </c>
      <c r="B185" s="9" t="str">
        <f>IFERROR(__xludf.DUMMYFUNCTION("""COMPUTED_VALUE"""),"gb-wkf")</f>
        <v>gb-wkf</v>
      </c>
      <c r="C185" s="9" t="str">
        <f>IFERROR(__xludf.DUMMYFUNCTION("GOOGLETRANSLATE($A185,""en"",""de"")"),"Wakefield")</f>
        <v>Wakefield</v>
      </c>
      <c r="D185" s="9" t="str">
        <f>IFERROR(__xludf.DUMMYFUNCTION("GOOGLETRANSLATE($A185,""en"",""fr"")"),"Wakefield")</f>
        <v>Wakefield</v>
      </c>
      <c r="E185" s="9" t="str">
        <f>IFERROR(__xludf.DUMMYFUNCTION("GOOGLETRANSLATE($A185,""en"",""es"")"),"Wakefield")</f>
        <v>Wakefield</v>
      </c>
      <c r="F185" s="9" t="str">
        <f>IFERROR(__xludf.DUMMYFUNCTION("GOOGLETRANSLATE($A185,""en"",""it"")"),"Wakefield")</f>
        <v>Wakefield</v>
      </c>
      <c r="G185" s="9" t="str">
        <f>IFERROR(__xludf.DUMMYFUNCTION("GOOGLETRANSLATE($A185,""en"",""zh-cn"")"),"韦克菲尔德")</f>
        <v>韦克菲尔德</v>
      </c>
      <c r="H185" s="9" t="str">
        <f>IFERROR(__xludf.DUMMYFUNCTION("GOOGLETRANSLATE($A185,""en"",""ja"")"),"ウェイクフィールド")</f>
        <v>ウェイクフィールド</v>
      </c>
      <c r="I185" s="9" t="str">
        <f>IFERROR(__xludf.DUMMYFUNCTION("GOOGLETRANSLATE($A185,""en"",""ko"")"),"웨이크필드")</f>
        <v>웨이크필드</v>
      </c>
      <c r="J185" s="9" t="str">
        <f>IFERROR(__xludf.DUMMYFUNCTION("GOOGLETRANSLATE($A185,""en"",""pt-BR"")"),"Wakefield")</f>
        <v>Wakefield</v>
      </c>
    </row>
    <row r="186">
      <c r="A186" s="9" t="str">
        <f>IFERROR(__xludf.DUMMYFUNCTION("""COMPUTED_VALUE"""),"Walsall")</f>
        <v>Walsall</v>
      </c>
      <c r="B186" s="9" t="str">
        <f>IFERROR(__xludf.DUMMYFUNCTION("""COMPUTED_VALUE"""),"gb-wll")</f>
        <v>gb-wll</v>
      </c>
      <c r="C186" s="9" t="str">
        <f>IFERROR(__xludf.DUMMYFUNCTION("GOOGLETRANSLATE($A186,""en"",""de"")"),"Walsall")</f>
        <v>Walsall</v>
      </c>
      <c r="D186" s="9" t="str">
        <f>IFERROR(__xludf.DUMMYFUNCTION("GOOGLETRANSLATE($A186,""en"",""fr"")"),"Walsall")</f>
        <v>Walsall</v>
      </c>
      <c r="E186" s="9" t="str">
        <f>IFERROR(__xludf.DUMMYFUNCTION("GOOGLETRANSLATE($A186,""en"",""es"")"),"Walsall")</f>
        <v>Walsall</v>
      </c>
      <c r="F186" s="9" t="str">
        <f>IFERROR(__xludf.DUMMYFUNCTION("GOOGLETRANSLATE($A186,""en"",""it"")"),"Walsall")</f>
        <v>Walsall</v>
      </c>
      <c r="G186" s="9" t="str">
        <f>IFERROR(__xludf.DUMMYFUNCTION("GOOGLETRANSLATE($A186,""en"",""zh-cn"")"),"沃尔索尔")</f>
        <v>沃尔索尔</v>
      </c>
      <c r="H186" s="9" t="str">
        <f>IFERROR(__xludf.DUMMYFUNCTION("GOOGLETRANSLATE($A186,""en"",""ja"")"),"ウォールソール")</f>
        <v>ウォールソール</v>
      </c>
      <c r="I186" s="9" t="str">
        <f>IFERROR(__xludf.DUMMYFUNCTION("GOOGLETRANSLATE($A186,""en"",""ko"")"),"월솔")</f>
        <v>월솔</v>
      </c>
      <c r="J186" s="9" t="str">
        <f>IFERROR(__xludf.DUMMYFUNCTION("GOOGLETRANSLATE($A186,""en"",""pt-BR"")"),"Walsall")</f>
        <v>Walsall</v>
      </c>
    </row>
    <row r="187">
      <c r="A187" s="9" t="str">
        <f>IFERROR(__xludf.DUMMYFUNCTION("""COMPUTED_VALUE"""),"Wigan")</f>
        <v>Wigan</v>
      </c>
      <c r="B187" s="9" t="str">
        <f>IFERROR(__xludf.DUMMYFUNCTION("""COMPUTED_VALUE"""),"gb-wgn")</f>
        <v>gb-wgn</v>
      </c>
      <c r="C187" s="9" t="str">
        <f>IFERROR(__xludf.DUMMYFUNCTION("GOOGLETRANSLATE($A187,""en"",""de"")"),"Wigan")</f>
        <v>Wigan</v>
      </c>
      <c r="D187" s="9" t="str">
        <f>IFERROR(__xludf.DUMMYFUNCTION("GOOGLETRANSLATE($A187,""en"",""fr"")"),"Wigan")</f>
        <v>Wigan</v>
      </c>
      <c r="E187" s="9" t="str">
        <f>IFERROR(__xludf.DUMMYFUNCTION("GOOGLETRANSLATE($A187,""en"",""es"")"),"wigan")</f>
        <v>wigan</v>
      </c>
      <c r="F187" s="9" t="str">
        <f>IFERROR(__xludf.DUMMYFUNCTION("GOOGLETRANSLATE($A187,""en"",""it"")"),"Wigan")</f>
        <v>Wigan</v>
      </c>
      <c r="G187" s="9" t="str">
        <f>IFERROR(__xludf.DUMMYFUNCTION("GOOGLETRANSLATE($A187,""en"",""zh-cn"")"),"维冈")</f>
        <v>维冈</v>
      </c>
      <c r="H187" s="9" t="str">
        <f>IFERROR(__xludf.DUMMYFUNCTION("GOOGLETRANSLATE($A187,""en"",""ja"")"),"ウィガン")</f>
        <v>ウィガン</v>
      </c>
      <c r="I187" s="9" t="str">
        <f>IFERROR(__xludf.DUMMYFUNCTION("GOOGLETRANSLATE($A187,""en"",""ko"")"),"위건")</f>
        <v>위건</v>
      </c>
      <c r="J187" s="9" t="str">
        <f>IFERROR(__xludf.DUMMYFUNCTION("GOOGLETRANSLATE($A187,""en"",""pt-BR"")"),"Wigan")</f>
        <v>Wigan</v>
      </c>
    </row>
    <row r="188">
      <c r="A188" s="9" t="str">
        <f>IFERROR(__xludf.DUMMYFUNCTION("""COMPUTED_VALUE"""),"Wirral")</f>
        <v>Wirral</v>
      </c>
      <c r="B188" s="9" t="str">
        <f>IFERROR(__xludf.DUMMYFUNCTION("""COMPUTED_VALUE"""),"gb-wrl")</f>
        <v>gb-wrl</v>
      </c>
      <c r="C188" s="9" t="str">
        <f>IFERROR(__xludf.DUMMYFUNCTION("GOOGLETRANSLATE($A188,""en"",""de"")"),"Wirral")</f>
        <v>Wirral</v>
      </c>
      <c r="D188" s="9" t="str">
        <f>IFERROR(__xludf.DUMMYFUNCTION("GOOGLETRANSLATE($A188,""en"",""fr"")"),"Wirral")</f>
        <v>Wirral</v>
      </c>
      <c r="E188" s="9" t="str">
        <f>IFERROR(__xludf.DUMMYFUNCTION("GOOGLETRANSLATE($A188,""en"",""es"")"),"Wirral")</f>
        <v>Wirral</v>
      </c>
      <c r="F188" s="9" t="str">
        <f>IFERROR(__xludf.DUMMYFUNCTION("GOOGLETRANSLATE($A188,""en"",""it"")"),"Wirral")</f>
        <v>Wirral</v>
      </c>
      <c r="G188" s="9" t="str">
        <f>IFERROR(__xludf.DUMMYFUNCTION("GOOGLETRANSLATE($A188,""en"",""zh-cn"")"),"威勒尔")</f>
        <v>威勒尔</v>
      </c>
      <c r="H188" s="9" t="str">
        <f>IFERROR(__xludf.DUMMYFUNCTION("GOOGLETRANSLATE($A188,""en"",""ja"")"),"ウィラル")</f>
        <v>ウィラル</v>
      </c>
      <c r="I188" s="9" t="str">
        <f>IFERROR(__xludf.DUMMYFUNCTION("GOOGLETRANSLATE($A188,""en"",""ko"")"),"위럴")</f>
        <v>위럴</v>
      </c>
      <c r="J188" s="9" t="str">
        <f>IFERROR(__xludf.DUMMYFUNCTION("GOOGLETRANSLATE($A188,""en"",""pt-BR"")"),"Wirral")</f>
        <v>Wirral</v>
      </c>
    </row>
    <row r="189">
      <c r="A189" s="9" t="str">
        <f>IFERROR(__xludf.DUMMYFUNCTION("""COMPUTED_VALUE"""),"Bromley")</f>
        <v>Bromley</v>
      </c>
      <c r="B189" s="9" t="str">
        <f>IFERROR(__xludf.DUMMYFUNCTION("""COMPUTED_VALUE"""),"gb-bry")</f>
        <v>gb-bry</v>
      </c>
      <c r="C189" s="9" t="str">
        <f>IFERROR(__xludf.DUMMYFUNCTION("GOOGLETRANSLATE($A189,""en"",""de"")"),"Bromley")</f>
        <v>Bromley</v>
      </c>
      <c r="D189" s="9" t="str">
        <f>IFERROR(__xludf.DUMMYFUNCTION("GOOGLETRANSLATE($A189,""en"",""fr"")"),"Bromley")</f>
        <v>Bromley</v>
      </c>
      <c r="E189" s="9" t="str">
        <f>IFERROR(__xludf.DUMMYFUNCTION("GOOGLETRANSLATE($A189,""en"",""es"")"),"bromley")</f>
        <v>bromley</v>
      </c>
      <c r="F189" s="9" t="str">
        <f>IFERROR(__xludf.DUMMYFUNCTION("GOOGLETRANSLATE($A189,""en"",""it"")"),"Bromley")</f>
        <v>Bromley</v>
      </c>
      <c r="G189" s="9" t="str">
        <f>IFERROR(__xludf.DUMMYFUNCTION("GOOGLETRANSLATE($A189,""en"",""zh-cn"")"),"布罗姆利")</f>
        <v>布罗姆利</v>
      </c>
      <c r="H189" s="9" t="str">
        <f>IFERROR(__xludf.DUMMYFUNCTION("GOOGLETRANSLATE($A189,""en"",""ja"")"),"ブロムリー")</f>
        <v>ブロムリー</v>
      </c>
      <c r="I189" s="9" t="str">
        <f>IFERROR(__xludf.DUMMYFUNCTION("GOOGLETRANSLATE($A189,""en"",""ko"")"),"브롬리")</f>
        <v>브롬리</v>
      </c>
      <c r="J189" s="9" t="str">
        <f>IFERROR(__xludf.DUMMYFUNCTION("GOOGLETRANSLATE($A189,""en"",""pt-BR"")"),"Bromley")</f>
        <v>Bromley</v>
      </c>
    </row>
    <row r="190">
      <c r="A190" s="9" t="str">
        <f>IFERROR(__xludf.DUMMYFUNCTION("""COMPUTED_VALUE"""),"Camden")</f>
        <v>Camden</v>
      </c>
      <c r="B190" s="9" t="str">
        <f>IFERROR(__xludf.DUMMYFUNCTION("""COMPUTED_VALUE"""),"gb-cmd")</f>
        <v>gb-cmd</v>
      </c>
      <c r="C190" s="9" t="str">
        <f>IFERROR(__xludf.DUMMYFUNCTION("GOOGLETRANSLATE($A190,""en"",""de"")"),"Camden")</f>
        <v>Camden</v>
      </c>
      <c r="D190" s="9" t="str">
        <f>IFERROR(__xludf.DUMMYFUNCTION("GOOGLETRANSLATE($A190,""en"",""fr"")"),"Camden")</f>
        <v>Camden</v>
      </c>
      <c r="E190" s="9" t="str">
        <f>IFERROR(__xludf.DUMMYFUNCTION("GOOGLETRANSLATE($A190,""en"",""es"")"),"camden")</f>
        <v>camden</v>
      </c>
      <c r="F190" s="9" t="str">
        <f>IFERROR(__xludf.DUMMYFUNCTION("GOOGLETRANSLATE($A190,""en"",""it"")"),"Camden")</f>
        <v>Camden</v>
      </c>
      <c r="G190" s="9" t="str">
        <f>IFERROR(__xludf.DUMMYFUNCTION("GOOGLETRANSLATE($A190,""en"",""zh-cn"")"),"卡姆登")</f>
        <v>卡姆登</v>
      </c>
      <c r="H190" s="9" t="str">
        <f>IFERROR(__xludf.DUMMYFUNCTION("GOOGLETRANSLATE($A190,""en"",""ja"")"),"カムデン")</f>
        <v>カムデン</v>
      </c>
      <c r="I190" s="9" t="str">
        <f>IFERROR(__xludf.DUMMYFUNCTION("GOOGLETRANSLATE($A190,""en"",""ko"")"),"캠든")</f>
        <v>캠든</v>
      </c>
      <c r="J190" s="9" t="str">
        <f>IFERROR(__xludf.DUMMYFUNCTION("GOOGLETRANSLATE($A190,""en"",""pt-BR"")"),"Camden")</f>
        <v>Camden</v>
      </c>
    </row>
    <row r="191">
      <c r="A191" s="9" t="str">
        <f>IFERROR(__xludf.DUMMYFUNCTION("""COMPUTED_VALUE"""),"Croydon")</f>
        <v>Croydon</v>
      </c>
      <c r="B191" s="9" t="str">
        <f>IFERROR(__xludf.DUMMYFUNCTION("""COMPUTED_VALUE"""),"gb-cry")</f>
        <v>gb-cry</v>
      </c>
      <c r="C191" s="9" t="str">
        <f>IFERROR(__xludf.DUMMYFUNCTION("GOOGLETRANSLATE($A191,""en"",""de"")"),"Croydon")</f>
        <v>Croydon</v>
      </c>
      <c r="D191" s="9" t="str">
        <f>IFERROR(__xludf.DUMMYFUNCTION("GOOGLETRANSLATE($A191,""en"",""fr"")"),"Croydon")</f>
        <v>Croydon</v>
      </c>
      <c r="E191" s="9" t="str">
        <f>IFERROR(__xludf.DUMMYFUNCTION("GOOGLETRANSLATE($A191,""en"",""es"")"),"Croydon")</f>
        <v>Croydon</v>
      </c>
      <c r="F191" s="9" t="str">
        <f>IFERROR(__xludf.DUMMYFUNCTION("GOOGLETRANSLATE($A191,""en"",""it"")"),"Croydon")</f>
        <v>Croydon</v>
      </c>
      <c r="G191" s="9" t="str">
        <f>IFERROR(__xludf.DUMMYFUNCTION("GOOGLETRANSLATE($A191,""en"",""zh-cn"")"),"克罗伊登")</f>
        <v>克罗伊登</v>
      </c>
      <c r="H191" s="9" t="str">
        <f>IFERROR(__xludf.DUMMYFUNCTION("GOOGLETRANSLATE($A191,""en"",""ja"")"),"クロイドン")</f>
        <v>クロイドン</v>
      </c>
      <c r="I191" s="9" t="str">
        <f>IFERROR(__xludf.DUMMYFUNCTION("GOOGLETRANSLATE($A191,""en"",""ko"")"),"크로이든")</f>
        <v>크로이든</v>
      </c>
      <c r="J191" s="9" t="str">
        <f>IFERROR(__xludf.DUMMYFUNCTION("GOOGLETRANSLATE($A191,""en"",""pt-BR"")"),"Croydon")</f>
        <v>Croydon</v>
      </c>
    </row>
    <row r="192">
      <c r="A192" s="9" t="str">
        <f>IFERROR(__xludf.DUMMYFUNCTION("""COMPUTED_VALUE"""),"Ealing")</f>
        <v>Ealing</v>
      </c>
      <c r="B192" s="9" t="str">
        <f>IFERROR(__xludf.DUMMYFUNCTION("""COMPUTED_VALUE"""),"gb-eal")</f>
        <v>gb-eal</v>
      </c>
      <c r="C192" s="9" t="str">
        <f>IFERROR(__xludf.DUMMYFUNCTION("GOOGLETRANSLATE($A192,""en"",""de"")"),"Ealing")</f>
        <v>Ealing</v>
      </c>
      <c r="D192" s="9" t="str">
        <f>IFERROR(__xludf.DUMMYFUNCTION("GOOGLETRANSLATE($A192,""en"",""fr"")"),"Éaling")</f>
        <v>Éaling</v>
      </c>
      <c r="E192" s="9" t="str">
        <f>IFERROR(__xludf.DUMMYFUNCTION("GOOGLETRANSLATE($A192,""en"",""es"")"),"curación")</f>
        <v>curación</v>
      </c>
      <c r="F192" s="9" t="str">
        <f>IFERROR(__xludf.DUMMYFUNCTION("GOOGLETRANSLATE($A192,""en"",""it"")"),"Ealing")</f>
        <v>Ealing</v>
      </c>
      <c r="G192" s="9" t="str">
        <f>IFERROR(__xludf.DUMMYFUNCTION("GOOGLETRANSLATE($A192,""en"",""zh-cn"")"),"伊灵")</f>
        <v>伊灵</v>
      </c>
      <c r="H192" s="9" t="str">
        <f>IFERROR(__xludf.DUMMYFUNCTION("GOOGLETRANSLATE($A192,""en"",""ja"")"),"イーリング")</f>
        <v>イーリング</v>
      </c>
      <c r="I192" s="9" t="str">
        <f>IFERROR(__xludf.DUMMYFUNCTION("GOOGLETRANSLATE($A192,""en"",""ko"")"),"일링")</f>
        <v>일링</v>
      </c>
      <c r="J192" s="9" t="str">
        <f>IFERROR(__xludf.DUMMYFUNCTION("GOOGLETRANSLATE($A192,""en"",""pt-BR"")"),"Ealing")</f>
        <v>Ealing</v>
      </c>
    </row>
    <row r="193">
      <c r="A193" s="9" t="str">
        <f>IFERROR(__xludf.DUMMYFUNCTION("""COMPUTED_VALUE"""),"Barking and Dagenham")</f>
        <v>Barking and Dagenham</v>
      </c>
      <c r="B193" s="9" t="str">
        <f>IFERROR(__xludf.DUMMYFUNCTION("""COMPUTED_VALUE"""),"gb-bdg")</f>
        <v>gb-bdg</v>
      </c>
      <c r="C193" s="9" t="str">
        <f>IFERROR(__xludf.DUMMYFUNCTION("GOOGLETRANSLATE($A193,""en"",""de"")"),"Barking und Dagenham")</f>
        <v>Barking und Dagenham</v>
      </c>
      <c r="D193" s="9" t="str">
        <f>IFERROR(__xludf.DUMMYFUNCTION("GOOGLETRANSLATE($A193,""en"",""fr"")"),"Aboiements et Dagenham")</f>
        <v>Aboiements et Dagenham</v>
      </c>
      <c r="E193" s="9" t="str">
        <f>IFERROR(__xludf.DUMMYFUNCTION("GOOGLETRANSLATE($A193,""en"",""es"")"),"Ladridos y Dagenham")</f>
        <v>Ladridos y Dagenham</v>
      </c>
      <c r="F193" s="9" t="str">
        <f>IFERROR(__xludf.DUMMYFUNCTION("GOOGLETRANSLATE($A193,""en"",""it"")"),"Abbaiare e Dagenham")</f>
        <v>Abbaiare e Dagenham</v>
      </c>
      <c r="G193" s="9" t="str">
        <f>IFERROR(__xludf.DUMMYFUNCTION("GOOGLETRANSLATE($A193,""en"",""zh-cn"")"),"巴金和达格纳姆")</f>
        <v>巴金和达格纳姆</v>
      </c>
      <c r="H193" s="9" t="str">
        <f>IFERROR(__xludf.DUMMYFUNCTION("GOOGLETRANSLATE($A193,""en"",""ja"")"),"バーキングとダゲナム")</f>
        <v>バーキングとダゲナム</v>
      </c>
      <c r="I193" s="9" t="str">
        <f>IFERROR(__xludf.DUMMYFUNCTION("GOOGLETRANSLATE($A193,""en"",""ko"")"),"짖는 소리와 Dagenham")</f>
        <v>짖는 소리와 Dagenham</v>
      </c>
      <c r="J193" s="9" t="str">
        <f>IFERROR(__xludf.DUMMYFUNCTION("GOOGLETRANSLATE($A193,""en"",""pt-BR"")"),"Barking e Dagenham")</f>
        <v>Barking e Dagenham</v>
      </c>
    </row>
    <row r="194">
      <c r="A194" s="9" t="str">
        <f>IFERROR(__xludf.DUMMYFUNCTION("""COMPUTED_VALUE"""),"England")</f>
        <v>England</v>
      </c>
      <c r="B194" s="9" t="str">
        <f>IFERROR(__xludf.DUMMYFUNCTION("""COMPUTED_VALUE"""),"gb-eng")</f>
        <v>gb-eng</v>
      </c>
      <c r="C194" s="9" t="str">
        <f>IFERROR(__xludf.DUMMYFUNCTION("GOOGLETRANSLATE($A194,""en"",""de"")"),"England")</f>
        <v>England</v>
      </c>
      <c r="D194" s="9" t="str">
        <f>IFERROR(__xludf.DUMMYFUNCTION("GOOGLETRANSLATE($A194,""en"",""fr"")"),"Angleterre")</f>
        <v>Angleterre</v>
      </c>
      <c r="E194" s="9" t="str">
        <f>IFERROR(__xludf.DUMMYFUNCTION("GOOGLETRANSLATE($A194,""en"",""es"")"),"Inglaterra")</f>
        <v>Inglaterra</v>
      </c>
      <c r="F194" s="9" t="str">
        <f>IFERROR(__xludf.DUMMYFUNCTION("GOOGLETRANSLATE($A194,""en"",""it"")"),"Inghilterra")</f>
        <v>Inghilterra</v>
      </c>
      <c r="G194" s="9" t="str">
        <f>IFERROR(__xludf.DUMMYFUNCTION("GOOGLETRANSLATE($A194,""en"",""zh-cn"")"),"英格兰")</f>
        <v>英格兰</v>
      </c>
      <c r="H194" s="9" t="str">
        <f>IFERROR(__xludf.DUMMYFUNCTION("GOOGLETRANSLATE($A194,""en"",""ja"")"),"イングランド")</f>
        <v>イングランド</v>
      </c>
      <c r="I194" s="9" t="str">
        <f>IFERROR(__xludf.DUMMYFUNCTION("GOOGLETRANSLATE($A194,""en"",""ko"")"),"영국")</f>
        <v>영국</v>
      </c>
      <c r="J194" s="9" t="str">
        <f>IFERROR(__xludf.DUMMYFUNCTION("GOOGLETRANSLATE($A194,""en"",""pt-BR"")"),"Inglaterra")</f>
        <v>Inglaterra</v>
      </c>
    </row>
    <row r="195">
      <c r="A195" s="9" t="str">
        <f>IFERROR(__xludf.DUMMYFUNCTION("""COMPUTED_VALUE"""),"Barnet")</f>
        <v>Barnet</v>
      </c>
      <c r="B195" s="9" t="str">
        <f>IFERROR(__xludf.DUMMYFUNCTION("""COMPUTED_VALUE"""),"gb-bne")</f>
        <v>gb-bne</v>
      </c>
      <c r="C195" s="9" t="str">
        <f>IFERROR(__xludf.DUMMYFUNCTION("GOOGLETRANSLATE($A195,""en"",""de"")"),"Barnet")</f>
        <v>Barnet</v>
      </c>
      <c r="D195" s="9" t="str">
        <f>IFERROR(__xludf.DUMMYFUNCTION("GOOGLETRANSLATE($A195,""en"",""fr"")"),"Barnet")</f>
        <v>Barnet</v>
      </c>
      <c r="E195" s="9" t="str">
        <f>IFERROR(__xludf.DUMMYFUNCTION("GOOGLETRANSLATE($A195,""en"",""es"")"),"barnet")</f>
        <v>barnet</v>
      </c>
      <c r="F195" s="9" t="str">
        <f>IFERROR(__xludf.DUMMYFUNCTION("GOOGLETRANSLATE($A195,""en"",""it"")"),"Barnet")</f>
        <v>Barnet</v>
      </c>
      <c r="G195" s="9" t="str">
        <f>IFERROR(__xludf.DUMMYFUNCTION("GOOGLETRANSLATE($A195,""en"",""zh-cn"")"),"巴尼特")</f>
        <v>巴尼特</v>
      </c>
      <c r="H195" s="9" t="str">
        <f>IFERROR(__xludf.DUMMYFUNCTION("GOOGLETRANSLATE($A195,""en"",""ja"")"),"バーネット")</f>
        <v>バーネット</v>
      </c>
      <c r="I195" s="9" t="str">
        <f>IFERROR(__xludf.DUMMYFUNCTION("GOOGLETRANSLATE($A195,""en"",""ko"")"),"바넷")</f>
        <v>바넷</v>
      </c>
      <c r="J195" s="9" t="str">
        <f>IFERROR(__xludf.DUMMYFUNCTION("GOOGLETRANSLATE($A195,""en"",""pt-BR"")"),"Barnet")</f>
        <v>Barnet</v>
      </c>
    </row>
    <row r="196">
      <c r="A196" s="9" t="str">
        <f>IFERROR(__xludf.DUMMYFUNCTION("""COMPUTED_VALUE"""),"Bexley")</f>
        <v>Bexley</v>
      </c>
      <c r="B196" s="9" t="str">
        <f>IFERROR(__xludf.DUMMYFUNCTION("""COMPUTED_VALUE"""),"gb-bex")</f>
        <v>gb-bex</v>
      </c>
      <c r="C196" s="9" t="str">
        <f>IFERROR(__xludf.DUMMYFUNCTION("GOOGLETRANSLATE($A196,""en"",""de"")"),"Bexley")</f>
        <v>Bexley</v>
      </c>
      <c r="D196" s="9" t="str">
        <f>IFERROR(__xludf.DUMMYFUNCTION("GOOGLETRANSLATE($A196,""en"",""fr"")"),"Bexley")</f>
        <v>Bexley</v>
      </c>
      <c r="E196" s="9" t="str">
        <f>IFERROR(__xludf.DUMMYFUNCTION("GOOGLETRANSLATE($A196,""en"",""es"")"),"bexley")</f>
        <v>bexley</v>
      </c>
      <c r="F196" s="9" t="str">
        <f>IFERROR(__xludf.DUMMYFUNCTION("GOOGLETRANSLATE($A196,""en"",""it"")"),"Bexley")</f>
        <v>Bexley</v>
      </c>
      <c r="G196" s="9" t="str">
        <f>IFERROR(__xludf.DUMMYFUNCTION("GOOGLETRANSLATE($A196,""en"",""zh-cn"")"),"贝克斯利")</f>
        <v>贝克斯利</v>
      </c>
      <c r="H196" s="9" t="str">
        <f>IFERROR(__xludf.DUMMYFUNCTION("GOOGLETRANSLATE($A196,""en"",""ja"")"),"ベクスリー")</f>
        <v>ベクスリー</v>
      </c>
      <c r="I196" s="9" t="str">
        <f>IFERROR(__xludf.DUMMYFUNCTION("GOOGLETRANSLATE($A196,""en"",""ko"")"),"벡슬리")</f>
        <v>벡슬리</v>
      </c>
      <c r="J196" s="9" t="str">
        <f>IFERROR(__xludf.DUMMYFUNCTION("GOOGLETRANSLATE($A196,""en"",""pt-BR"")"),"Bexley")</f>
        <v>Bexley</v>
      </c>
    </row>
    <row r="197">
      <c r="A197" s="9" t="str">
        <f>IFERROR(__xludf.DUMMYFUNCTION("""COMPUTED_VALUE"""),"Brent")</f>
        <v>Brent</v>
      </c>
      <c r="B197" s="9" t="str">
        <f>IFERROR(__xludf.DUMMYFUNCTION("""COMPUTED_VALUE"""),"gb-ben")</f>
        <v>gb-ben</v>
      </c>
      <c r="C197" s="9" t="str">
        <f>IFERROR(__xludf.DUMMYFUNCTION("GOOGLETRANSLATE($A197,""en"",""de"")"),"Brent")</f>
        <v>Brent</v>
      </c>
      <c r="D197" s="9" t="str">
        <f>IFERROR(__xludf.DUMMYFUNCTION("GOOGLETRANSLATE($A197,""en"",""fr"")"),"Brent")</f>
        <v>Brent</v>
      </c>
      <c r="E197" s="9" t="str">
        <f>IFERROR(__xludf.DUMMYFUNCTION("GOOGLETRANSLATE($A197,""en"",""es"")"),"Brent")</f>
        <v>Brent</v>
      </c>
      <c r="F197" s="9" t="str">
        <f>IFERROR(__xludf.DUMMYFUNCTION("GOOGLETRANSLATE($A197,""en"",""it"")"),"Brent")</f>
        <v>Brent</v>
      </c>
      <c r="G197" s="9" t="str">
        <f>IFERROR(__xludf.DUMMYFUNCTION("GOOGLETRANSLATE($A197,""en"",""zh-cn"")"),"布伦特")</f>
        <v>布伦特</v>
      </c>
      <c r="H197" s="9" t="str">
        <f>IFERROR(__xludf.DUMMYFUNCTION("GOOGLETRANSLATE($A197,""en"",""ja"")"),"ブレント")</f>
        <v>ブレント</v>
      </c>
      <c r="I197" s="9" t="str">
        <f>IFERROR(__xludf.DUMMYFUNCTION("GOOGLETRANSLATE($A197,""en"",""ko"")"),"브렌트유")</f>
        <v>브렌트유</v>
      </c>
      <c r="J197" s="9" t="str">
        <f>IFERROR(__xludf.DUMMYFUNCTION("GOOGLETRANSLATE($A197,""en"",""pt-BR"")"),"Brent")</f>
        <v>Brent</v>
      </c>
    </row>
    <row r="198">
      <c r="A198" s="9" t="str">
        <f>IFERROR(__xludf.DUMMYFUNCTION("""COMPUTED_VALUE"""),"Surrey")</f>
        <v>Surrey</v>
      </c>
      <c r="B198" s="9" t="str">
        <f>IFERROR(__xludf.DUMMYFUNCTION("""COMPUTED_VALUE"""),"gb-sry")</f>
        <v>gb-sry</v>
      </c>
      <c r="C198" s="9" t="str">
        <f>IFERROR(__xludf.DUMMYFUNCTION("GOOGLETRANSLATE($A198,""en"",""de"")"),"Surrey")</f>
        <v>Surrey</v>
      </c>
      <c r="D198" s="9" t="str">
        <f>IFERROR(__xludf.DUMMYFUNCTION("GOOGLETRANSLATE($A198,""en"",""fr"")"),"Surrey")</f>
        <v>Surrey</v>
      </c>
      <c r="E198" s="9" t="str">
        <f>IFERROR(__xludf.DUMMYFUNCTION("GOOGLETRANSLATE($A198,""en"",""es"")"),"Surrey")</f>
        <v>Surrey</v>
      </c>
      <c r="F198" s="9" t="str">
        <f>IFERROR(__xludf.DUMMYFUNCTION("GOOGLETRANSLATE($A198,""en"",""it"")"),"Surrey")</f>
        <v>Surrey</v>
      </c>
      <c r="G198" s="9" t="str">
        <f>IFERROR(__xludf.DUMMYFUNCTION("GOOGLETRANSLATE($A198,""en"",""zh-cn"")"),"萨里")</f>
        <v>萨里</v>
      </c>
      <c r="H198" s="9" t="str">
        <f>IFERROR(__xludf.DUMMYFUNCTION("GOOGLETRANSLATE($A198,""en"",""ja"")"),"サリー州")</f>
        <v>サリー州</v>
      </c>
      <c r="I198" s="9" t="str">
        <f>IFERROR(__xludf.DUMMYFUNCTION("GOOGLETRANSLATE($A198,""en"",""ko"")"),"써리")</f>
        <v>써리</v>
      </c>
      <c r="J198" s="9" t="str">
        <f>IFERROR(__xludf.DUMMYFUNCTION("GOOGLETRANSLATE($A198,""en"",""pt-BR"")"),"Surrey")</f>
        <v>Surrey</v>
      </c>
    </row>
    <row r="199">
      <c r="A199" s="9" t="str">
        <f>IFERROR(__xludf.DUMMYFUNCTION("""COMPUTED_VALUE"""),"Warwickshire")</f>
        <v>Warwickshire</v>
      </c>
      <c r="B199" s="9" t="str">
        <f>IFERROR(__xludf.DUMMYFUNCTION("""COMPUTED_VALUE"""),"gb-war")</f>
        <v>gb-war</v>
      </c>
      <c r="C199" s="9" t="str">
        <f>IFERROR(__xludf.DUMMYFUNCTION("GOOGLETRANSLATE($A199,""en"",""de"")"),"Warwickshire")</f>
        <v>Warwickshire</v>
      </c>
      <c r="D199" s="9" t="str">
        <f>IFERROR(__xludf.DUMMYFUNCTION("GOOGLETRANSLATE($A199,""en"",""fr"")"),"Comté de Warwick")</f>
        <v>Comté de Warwick</v>
      </c>
      <c r="E199" s="9" t="str">
        <f>IFERROR(__xludf.DUMMYFUNCTION("GOOGLETRANSLATE($A199,""en"",""es"")"),"Warwickshire")</f>
        <v>Warwickshire</v>
      </c>
      <c r="F199" s="9" t="str">
        <f>IFERROR(__xludf.DUMMYFUNCTION("GOOGLETRANSLATE($A199,""en"",""it"")"),"Warwickshire")</f>
        <v>Warwickshire</v>
      </c>
      <c r="G199" s="9" t="str">
        <f>IFERROR(__xludf.DUMMYFUNCTION("GOOGLETRANSLATE($A199,""en"",""zh-cn"")"),"沃里克郡")</f>
        <v>沃里克郡</v>
      </c>
      <c r="H199" s="9" t="str">
        <f>IFERROR(__xludf.DUMMYFUNCTION("GOOGLETRANSLATE($A199,""en"",""ja"")"),"ウォリックシャー")</f>
        <v>ウォリックシャー</v>
      </c>
      <c r="I199" s="9" t="str">
        <f>IFERROR(__xludf.DUMMYFUNCTION("GOOGLETRANSLATE($A199,""en"",""ko"")"),"워릭셔")</f>
        <v>워릭셔</v>
      </c>
      <c r="J199" s="9" t="str">
        <f>IFERROR(__xludf.DUMMYFUNCTION("GOOGLETRANSLATE($A199,""en"",""pt-BR"")"),"Warwickshire")</f>
        <v>Warwickshire</v>
      </c>
    </row>
    <row r="200">
      <c r="A200" s="9" t="str">
        <f>IFERROR(__xludf.DUMMYFUNCTION("""COMPUTED_VALUE"""),"West Sussex")</f>
        <v>West Sussex</v>
      </c>
      <c r="B200" s="9" t="str">
        <f>IFERROR(__xludf.DUMMYFUNCTION("""COMPUTED_VALUE"""),"gb-wsx")</f>
        <v>gb-wsx</v>
      </c>
      <c r="C200" s="9" t="str">
        <f>IFERROR(__xludf.DUMMYFUNCTION("GOOGLETRANSLATE($A200,""en"",""de"")"),"West Sussex")</f>
        <v>West Sussex</v>
      </c>
      <c r="D200" s="9" t="str">
        <f>IFERROR(__xludf.DUMMYFUNCTION("GOOGLETRANSLATE($A200,""en"",""fr"")"),"Sussex de l'Ouest")</f>
        <v>Sussex de l'Ouest</v>
      </c>
      <c r="E200" s="9" t="str">
        <f>IFERROR(__xludf.DUMMYFUNCTION("GOOGLETRANSLATE($A200,""en"",""es"")"),"Sussex Occidental")</f>
        <v>Sussex Occidental</v>
      </c>
      <c r="F200" s="9" t="str">
        <f>IFERROR(__xludf.DUMMYFUNCTION("GOOGLETRANSLATE($A200,""en"",""it"")"),"Sussex occidentale")</f>
        <v>Sussex occidentale</v>
      </c>
      <c r="G200" s="9" t="str">
        <f>IFERROR(__xludf.DUMMYFUNCTION("GOOGLETRANSLATE($A200,""en"",""zh-cn"")"),"西萨塞克斯")</f>
        <v>西萨塞克斯</v>
      </c>
      <c r="H200" s="9" t="str">
        <f>IFERROR(__xludf.DUMMYFUNCTION("GOOGLETRANSLATE($A200,""en"",""ja"")"),"ウェストサセックス")</f>
        <v>ウェストサセックス</v>
      </c>
      <c r="I200" s="9" t="str">
        <f>IFERROR(__xludf.DUMMYFUNCTION("GOOGLETRANSLATE($A200,""en"",""ko"")"),"웨스트 서식스")</f>
        <v>웨스트 서식스</v>
      </c>
      <c r="J200" s="9" t="str">
        <f>IFERROR(__xludf.DUMMYFUNCTION("GOOGLETRANSLATE($A200,""en"",""pt-BR"")"),"Sussex Ocidental")</f>
        <v>Sussex Ocidental</v>
      </c>
    </row>
    <row r="201">
      <c r="A201" s="9" t="str">
        <f>IFERROR(__xludf.DUMMYFUNCTION("""COMPUTED_VALUE"""),"Worcestershire")</f>
        <v>Worcestershire</v>
      </c>
      <c r="B201" s="9" t="str">
        <f>IFERROR(__xludf.DUMMYFUNCTION("""COMPUTED_VALUE"""),"gb-wor")</f>
        <v>gb-wor</v>
      </c>
      <c r="C201" s="9" t="str">
        <f>IFERROR(__xludf.DUMMYFUNCTION("GOOGLETRANSLATE($A201,""en"",""de"")"),"Worcestershire")</f>
        <v>Worcestershire</v>
      </c>
      <c r="D201" s="9" t="str">
        <f>IFERROR(__xludf.DUMMYFUNCTION("GOOGLETRANSLATE($A201,""en"",""fr"")"),"Comté de Worcester")</f>
        <v>Comté de Worcester</v>
      </c>
      <c r="E201" s="9" t="str">
        <f>IFERROR(__xludf.DUMMYFUNCTION("GOOGLETRANSLATE($A201,""en"",""es"")"),"Worcestershire")</f>
        <v>Worcestershire</v>
      </c>
      <c r="F201" s="9" t="str">
        <f>IFERROR(__xludf.DUMMYFUNCTION("GOOGLETRANSLATE($A201,""en"",""it"")"),"Worcestershire")</f>
        <v>Worcestershire</v>
      </c>
      <c r="G201" s="9" t="str">
        <f>IFERROR(__xludf.DUMMYFUNCTION("GOOGLETRANSLATE($A201,""en"",""zh-cn"")"),"伍斯特郡")</f>
        <v>伍斯特郡</v>
      </c>
      <c r="H201" s="9" t="str">
        <f>IFERROR(__xludf.DUMMYFUNCTION("GOOGLETRANSLATE($A201,""en"",""ja"")"),"ウスターシャー州")</f>
        <v>ウスターシャー州</v>
      </c>
      <c r="I201" s="9" t="str">
        <f>IFERROR(__xludf.DUMMYFUNCTION("GOOGLETRANSLATE($A201,""en"",""ko"")"),"우스터셔")</f>
        <v>우스터셔</v>
      </c>
      <c r="J201" s="9" t="str">
        <f>IFERROR(__xludf.DUMMYFUNCTION("GOOGLETRANSLATE($A201,""en"",""pt-BR"")"),"Worcestershire")</f>
        <v>Worcestershire</v>
      </c>
    </row>
    <row r="202">
      <c r="A202" s="9" t="str">
        <f>IFERROR(__xludf.DUMMYFUNCTION("""COMPUTED_VALUE"""),"Oxfordshire")</f>
        <v>Oxfordshire</v>
      </c>
      <c r="B202" s="9" t="str">
        <f>IFERROR(__xludf.DUMMYFUNCTION("""COMPUTED_VALUE"""),"gb-oxf")</f>
        <v>gb-oxf</v>
      </c>
      <c r="C202" s="9" t="str">
        <f>IFERROR(__xludf.DUMMYFUNCTION("GOOGLETRANSLATE($A202,""en"",""de"")"),"Oxfordshire")</f>
        <v>Oxfordshire</v>
      </c>
      <c r="D202" s="9" t="str">
        <f>IFERROR(__xludf.DUMMYFUNCTION("GOOGLETRANSLATE($A202,""en"",""fr"")"),"Oxfordshire")</f>
        <v>Oxfordshire</v>
      </c>
      <c r="E202" s="9" t="str">
        <f>IFERROR(__xludf.DUMMYFUNCTION("GOOGLETRANSLATE($A202,""en"",""es"")"),"Oxfordshire")</f>
        <v>Oxfordshire</v>
      </c>
      <c r="F202" s="9" t="str">
        <f>IFERROR(__xludf.DUMMYFUNCTION("GOOGLETRANSLATE($A202,""en"",""it"")"),"Oxfordshire")</f>
        <v>Oxfordshire</v>
      </c>
      <c r="G202" s="9" t="str">
        <f>IFERROR(__xludf.DUMMYFUNCTION("GOOGLETRANSLATE($A202,""en"",""zh-cn"")"),"牛津郡")</f>
        <v>牛津郡</v>
      </c>
      <c r="H202" s="9" t="str">
        <f>IFERROR(__xludf.DUMMYFUNCTION("GOOGLETRANSLATE($A202,""en"",""ja"")"),"オックスフォードシャー")</f>
        <v>オックスフォードシャー</v>
      </c>
      <c r="I202" s="9" t="str">
        <f>IFERROR(__xludf.DUMMYFUNCTION("GOOGLETRANSLATE($A202,""en"",""ko"")"),"옥스퍼드셔주")</f>
        <v>옥스퍼드셔주</v>
      </c>
      <c r="J202" s="9" t="str">
        <f>IFERROR(__xludf.DUMMYFUNCTION("GOOGLETRANSLATE($A202,""en"",""pt-BR"")"),"Oxfordshire")</f>
        <v>Oxfordshire</v>
      </c>
    </row>
    <row r="203">
      <c r="A203" s="9" t="str">
        <f>IFERROR(__xludf.DUMMYFUNCTION("""COMPUTED_VALUE"""),"Somerset")</f>
        <v>Somerset</v>
      </c>
      <c r="B203" s="9" t="str">
        <f>IFERROR(__xludf.DUMMYFUNCTION("""COMPUTED_VALUE"""),"gb-som")</f>
        <v>gb-som</v>
      </c>
      <c r="C203" s="9" t="str">
        <f>IFERROR(__xludf.DUMMYFUNCTION("GOOGLETRANSLATE($A203,""en"",""de"")"),"Somerset")</f>
        <v>Somerset</v>
      </c>
      <c r="D203" s="9" t="str">
        <f>IFERROR(__xludf.DUMMYFUNCTION("GOOGLETRANSLATE($A203,""en"",""fr"")"),"Somerset")</f>
        <v>Somerset</v>
      </c>
      <c r="E203" s="9" t="str">
        <f>IFERROR(__xludf.DUMMYFUNCTION("GOOGLETRANSLATE($A203,""en"",""es"")"),"Voltereta")</f>
        <v>Voltereta</v>
      </c>
      <c r="F203" s="9" t="str">
        <f>IFERROR(__xludf.DUMMYFUNCTION("GOOGLETRANSLATE($A203,""en"",""it"")"),"Somerset")</f>
        <v>Somerset</v>
      </c>
      <c r="G203" s="9" t="str">
        <f>IFERROR(__xludf.DUMMYFUNCTION("GOOGLETRANSLATE($A203,""en"",""zh-cn"")"),"萨默塞特")</f>
        <v>萨默塞特</v>
      </c>
      <c r="H203" s="9" t="str">
        <f>IFERROR(__xludf.DUMMYFUNCTION("GOOGLETRANSLATE($A203,""en"",""ja"")"),"サマセット")</f>
        <v>サマセット</v>
      </c>
      <c r="I203" s="9" t="str">
        <f>IFERROR(__xludf.DUMMYFUNCTION("GOOGLETRANSLATE($A203,""en"",""ko"")"),"공중제비")</f>
        <v>공중제비</v>
      </c>
      <c r="J203" s="9" t="str">
        <f>IFERROR(__xludf.DUMMYFUNCTION("GOOGLETRANSLATE($A203,""en"",""pt-BR"")"),"Somerset")</f>
        <v>Somerset</v>
      </c>
    </row>
    <row r="204">
      <c r="A204" s="9" t="str">
        <f>IFERROR(__xludf.DUMMYFUNCTION("""COMPUTED_VALUE"""),"Staffordshire")</f>
        <v>Staffordshire</v>
      </c>
      <c r="B204" s="9" t="str">
        <f>IFERROR(__xludf.DUMMYFUNCTION("""COMPUTED_VALUE"""),"gb-sts")</f>
        <v>gb-sts</v>
      </c>
      <c r="C204" s="9" t="str">
        <f>IFERROR(__xludf.DUMMYFUNCTION("GOOGLETRANSLATE($A204,""en"",""de"")"),"Staffordshire")</f>
        <v>Staffordshire</v>
      </c>
      <c r="D204" s="9" t="str">
        <f>IFERROR(__xludf.DUMMYFUNCTION("GOOGLETRANSLATE($A204,""en"",""fr"")"),"Staffordshire")</f>
        <v>Staffordshire</v>
      </c>
      <c r="E204" s="9" t="str">
        <f>IFERROR(__xludf.DUMMYFUNCTION("GOOGLETRANSLATE($A204,""en"",""es"")"),"Staffordshire")</f>
        <v>Staffordshire</v>
      </c>
      <c r="F204" s="9" t="str">
        <f>IFERROR(__xludf.DUMMYFUNCTION("GOOGLETRANSLATE($A204,""en"",""it"")"),"Staffordshire")</f>
        <v>Staffordshire</v>
      </c>
      <c r="G204" s="9" t="str">
        <f>IFERROR(__xludf.DUMMYFUNCTION("GOOGLETRANSLATE($A204,""en"",""zh-cn"")"),"斯塔福德郡")</f>
        <v>斯塔福德郡</v>
      </c>
      <c r="H204" s="9" t="str">
        <f>IFERROR(__xludf.DUMMYFUNCTION("GOOGLETRANSLATE($A204,""en"",""ja"")"),"スタッフォードシャー")</f>
        <v>スタッフォードシャー</v>
      </c>
      <c r="I204" s="9" t="str">
        <f>IFERROR(__xludf.DUMMYFUNCTION("GOOGLETRANSLATE($A204,""en"",""ko"")"),"스태퍼드셔")</f>
        <v>스태퍼드셔</v>
      </c>
      <c r="J204" s="9" t="str">
        <f>IFERROR(__xludf.DUMMYFUNCTION("GOOGLETRANSLATE($A204,""en"",""pt-BR"")"),"Staffordshire")</f>
        <v>Staffordshire</v>
      </c>
    </row>
    <row r="205">
      <c r="A205" s="9" t="str">
        <f>IFERROR(__xludf.DUMMYFUNCTION("""COMPUTED_VALUE"""),"Suffolk")</f>
        <v>Suffolk</v>
      </c>
      <c r="B205" s="9" t="str">
        <f>IFERROR(__xludf.DUMMYFUNCTION("""COMPUTED_VALUE"""),"gb-sfk")</f>
        <v>gb-sfk</v>
      </c>
      <c r="C205" s="9" t="str">
        <f>IFERROR(__xludf.DUMMYFUNCTION("GOOGLETRANSLATE($A205,""en"",""de"")"),"Suffolk")</f>
        <v>Suffolk</v>
      </c>
      <c r="D205" s="9" t="str">
        <f>IFERROR(__xludf.DUMMYFUNCTION("GOOGLETRANSLATE($A205,""en"",""fr"")"),"Suffolk")</f>
        <v>Suffolk</v>
      </c>
      <c r="E205" s="9" t="str">
        <f>IFERROR(__xludf.DUMMYFUNCTION("GOOGLETRANSLATE($A205,""en"",""es"")"),"Suffolk")</f>
        <v>Suffolk</v>
      </c>
      <c r="F205" s="9" t="str">
        <f>IFERROR(__xludf.DUMMYFUNCTION("GOOGLETRANSLATE($A205,""en"",""it"")"),"Suffolk")</f>
        <v>Suffolk</v>
      </c>
      <c r="G205" s="9" t="str">
        <f>IFERROR(__xludf.DUMMYFUNCTION("GOOGLETRANSLATE($A205,""en"",""zh-cn"")"),"萨福克")</f>
        <v>萨福克</v>
      </c>
      <c r="H205" s="9" t="str">
        <f>IFERROR(__xludf.DUMMYFUNCTION("GOOGLETRANSLATE($A205,""en"",""ja"")"),"サフォーク")</f>
        <v>サフォーク</v>
      </c>
      <c r="I205" s="9" t="str">
        <f>IFERROR(__xludf.DUMMYFUNCTION("GOOGLETRANSLATE($A205,""en"",""ko"")"),"서퍽")</f>
        <v>서퍽</v>
      </c>
      <c r="J205" s="9" t="str">
        <f>IFERROR(__xludf.DUMMYFUNCTION("GOOGLETRANSLATE($A205,""en"",""pt-BR"")"),"Suffolk")</f>
        <v>Suffolk</v>
      </c>
    </row>
    <row r="206">
      <c r="A206" s="9" t="str">
        <f>IFERROR(__xludf.DUMMYFUNCTION("""COMPUTED_VALUE"""),"Lambeth")</f>
        <v>Lambeth</v>
      </c>
      <c r="B206" s="9" t="str">
        <f>IFERROR(__xludf.DUMMYFUNCTION("""COMPUTED_VALUE"""),"gb-lbh")</f>
        <v>gb-lbh</v>
      </c>
      <c r="C206" s="9" t="str">
        <f>IFERROR(__xludf.DUMMYFUNCTION("GOOGLETRANSLATE($A206,""en"",""de"")"),"Lambeth")</f>
        <v>Lambeth</v>
      </c>
      <c r="D206" s="9" t="str">
        <f>IFERROR(__xludf.DUMMYFUNCTION("GOOGLETRANSLATE($A206,""en"",""fr"")"),"Lambeth")</f>
        <v>Lambeth</v>
      </c>
      <c r="E206" s="9" t="str">
        <f>IFERROR(__xludf.DUMMYFUNCTION("GOOGLETRANSLATE($A206,""en"",""es"")"),"Lambeth")</f>
        <v>Lambeth</v>
      </c>
      <c r="F206" s="9" t="str">
        <f>IFERROR(__xludf.DUMMYFUNCTION("GOOGLETRANSLATE($A206,""en"",""it"")"),"Lambeth")</f>
        <v>Lambeth</v>
      </c>
      <c r="G206" s="9" t="str">
        <f>IFERROR(__xludf.DUMMYFUNCTION("GOOGLETRANSLATE($A206,""en"",""zh-cn"")"),"兰贝斯")</f>
        <v>兰贝斯</v>
      </c>
      <c r="H206" s="9" t="str">
        <f>IFERROR(__xludf.DUMMYFUNCTION("GOOGLETRANSLATE($A206,""en"",""ja"")"),"ランベス")</f>
        <v>ランベス</v>
      </c>
      <c r="I206" s="9" t="str">
        <f>IFERROR(__xludf.DUMMYFUNCTION("GOOGLETRANSLATE($A206,""en"",""ko"")"),"램버스")</f>
        <v>램버스</v>
      </c>
      <c r="J206" s="9" t="str">
        <f>IFERROR(__xludf.DUMMYFUNCTION("GOOGLETRANSLATE($A206,""en"",""pt-BR"")"),"Lambeth")</f>
        <v>Lambeth</v>
      </c>
    </row>
    <row r="207">
      <c r="A207" s="9" t="str">
        <f>IFERROR(__xludf.DUMMYFUNCTION("""COMPUTED_VALUE"""),"Lewisham")</f>
        <v>Lewisham</v>
      </c>
      <c r="B207" s="9" t="str">
        <f>IFERROR(__xludf.DUMMYFUNCTION("""COMPUTED_VALUE"""),"gb-lew")</f>
        <v>gb-lew</v>
      </c>
      <c r="C207" s="9" t="str">
        <f>IFERROR(__xludf.DUMMYFUNCTION("GOOGLETRANSLATE($A207,""en"",""de"")"),"Lewisham")</f>
        <v>Lewisham</v>
      </c>
      <c r="D207" s="9" t="str">
        <f>IFERROR(__xludf.DUMMYFUNCTION("GOOGLETRANSLATE($A207,""en"",""fr"")"),"Lewisham")</f>
        <v>Lewisham</v>
      </c>
      <c r="E207" s="9" t="str">
        <f>IFERROR(__xludf.DUMMYFUNCTION("GOOGLETRANSLATE($A207,""en"",""es"")"),"lewisham")</f>
        <v>lewisham</v>
      </c>
      <c r="F207" s="9" t="str">
        <f>IFERROR(__xludf.DUMMYFUNCTION("GOOGLETRANSLATE($A207,""en"",""it"")"),"Lewisham")</f>
        <v>Lewisham</v>
      </c>
      <c r="G207" s="9" t="str">
        <f>IFERROR(__xludf.DUMMYFUNCTION("GOOGLETRANSLATE($A207,""en"",""zh-cn"")"),"刘易舍姆")</f>
        <v>刘易舍姆</v>
      </c>
      <c r="H207" s="9" t="str">
        <f>IFERROR(__xludf.DUMMYFUNCTION("GOOGLETRANSLATE($A207,""en"",""ja"")"),"ルイシャム")</f>
        <v>ルイシャム</v>
      </c>
      <c r="I207" s="9" t="str">
        <f>IFERROR(__xludf.DUMMYFUNCTION("GOOGLETRANSLATE($A207,""en"",""ko"")"),"루이셤")</f>
        <v>루이셤</v>
      </c>
      <c r="J207" s="9" t="str">
        <f>IFERROR(__xludf.DUMMYFUNCTION("GOOGLETRANSLATE($A207,""en"",""pt-BR"")"),"Lewisham")</f>
        <v>Lewisham</v>
      </c>
    </row>
    <row r="208">
      <c r="A208" s="9" t="str">
        <f>IFERROR(__xludf.DUMMYFUNCTION("""COMPUTED_VALUE"""),"Merton")</f>
        <v>Merton</v>
      </c>
      <c r="B208" s="9" t="str">
        <f>IFERROR(__xludf.DUMMYFUNCTION("""COMPUTED_VALUE"""),"gb-mrt")</f>
        <v>gb-mrt</v>
      </c>
      <c r="C208" s="9" t="str">
        <f>IFERROR(__xludf.DUMMYFUNCTION("GOOGLETRANSLATE($A208,""en"",""de"")"),"Merton")</f>
        <v>Merton</v>
      </c>
      <c r="D208" s="9" t="str">
        <f>IFERROR(__xludf.DUMMYFUNCTION("GOOGLETRANSLATE($A208,""en"",""fr"")"),"Merton")</f>
        <v>Merton</v>
      </c>
      <c r="E208" s="9" t="str">
        <f>IFERROR(__xludf.DUMMYFUNCTION("GOOGLETRANSLATE($A208,""en"",""es"")"),"Mertón")</f>
        <v>Mertón</v>
      </c>
      <c r="F208" s="9" t="str">
        <f>IFERROR(__xludf.DUMMYFUNCTION("GOOGLETRANSLATE($A208,""en"",""it"")"),"Merton")</f>
        <v>Merton</v>
      </c>
      <c r="G208" s="9" t="str">
        <f>IFERROR(__xludf.DUMMYFUNCTION("GOOGLETRANSLATE($A208,""en"",""zh-cn"")"),"默顿")</f>
        <v>默顿</v>
      </c>
      <c r="H208" s="9" t="str">
        <f>IFERROR(__xludf.DUMMYFUNCTION("GOOGLETRANSLATE($A208,""en"",""ja"")"),"マートン")</f>
        <v>マートン</v>
      </c>
      <c r="I208" s="9" t="str">
        <f>IFERROR(__xludf.DUMMYFUNCTION("GOOGLETRANSLATE($A208,""en"",""ko"")"),"머튼")</f>
        <v>머튼</v>
      </c>
      <c r="J208" s="9" t="str">
        <f>IFERROR(__xludf.DUMMYFUNCTION("GOOGLETRANSLATE($A208,""en"",""pt-BR"")"),"Merton")</f>
        <v>Merton</v>
      </c>
    </row>
    <row r="209">
      <c r="A209" s="9" t="str">
        <f>IFERROR(__xludf.DUMMYFUNCTION("""COMPUTED_VALUE"""),"Newham")</f>
        <v>Newham</v>
      </c>
      <c r="B209" s="9" t="str">
        <f>IFERROR(__xludf.DUMMYFUNCTION("""COMPUTED_VALUE"""),"gb-nwm")</f>
        <v>gb-nwm</v>
      </c>
      <c r="C209" s="9" t="str">
        <f>IFERROR(__xludf.DUMMYFUNCTION("GOOGLETRANSLATE($A209,""en"",""de"")"),"Newham")</f>
        <v>Newham</v>
      </c>
      <c r="D209" s="9" t="str">
        <f>IFERROR(__xludf.DUMMYFUNCTION("GOOGLETRANSLATE($A209,""en"",""fr"")"),"Newham")</f>
        <v>Newham</v>
      </c>
      <c r="E209" s="9" t="str">
        <f>IFERROR(__xludf.DUMMYFUNCTION("GOOGLETRANSLATE($A209,""en"",""es"")"),"Newham")</f>
        <v>Newham</v>
      </c>
      <c r="F209" s="9" t="str">
        <f>IFERROR(__xludf.DUMMYFUNCTION("GOOGLETRANSLATE($A209,""en"",""it"")"),"Newham")</f>
        <v>Newham</v>
      </c>
      <c r="G209" s="9" t="str">
        <f>IFERROR(__xludf.DUMMYFUNCTION("GOOGLETRANSLATE($A209,""en"",""zh-cn"")"),"纽汉姆")</f>
        <v>纽汉姆</v>
      </c>
      <c r="H209" s="9" t="str">
        <f>IFERROR(__xludf.DUMMYFUNCTION("GOOGLETRANSLATE($A209,""en"",""ja"")"),"ニューハム")</f>
        <v>ニューハム</v>
      </c>
      <c r="I209" s="9" t="str">
        <f>IFERROR(__xludf.DUMMYFUNCTION("GOOGLETRANSLATE($A209,""en"",""ko"")"),"뉴엄")</f>
        <v>뉴엄</v>
      </c>
      <c r="J209" s="9" t="str">
        <f>IFERROR(__xludf.DUMMYFUNCTION("GOOGLETRANSLATE($A209,""en"",""pt-BR"")"),"Newham")</f>
        <v>Newham</v>
      </c>
    </row>
    <row r="210">
      <c r="A210" s="9" t="str">
        <f>IFERROR(__xludf.DUMMYFUNCTION("""COMPUTED_VALUE"""),"Hounslow")</f>
        <v>Hounslow</v>
      </c>
      <c r="B210" s="9" t="str">
        <f>IFERROR(__xludf.DUMMYFUNCTION("""COMPUTED_VALUE"""),"gb-hns")</f>
        <v>gb-hns</v>
      </c>
      <c r="C210" s="9" t="str">
        <f>IFERROR(__xludf.DUMMYFUNCTION("GOOGLETRANSLATE($A210,""en"",""de"")"),"Hounslow")</f>
        <v>Hounslow</v>
      </c>
      <c r="D210" s="9" t="str">
        <f>IFERROR(__xludf.DUMMYFUNCTION("GOOGLETRANSLATE($A210,""en"",""fr"")"),"Hounslow")</f>
        <v>Hounslow</v>
      </c>
      <c r="E210" s="9" t="str">
        <f>IFERROR(__xludf.DUMMYFUNCTION("GOOGLETRANSLATE($A210,""en"",""es"")"),"Hounslow")</f>
        <v>Hounslow</v>
      </c>
      <c r="F210" s="9" t="str">
        <f>IFERROR(__xludf.DUMMYFUNCTION("GOOGLETRANSLATE($A210,""en"",""it"")"),"Hounslow")</f>
        <v>Hounslow</v>
      </c>
      <c r="G210" s="9" t="str">
        <f>IFERROR(__xludf.DUMMYFUNCTION("GOOGLETRANSLATE($A210,""en"",""zh-cn"")"),"豪恩斯洛")</f>
        <v>豪恩斯洛</v>
      </c>
      <c r="H210" s="9" t="str">
        <f>IFERROR(__xludf.DUMMYFUNCTION("GOOGLETRANSLATE($A210,""en"",""ja"")"),"ハウンズロー")</f>
        <v>ハウンズロー</v>
      </c>
      <c r="I210" s="9" t="str">
        <f>IFERROR(__xludf.DUMMYFUNCTION("GOOGLETRANSLATE($A210,""en"",""ko"")"),"하운슬로")</f>
        <v>하운슬로</v>
      </c>
      <c r="J210" s="9" t="str">
        <f>IFERROR(__xludf.DUMMYFUNCTION("GOOGLETRANSLATE($A210,""en"",""pt-BR"")"),"Hounslow")</f>
        <v>Hounslow</v>
      </c>
    </row>
    <row r="211">
      <c r="A211" s="9" t="str">
        <f>IFERROR(__xludf.DUMMYFUNCTION("""COMPUTED_VALUE"""),"Islington")</f>
        <v>Islington</v>
      </c>
      <c r="B211" s="9" t="str">
        <f>IFERROR(__xludf.DUMMYFUNCTION("""COMPUTED_VALUE"""),"gb-isl")</f>
        <v>gb-isl</v>
      </c>
      <c r="C211" s="9" t="str">
        <f>IFERROR(__xludf.DUMMYFUNCTION("GOOGLETRANSLATE($A211,""en"",""de"")"),"Islington")</f>
        <v>Islington</v>
      </c>
      <c r="D211" s="9" t="str">
        <f>IFERROR(__xludf.DUMMYFUNCTION("GOOGLETRANSLATE($A211,""en"",""fr"")"),"Islington")</f>
        <v>Islington</v>
      </c>
      <c r="E211" s="9" t="str">
        <f>IFERROR(__xludf.DUMMYFUNCTION("GOOGLETRANSLATE($A211,""en"",""es"")"),"islington")</f>
        <v>islington</v>
      </c>
      <c r="F211" s="9" t="str">
        <f>IFERROR(__xludf.DUMMYFUNCTION("GOOGLETRANSLATE($A211,""en"",""it"")"),"Islington")</f>
        <v>Islington</v>
      </c>
      <c r="G211" s="9" t="str">
        <f>IFERROR(__xludf.DUMMYFUNCTION("GOOGLETRANSLATE($A211,""en"",""zh-cn"")"),"伊斯灵顿")</f>
        <v>伊斯灵顿</v>
      </c>
      <c r="H211" s="9" t="str">
        <f>IFERROR(__xludf.DUMMYFUNCTION("GOOGLETRANSLATE($A211,""en"",""ja"")"),"イズリントン")</f>
        <v>イズリントン</v>
      </c>
      <c r="I211" s="9" t="str">
        <f>IFERROR(__xludf.DUMMYFUNCTION("GOOGLETRANSLATE($A211,""en"",""ko"")"),"이슬링턴")</f>
        <v>이슬링턴</v>
      </c>
      <c r="J211" s="9" t="str">
        <f>IFERROR(__xludf.DUMMYFUNCTION("GOOGLETRANSLATE($A211,""en"",""pt-BR"")"),"Islington")</f>
        <v>Islington</v>
      </c>
    </row>
    <row r="212">
      <c r="A212" s="9" t="str">
        <f>IFERROR(__xludf.DUMMYFUNCTION("""COMPUTED_VALUE"""),"Kensington and Chelsea")</f>
        <v>Kensington and Chelsea</v>
      </c>
      <c r="B212" s="9" t="str">
        <f>IFERROR(__xludf.DUMMYFUNCTION("""COMPUTED_VALUE"""),"gb-kec")</f>
        <v>gb-kec</v>
      </c>
      <c r="C212" s="9" t="str">
        <f>IFERROR(__xludf.DUMMYFUNCTION("GOOGLETRANSLATE($A212,""en"",""de"")"),"Kensington und Chelsea")</f>
        <v>Kensington und Chelsea</v>
      </c>
      <c r="D212" s="9" t="str">
        <f>IFERROR(__xludf.DUMMYFUNCTION("GOOGLETRANSLATE($A212,""en"",""fr"")"),"Kensington et Chelsea")</f>
        <v>Kensington et Chelsea</v>
      </c>
      <c r="E212" s="9" t="str">
        <f>IFERROR(__xludf.DUMMYFUNCTION("GOOGLETRANSLATE($A212,""en"",""es"")"),"Kensington y Chelsea")</f>
        <v>Kensington y Chelsea</v>
      </c>
      <c r="F212" s="9" t="str">
        <f>IFERROR(__xludf.DUMMYFUNCTION("GOOGLETRANSLATE($A212,""en"",""it"")"),"Kensington e Chelsea")</f>
        <v>Kensington e Chelsea</v>
      </c>
      <c r="G212" s="9" t="str">
        <f>IFERROR(__xludf.DUMMYFUNCTION("GOOGLETRANSLATE($A212,""en"",""zh-cn"")"),"肯辛顿和切尔西")</f>
        <v>肯辛顿和切尔西</v>
      </c>
      <c r="H212" s="9" t="str">
        <f>IFERROR(__xludf.DUMMYFUNCTION("GOOGLETRANSLATE($A212,""en"",""ja"")"),"ケンジントンとチェルシー")</f>
        <v>ケンジントンとチェルシー</v>
      </c>
      <c r="I212" s="9" t="str">
        <f>IFERROR(__xludf.DUMMYFUNCTION("GOOGLETRANSLATE($A212,""en"",""ko"")"),"켄싱턴과 첼시")</f>
        <v>켄싱턴과 첼시</v>
      </c>
      <c r="J212" s="9" t="str">
        <f>IFERROR(__xludf.DUMMYFUNCTION("GOOGLETRANSLATE($A212,""en"",""pt-BR"")"),"Kensington e Chelsea")</f>
        <v>Kensington e Chelsea</v>
      </c>
    </row>
    <row r="213">
      <c r="A213" s="9" t="str">
        <f>IFERROR(__xludf.DUMMYFUNCTION("""COMPUTED_VALUE"""),"Kingston Upon Thames")</f>
        <v>Kingston Upon Thames</v>
      </c>
      <c r="B213" s="9" t="str">
        <f>IFERROR(__xludf.DUMMYFUNCTION("""COMPUTED_VALUE"""),"gb-ktt")</f>
        <v>gb-ktt</v>
      </c>
      <c r="C213" s="9" t="str">
        <f>IFERROR(__xludf.DUMMYFUNCTION("GOOGLETRANSLATE($A213,""en"",""de"")"),"Kingston upon Thames")</f>
        <v>Kingston upon Thames</v>
      </c>
      <c r="D213" s="9" t="str">
        <f>IFERROR(__xludf.DUMMYFUNCTION("GOOGLETRANSLATE($A213,""en"",""fr"")"),"Kingston-upon-Thames")</f>
        <v>Kingston-upon-Thames</v>
      </c>
      <c r="E213" s="9" t="str">
        <f>IFERROR(__xludf.DUMMYFUNCTION("GOOGLETRANSLATE($A213,""en"",""es"")"),"Kingston-upon-Támesis")</f>
        <v>Kingston-upon-Támesis</v>
      </c>
      <c r="F213" s="9" t="str">
        <f>IFERROR(__xludf.DUMMYFUNCTION("GOOGLETRANSLATE($A213,""en"",""it"")"),"Kingston sul Tamigi")</f>
        <v>Kingston sul Tamigi</v>
      </c>
      <c r="G213" s="9" t="str">
        <f>IFERROR(__xludf.DUMMYFUNCTION("GOOGLETRANSLATE($A213,""en"",""zh-cn"")"),"泰晤士河畔金斯顿")</f>
        <v>泰晤士河畔金斯顿</v>
      </c>
      <c r="H213" s="9" t="str">
        <f>IFERROR(__xludf.DUMMYFUNCTION("GOOGLETRANSLATE($A213,""en"",""ja"")"),"キングストン・アポン・テムズ")</f>
        <v>キングストン・アポン・テムズ</v>
      </c>
      <c r="I213" s="9" t="str">
        <f>IFERROR(__xludf.DUMMYFUNCTION("GOOGLETRANSLATE($A213,""en"",""ko"")"),"킹스턴어폰템스")</f>
        <v>킹스턴어폰템스</v>
      </c>
      <c r="J213" s="9" t="str">
        <f>IFERROR(__xludf.DUMMYFUNCTION("GOOGLETRANSLATE($A213,""en"",""pt-BR"")"),"Kingston em cima do Tâmisa")</f>
        <v>Kingston em cima do Tâmisa</v>
      </c>
    </row>
    <row r="214">
      <c r="A214" s="9" t="str">
        <f>IFERROR(__xludf.DUMMYFUNCTION("""COMPUTED_VALUE"""),"Haringey")</f>
        <v>Haringey</v>
      </c>
      <c r="B214" s="9" t="str">
        <f>IFERROR(__xludf.DUMMYFUNCTION("""COMPUTED_VALUE"""),"gb-hry")</f>
        <v>gb-hry</v>
      </c>
      <c r="C214" s="9" t="str">
        <f>IFERROR(__xludf.DUMMYFUNCTION("GOOGLETRANSLATE($A214,""en"",""de"")"),"Haringey")</f>
        <v>Haringey</v>
      </c>
      <c r="D214" s="9" t="str">
        <f>IFERROR(__xludf.DUMMYFUNCTION("GOOGLETRANSLATE($A214,""en"",""fr"")"),"Haringey")</f>
        <v>Haringey</v>
      </c>
      <c r="E214" s="9" t="str">
        <f>IFERROR(__xludf.DUMMYFUNCTION("GOOGLETRANSLATE($A214,""en"",""es"")"),"haringey")</f>
        <v>haringey</v>
      </c>
      <c r="F214" s="9" t="str">
        <f>IFERROR(__xludf.DUMMYFUNCTION("GOOGLETRANSLATE($A214,""en"",""it"")"),"Haringey")</f>
        <v>Haringey</v>
      </c>
      <c r="G214" s="9" t="str">
        <f>IFERROR(__xludf.DUMMYFUNCTION("GOOGLETRANSLATE($A214,""en"",""zh-cn"")"),"哈林盖")</f>
        <v>哈林盖</v>
      </c>
      <c r="H214" s="9" t="str">
        <f>IFERROR(__xludf.DUMMYFUNCTION("GOOGLETRANSLATE($A214,""en"",""ja"")"),"ハーリンゲイ")</f>
        <v>ハーリンゲイ</v>
      </c>
      <c r="I214" s="9" t="str">
        <f>IFERROR(__xludf.DUMMYFUNCTION("GOOGLETRANSLATE($A214,""en"",""ko"")"),"해링게이")</f>
        <v>해링게이</v>
      </c>
      <c r="J214" s="9" t="str">
        <f>IFERROR(__xludf.DUMMYFUNCTION("GOOGLETRANSLATE($A214,""en"",""pt-BR"")"),"Haringey")</f>
        <v>Haringey</v>
      </c>
    </row>
    <row r="215">
      <c r="A215" s="9" t="str">
        <f>IFERROR(__xludf.DUMMYFUNCTION("""COMPUTED_VALUE"""),"Harrow")</f>
        <v>Harrow</v>
      </c>
      <c r="B215" s="9" t="str">
        <f>IFERROR(__xludf.DUMMYFUNCTION("""COMPUTED_VALUE"""),"gb-hrw")</f>
        <v>gb-hrw</v>
      </c>
      <c r="C215" s="9" t="str">
        <f>IFERROR(__xludf.DUMMYFUNCTION("GOOGLETRANSLATE($A215,""en"",""de"")"),"Egge")</f>
        <v>Egge</v>
      </c>
      <c r="D215" s="9" t="str">
        <f>IFERROR(__xludf.DUMMYFUNCTION("GOOGLETRANSLATE($A215,""en"",""fr"")"),"Herse")</f>
        <v>Herse</v>
      </c>
      <c r="E215" s="9" t="str">
        <f>IFERROR(__xludf.DUMMYFUNCTION("GOOGLETRANSLATE($A215,""en"",""es"")"),"Grada")</f>
        <v>Grada</v>
      </c>
      <c r="F215" s="9" t="str">
        <f>IFERROR(__xludf.DUMMYFUNCTION("GOOGLETRANSLATE($A215,""en"",""it"")"),"Erpice")</f>
        <v>Erpice</v>
      </c>
      <c r="G215" s="9" t="str">
        <f>IFERROR(__xludf.DUMMYFUNCTION("GOOGLETRANSLATE($A215,""en"",""zh-cn"")"),"耙")</f>
        <v>耙</v>
      </c>
      <c r="H215" s="9" t="str">
        <f>IFERROR(__xludf.DUMMYFUNCTION("GOOGLETRANSLATE($A215,""en"",""ja"")"),"ハロー")</f>
        <v>ハロー</v>
      </c>
      <c r="I215" s="9" t="str">
        <f>IFERROR(__xludf.DUMMYFUNCTION("GOOGLETRANSLATE($A215,""en"",""ko"")"),"써레")</f>
        <v>써레</v>
      </c>
      <c r="J215" s="9" t="str">
        <f>IFERROR(__xludf.DUMMYFUNCTION("GOOGLETRANSLATE($A215,""en"",""pt-BR"")"),"Grade")</f>
        <v>Grade</v>
      </c>
    </row>
    <row r="216">
      <c r="A216" s="9" t="str">
        <f>IFERROR(__xludf.DUMMYFUNCTION("""COMPUTED_VALUE"""),"Havering")</f>
        <v>Havering</v>
      </c>
      <c r="B216" s="9" t="str">
        <f>IFERROR(__xludf.DUMMYFUNCTION("""COMPUTED_VALUE"""),"gb-hav")</f>
        <v>gb-hav</v>
      </c>
      <c r="C216" s="9" t="str">
        <f>IFERROR(__xludf.DUMMYFUNCTION("GOOGLETRANSLATE($A216,""en"",""de"")"),"Havering")</f>
        <v>Havering</v>
      </c>
      <c r="D216" s="9" t="str">
        <f>IFERROR(__xludf.DUMMYFUNCTION("GOOGLETRANSLATE($A216,""en"",""fr"")"),"Avoir")</f>
        <v>Avoir</v>
      </c>
      <c r="E216" s="9" t="str">
        <f>IFERROR(__xludf.DUMMYFUNCTION("GOOGLETRANSLATE($A216,""en"",""es"")"),"Havering")</f>
        <v>Havering</v>
      </c>
      <c r="F216" s="9" t="str">
        <f>IFERROR(__xludf.DUMMYFUNCTION("GOOGLETRANSLATE($A216,""en"",""it"")"),"Havering")</f>
        <v>Havering</v>
      </c>
      <c r="G216" s="9" t="str">
        <f>IFERROR(__xludf.DUMMYFUNCTION("GOOGLETRANSLATE($A216,""en"",""zh-cn"")"),"哈弗林")</f>
        <v>哈弗林</v>
      </c>
      <c r="H216" s="9" t="str">
        <f>IFERROR(__xludf.DUMMYFUNCTION("GOOGLETRANSLATE($A216,""en"",""ja"")"),"ヘイバリング")</f>
        <v>ヘイバリング</v>
      </c>
      <c r="I216" s="9" t="str">
        <f>IFERROR(__xludf.DUMMYFUNCTION("GOOGLETRANSLATE($A216,""en"",""ko"")"),"해버링")</f>
        <v>해버링</v>
      </c>
      <c r="J216" s="9" t="str">
        <f>IFERROR(__xludf.DUMMYFUNCTION("GOOGLETRANSLATE($A216,""en"",""pt-BR"")"),"Havering")</f>
        <v>Havering</v>
      </c>
    </row>
    <row r="217">
      <c r="A217" s="9" t="str">
        <f>IFERROR(__xludf.DUMMYFUNCTION("""COMPUTED_VALUE"""),"Hillingdon")</f>
        <v>Hillingdon</v>
      </c>
      <c r="B217" s="9" t="str">
        <f>IFERROR(__xludf.DUMMYFUNCTION("""COMPUTED_VALUE"""),"gb-hil")</f>
        <v>gb-hil</v>
      </c>
      <c r="C217" s="9" t="str">
        <f>IFERROR(__xludf.DUMMYFUNCTION("GOOGLETRANSLATE($A217,""en"",""de"")"),"Hillingdon")</f>
        <v>Hillingdon</v>
      </c>
      <c r="D217" s="9" t="str">
        <f>IFERROR(__xludf.DUMMYFUNCTION("GOOGLETRANSLATE($A217,""en"",""fr"")"),"Hillingdon")</f>
        <v>Hillingdon</v>
      </c>
      <c r="E217" s="9" t="str">
        <f>IFERROR(__xludf.DUMMYFUNCTION("GOOGLETRANSLATE($A217,""en"",""es"")"),"Hillingdon")</f>
        <v>Hillingdon</v>
      </c>
      <c r="F217" s="9" t="str">
        <f>IFERROR(__xludf.DUMMYFUNCTION("GOOGLETRANSLATE($A217,""en"",""it"")"),"Hillingdon")</f>
        <v>Hillingdon</v>
      </c>
      <c r="G217" s="9" t="str">
        <f>IFERROR(__xludf.DUMMYFUNCTION("GOOGLETRANSLATE($A217,""en"",""zh-cn"")"),"希灵登")</f>
        <v>希灵登</v>
      </c>
      <c r="H217" s="9" t="str">
        <f>IFERROR(__xludf.DUMMYFUNCTION("GOOGLETRANSLATE($A217,""en"",""ja"")"),"ヒリンドン")</f>
        <v>ヒリンドン</v>
      </c>
      <c r="I217" s="9" t="str">
        <f>IFERROR(__xludf.DUMMYFUNCTION("GOOGLETRANSLATE($A217,""en"",""ko"")"),"힐링던")</f>
        <v>힐링던</v>
      </c>
      <c r="J217" s="9" t="str">
        <f>IFERROR(__xludf.DUMMYFUNCTION("GOOGLETRANSLATE($A217,""en"",""pt-BR"")"),"Hillingdon")</f>
        <v>Hillingdon</v>
      </c>
    </row>
    <row r="218">
      <c r="A218" s="9" t="str">
        <f>IFERROR(__xludf.DUMMYFUNCTION("""COMPUTED_VALUE"""),"Enfield")</f>
        <v>Enfield</v>
      </c>
      <c r="B218" s="9" t="str">
        <f>IFERROR(__xludf.DUMMYFUNCTION("""COMPUTED_VALUE"""),"gb-enf")</f>
        <v>gb-enf</v>
      </c>
      <c r="C218" s="9" t="str">
        <f>IFERROR(__xludf.DUMMYFUNCTION("GOOGLETRANSLATE($A218,""en"",""de"")"),"Enfield")</f>
        <v>Enfield</v>
      </c>
      <c r="D218" s="9" t="str">
        <f>IFERROR(__xludf.DUMMYFUNCTION("GOOGLETRANSLATE($A218,""en"",""fr"")"),"Enfield")</f>
        <v>Enfield</v>
      </c>
      <c r="E218" s="9" t="str">
        <f>IFERROR(__xludf.DUMMYFUNCTION("GOOGLETRANSLATE($A218,""en"",""es"")"),"Enfield")</f>
        <v>Enfield</v>
      </c>
      <c r="F218" s="9" t="str">
        <f>IFERROR(__xludf.DUMMYFUNCTION("GOOGLETRANSLATE($A218,""en"",""it"")"),"Enfield")</f>
        <v>Enfield</v>
      </c>
      <c r="G218" s="9" t="str">
        <f>IFERROR(__xludf.DUMMYFUNCTION("GOOGLETRANSLATE($A218,""en"",""zh-cn"")"),"恩菲尔德")</f>
        <v>恩菲尔德</v>
      </c>
      <c r="H218" s="9" t="str">
        <f>IFERROR(__xludf.DUMMYFUNCTION("GOOGLETRANSLATE($A218,""en"",""ja"")"),"エンフィールド")</f>
        <v>エンフィールド</v>
      </c>
      <c r="I218" s="9" t="str">
        <f>IFERROR(__xludf.DUMMYFUNCTION("GOOGLETRANSLATE($A218,""en"",""ko"")"),"엔필드")</f>
        <v>엔필드</v>
      </c>
      <c r="J218" s="9" t="str">
        <f>IFERROR(__xludf.DUMMYFUNCTION("GOOGLETRANSLATE($A218,""en"",""pt-BR"")"),"Enfield")</f>
        <v>Enfield</v>
      </c>
    </row>
    <row r="219">
      <c r="A219" s="9" t="str">
        <f>IFERROR(__xludf.DUMMYFUNCTION("""COMPUTED_VALUE"""),"Greenwich")</f>
        <v>Greenwich</v>
      </c>
      <c r="B219" s="9" t="str">
        <f>IFERROR(__xludf.DUMMYFUNCTION("""COMPUTED_VALUE"""),"gb-gre")</f>
        <v>gb-gre</v>
      </c>
      <c r="C219" s="9" t="str">
        <f>IFERROR(__xludf.DUMMYFUNCTION("GOOGLETRANSLATE($A219,""en"",""de"")"),"Greenwich")</f>
        <v>Greenwich</v>
      </c>
      <c r="D219" s="9" t="str">
        <f>IFERROR(__xludf.DUMMYFUNCTION("GOOGLETRANSLATE($A219,""en"",""fr"")"),"Greenwich")</f>
        <v>Greenwich</v>
      </c>
      <c r="E219" s="9" t="str">
        <f>IFERROR(__xludf.DUMMYFUNCTION("GOOGLETRANSLATE($A219,""en"",""es"")"),"Greenwich")</f>
        <v>Greenwich</v>
      </c>
      <c r="F219" s="9" t="str">
        <f>IFERROR(__xludf.DUMMYFUNCTION("GOOGLETRANSLATE($A219,""en"",""it"")"),"Greenwich")</f>
        <v>Greenwich</v>
      </c>
      <c r="G219" s="9" t="str">
        <f>IFERROR(__xludf.DUMMYFUNCTION("GOOGLETRANSLATE($A219,""en"",""zh-cn"")"),"格林威治")</f>
        <v>格林威治</v>
      </c>
      <c r="H219" s="9" t="str">
        <f>IFERROR(__xludf.DUMMYFUNCTION("GOOGLETRANSLATE($A219,""en"",""ja"")"),"グリニッジ")</f>
        <v>グリニッジ</v>
      </c>
      <c r="I219" s="9" t="str">
        <f>IFERROR(__xludf.DUMMYFUNCTION("GOOGLETRANSLATE($A219,""en"",""ko"")"),"그리니치")</f>
        <v>그리니치</v>
      </c>
      <c r="J219" s="9" t="str">
        <f>IFERROR(__xludf.DUMMYFUNCTION("GOOGLETRANSLATE($A219,""en"",""pt-BR"")"),"Greenwich")</f>
        <v>Greenwich</v>
      </c>
    </row>
    <row r="220">
      <c r="A220" s="9" t="str">
        <f>IFERROR(__xludf.DUMMYFUNCTION("""COMPUTED_VALUE"""),"Hackney")</f>
        <v>Hackney</v>
      </c>
      <c r="B220" s="9" t="str">
        <f>IFERROR(__xludf.DUMMYFUNCTION("""COMPUTED_VALUE"""),"gb-hck")</f>
        <v>gb-hck</v>
      </c>
      <c r="C220" s="9" t="str">
        <f>IFERROR(__xludf.DUMMYFUNCTION("GOOGLETRANSLATE($A220,""en"",""de"")"),"Hackney")</f>
        <v>Hackney</v>
      </c>
      <c r="D220" s="9" t="str">
        <f>IFERROR(__xludf.DUMMYFUNCTION("GOOGLETRANSLATE($A220,""en"",""fr"")"),"Hackney")</f>
        <v>Hackney</v>
      </c>
      <c r="E220" s="9" t="str">
        <f>IFERROR(__xludf.DUMMYFUNCTION("GOOGLETRANSLATE($A220,""en"",""es"")"),"Máquina de alquiler")</f>
        <v>Máquina de alquiler</v>
      </c>
      <c r="F220" s="9" t="str">
        <f>IFERROR(__xludf.DUMMYFUNCTION("GOOGLETRANSLATE($A220,""en"",""it"")"),"Hackney")</f>
        <v>Hackney</v>
      </c>
      <c r="G220" s="9" t="str">
        <f>IFERROR(__xludf.DUMMYFUNCTION("GOOGLETRANSLATE($A220,""en"",""zh-cn"")"),"哈克尼")</f>
        <v>哈克尼</v>
      </c>
      <c r="H220" s="9" t="str">
        <f>IFERROR(__xludf.DUMMYFUNCTION("GOOGLETRANSLATE($A220,""en"",""ja"")"),"ハックニー")</f>
        <v>ハックニー</v>
      </c>
      <c r="I220" s="9" t="str">
        <f>IFERROR(__xludf.DUMMYFUNCTION("GOOGLETRANSLATE($A220,""en"",""ko"")"),"해크니")</f>
        <v>해크니</v>
      </c>
      <c r="J220" s="9" t="str">
        <f>IFERROR(__xludf.DUMMYFUNCTION("GOOGLETRANSLATE($A220,""en"",""pt-BR"")"),"Hackney")</f>
        <v>Hackney</v>
      </c>
    </row>
    <row r="221">
      <c r="A221" s="9" t="str">
        <f>IFERROR(__xludf.DUMMYFUNCTION("""COMPUTED_VALUE"""),"Hammersmith and Fulham")</f>
        <v>Hammersmith and Fulham</v>
      </c>
      <c r="B221" s="9" t="str">
        <f>IFERROR(__xludf.DUMMYFUNCTION("""COMPUTED_VALUE"""),"gb-hmf")</f>
        <v>gb-hmf</v>
      </c>
      <c r="C221" s="9" t="str">
        <f>IFERROR(__xludf.DUMMYFUNCTION("GOOGLETRANSLATE($A221,""en"",""de"")"),"Hammersmith und Fulham")</f>
        <v>Hammersmith und Fulham</v>
      </c>
      <c r="D221" s="9" t="str">
        <f>IFERROR(__xludf.DUMMYFUNCTION("GOOGLETRANSLATE($A221,""en"",""fr"")"),"Hammersmith et Fulham")</f>
        <v>Hammersmith et Fulham</v>
      </c>
      <c r="E221" s="9" t="str">
        <f>IFERROR(__xludf.DUMMYFUNCTION("GOOGLETRANSLATE($A221,""en"",""es"")"),"Hammersmith y Fulham")</f>
        <v>Hammersmith y Fulham</v>
      </c>
      <c r="F221" s="9" t="str">
        <f>IFERROR(__xludf.DUMMYFUNCTION("GOOGLETRANSLATE($A221,""en"",""it"")"),"Hammersmith e Fulham")</f>
        <v>Hammersmith e Fulham</v>
      </c>
      <c r="G221" s="9" t="str">
        <f>IFERROR(__xludf.DUMMYFUNCTION("GOOGLETRANSLATE($A221,""en"",""zh-cn"")"),"哈默史密斯和富勒姆")</f>
        <v>哈默史密斯和富勒姆</v>
      </c>
      <c r="H221" s="9" t="str">
        <f>IFERROR(__xludf.DUMMYFUNCTION("GOOGLETRANSLATE($A221,""en"",""ja"")"),"ハマースミスとフラム")</f>
        <v>ハマースミスとフラム</v>
      </c>
      <c r="I221" s="9" t="str">
        <f>IFERROR(__xludf.DUMMYFUNCTION("GOOGLETRANSLATE($A221,""en"",""ko"")"),"해머스미스와 풀럼")</f>
        <v>해머스미스와 풀럼</v>
      </c>
      <c r="J221" s="9" t="str">
        <f>IFERROR(__xludf.DUMMYFUNCTION("GOOGLETRANSLATE($A221,""en"",""pt-BR"")"),"Hammersmith e Fulham")</f>
        <v>Hammersmith e Fulham</v>
      </c>
    </row>
    <row r="222">
      <c r="A222" s="9" t="str">
        <f>IFERROR(__xludf.DUMMYFUNCTION("""COMPUTED_VALUE"""),"Tower Hamlets")</f>
        <v>Tower Hamlets</v>
      </c>
      <c r="B222" s="9" t="str">
        <f>IFERROR(__xludf.DUMMYFUNCTION("""COMPUTED_VALUE"""),"gb-twh")</f>
        <v>gb-twh</v>
      </c>
      <c r="C222" s="9" t="str">
        <f>IFERROR(__xludf.DUMMYFUNCTION("GOOGLETRANSLATE($A222,""en"",""de"")"),"Tower Hamlets")</f>
        <v>Tower Hamlets</v>
      </c>
      <c r="D222" s="9" t="str">
        <f>IFERROR(__xludf.DUMMYFUNCTION("GOOGLETRANSLATE($A222,""en"",""fr"")"),"Hameaux de la Tour")</f>
        <v>Hameaux de la Tour</v>
      </c>
      <c r="E222" s="9" t="str">
        <f>IFERROR(__xludf.DUMMYFUNCTION("GOOGLETRANSLATE($A222,""en"",""es"")"),"Aldeas de la torre")</f>
        <v>Aldeas de la torre</v>
      </c>
      <c r="F222" s="9" t="str">
        <f>IFERROR(__xludf.DUMMYFUNCTION("GOOGLETRANSLATE($A222,""en"",""it"")"),"Tower Hamlets")</f>
        <v>Tower Hamlets</v>
      </c>
      <c r="G222" s="9" t="str">
        <f>IFERROR(__xludf.DUMMYFUNCTION("GOOGLETRANSLATE($A222,""en"",""zh-cn"")"),"陶尔哈姆莱茨")</f>
        <v>陶尔哈姆莱茨</v>
      </c>
      <c r="H222" s="9" t="str">
        <f>IFERROR(__xludf.DUMMYFUNCTION("GOOGLETRANSLATE($A222,""en"",""ja"")"),"タワーハムレット")</f>
        <v>タワーハムレット</v>
      </c>
      <c r="I222" s="9" t="str">
        <f>IFERROR(__xludf.DUMMYFUNCTION("GOOGLETRANSLATE($A222,""en"",""ko"")"),"타워 햄릿")</f>
        <v>타워 햄릿</v>
      </c>
      <c r="J222" s="9" t="str">
        <f>IFERROR(__xludf.DUMMYFUNCTION("GOOGLETRANSLATE($A222,""en"",""pt-BR"")"),"Aldeias da Torre")</f>
        <v>Aldeias da Torre</v>
      </c>
    </row>
    <row r="223">
      <c r="A223" s="9" t="str">
        <f>IFERROR(__xludf.DUMMYFUNCTION("""COMPUTED_VALUE"""),"Waltham Forest")</f>
        <v>Waltham Forest</v>
      </c>
      <c r="B223" s="9" t="str">
        <f>IFERROR(__xludf.DUMMYFUNCTION("""COMPUTED_VALUE"""),"gb-wft")</f>
        <v>gb-wft</v>
      </c>
      <c r="C223" s="9" t="str">
        <f>IFERROR(__xludf.DUMMYFUNCTION("GOOGLETRANSLATE($A223,""en"",""de"")"),"Waltham Forest")</f>
        <v>Waltham Forest</v>
      </c>
      <c r="D223" s="9" t="str">
        <f>IFERROR(__xludf.DUMMYFUNCTION("GOOGLETRANSLATE($A223,""en"",""fr"")"),"Forêt de Waltham")</f>
        <v>Forêt de Waltham</v>
      </c>
      <c r="E223" s="9" t="str">
        <f>IFERROR(__xludf.DUMMYFUNCTION("GOOGLETRANSLATE($A223,""en"",""es"")"),"Bosque de Waltham")</f>
        <v>Bosque de Waltham</v>
      </c>
      <c r="F223" s="9" t="str">
        <f>IFERROR(__xludf.DUMMYFUNCTION("GOOGLETRANSLATE($A223,""en"",""it"")"),"Foresta di Waltham")</f>
        <v>Foresta di Waltham</v>
      </c>
      <c r="G223" s="9" t="str">
        <f>IFERROR(__xludf.DUMMYFUNCTION("GOOGLETRANSLATE($A223,""en"",""zh-cn"")"),"沃尔瑟姆森林")</f>
        <v>沃尔瑟姆森林</v>
      </c>
      <c r="H223" s="9" t="str">
        <f>IFERROR(__xludf.DUMMYFUNCTION("GOOGLETRANSLATE($A223,""en"",""ja"")"),"ウォルサム・フォレスト")</f>
        <v>ウォルサム・フォレスト</v>
      </c>
      <c r="I223" s="9" t="str">
        <f>IFERROR(__xludf.DUMMYFUNCTION("GOOGLETRANSLATE($A223,""en"",""ko"")"),"월섬 포레스트")</f>
        <v>월섬 포레스트</v>
      </c>
      <c r="J223" s="9" t="str">
        <f>IFERROR(__xludf.DUMMYFUNCTION("GOOGLETRANSLATE($A223,""en"",""pt-BR"")"),"Floresta de Waltham")</f>
        <v>Floresta de Waltham</v>
      </c>
    </row>
    <row r="224">
      <c r="A224" s="9" t="str">
        <f>IFERROR(__xludf.DUMMYFUNCTION("""COMPUTED_VALUE"""),"Wandsworth")</f>
        <v>Wandsworth</v>
      </c>
      <c r="B224" s="9" t="str">
        <f>IFERROR(__xludf.DUMMYFUNCTION("""COMPUTED_VALUE"""),"gb-wnd")</f>
        <v>gb-wnd</v>
      </c>
      <c r="C224" s="9" t="str">
        <f>IFERROR(__xludf.DUMMYFUNCTION("GOOGLETRANSLATE($A224,""en"",""de"")"),"Wandsworth")</f>
        <v>Wandsworth</v>
      </c>
      <c r="D224" s="9" t="str">
        <f>IFERROR(__xludf.DUMMYFUNCTION("GOOGLETRANSLATE($A224,""en"",""fr"")"),"Wandsworth")</f>
        <v>Wandsworth</v>
      </c>
      <c r="E224" s="9" t="str">
        <f>IFERROR(__xludf.DUMMYFUNCTION("GOOGLETRANSLATE($A224,""en"",""es"")"),"Wandsworth")</f>
        <v>Wandsworth</v>
      </c>
      <c r="F224" s="9" t="str">
        <f>IFERROR(__xludf.DUMMYFUNCTION("GOOGLETRANSLATE($A224,""en"",""it"")"),"Wandsworth")</f>
        <v>Wandsworth</v>
      </c>
      <c r="G224" s="9" t="str">
        <f>IFERROR(__xludf.DUMMYFUNCTION("GOOGLETRANSLATE($A224,""en"",""zh-cn"")"),"旺兹沃斯")</f>
        <v>旺兹沃斯</v>
      </c>
      <c r="H224" s="9" t="str">
        <f>IFERROR(__xludf.DUMMYFUNCTION("GOOGLETRANSLATE($A224,""en"",""ja"")"),"ワンズワース")</f>
        <v>ワンズワース</v>
      </c>
      <c r="I224" s="9" t="str">
        <f>IFERROR(__xludf.DUMMYFUNCTION("GOOGLETRANSLATE($A224,""en"",""ko"")"),"원즈워스")</f>
        <v>원즈워스</v>
      </c>
      <c r="J224" s="9" t="str">
        <f>IFERROR(__xludf.DUMMYFUNCTION("GOOGLETRANSLATE($A224,""en"",""pt-BR"")"),"Wandsworth")</f>
        <v>Wandsworth</v>
      </c>
    </row>
    <row r="225">
      <c r="A225" s="9" t="str">
        <f>IFERROR(__xludf.DUMMYFUNCTION("""COMPUTED_VALUE"""),"Redbridge")</f>
        <v>Redbridge</v>
      </c>
      <c r="B225" s="9" t="str">
        <f>IFERROR(__xludf.DUMMYFUNCTION("""COMPUTED_VALUE"""),"gb-rdb")</f>
        <v>gb-rdb</v>
      </c>
      <c r="C225" s="9" t="str">
        <f>IFERROR(__xludf.DUMMYFUNCTION("GOOGLETRANSLATE($A225,""en"",""de"")"),"Redbridge")</f>
        <v>Redbridge</v>
      </c>
      <c r="D225" s="9" t="str">
        <f>IFERROR(__xludf.DUMMYFUNCTION("GOOGLETRANSLATE($A225,""en"",""fr"")"),"Pont-Rouge")</f>
        <v>Pont-Rouge</v>
      </c>
      <c r="E225" s="9" t="str">
        <f>IFERROR(__xludf.DUMMYFUNCTION("GOOGLETRANSLATE($A225,""en"",""es"")"),"puente rojo")</f>
        <v>puente rojo</v>
      </c>
      <c r="F225" s="9" t="str">
        <f>IFERROR(__xludf.DUMMYFUNCTION("GOOGLETRANSLATE($A225,""en"",""it"")"),"Ponte Rosso")</f>
        <v>Ponte Rosso</v>
      </c>
      <c r="G225" s="9" t="str">
        <f>IFERROR(__xludf.DUMMYFUNCTION("GOOGLETRANSLATE($A225,""en"",""zh-cn"")"),"雷德布里奇")</f>
        <v>雷德布里奇</v>
      </c>
      <c r="H225" s="9" t="str">
        <f>IFERROR(__xludf.DUMMYFUNCTION("GOOGLETRANSLATE($A225,""en"",""ja"")"),"レッドブリッジ")</f>
        <v>レッドブリッジ</v>
      </c>
      <c r="I225" s="9" t="str">
        <f>IFERROR(__xludf.DUMMYFUNCTION("GOOGLETRANSLATE($A225,""en"",""ko"")"),"레드브리지")</f>
        <v>레드브리지</v>
      </c>
      <c r="J225" s="9" t="str">
        <f>IFERROR(__xludf.DUMMYFUNCTION("GOOGLETRANSLATE($A225,""en"",""pt-BR"")"),"Ponte Vermelha")</f>
        <v>Ponte Vermelha</v>
      </c>
    </row>
    <row r="226">
      <c r="A226" s="9" t="str">
        <f>IFERROR(__xludf.DUMMYFUNCTION("""COMPUTED_VALUE"""),"Richmond Upon Thames")</f>
        <v>Richmond Upon Thames</v>
      </c>
      <c r="B226" s="9" t="str">
        <f>IFERROR(__xludf.DUMMYFUNCTION("""COMPUTED_VALUE"""),"gb-ric")</f>
        <v>gb-ric</v>
      </c>
      <c r="C226" s="9" t="str">
        <f>IFERROR(__xludf.DUMMYFUNCTION("GOOGLETRANSLATE($A226,""en"",""de"")"),"Richmond upon Thames")</f>
        <v>Richmond upon Thames</v>
      </c>
      <c r="D226" s="9" t="str">
        <f>IFERROR(__xludf.DUMMYFUNCTION("GOOGLETRANSLATE($A226,""en"",""fr"")"),"Richmond-upon-Thames")</f>
        <v>Richmond-upon-Thames</v>
      </c>
      <c r="E226" s="9" t="str">
        <f>IFERROR(__xludf.DUMMYFUNCTION("GOOGLETRANSLATE($A226,""en"",""es"")"),"Richmond sobre el Támesis")</f>
        <v>Richmond sobre el Támesis</v>
      </c>
      <c r="F226" s="9" t="str">
        <f>IFERROR(__xludf.DUMMYFUNCTION("GOOGLETRANSLATE($A226,""en"",""it"")"),"Richmond sul Tamigi")</f>
        <v>Richmond sul Tamigi</v>
      </c>
      <c r="G226" s="9" t="str">
        <f>IFERROR(__xludf.DUMMYFUNCTION("GOOGLETRANSLATE($A226,""en"",""zh-cn"")"),"泰晤士河畔里士满")</f>
        <v>泰晤士河畔里士满</v>
      </c>
      <c r="H226" s="9" t="str">
        <f>IFERROR(__xludf.DUMMYFUNCTION("GOOGLETRANSLATE($A226,""en"",""ja"")"),"リッチモンド・アポン・テムズ")</f>
        <v>リッチモンド・アポン・テムズ</v>
      </c>
      <c r="I226" s="9" t="str">
        <f>IFERROR(__xludf.DUMMYFUNCTION("GOOGLETRANSLATE($A226,""en"",""ko"")"),"리치먼드어폰템스")</f>
        <v>리치먼드어폰템스</v>
      </c>
      <c r="J226" s="9" t="str">
        <f>IFERROR(__xludf.DUMMYFUNCTION("GOOGLETRANSLATE($A226,""en"",""pt-BR"")"),"Richmond-upon-Tâmisa")</f>
        <v>Richmond-upon-Tâmisa</v>
      </c>
    </row>
    <row r="227">
      <c r="A227" s="9" t="str">
        <f>IFERROR(__xludf.DUMMYFUNCTION("""COMPUTED_VALUE"""),"Southwark")</f>
        <v>Southwark</v>
      </c>
      <c r="B227" s="9" t="str">
        <f>IFERROR(__xludf.DUMMYFUNCTION("""COMPUTED_VALUE"""),"gb-swk")</f>
        <v>gb-swk</v>
      </c>
      <c r="C227" s="9" t="str">
        <f>IFERROR(__xludf.DUMMYFUNCTION("GOOGLETRANSLATE($A227,""en"",""de"")"),"Southwark")</f>
        <v>Southwark</v>
      </c>
      <c r="D227" s="9" t="str">
        <f>IFERROR(__xludf.DUMMYFUNCTION("GOOGLETRANSLATE($A227,""en"",""fr"")"),"Southwark")</f>
        <v>Southwark</v>
      </c>
      <c r="E227" s="9" t="str">
        <f>IFERROR(__xludf.DUMMYFUNCTION("GOOGLETRANSLATE($A227,""en"",""es"")"),"Southwark")</f>
        <v>Southwark</v>
      </c>
      <c r="F227" s="9" t="str">
        <f>IFERROR(__xludf.DUMMYFUNCTION("GOOGLETRANSLATE($A227,""en"",""it"")"),"Southwark")</f>
        <v>Southwark</v>
      </c>
      <c r="G227" s="9" t="str">
        <f>IFERROR(__xludf.DUMMYFUNCTION("GOOGLETRANSLATE($A227,""en"",""zh-cn"")"),"南华克")</f>
        <v>南华克</v>
      </c>
      <c r="H227" s="9" t="str">
        <f>IFERROR(__xludf.DUMMYFUNCTION("GOOGLETRANSLATE($A227,""en"",""ja"")"),"サザーク")</f>
        <v>サザーク</v>
      </c>
      <c r="I227" s="9" t="str">
        <f>IFERROR(__xludf.DUMMYFUNCTION("GOOGLETRANSLATE($A227,""en"",""ko"")"),"서더크")</f>
        <v>서더크</v>
      </c>
      <c r="J227" s="9" t="str">
        <f>IFERROR(__xludf.DUMMYFUNCTION("GOOGLETRANSLATE($A227,""en"",""pt-BR"")"),"Southwark")</f>
        <v>Southwark</v>
      </c>
    </row>
    <row r="228">
      <c r="A228" s="9" t="str">
        <f>IFERROR(__xludf.DUMMYFUNCTION("""COMPUTED_VALUE"""),"Sutton")</f>
        <v>Sutton</v>
      </c>
      <c r="B228" s="9" t="str">
        <f>IFERROR(__xludf.DUMMYFUNCTION("""COMPUTED_VALUE"""),"gb-stn")</f>
        <v>gb-stn</v>
      </c>
      <c r="C228" s="9" t="str">
        <f>IFERROR(__xludf.DUMMYFUNCTION("GOOGLETRANSLATE($A228,""en"",""de"")"),"Sutton")</f>
        <v>Sutton</v>
      </c>
      <c r="D228" s="9" t="str">
        <f>IFERROR(__xludf.DUMMYFUNCTION("GOOGLETRANSLATE($A228,""en"",""fr"")"),"Sutton")</f>
        <v>Sutton</v>
      </c>
      <c r="E228" s="9" t="str">
        <f>IFERROR(__xludf.DUMMYFUNCTION("GOOGLETRANSLATE($A228,""en"",""es"")"),"suton")</f>
        <v>suton</v>
      </c>
      <c r="F228" s="9" t="str">
        <f>IFERROR(__xludf.DUMMYFUNCTION("GOOGLETRANSLATE($A228,""en"",""it"")"),"Sutton")</f>
        <v>Sutton</v>
      </c>
      <c r="G228" s="9" t="str">
        <f>IFERROR(__xludf.DUMMYFUNCTION("GOOGLETRANSLATE($A228,""en"",""zh-cn"")"),"萨顿")</f>
        <v>萨顿</v>
      </c>
      <c r="H228" s="9" t="str">
        <f>IFERROR(__xludf.DUMMYFUNCTION("GOOGLETRANSLATE($A228,""en"",""ja"")"),"サットン")</f>
        <v>サットン</v>
      </c>
      <c r="I228" s="9" t="str">
        <f>IFERROR(__xludf.DUMMYFUNCTION("GOOGLETRANSLATE($A228,""en"",""ko"")"),"서튼")</f>
        <v>서튼</v>
      </c>
      <c r="J228" s="9" t="str">
        <f>IFERROR(__xludf.DUMMYFUNCTION("GOOGLETRANSLATE($A228,""en"",""pt-BR"")"),"Sutton")</f>
        <v>Sutton</v>
      </c>
    </row>
    <row r="229">
      <c r="A229" s="9" t="str">
        <f>IFERROR(__xludf.DUMMYFUNCTION("""COMPUTED_VALUE"""),"Hampshire")</f>
        <v>Hampshire</v>
      </c>
      <c r="B229" s="9" t="str">
        <f>IFERROR(__xludf.DUMMYFUNCTION("""COMPUTED_VALUE"""),"gb-ham")</f>
        <v>gb-ham</v>
      </c>
      <c r="C229" s="9" t="str">
        <f>IFERROR(__xludf.DUMMYFUNCTION("GOOGLETRANSLATE($A229,""en"",""de"")"),"Hampshire")</f>
        <v>Hampshire</v>
      </c>
      <c r="D229" s="9" t="str">
        <f>IFERROR(__xludf.DUMMYFUNCTION("GOOGLETRANSLATE($A229,""en"",""fr"")"),"Hampshire")</f>
        <v>Hampshire</v>
      </c>
      <c r="E229" s="9" t="str">
        <f>IFERROR(__xludf.DUMMYFUNCTION("GOOGLETRANSLATE($A229,""en"",""es"")"),"Hampshire")</f>
        <v>Hampshire</v>
      </c>
      <c r="F229" s="9" t="str">
        <f>IFERROR(__xludf.DUMMYFUNCTION("GOOGLETRANSLATE($A229,""en"",""it"")"),"Hampshire")</f>
        <v>Hampshire</v>
      </c>
      <c r="G229" s="9" t="str">
        <f>IFERROR(__xludf.DUMMYFUNCTION("GOOGLETRANSLATE($A229,""en"",""zh-cn"")"),"汉普郡")</f>
        <v>汉普郡</v>
      </c>
      <c r="H229" s="9" t="str">
        <f>IFERROR(__xludf.DUMMYFUNCTION("GOOGLETRANSLATE($A229,""en"",""ja"")"),"ハンプシャー")</f>
        <v>ハンプシャー</v>
      </c>
      <c r="I229" s="9" t="str">
        <f>IFERROR(__xludf.DUMMYFUNCTION("GOOGLETRANSLATE($A229,""en"",""ko"")"),"햄프셔")</f>
        <v>햄프셔</v>
      </c>
      <c r="J229" s="9" t="str">
        <f>IFERROR(__xludf.DUMMYFUNCTION("GOOGLETRANSLATE($A229,""en"",""pt-BR"")"),"Hampshire")</f>
        <v>Hampshire</v>
      </c>
    </row>
    <row r="230">
      <c r="A230" s="9" t="str">
        <f>IFERROR(__xludf.DUMMYFUNCTION("""COMPUTED_VALUE"""),"Hertfordshire")</f>
        <v>Hertfordshire</v>
      </c>
      <c r="B230" s="9" t="str">
        <f>IFERROR(__xludf.DUMMYFUNCTION("""COMPUTED_VALUE"""),"gb-hrt")</f>
        <v>gb-hrt</v>
      </c>
      <c r="C230" s="9" t="str">
        <f>IFERROR(__xludf.DUMMYFUNCTION("GOOGLETRANSLATE($A230,""en"",""de"")"),"Hertfordshire")</f>
        <v>Hertfordshire</v>
      </c>
      <c r="D230" s="9" t="str">
        <f>IFERROR(__xludf.DUMMYFUNCTION("GOOGLETRANSLATE($A230,""en"",""fr"")"),"Hertfordshire")</f>
        <v>Hertfordshire</v>
      </c>
      <c r="E230" s="9" t="str">
        <f>IFERROR(__xludf.DUMMYFUNCTION("GOOGLETRANSLATE($A230,""en"",""es"")"),"Hertfordshire")</f>
        <v>Hertfordshire</v>
      </c>
      <c r="F230" s="9" t="str">
        <f>IFERROR(__xludf.DUMMYFUNCTION("GOOGLETRANSLATE($A230,""en"",""it"")"),"Hertfordshire")</f>
        <v>Hertfordshire</v>
      </c>
      <c r="G230" s="9" t="str">
        <f>IFERROR(__xludf.DUMMYFUNCTION("GOOGLETRANSLATE($A230,""en"",""zh-cn"")"),"赫特福德郡")</f>
        <v>赫特福德郡</v>
      </c>
      <c r="H230" s="9" t="str">
        <f>IFERROR(__xludf.DUMMYFUNCTION("GOOGLETRANSLATE($A230,""en"",""ja"")"),"ハートフォードシャー")</f>
        <v>ハートフォードシャー</v>
      </c>
      <c r="I230" s="9" t="str">
        <f>IFERROR(__xludf.DUMMYFUNCTION("GOOGLETRANSLATE($A230,""en"",""ko"")"),"하트퍼드셔")</f>
        <v>하트퍼드셔</v>
      </c>
      <c r="J230" s="9" t="str">
        <f>IFERROR(__xludf.DUMMYFUNCTION("GOOGLETRANSLATE($A230,""en"",""pt-BR"")"),"Hertfordshire")</f>
        <v>Hertfordshire</v>
      </c>
    </row>
    <row r="231">
      <c r="A231" s="9" t="str">
        <f>IFERROR(__xludf.DUMMYFUNCTION("""COMPUTED_VALUE"""),"Kent")</f>
        <v>Kent</v>
      </c>
      <c r="B231" s="9" t="str">
        <f>IFERROR(__xludf.DUMMYFUNCTION("""COMPUTED_VALUE"""),"gb-ken")</f>
        <v>gb-ken</v>
      </c>
      <c r="C231" s="9" t="str">
        <f>IFERROR(__xludf.DUMMYFUNCTION("GOOGLETRANSLATE($A231,""en"",""de"")"),"Kent")</f>
        <v>Kent</v>
      </c>
      <c r="D231" s="9" t="str">
        <f>IFERROR(__xludf.DUMMYFUNCTION("GOOGLETRANSLATE($A231,""en"",""fr"")"),"Kent")</f>
        <v>Kent</v>
      </c>
      <c r="E231" s="9" t="str">
        <f>IFERROR(__xludf.DUMMYFUNCTION("GOOGLETRANSLATE($A231,""en"",""es"")"),"kent")</f>
        <v>kent</v>
      </c>
      <c r="F231" s="9" t="str">
        <f>IFERROR(__xludf.DUMMYFUNCTION("GOOGLETRANSLATE($A231,""en"",""it"")"),"Kent")</f>
        <v>Kent</v>
      </c>
      <c r="G231" s="9" t="str">
        <f>IFERROR(__xludf.DUMMYFUNCTION("GOOGLETRANSLATE($A231,""en"",""zh-cn"")"),"肯特")</f>
        <v>肯特</v>
      </c>
      <c r="H231" s="9" t="str">
        <f>IFERROR(__xludf.DUMMYFUNCTION("GOOGLETRANSLATE($A231,""en"",""ja"")"),"ケント")</f>
        <v>ケント</v>
      </c>
      <c r="I231" s="9" t="str">
        <f>IFERROR(__xludf.DUMMYFUNCTION("GOOGLETRANSLATE($A231,""en"",""ko"")"),"켄트")</f>
        <v>켄트</v>
      </c>
      <c r="J231" s="9" t="str">
        <f>IFERROR(__xludf.DUMMYFUNCTION("GOOGLETRANSLATE($A231,""en"",""pt-BR"")"),"Kent")</f>
        <v>Kent</v>
      </c>
    </row>
    <row r="232">
      <c r="A232" s="9" t="str">
        <f>IFERROR(__xludf.DUMMYFUNCTION("""COMPUTED_VALUE"""),"Lancashire")</f>
        <v>Lancashire</v>
      </c>
      <c r="B232" s="9" t="str">
        <f>IFERROR(__xludf.DUMMYFUNCTION("""COMPUTED_VALUE"""),"gb-lan")</f>
        <v>gb-lan</v>
      </c>
      <c r="C232" s="9" t="str">
        <f>IFERROR(__xludf.DUMMYFUNCTION("GOOGLETRANSLATE($A232,""en"",""de"")"),"Lancashire")</f>
        <v>Lancashire</v>
      </c>
      <c r="D232" s="9" t="str">
        <f>IFERROR(__xludf.DUMMYFUNCTION("GOOGLETRANSLATE($A232,""en"",""fr"")"),"Lancashire")</f>
        <v>Lancashire</v>
      </c>
      <c r="E232" s="9" t="str">
        <f>IFERROR(__xludf.DUMMYFUNCTION("GOOGLETRANSLATE($A232,""en"",""es"")"),"Lancashire")</f>
        <v>Lancashire</v>
      </c>
      <c r="F232" s="9" t="str">
        <f>IFERROR(__xludf.DUMMYFUNCTION("GOOGLETRANSLATE($A232,""en"",""it"")"),"Lancashire")</f>
        <v>Lancashire</v>
      </c>
      <c r="G232" s="9" t="str">
        <f>IFERROR(__xludf.DUMMYFUNCTION("GOOGLETRANSLATE($A232,""en"",""zh-cn"")"),"兰开夏郡")</f>
        <v>兰开夏郡</v>
      </c>
      <c r="H232" s="9" t="str">
        <f>IFERROR(__xludf.DUMMYFUNCTION("GOOGLETRANSLATE($A232,""en"",""ja"")"),"ランカシャー")</f>
        <v>ランカシャー</v>
      </c>
      <c r="I232" s="9" t="str">
        <f>IFERROR(__xludf.DUMMYFUNCTION("GOOGLETRANSLATE($A232,""en"",""ko"")"),"랭커셔")</f>
        <v>랭커셔</v>
      </c>
      <c r="J232" s="9" t="str">
        <f>IFERROR(__xludf.DUMMYFUNCTION("GOOGLETRANSLATE($A232,""en"",""pt-BR"")"),"Lancashire")</f>
        <v>Lancashire</v>
      </c>
    </row>
    <row r="233">
      <c r="A233" s="9" t="str">
        <f>IFERROR(__xludf.DUMMYFUNCTION("""COMPUTED_VALUE"""),"Dorset")</f>
        <v>Dorset</v>
      </c>
      <c r="B233" s="9" t="str">
        <f>IFERROR(__xludf.DUMMYFUNCTION("""COMPUTED_VALUE"""),"gb-dor")</f>
        <v>gb-dor</v>
      </c>
      <c r="C233" s="9" t="str">
        <f>IFERROR(__xludf.DUMMYFUNCTION("GOOGLETRANSLATE($A233,""en"",""de"")"),"Dorset")</f>
        <v>Dorset</v>
      </c>
      <c r="D233" s="9" t="str">
        <f>IFERROR(__xludf.DUMMYFUNCTION("GOOGLETRANSLATE($A233,""en"",""fr"")"),"Dorset")</f>
        <v>Dorset</v>
      </c>
      <c r="E233" s="9" t="str">
        <f>IFERROR(__xludf.DUMMYFUNCTION("GOOGLETRANSLATE($A233,""en"",""es"")"),"Dorset")</f>
        <v>Dorset</v>
      </c>
      <c r="F233" s="9" t="str">
        <f>IFERROR(__xludf.DUMMYFUNCTION("GOOGLETRANSLATE($A233,""en"",""it"")"),"Dorset")</f>
        <v>Dorset</v>
      </c>
      <c r="G233" s="9" t="str">
        <f>IFERROR(__xludf.DUMMYFUNCTION("GOOGLETRANSLATE($A233,""en"",""zh-cn"")"),"多塞特郡")</f>
        <v>多塞特郡</v>
      </c>
      <c r="H233" s="9" t="str">
        <f>IFERROR(__xludf.DUMMYFUNCTION("GOOGLETRANSLATE($A233,""en"",""ja"")"),"ドーセット")</f>
        <v>ドーセット</v>
      </c>
      <c r="I233" s="9" t="str">
        <f>IFERROR(__xludf.DUMMYFUNCTION("GOOGLETRANSLATE($A233,""en"",""ko"")"),"도싯")</f>
        <v>도싯</v>
      </c>
      <c r="J233" s="9" t="str">
        <f>IFERROR(__xludf.DUMMYFUNCTION("GOOGLETRANSLATE($A233,""en"",""pt-BR"")"),"Dorset")</f>
        <v>Dorset</v>
      </c>
    </row>
    <row r="234">
      <c r="A234" s="9" t="str">
        <f>IFERROR(__xludf.DUMMYFUNCTION("""COMPUTED_VALUE"""),"East Sussex")</f>
        <v>East Sussex</v>
      </c>
      <c r="B234" s="9" t="str">
        <f>IFERROR(__xludf.DUMMYFUNCTION("""COMPUTED_VALUE"""),"gb-esx")</f>
        <v>gb-esx</v>
      </c>
      <c r="C234" s="9" t="str">
        <f>IFERROR(__xludf.DUMMYFUNCTION("GOOGLETRANSLATE($A234,""en"",""de"")"),"Ostsussex")</f>
        <v>Ostsussex</v>
      </c>
      <c r="D234" s="9" t="str">
        <f>IFERROR(__xludf.DUMMYFUNCTION("GOOGLETRANSLATE($A234,""en"",""fr"")"),"Sussex de l'Est")</f>
        <v>Sussex de l'Est</v>
      </c>
      <c r="E234" s="9" t="str">
        <f>IFERROR(__xludf.DUMMYFUNCTION("GOOGLETRANSLATE($A234,""en"",""es"")"),"sussex del este")</f>
        <v>sussex del este</v>
      </c>
      <c r="F234" s="9" t="str">
        <f>IFERROR(__xludf.DUMMYFUNCTION("GOOGLETRANSLATE($A234,""en"",""it"")"),"Sussex orientale")</f>
        <v>Sussex orientale</v>
      </c>
      <c r="G234" s="9" t="str">
        <f>IFERROR(__xludf.DUMMYFUNCTION("GOOGLETRANSLATE($A234,""en"",""zh-cn"")"),"东萨塞克斯")</f>
        <v>东萨塞克斯</v>
      </c>
      <c r="H234" s="9" t="str">
        <f>IFERROR(__xludf.DUMMYFUNCTION("GOOGLETRANSLATE($A234,""en"",""ja"")"),"イーストサセックス州")</f>
        <v>イーストサセックス州</v>
      </c>
      <c r="I234" s="9" t="str">
        <f>IFERROR(__xludf.DUMMYFUNCTION("GOOGLETRANSLATE($A234,""en"",""ko"")"),"이스트 서식스")</f>
        <v>이스트 서식스</v>
      </c>
      <c r="J234" s="9" t="str">
        <f>IFERROR(__xludf.DUMMYFUNCTION("GOOGLETRANSLATE($A234,""en"",""pt-BR"")"),"Leste de Sussex")</f>
        <v>Leste de Sussex</v>
      </c>
    </row>
    <row r="235">
      <c r="A235" s="9" t="str">
        <f>IFERROR(__xludf.DUMMYFUNCTION("""COMPUTED_VALUE"""),"Essex")</f>
        <v>Essex</v>
      </c>
      <c r="B235" s="9" t="str">
        <f>IFERROR(__xludf.DUMMYFUNCTION("""COMPUTED_VALUE"""),"gb-ess")</f>
        <v>gb-ess</v>
      </c>
      <c r="C235" s="9" t="str">
        <f>IFERROR(__xludf.DUMMYFUNCTION("GOOGLETRANSLATE($A235,""en"",""de"")"),"Essex")</f>
        <v>Essex</v>
      </c>
      <c r="D235" s="9" t="str">
        <f>IFERROR(__xludf.DUMMYFUNCTION("GOOGLETRANSLATE($A235,""en"",""fr"")"),"Essex")</f>
        <v>Essex</v>
      </c>
      <c r="E235" s="9" t="str">
        <f>IFERROR(__xludf.DUMMYFUNCTION("GOOGLETRANSLATE($A235,""en"",""es"")"),"Essex")</f>
        <v>Essex</v>
      </c>
      <c r="F235" s="9" t="str">
        <f>IFERROR(__xludf.DUMMYFUNCTION("GOOGLETRANSLATE($A235,""en"",""it"")"),"Essex")</f>
        <v>Essex</v>
      </c>
      <c r="G235" s="9" t="str">
        <f>IFERROR(__xludf.DUMMYFUNCTION("GOOGLETRANSLATE($A235,""en"",""zh-cn"")"),"埃塞克斯")</f>
        <v>埃塞克斯</v>
      </c>
      <c r="H235" s="9" t="str">
        <f>IFERROR(__xludf.DUMMYFUNCTION("GOOGLETRANSLATE($A235,""en"",""ja"")"),"エセックス")</f>
        <v>エセックス</v>
      </c>
      <c r="I235" s="9" t="str">
        <f>IFERROR(__xludf.DUMMYFUNCTION("GOOGLETRANSLATE($A235,""en"",""ko"")"),"에식스")</f>
        <v>에식스</v>
      </c>
      <c r="J235" s="9" t="str">
        <f>IFERROR(__xludf.DUMMYFUNCTION("GOOGLETRANSLATE($A235,""en"",""pt-BR"")"),"Essex")</f>
        <v>Essex</v>
      </c>
    </row>
    <row r="236">
      <c r="A236" s="9" t="str">
        <f>IFERROR(__xludf.DUMMYFUNCTION("""COMPUTED_VALUE"""),"Gloucestershire")</f>
        <v>Gloucestershire</v>
      </c>
      <c r="B236" s="9" t="str">
        <f>IFERROR(__xludf.DUMMYFUNCTION("""COMPUTED_VALUE"""),"gb-gls")</f>
        <v>gb-gls</v>
      </c>
      <c r="C236" s="9" t="str">
        <f>IFERROR(__xludf.DUMMYFUNCTION("GOOGLETRANSLATE($A236,""en"",""de"")"),"Gloucestershire")</f>
        <v>Gloucestershire</v>
      </c>
      <c r="D236" s="9" t="str">
        <f>IFERROR(__xludf.DUMMYFUNCTION("GOOGLETRANSLATE($A236,""en"",""fr"")"),"Gloucestershire")</f>
        <v>Gloucestershire</v>
      </c>
      <c r="E236" s="9" t="str">
        <f>IFERROR(__xludf.DUMMYFUNCTION("GOOGLETRANSLATE($A236,""en"",""es"")"),"Gloucestershire")</f>
        <v>Gloucestershire</v>
      </c>
      <c r="F236" s="9" t="str">
        <f>IFERROR(__xludf.DUMMYFUNCTION("GOOGLETRANSLATE($A236,""en"",""it"")"),"Gloucestershire")</f>
        <v>Gloucestershire</v>
      </c>
      <c r="G236" s="9" t="str">
        <f>IFERROR(__xludf.DUMMYFUNCTION("GOOGLETRANSLATE($A236,""en"",""zh-cn"")"),"格洛斯特郡")</f>
        <v>格洛斯特郡</v>
      </c>
      <c r="H236" s="9" t="str">
        <f>IFERROR(__xludf.DUMMYFUNCTION("GOOGLETRANSLATE($A236,""en"",""ja"")"),"グロスターシャー州")</f>
        <v>グロスターシャー州</v>
      </c>
      <c r="I236" s="9" t="str">
        <f>IFERROR(__xludf.DUMMYFUNCTION("GOOGLETRANSLATE($A236,""en"",""ko"")"),"글로스터셔")</f>
        <v>글로스터셔</v>
      </c>
      <c r="J236" s="9" t="str">
        <f>IFERROR(__xludf.DUMMYFUNCTION("GOOGLETRANSLATE($A236,""en"",""pt-BR"")"),"Gloucestershire")</f>
        <v>Gloucestershire</v>
      </c>
    </row>
    <row r="237">
      <c r="A237" s="9" t="str">
        <f>IFERROR(__xludf.DUMMYFUNCTION("""COMPUTED_VALUE"""),"Cambridgeshire")</f>
        <v>Cambridgeshire</v>
      </c>
      <c r="B237" s="9" t="str">
        <f>IFERROR(__xludf.DUMMYFUNCTION("""COMPUTED_VALUE"""),"gb-cam")</f>
        <v>gb-cam</v>
      </c>
      <c r="C237" s="9" t="str">
        <f>IFERROR(__xludf.DUMMYFUNCTION("GOOGLETRANSLATE($A237,""en"",""de"")"),"Cambridgeshire")</f>
        <v>Cambridgeshire</v>
      </c>
      <c r="D237" s="9" t="str">
        <f>IFERROR(__xludf.DUMMYFUNCTION("GOOGLETRANSLATE($A237,""en"",""fr"")"),"Cambridgeshire")</f>
        <v>Cambridgeshire</v>
      </c>
      <c r="E237" s="9" t="str">
        <f>IFERROR(__xludf.DUMMYFUNCTION("GOOGLETRANSLATE($A237,""en"",""es"")"),"Cambridgeshire")</f>
        <v>Cambridgeshire</v>
      </c>
      <c r="F237" s="9" t="str">
        <f>IFERROR(__xludf.DUMMYFUNCTION("GOOGLETRANSLATE($A237,""en"",""it"")"),"Cambridgeshire")</f>
        <v>Cambridgeshire</v>
      </c>
      <c r="G237" s="9" t="str">
        <f>IFERROR(__xludf.DUMMYFUNCTION("GOOGLETRANSLATE($A237,""en"",""zh-cn"")"),"剑桥郡")</f>
        <v>剑桥郡</v>
      </c>
      <c r="H237" s="9" t="str">
        <f>IFERROR(__xludf.DUMMYFUNCTION("GOOGLETRANSLATE($A237,""en"",""ja"")"),"ケンブリッジシャー")</f>
        <v>ケンブリッジシャー</v>
      </c>
      <c r="I237" s="9" t="str">
        <f>IFERROR(__xludf.DUMMYFUNCTION("GOOGLETRANSLATE($A237,""en"",""ko"")"),"케임브리지셔")</f>
        <v>케임브리지셔</v>
      </c>
      <c r="J237" s="9" t="str">
        <f>IFERROR(__xludf.DUMMYFUNCTION("GOOGLETRANSLATE($A237,""en"",""pt-BR"")"),"Cambridgeshire")</f>
        <v>Cambridgeshire</v>
      </c>
    </row>
    <row r="238">
      <c r="A238" s="9" t="str">
        <f>IFERROR(__xludf.DUMMYFUNCTION("""COMPUTED_VALUE"""),"Cumbria")</f>
        <v>Cumbria</v>
      </c>
      <c r="B238" s="9" t="str">
        <f>IFERROR(__xludf.DUMMYFUNCTION("""COMPUTED_VALUE"""),"gb-cma")</f>
        <v>gb-cma</v>
      </c>
      <c r="C238" s="9" t="str">
        <f>IFERROR(__xludf.DUMMYFUNCTION("GOOGLETRANSLATE($A238,""en"",""de"")"),"Cumbria")</f>
        <v>Cumbria</v>
      </c>
      <c r="D238" s="9" t="str">
        <f>IFERROR(__xludf.DUMMYFUNCTION("GOOGLETRANSLATE($A238,""en"",""fr"")"),"Cumbrie")</f>
        <v>Cumbrie</v>
      </c>
      <c r="E238" s="9" t="str">
        <f>IFERROR(__xludf.DUMMYFUNCTION("GOOGLETRANSLATE($A238,""en"",""es"")"),"cumbria")</f>
        <v>cumbria</v>
      </c>
      <c r="F238" s="9" t="str">
        <f>IFERROR(__xludf.DUMMYFUNCTION("GOOGLETRANSLATE($A238,""en"",""it"")"),"Cumbria")</f>
        <v>Cumbria</v>
      </c>
      <c r="G238" s="9" t="str">
        <f>IFERROR(__xludf.DUMMYFUNCTION("GOOGLETRANSLATE($A238,""en"",""zh-cn"")"),"坎布里亚郡")</f>
        <v>坎布里亚郡</v>
      </c>
      <c r="H238" s="9" t="str">
        <f>IFERROR(__xludf.DUMMYFUNCTION("GOOGLETRANSLATE($A238,""en"",""ja"")"),"カンブリア州")</f>
        <v>カンブリア州</v>
      </c>
      <c r="I238" s="9" t="str">
        <f>IFERROR(__xludf.DUMMYFUNCTION("GOOGLETRANSLATE($A238,""en"",""ko"")"),"컴브리아")</f>
        <v>컴브리아</v>
      </c>
      <c r="J238" s="9" t="str">
        <f>IFERROR(__xludf.DUMMYFUNCTION("GOOGLETRANSLATE($A238,""en"",""pt-BR"")"),"Cúmbria")</f>
        <v>Cúmbria</v>
      </c>
    </row>
    <row r="239">
      <c r="A239" s="9" t="str">
        <f>IFERROR(__xludf.DUMMYFUNCTION("""COMPUTED_VALUE"""),"Derbyshire")</f>
        <v>Derbyshire</v>
      </c>
      <c r="B239" s="9" t="str">
        <f>IFERROR(__xludf.DUMMYFUNCTION("""COMPUTED_VALUE"""),"gb-dby")</f>
        <v>gb-dby</v>
      </c>
      <c r="C239" s="9" t="str">
        <f>IFERROR(__xludf.DUMMYFUNCTION("GOOGLETRANSLATE($A239,""en"",""de"")"),"Derbyshire")</f>
        <v>Derbyshire</v>
      </c>
      <c r="D239" s="9" t="str">
        <f>IFERROR(__xludf.DUMMYFUNCTION("GOOGLETRANSLATE($A239,""en"",""fr"")"),"Derbyshire")</f>
        <v>Derbyshire</v>
      </c>
      <c r="E239" s="9" t="str">
        <f>IFERROR(__xludf.DUMMYFUNCTION("GOOGLETRANSLATE($A239,""en"",""es"")"),"Derbyshire")</f>
        <v>Derbyshire</v>
      </c>
      <c r="F239" s="9" t="str">
        <f>IFERROR(__xludf.DUMMYFUNCTION("GOOGLETRANSLATE($A239,""en"",""it"")"),"Derbyshire")</f>
        <v>Derbyshire</v>
      </c>
      <c r="G239" s="9" t="str">
        <f>IFERROR(__xludf.DUMMYFUNCTION("GOOGLETRANSLATE($A239,""en"",""zh-cn"")"),"德比郡")</f>
        <v>德比郡</v>
      </c>
      <c r="H239" s="9" t="str">
        <f>IFERROR(__xludf.DUMMYFUNCTION("GOOGLETRANSLATE($A239,""en"",""ja"")"),"ダービーシャー")</f>
        <v>ダービーシャー</v>
      </c>
      <c r="I239" s="9" t="str">
        <f>IFERROR(__xludf.DUMMYFUNCTION("GOOGLETRANSLATE($A239,""en"",""ko"")"),"더비셔")</f>
        <v>더비셔</v>
      </c>
      <c r="J239" s="9" t="str">
        <f>IFERROR(__xludf.DUMMYFUNCTION("GOOGLETRANSLATE($A239,""en"",""pt-BR"")"),"Derbyshire")</f>
        <v>Derbyshire</v>
      </c>
    </row>
    <row r="240">
      <c r="A240" s="9" t="str">
        <f>IFERROR(__xludf.DUMMYFUNCTION("""COMPUTED_VALUE"""),"Devon")</f>
        <v>Devon</v>
      </c>
      <c r="B240" s="9" t="str">
        <f>IFERROR(__xludf.DUMMYFUNCTION("""COMPUTED_VALUE"""),"gb-dev")</f>
        <v>gb-dev</v>
      </c>
      <c r="C240" s="9" t="str">
        <f>IFERROR(__xludf.DUMMYFUNCTION("GOOGLETRANSLATE($A240,""en"",""de"")"),"Devon")</f>
        <v>Devon</v>
      </c>
      <c r="D240" s="9" t="str">
        <f>IFERROR(__xludf.DUMMYFUNCTION("GOOGLETRANSLATE($A240,""en"",""fr"")"),"Dévonien")</f>
        <v>Dévonien</v>
      </c>
      <c r="E240" s="9" t="str">
        <f>IFERROR(__xludf.DUMMYFUNCTION("GOOGLETRANSLATE($A240,""en"",""es"")"),"Devon")</f>
        <v>Devon</v>
      </c>
      <c r="F240" s="9" t="str">
        <f>IFERROR(__xludf.DUMMYFUNCTION("GOOGLETRANSLATE($A240,""en"",""it"")"),"Devon")</f>
        <v>Devon</v>
      </c>
      <c r="G240" s="9" t="str">
        <f>IFERROR(__xludf.DUMMYFUNCTION("GOOGLETRANSLATE($A240,""en"",""zh-cn"")"),"德文郡")</f>
        <v>德文郡</v>
      </c>
      <c r="H240" s="9" t="str">
        <f>IFERROR(__xludf.DUMMYFUNCTION("GOOGLETRANSLATE($A240,""en"",""ja"")"),"デボン")</f>
        <v>デボン</v>
      </c>
      <c r="I240" s="9" t="str">
        <f>IFERROR(__xludf.DUMMYFUNCTION("GOOGLETRANSLATE($A240,""en"",""ko"")"),"데번")</f>
        <v>데번</v>
      </c>
      <c r="J240" s="9" t="str">
        <f>IFERROR(__xludf.DUMMYFUNCTION("GOOGLETRANSLATE($A240,""en"",""pt-BR"")"),"Devon")</f>
        <v>Devon</v>
      </c>
    </row>
    <row r="241">
      <c r="A241" s="9" t="str">
        <f>IFERROR(__xludf.DUMMYFUNCTION("""COMPUTED_VALUE"""),"Buckinghamshire")</f>
        <v>Buckinghamshire</v>
      </c>
      <c r="B241" s="9" t="str">
        <f>IFERROR(__xludf.DUMMYFUNCTION("""COMPUTED_VALUE"""),"gb-bkm")</f>
        <v>gb-bkm</v>
      </c>
      <c r="C241" s="9" t="str">
        <f>IFERROR(__xludf.DUMMYFUNCTION("GOOGLETRANSLATE($A241,""en"",""de"")"),"Buckinghamshire")</f>
        <v>Buckinghamshire</v>
      </c>
      <c r="D241" s="9" t="str">
        <f>IFERROR(__xludf.DUMMYFUNCTION("GOOGLETRANSLATE($A241,""en"",""fr"")"),"Buckinghamshire")</f>
        <v>Buckinghamshire</v>
      </c>
      <c r="E241" s="9" t="str">
        <f>IFERROR(__xludf.DUMMYFUNCTION("GOOGLETRANSLATE($A241,""en"",""es"")"),"Buckinghamshire")</f>
        <v>Buckinghamshire</v>
      </c>
      <c r="F241" s="9" t="str">
        <f>IFERROR(__xludf.DUMMYFUNCTION("GOOGLETRANSLATE($A241,""en"",""it"")"),"Buckinghamshire")</f>
        <v>Buckinghamshire</v>
      </c>
      <c r="G241" s="9" t="str">
        <f>IFERROR(__xludf.DUMMYFUNCTION("GOOGLETRANSLATE($A241,""en"",""zh-cn"")"),"白金汉郡")</f>
        <v>白金汉郡</v>
      </c>
      <c r="H241" s="9" t="str">
        <f>IFERROR(__xludf.DUMMYFUNCTION("GOOGLETRANSLATE($A241,""en"",""ja"")"),"バッキンガムシャー")</f>
        <v>バッキンガムシャー</v>
      </c>
      <c r="I241" s="9" t="str">
        <f>IFERROR(__xludf.DUMMYFUNCTION("GOOGLETRANSLATE($A241,""en"",""ko"")"),"버킹엄셔")</f>
        <v>버킹엄셔</v>
      </c>
      <c r="J241" s="9" t="str">
        <f>IFERROR(__xludf.DUMMYFUNCTION("GOOGLETRANSLATE($A241,""en"",""pt-BR"")"),"Buckinghamshire")</f>
        <v>Buckinghamshire</v>
      </c>
    </row>
    <row r="242">
      <c r="A242" s="9" t="str">
        <f>IFERROR(__xludf.DUMMYFUNCTION("""COMPUTED_VALUE"""),"Northamptonshire")</f>
        <v>Northamptonshire</v>
      </c>
      <c r="B242" s="9" t="str">
        <f>IFERROR(__xludf.DUMMYFUNCTION("""COMPUTED_VALUE"""),"gb-nth")</f>
        <v>gb-nth</v>
      </c>
      <c r="C242" s="9" t="str">
        <f>IFERROR(__xludf.DUMMYFUNCTION("GOOGLETRANSLATE($A242,""en"",""de"")"),"Northamptonshire")</f>
        <v>Northamptonshire</v>
      </c>
      <c r="D242" s="9" t="str">
        <f>IFERROR(__xludf.DUMMYFUNCTION("GOOGLETRANSLATE($A242,""en"",""fr"")"),"Comté de Northampton")</f>
        <v>Comté de Northampton</v>
      </c>
      <c r="E242" s="9" t="str">
        <f>IFERROR(__xludf.DUMMYFUNCTION("GOOGLETRANSLATE($A242,""en"",""es"")"),"Northamptonshire")</f>
        <v>Northamptonshire</v>
      </c>
      <c r="F242" s="9" t="str">
        <f>IFERROR(__xludf.DUMMYFUNCTION("GOOGLETRANSLATE($A242,""en"",""it"")"),"Northamptonshire")</f>
        <v>Northamptonshire</v>
      </c>
      <c r="G242" s="9" t="str">
        <f>IFERROR(__xludf.DUMMYFUNCTION("GOOGLETRANSLATE($A242,""en"",""zh-cn"")"),"北安普敦郡")</f>
        <v>北安普敦郡</v>
      </c>
      <c r="H242" s="9" t="str">
        <f>IFERROR(__xludf.DUMMYFUNCTION("GOOGLETRANSLATE($A242,""en"",""ja"")"),"ノーサンプトンシャー")</f>
        <v>ノーサンプトンシャー</v>
      </c>
      <c r="I242" s="9" t="str">
        <f>IFERROR(__xludf.DUMMYFUNCTION("GOOGLETRANSLATE($A242,""en"",""ko"")"),"노샘프턴셔")</f>
        <v>노샘프턴셔</v>
      </c>
      <c r="J242" s="9" t="str">
        <f>IFERROR(__xludf.DUMMYFUNCTION("GOOGLETRANSLATE($A242,""en"",""pt-BR"")"),"Northamptonshire")</f>
        <v>Northamptonshire</v>
      </c>
    </row>
    <row r="243">
      <c r="A243" s="9" t="str">
        <f>IFERROR(__xludf.DUMMYFUNCTION("""COMPUTED_VALUE"""),"Nottinghamshire")</f>
        <v>Nottinghamshire</v>
      </c>
      <c r="B243" s="9" t="str">
        <f>IFERROR(__xludf.DUMMYFUNCTION("""COMPUTED_VALUE"""),"gb-ntt")</f>
        <v>gb-ntt</v>
      </c>
      <c r="C243" s="9" t="str">
        <f>IFERROR(__xludf.DUMMYFUNCTION("GOOGLETRANSLATE($A243,""en"",""de"")"),"Nottinghamshire")</f>
        <v>Nottinghamshire</v>
      </c>
      <c r="D243" s="9" t="str">
        <f>IFERROR(__xludf.DUMMYFUNCTION("GOOGLETRANSLATE($A243,""en"",""fr"")"),"Nottinghamshire")</f>
        <v>Nottinghamshire</v>
      </c>
      <c r="E243" s="9" t="str">
        <f>IFERROR(__xludf.DUMMYFUNCTION("GOOGLETRANSLATE($A243,""en"",""es"")"),"Nottinghamshire")</f>
        <v>Nottinghamshire</v>
      </c>
      <c r="F243" s="9" t="str">
        <f>IFERROR(__xludf.DUMMYFUNCTION("GOOGLETRANSLATE($A243,""en"",""it"")"),"Nottinghamshire")</f>
        <v>Nottinghamshire</v>
      </c>
      <c r="G243" s="9" t="str">
        <f>IFERROR(__xludf.DUMMYFUNCTION("GOOGLETRANSLATE($A243,""en"",""zh-cn"")"),"诺丁汉郡")</f>
        <v>诺丁汉郡</v>
      </c>
      <c r="H243" s="9" t="str">
        <f>IFERROR(__xludf.DUMMYFUNCTION("GOOGLETRANSLATE($A243,""en"",""ja"")"),"ノッティンガムシャー")</f>
        <v>ノッティンガムシャー</v>
      </c>
      <c r="I243" s="9" t="str">
        <f>IFERROR(__xludf.DUMMYFUNCTION("GOOGLETRANSLATE($A243,""en"",""ko"")"),"노팅엄셔")</f>
        <v>노팅엄셔</v>
      </c>
      <c r="J243" s="9" t="str">
        <f>IFERROR(__xludf.DUMMYFUNCTION("GOOGLETRANSLATE($A243,""en"",""pt-BR"")"),"Nottinghamshire")</f>
        <v>Nottinghamshire</v>
      </c>
    </row>
    <row r="244">
      <c r="A244" s="9" t="str">
        <f>IFERROR(__xludf.DUMMYFUNCTION("""COMPUTED_VALUE"""),"Leicestershire")</f>
        <v>Leicestershire</v>
      </c>
      <c r="B244" s="9" t="str">
        <f>IFERROR(__xludf.DUMMYFUNCTION("""COMPUTED_VALUE"""),"gb-lec")</f>
        <v>gb-lec</v>
      </c>
      <c r="C244" s="9" t="str">
        <f>IFERROR(__xludf.DUMMYFUNCTION("GOOGLETRANSLATE($A244,""en"",""de"")"),"Leicestershire")</f>
        <v>Leicestershire</v>
      </c>
      <c r="D244" s="9" t="str">
        <f>IFERROR(__xludf.DUMMYFUNCTION("GOOGLETRANSLATE($A244,""en"",""fr"")"),"Leicestershire")</f>
        <v>Leicestershire</v>
      </c>
      <c r="E244" s="9" t="str">
        <f>IFERROR(__xludf.DUMMYFUNCTION("GOOGLETRANSLATE($A244,""en"",""es"")"),"Leicestershire")</f>
        <v>Leicestershire</v>
      </c>
      <c r="F244" s="9" t="str">
        <f>IFERROR(__xludf.DUMMYFUNCTION("GOOGLETRANSLATE($A244,""en"",""it"")"),"Leicestershire")</f>
        <v>Leicestershire</v>
      </c>
      <c r="G244" s="9" t="str">
        <f>IFERROR(__xludf.DUMMYFUNCTION("GOOGLETRANSLATE($A244,""en"",""zh-cn"")"),"莱斯特郡")</f>
        <v>莱斯特郡</v>
      </c>
      <c r="H244" s="9" t="str">
        <f>IFERROR(__xludf.DUMMYFUNCTION("GOOGLETRANSLATE($A244,""en"",""ja"")"),"レスターシャー")</f>
        <v>レスターシャー</v>
      </c>
      <c r="I244" s="9" t="str">
        <f>IFERROR(__xludf.DUMMYFUNCTION("GOOGLETRANSLATE($A244,""en"",""ko"")"),"레스터셔")</f>
        <v>레스터셔</v>
      </c>
      <c r="J244" s="9" t="str">
        <f>IFERROR(__xludf.DUMMYFUNCTION("GOOGLETRANSLATE($A244,""en"",""pt-BR"")"),"Leicestershire")</f>
        <v>Leicestershire</v>
      </c>
    </row>
    <row r="245">
      <c r="A245" s="9" t="str">
        <f>IFERROR(__xludf.DUMMYFUNCTION("""COMPUTED_VALUE"""),"Lincolnshire")</f>
        <v>Lincolnshire</v>
      </c>
      <c r="B245" s="9" t="str">
        <f>IFERROR(__xludf.DUMMYFUNCTION("""COMPUTED_VALUE"""),"gb-lin")</f>
        <v>gb-lin</v>
      </c>
      <c r="C245" s="9" t="str">
        <f>IFERROR(__xludf.DUMMYFUNCTION("GOOGLETRANSLATE($A245,""en"",""de"")"),"Lincolnshire")</f>
        <v>Lincolnshire</v>
      </c>
      <c r="D245" s="9" t="str">
        <f>IFERROR(__xludf.DUMMYFUNCTION("GOOGLETRANSLATE($A245,""en"",""fr"")"),"Lincolnshire")</f>
        <v>Lincolnshire</v>
      </c>
      <c r="E245" s="9" t="str">
        <f>IFERROR(__xludf.DUMMYFUNCTION("GOOGLETRANSLATE($A245,""en"",""es"")"),"Lincolnshire")</f>
        <v>Lincolnshire</v>
      </c>
      <c r="F245" s="9" t="str">
        <f>IFERROR(__xludf.DUMMYFUNCTION("GOOGLETRANSLATE($A245,""en"",""it"")"),"Lincolnshire")</f>
        <v>Lincolnshire</v>
      </c>
      <c r="G245" s="9" t="str">
        <f>IFERROR(__xludf.DUMMYFUNCTION("GOOGLETRANSLATE($A245,""en"",""zh-cn"")"),"林肯郡")</f>
        <v>林肯郡</v>
      </c>
      <c r="H245" s="9" t="str">
        <f>IFERROR(__xludf.DUMMYFUNCTION("GOOGLETRANSLATE($A245,""en"",""ja"")"),"リンカンシャー")</f>
        <v>リンカンシャー</v>
      </c>
      <c r="I245" s="9" t="str">
        <f>IFERROR(__xludf.DUMMYFUNCTION("GOOGLETRANSLATE($A245,""en"",""ko"")"),"링컨셔")</f>
        <v>링컨셔</v>
      </c>
      <c r="J245" s="9" t="str">
        <f>IFERROR(__xludf.DUMMYFUNCTION("GOOGLETRANSLATE($A245,""en"",""pt-BR"")"),"Lincolnshire")</f>
        <v>Lincolnshire</v>
      </c>
    </row>
    <row r="246">
      <c r="A246" s="9" t="str">
        <f>IFERROR(__xludf.DUMMYFUNCTION("""COMPUTED_VALUE"""),"Norfolk")</f>
        <v>Norfolk</v>
      </c>
      <c r="B246" s="9" t="str">
        <f>IFERROR(__xludf.DUMMYFUNCTION("""COMPUTED_VALUE"""),"gb-nfk")</f>
        <v>gb-nfk</v>
      </c>
      <c r="C246" s="9" t="str">
        <f>IFERROR(__xludf.DUMMYFUNCTION("GOOGLETRANSLATE($A246,""en"",""de"")"),"Norfolk")</f>
        <v>Norfolk</v>
      </c>
      <c r="D246" s="9" t="str">
        <f>IFERROR(__xludf.DUMMYFUNCTION("GOOGLETRANSLATE($A246,""en"",""fr"")"),"Norfolk")</f>
        <v>Norfolk</v>
      </c>
      <c r="E246" s="9" t="str">
        <f>IFERROR(__xludf.DUMMYFUNCTION("GOOGLETRANSLATE($A246,""en"",""es"")"),"norfolk")</f>
        <v>norfolk</v>
      </c>
      <c r="F246" s="9" t="str">
        <f>IFERROR(__xludf.DUMMYFUNCTION("GOOGLETRANSLATE($A246,""en"",""it"")"),"Norfolk")</f>
        <v>Norfolk</v>
      </c>
      <c r="G246" s="9" t="str">
        <f>IFERROR(__xludf.DUMMYFUNCTION("GOOGLETRANSLATE($A246,""en"",""zh-cn"")"),"诺福克")</f>
        <v>诺福克</v>
      </c>
      <c r="H246" s="9" t="str">
        <f>IFERROR(__xludf.DUMMYFUNCTION("GOOGLETRANSLATE($A246,""en"",""ja"")"),"ノーフォーク")</f>
        <v>ノーフォーク</v>
      </c>
      <c r="I246" s="9" t="str">
        <f>IFERROR(__xludf.DUMMYFUNCTION("GOOGLETRANSLATE($A246,""en"",""ko"")"),"노퍽")</f>
        <v>노퍽</v>
      </c>
      <c r="J246" s="9" t="str">
        <f>IFERROR(__xludf.DUMMYFUNCTION("GOOGLETRANSLATE($A246,""en"",""pt-BR"")"),"Norfolk")</f>
        <v>Norfolk</v>
      </c>
    </row>
    <row r="247">
      <c r="A247" s="9" t="str">
        <f>IFERROR(__xludf.DUMMYFUNCTION("""COMPUTED_VALUE"""),"North Yorkshire")</f>
        <v>North Yorkshire</v>
      </c>
      <c r="B247" s="9" t="str">
        <f>IFERROR(__xludf.DUMMYFUNCTION("""COMPUTED_VALUE"""),"gb-nyk")</f>
        <v>gb-nyk</v>
      </c>
      <c r="C247" s="9" t="str">
        <f>IFERROR(__xludf.DUMMYFUNCTION("GOOGLETRANSLATE($A247,""en"",""de"")"),"Nord Yorkshire")</f>
        <v>Nord Yorkshire</v>
      </c>
      <c r="D247" s="9" t="str">
        <f>IFERROR(__xludf.DUMMYFUNCTION("GOOGLETRANSLATE($A247,""en"",""fr"")"),"Yorkshire du Nord")</f>
        <v>Yorkshire du Nord</v>
      </c>
      <c r="E247" s="9" t="str">
        <f>IFERROR(__xludf.DUMMYFUNCTION("GOOGLETRANSLATE($A247,""en"",""es"")"),"Yorkshire del Norte")</f>
        <v>Yorkshire del Norte</v>
      </c>
      <c r="F247" s="9" t="str">
        <f>IFERROR(__xludf.DUMMYFUNCTION("GOOGLETRANSLATE($A247,""en"",""it"")"),"Yorkshire del Nord")</f>
        <v>Yorkshire del Nord</v>
      </c>
      <c r="G247" s="9" t="str">
        <f>IFERROR(__xludf.DUMMYFUNCTION("GOOGLETRANSLATE($A247,""en"",""zh-cn"")"),"北约克郡")</f>
        <v>北约克郡</v>
      </c>
      <c r="H247" s="9" t="str">
        <f>IFERROR(__xludf.DUMMYFUNCTION("GOOGLETRANSLATE($A247,""en"",""ja"")"),"ノースヨークシャー")</f>
        <v>ノースヨークシャー</v>
      </c>
      <c r="I247" s="9" t="str">
        <f>IFERROR(__xludf.DUMMYFUNCTION("GOOGLETRANSLATE($A247,""en"",""ko"")"),"노스요크셔")</f>
        <v>노스요크셔</v>
      </c>
      <c r="J247" s="9" t="str">
        <f>IFERROR(__xludf.DUMMYFUNCTION("GOOGLETRANSLATE($A247,""en"",""pt-BR"")"),"Yorkshire Norte")</f>
        <v>Yorkshire Norte</v>
      </c>
    </row>
    <row r="248">
      <c r="A248" s="9" t="str">
        <f>IFERROR(__xludf.DUMMYFUNCTION("""COMPUTED_VALUE"""),"Isle of Man")</f>
        <v>Isle of Man</v>
      </c>
      <c r="B248" s="9" t="str">
        <f>IFERROR(__xludf.DUMMYFUNCTION("""COMPUTED_VALUE"""),"gb-iom")</f>
        <v>gb-iom</v>
      </c>
      <c r="C248" s="9" t="str">
        <f>IFERROR(__xludf.DUMMYFUNCTION("GOOGLETRANSLATE($A248,""en"",""de"")"),"Insel Man")</f>
        <v>Insel Man</v>
      </c>
      <c r="D248" s="9" t="str">
        <f>IFERROR(__xludf.DUMMYFUNCTION("GOOGLETRANSLATE($A248,""en"",""fr"")"),"Île de Man")</f>
        <v>Île de Man</v>
      </c>
      <c r="E248" s="9" t="str">
        <f>IFERROR(__xludf.DUMMYFUNCTION("GOOGLETRANSLATE($A248,""en"",""es"")"),"isla de man")</f>
        <v>isla de man</v>
      </c>
      <c r="F248" s="9" t="str">
        <f>IFERROR(__xludf.DUMMYFUNCTION("GOOGLETRANSLATE($A248,""en"",""it"")"),"Isola di Man")</f>
        <v>Isola di Man</v>
      </c>
      <c r="G248" s="9" t="str">
        <f>IFERROR(__xludf.DUMMYFUNCTION("GOOGLETRANSLATE($A248,""en"",""zh-cn"")"),"马恩岛")</f>
        <v>马恩岛</v>
      </c>
      <c r="H248" s="9" t="str">
        <f>IFERROR(__xludf.DUMMYFUNCTION("GOOGLETRANSLATE($A248,""en"",""ja"")"),"マン島")</f>
        <v>マン島</v>
      </c>
      <c r="I248" s="9" t="str">
        <f>IFERROR(__xludf.DUMMYFUNCTION("GOOGLETRANSLATE($A248,""en"",""ko"")"),"맨 섬")</f>
        <v>맨 섬</v>
      </c>
      <c r="J248" s="9" t="str">
        <f>IFERROR(__xludf.DUMMYFUNCTION("GOOGLETRANSLATE($A248,""en"",""pt-BR"")"),"Ilha de Man")</f>
        <v>Ilha de Man</v>
      </c>
    </row>
    <row r="249">
      <c r="A249" s="9" t="str">
        <f>IFERROR(__xludf.DUMMYFUNCTION("""COMPUTED_VALUE"""),"Northern Ireland")</f>
        <v>Northern Ireland</v>
      </c>
      <c r="B249" s="9" t="str">
        <f>IFERROR(__xludf.DUMMYFUNCTION("""COMPUTED_VALUE"""),"gb-nir")</f>
        <v>gb-nir</v>
      </c>
      <c r="C249" s="9" t="str">
        <f>IFERROR(__xludf.DUMMYFUNCTION("GOOGLETRANSLATE($A249,""en"",""de"")"),"Nordirland")</f>
        <v>Nordirland</v>
      </c>
      <c r="D249" s="9" t="str">
        <f>IFERROR(__xludf.DUMMYFUNCTION("GOOGLETRANSLATE($A249,""en"",""fr"")"),"Irlande du Nord")</f>
        <v>Irlande du Nord</v>
      </c>
      <c r="E249" s="9" t="str">
        <f>IFERROR(__xludf.DUMMYFUNCTION("GOOGLETRANSLATE($A249,""en"",""es"")"),"Irlanda del Norte")</f>
        <v>Irlanda del Norte</v>
      </c>
      <c r="F249" s="9" t="str">
        <f>IFERROR(__xludf.DUMMYFUNCTION("GOOGLETRANSLATE($A249,""en"",""it"")"),"Irlanda del Nord")</f>
        <v>Irlanda del Nord</v>
      </c>
      <c r="G249" s="9" t="str">
        <f>IFERROR(__xludf.DUMMYFUNCTION("GOOGLETRANSLATE($A249,""en"",""zh-cn"")"),"北爱尔兰")</f>
        <v>北爱尔兰</v>
      </c>
      <c r="H249" s="9" t="str">
        <f>IFERROR(__xludf.DUMMYFUNCTION("GOOGLETRANSLATE($A249,""en"",""ja"")"),"北アイルランド")</f>
        <v>北アイルランド</v>
      </c>
      <c r="I249" s="9" t="str">
        <f>IFERROR(__xludf.DUMMYFUNCTION("GOOGLETRANSLATE($A249,""en"",""ko"")"),"북아일랜드")</f>
        <v>북아일랜드</v>
      </c>
      <c r="J249" s="9" t="str">
        <f>IFERROR(__xludf.DUMMYFUNCTION("GOOGLETRANSLATE($A249,""en"",""pt-BR"")"),"Irlanda do Norte")</f>
        <v>Irlanda do Norte</v>
      </c>
    </row>
    <row r="250">
      <c r="A250" s="9" t="str">
        <f>IFERROR(__xludf.DUMMYFUNCTION("""COMPUTED_VALUE"""),"Wales [Cymru]")</f>
        <v>Wales [Cymru]</v>
      </c>
      <c r="B250" s="9" t="str">
        <f>IFERROR(__xludf.DUMMYFUNCTION("""COMPUTED_VALUE"""),"gb-wls")</f>
        <v>gb-wls</v>
      </c>
      <c r="C250" s="9" t="str">
        <f>IFERROR(__xludf.DUMMYFUNCTION("GOOGLETRANSLATE($A250,""en"",""de"")"),"Wales [Cymru]")</f>
        <v>Wales [Cymru]</v>
      </c>
      <c r="D250" s="9" t="str">
        <f>IFERROR(__xludf.DUMMYFUNCTION("GOOGLETRANSLATE($A250,""en"",""fr"")"),"Pays de Galles [Cymru]")</f>
        <v>Pays de Galles [Cymru]</v>
      </c>
      <c r="E250" s="9" t="str">
        <f>IFERROR(__xludf.DUMMYFUNCTION("GOOGLETRANSLATE($A250,""en"",""es"")"),"Gales [Cymru]")</f>
        <v>Gales [Cymru]</v>
      </c>
      <c r="F250" s="9" t="str">
        <f>IFERROR(__xludf.DUMMYFUNCTION("GOOGLETRANSLATE($A250,""en"",""it"")"),"Galles [Cymru]")</f>
        <v>Galles [Cymru]</v>
      </c>
      <c r="G250" s="9" t="str">
        <f>IFERROR(__xludf.DUMMYFUNCTION("GOOGLETRANSLATE($A250,""en"",""zh-cn"")"),"威尔士[Cymru]")</f>
        <v>威尔士[Cymru]</v>
      </c>
      <c r="H250" s="9" t="str">
        <f>IFERROR(__xludf.DUMMYFUNCTION("GOOGLETRANSLATE($A250,""en"",""ja"")"),"ウェールズ [シムル]")</f>
        <v>ウェールズ [シムル]</v>
      </c>
      <c r="I250" s="9" t="str">
        <f>IFERROR(__xludf.DUMMYFUNCTION("GOOGLETRANSLATE($A250,""en"",""ko"")"),"웨일스 [Cymru]")</f>
        <v>웨일스 [Cymru]</v>
      </c>
      <c r="J250" s="9" t="str">
        <f>IFERROR(__xludf.DUMMYFUNCTION("GOOGLETRANSLATE($A250,""en"",""pt-BR"")"),"País de Gales [Cymru]")</f>
        <v>País de Gales [Cymru]</v>
      </c>
    </row>
    <row r="251">
      <c r="A251" s="9" t="str">
        <f>IFERROR(__xludf.DUMMYFUNCTION("""COMPUTED_VALUE"""),"West Midlands")</f>
        <v>West Midlands</v>
      </c>
      <c r="B251" s="9" t="str">
        <f>IFERROR(__xludf.DUMMYFUNCTION("""COMPUTED_VALUE"""),"gb-wmd")</f>
        <v>gb-wmd</v>
      </c>
      <c r="C251" s="9" t="str">
        <f>IFERROR(__xludf.DUMMYFUNCTION("GOOGLETRANSLATE($A251,""en"",""de"")"),"West Midlands")</f>
        <v>West Midlands</v>
      </c>
      <c r="D251" s="9" t="str">
        <f>IFERROR(__xludf.DUMMYFUNCTION("GOOGLETRANSLATE($A251,""en"",""fr"")"),"Midlands de l'Ouest")</f>
        <v>Midlands de l'Ouest</v>
      </c>
      <c r="E251" s="9" t="str">
        <f>IFERROR(__xludf.DUMMYFUNCTION("GOOGLETRANSLATE($A251,""en"",""es"")"),"Midlands Occidentales")</f>
        <v>Midlands Occidentales</v>
      </c>
      <c r="F251" s="9" t="str">
        <f>IFERROR(__xludf.DUMMYFUNCTION("GOOGLETRANSLATE($A251,""en"",""it"")"),"Midlands occidentali")</f>
        <v>Midlands occidentali</v>
      </c>
      <c r="G251" s="9" t="str">
        <f>IFERROR(__xludf.DUMMYFUNCTION("GOOGLETRANSLATE($A251,""en"",""zh-cn"")"),"西米德兰兹郡")</f>
        <v>西米德兰兹郡</v>
      </c>
      <c r="H251" s="9" t="str">
        <f>IFERROR(__xludf.DUMMYFUNCTION("GOOGLETRANSLATE($A251,""en"",""ja"")"),"ウェスト・ミッドランズ")</f>
        <v>ウェスト・ミッドランズ</v>
      </c>
      <c r="I251" s="9" t="str">
        <f>IFERROR(__xludf.DUMMYFUNCTION("GOOGLETRANSLATE($A251,""en"",""ko"")"),"웨스트 미들랜즈")</f>
        <v>웨스트 미들랜즈</v>
      </c>
      <c r="J251" s="9" t="str">
        <f>IFERROR(__xludf.DUMMYFUNCTION("GOOGLETRANSLATE($A251,""en"",""pt-BR"")"),"Centros Ocidentais")</f>
        <v>Centros Ocidentais</v>
      </c>
    </row>
    <row r="252">
      <c r="A252" s="9" t="str">
        <f>IFERROR(__xludf.DUMMYFUNCTION("""COMPUTED_VALUE"""),"West Yorkshire")</f>
        <v>West Yorkshire</v>
      </c>
      <c r="B252" s="9" t="str">
        <f>IFERROR(__xludf.DUMMYFUNCTION("""COMPUTED_VALUE"""),"gb-wyk")</f>
        <v>gb-wyk</v>
      </c>
      <c r="C252" s="9" t="str">
        <f>IFERROR(__xludf.DUMMYFUNCTION("GOOGLETRANSLATE($A252,""en"",""de"")"),"West Yorkshire")</f>
        <v>West Yorkshire</v>
      </c>
      <c r="D252" s="9" t="str">
        <f>IFERROR(__xludf.DUMMYFUNCTION("GOOGLETRANSLATE($A252,""en"",""fr"")"),"Yorkshire de l'Ouest")</f>
        <v>Yorkshire de l'Ouest</v>
      </c>
      <c r="E252" s="9" t="str">
        <f>IFERROR(__xludf.DUMMYFUNCTION("GOOGLETRANSLATE($A252,""en"",""es"")"),"Yorkshire del Oeste")</f>
        <v>Yorkshire del Oeste</v>
      </c>
      <c r="F252" s="9" t="str">
        <f>IFERROR(__xludf.DUMMYFUNCTION("GOOGLETRANSLATE($A252,""en"",""it"")"),"Yorkshire occidentale")</f>
        <v>Yorkshire occidentale</v>
      </c>
      <c r="G252" s="9" t="str">
        <f>IFERROR(__xludf.DUMMYFUNCTION("GOOGLETRANSLATE($A252,""en"",""zh-cn"")"),"西约克郡")</f>
        <v>西约克郡</v>
      </c>
      <c r="H252" s="9" t="str">
        <f>IFERROR(__xludf.DUMMYFUNCTION("GOOGLETRANSLATE($A252,""en"",""ja"")"),"ウェストヨークシャー")</f>
        <v>ウェストヨークシャー</v>
      </c>
      <c r="I252" s="9" t="str">
        <f>IFERROR(__xludf.DUMMYFUNCTION("GOOGLETRANSLATE($A252,""en"",""ko"")"),"웨스트요크셔")</f>
        <v>웨스트요크셔</v>
      </c>
      <c r="J252" s="9" t="str">
        <f>IFERROR(__xludf.DUMMYFUNCTION("GOOGLETRANSLATE($A252,""en"",""pt-BR"")"),"Yorkshire Ocidental")</f>
        <v>Yorkshire Ocidental</v>
      </c>
    </row>
    <row r="253">
      <c r="A253" s="9" t="str">
        <f>IFERROR(__xludf.DUMMYFUNCTION("""COMPUTED_VALUE"""),"Channel Islands")</f>
        <v>Channel Islands</v>
      </c>
      <c r="B253" s="9" t="str">
        <f>IFERROR(__xludf.DUMMYFUNCTION("""COMPUTED_VALUE"""),"gb-cha")</f>
        <v>gb-cha</v>
      </c>
      <c r="C253" s="9" t="str">
        <f>IFERROR(__xludf.DUMMYFUNCTION("GOOGLETRANSLATE($A253,""en"",""de"")"),"Kanalinseln")</f>
        <v>Kanalinseln</v>
      </c>
      <c r="D253" s="9" t="str">
        <f>IFERROR(__xludf.DUMMYFUNCTION("GOOGLETRANSLATE($A253,""en"",""fr"")"),"Îles anglo-normandes")</f>
        <v>Îles anglo-normandes</v>
      </c>
      <c r="E253" s="9" t="str">
        <f>IFERROR(__xludf.DUMMYFUNCTION("GOOGLETRANSLATE($A253,""en"",""es"")"),"Islas del Canal")</f>
        <v>Islas del Canal</v>
      </c>
      <c r="F253" s="9" t="str">
        <f>IFERROR(__xludf.DUMMYFUNCTION("GOOGLETRANSLATE($A253,""en"",""it"")"),"Isole del Canale")</f>
        <v>Isole del Canale</v>
      </c>
      <c r="G253" s="9" t="str">
        <f>IFERROR(__xludf.DUMMYFUNCTION("GOOGLETRANSLATE($A253,""en"",""zh-cn"")"),"海峡群岛")</f>
        <v>海峡群岛</v>
      </c>
      <c r="H253" s="9" t="str">
        <f>IFERROR(__xludf.DUMMYFUNCTION("GOOGLETRANSLATE($A253,""en"",""ja"")"),"チャンネル諸島")</f>
        <v>チャンネル諸島</v>
      </c>
      <c r="I253" s="9" t="str">
        <f>IFERROR(__xludf.DUMMYFUNCTION("GOOGLETRANSLATE($A253,""en"",""ko"")"),"채널 제도")</f>
        <v>채널 제도</v>
      </c>
      <c r="J253" s="9" t="str">
        <f>IFERROR(__xludf.DUMMYFUNCTION("GOOGLETRANSLATE($A253,""en"",""pt-BR"")"),"Ilhas do Canal")</f>
        <v>Ilhas do Canal</v>
      </c>
    </row>
    <row r="254">
      <c r="A254" s="9" t="str">
        <f>IFERROR(__xludf.DUMMYFUNCTION("""COMPUTED_VALUE"""),"Guernsey")</f>
        <v>Guernsey</v>
      </c>
      <c r="B254" s="9" t="str">
        <f>IFERROR(__xludf.DUMMYFUNCTION("""COMPUTED_VALUE"""),"gb-gsy")</f>
        <v>gb-gsy</v>
      </c>
      <c r="C254" s="9" t="str">
        <f>IFERROR(__xludf.DUMMYFUNCTION("GOOGLETRANSLATE($A254,""en"",""de"")"),"Guernsey")</f>
        <v>Guernsey</v>
      </c>
      <c r="D254" s="9" t="str">
        <f>IFERROR(__xludf.DUMMYFUNCTION("GOOGLETRANSLATE($A254,""en"",""fr"")"),"Guernesey")</f>
        <v>Guernesey</v>
      </c>
      <c r="E254" s="9" t="str">
        <f>IFERROR(__xludf.DUMMYFUNCTION("GOOGLETRANSLATE($A254,""en"",""es"")"),"Guernesey")</f>
        <v>Guernesey</v>
      </c>
      <c r="F254" s="9" t="str">
        <f>IFERROR(__xludf.DUMMYFUNCTION("GOOGLETRANSLATE($A254,""en"",""it"")"),"Guernsey")</f>
        <v>Guernsey</v>
      </c>
      <c r="G254" s="9" t="str">
        <f>IFERROR(__xludf.DUMMYFUNCTION("GOOGLETRANSLATE($A254,""en"",""zh-cn"")"),"根西岛")</f>
        <v>根西岛</v>
      </c>
      <c r="H254" s="9" t="str">
        <f>IFERROR(__xludf.DUMMYFUNCTION("GOOGLETRANSLATE($A254,""en"",""ja"")"),"ガーンジー島")</f>
        <v>ガーンジー島</v>
      </c>
      <c r="I254" s="9" t="str">
        <f>IFERROR(__xludf.DUMMYFUNCTION("GOOGLETRANSLATE($A254,""en"",""ko"")"),"건지")</f>
        <v>건지</v>
      </c>
      <c r="J254" s="9" t="str">
        <f>IFERROR(__xludf.DUMMYFUNCTION("GOOGLETRANSLATE($A254,""en"",""pt-BR"")"),"Guernsey")</f>
        <v>Guernsey</v>
      </c>
    </row>
    <row r="255">
      <c r="A255" s="9" t="str">
        <f>IFERROR(__xludf.DUMMYFUNCTION("""COMPUTED_VALUE"""),"Kincardineshire")</f>
        <v>Kincardineshire</v>
      </c>
      <c r="B255" s="9" t="str">
        <f>IFERROR(__xludf.DUMMYFUNCTION("""COMPUTED_VALUE"""),"gb-kcd")</f>
        <v>gb-kcd</v>
      </c>
      <c r="C255" s="9" t="str">
        <f>IFERROR(__xludf.DUMMYFUNCTION("GOOGLETRANSLATE($A255,""en"",""de"")"),"Kincardineshire")</f>
        <v>Kincardineshire</v>
      </c>
      <c r="D255" s="9" t="str">
        <f>IFERROR(__xludf.DUMMYFUNCTION("GOOGLETRANSLATE($A255,""en"",""fr"")"),"Kincardineshire")</f>
        <v>Kincardineshire</v>
      </c>
      <c r="E255" s="9" t="str">
        <f>IFERROR(__xludf.DUMMYFUNCTION("GOOGLETRANSLATE($A255,""en"",""es"")"),"Kincardineshire")</f>
        <v>Kincardineshire</v>
      </c>
      <c r="F255" s="9" t="str">
        <f>IFERROR(__xludf.DUMMYFUNCTION("GOOGLETRANSLATE($A255,""en"",""it"")"),"Kincardineshire")</f>
        <v>Kincardineshire</v>
      </c>
      <c r="G255" s="9" t="str">
        <f>IFERROR(__xludf.DUMMYFUNCTION("GOOGLETRANSLATE($A255,""en"",""zh-cn"")"),"金卡丁郡")</f>
        <v>金卡丁郡</v>
      </c>
      <c r="H255" s="9" t="str">
        <f>IFERROR(__xludf.DUMMYFUNCTION("GOOGLETRANSLATE($A255,""en"",""ja"")"),"キンカーディンシャー")</f>
        <v>キンカーディンシャー</v>
      </c>
      <c r="I255" s="9" t="str">
        <f>IFERROR(__xludf.DUMMYFUNCTION("GOOGLETRANSLATE($A255,""en"",""ko"")"),"킨카딘셔")</f>
        <v>킨카딘셔</v>
      </c>
      <c r="J255" s="9" t="str">
        <f>IFERROR(__xludf.DUMMYFUNCTION("GOOGLETRANSLATE($A255,""en"",""pt-BR"")"),"Kincardineshire")</f>
        <v>Kincardineshire</v>
      </c>
    </row>
    <row r="256">
      <c r="A256" s="9" t="str">
        <f>IFERROR(__xludf.DUMMYFUNCTION("""COMPUTED_VALUE"""),"Isles of Scilly")</f>
        <v>Isles of Scilly</v>
      </c>
      <c r="B256" s="9" t="str">
        <f>IFERROR(__xludf.DUMMYFUNCTION("""COMPUTED_VALUE"""),"gb-ios")</f>
        <v>gb-ios</v>
      </c>
      <c r="C256" s="9" t="str">
        <f>IFERROR(__xludf.DUMMYFUNCTION("GOOGLETRANSLATE($A256,""en"",""de"")"),"Scilly-Inseln")</f>
        <v>Scilly-Inseln</v>
      </c>
      <c r="D256" s="9" t="str">
        <f>IFERROR(__xludf.DUMMYFUNCTION("GOOGLETRANSLATE($A256,""en"",""fr"")"),"Îles Scilly")</f>
        <v>Îles Scilly</v>
      </c>
      <c r="E256" s="9" t="str">
        <f>IFERROR(__xludf.DUMMYFUNCTION("GOOGLETRANSLATE($A256,""en"",""es"")"),"Islas Sorlingas")</f>
        <v>Islas Sorlingas</v>
      </c>
      <c r="F256" s="9" t="str">
        <f>IFERROR(__xludf.DUMMYFUNCTION("GOOGLETRANSLATE($A256,""en"",""it"")"),"Isole Scilly")</f>
        <v>Isole Scilly</v>
      </c>
      <c r="G256" s="9" t="str">
        <f>IFERROR(__xludf.DUMMYFUNCTION("GOOGLETRANSLATE($A256,""en"",""zh-cn"")"),"锡利群岛")</f>
        <v>锡利群岛</v>
      </c>
      <c r="H256" s="9" t="str">
        <f>IFERROR(__xludf.DUMMYFUNCTION("GOOGLETRANSLATE($A256,""en"",""ja"")"),"シリー諸島")</f>
        <v>シリー諸島</v>
      </c>
      <c r="I256" s="9" t="str">
        <f>IFERROR(__xludf.DUMMYFUNCTION("GOOGLETRANSLATE($A256,""en"",""ko"")"),"실리 제도")</f>
        <v>실리 제도</v>
      </c>
      <c r="J256" s="9" t="str">
        <f>IFERROR(__xludf.DUMMYFUNCTION("GOOGLETRANSLATE($A256,""en"",""pt-BR"")"),"Ilhas de Scilly")</f>
        <v>Ilhas de Scilly</v>
      </c>
    </row>
    <row r="257">
      <c r="A257" s="9" t="str">
        <f>IFERROR(__xludf.DUMMYFUNCTION("""COMPUTED_VALUE"""),"Vale of Glamorgan")</f>
        <v>Vale of Glamorgan</v>
      </c>
      <c r="B257" s="9" t="str">
        <f>IFERROR(__xludf.DUMMYFUNCTION("""COMPUTED_VALUE"""),"gb-vgl")</f>
        <v>gb-vgl</v>
      </c>
      <c r="C257" s="9" t="str">
        <f>IFERROR(__xludf.DUMMYFUNCTION("GOOGLETRANSLATE($A257,""en"",""de"")"),"Tal von Glamorgan")</f>
        <v>Tal von Glamorgan</v>
      </c>
      <c r="D257" s="9" t="str">
        <f>IFERROR(__xludf.DUMMYFUNCTION("GOOGLETRANSLATE($A257,""en"",""fr"")"),"Vallée de Glamorgan")</f>
        <v>Vallée de Glamorgan</v>
      </c>
      <c r="E257" s="9" t="str">
        <f>IFERROR(__xludf.DUMMYFUNCTION("GOOGLETRANSLATE($A257,""en"",""es"")"),"Valle de Glamorgan")</f>
        <v>Valle de Glamorgan</v>
      </c>
      <c r="F257" s="9" t="str">
        <f>IFERROR(__xludf.DUMMYFUNCTION("GOOGLETRANSLATE($A257,""en"",""it"")"),"Valle di Glamorgan")</f>
        <v>Valle di Glamorgan</v>
      </c>
      <c r="G257" s="9" t="str">
        <f>IFERROR(__xludf.DUMMYFUNCTION("GOOGLETRANSLATE($A257,""en"",""zh-cn"")"),"格拉摩根谷")</f>
        <v>格拉摩根谷</v>
      </c>
      <c r="H257" s="9" t="str">
        <f>IFERROR(__xludf.DUMMYFUNCTION("GOOGLETRANSLATE($A257,""en"",""ja"")"),"グラモーガンの谷")</f>
        <v>グラモーガンの谷</v>
      </c>
      <c r="I257" s="9" t="str">
        <f>IFERROR(__xludf.DUMMYFUNCTION("GOOGLETRANSLATE($A257,""en"",""ko"")"),"베일 오브 글래모건")</f>
        <v>베일 오브 글래모건</v>
      </c>
      <c r="J257" s="9" t="str">
        <f>IFERROR(__xludf.DUMMYFUNCTION("GOOGLETRANSLATE($A257,""en"",""pt-BR"")"),"Vale de Glamorgan")</f>
        <v>Vale de Glamorgan</v>
      </c>
    </row>
    <row r="258">
      <c r="A258" s="9" t="str">
        <f>IFERROR(__xludf.DUMMYFUNCTION("""COMPUTED_VALUE"""),"Wrexham")</f>
        <v>Wrexham</v>
      </c>
      <c r="B258" s="9" t="str">
        <f>IFERROR(__xludf.DUMMYFUNCTION("""COMPUTED_VALUE"""),"gb-wrx")</f>
        <v>gb-wrx</v>
      </c>
      <c r="C258" s="9" t="str">
        <f>IFERROR(__xludf.DUMMYFUNCTION("GOOGLETRANSLATE($A258,""en"",""de"")"),"Wrexham")</f>
        <v>Wrexham</v>
      </c>
      <c r="D258" s="9" t="str">
        <f>IFERROR(__xludf.DUMMYFUNCTION("GOOGLETRANSLATE($A258,""en"",""fr"")"),"Wrexham")</f>
        <v>Wrexham</v>
      </c>
      <c r="E258" s="9" t="str">
        <f>IFERROR(__xludf.DUMMYFUNCTION("GOOGLETRANSLATE($A258,""en"",""es"")"),"Wrexham")</f>
        <v>Wrexham</v>
      </c>
      <c r="F258" s="9" t="str">
        <f>IFERROR(__xludf.DUMMYFUNCTION("GOOGLETRANSLATE($A258,""en"",""it"")"),"Wrexham")</f>
        <v>Wrexham</v>
      </c>
      <c r="G258" s="9" t="str">
        <f>IFERROR(__xludf.DUMMYFUNCTION("GOOGLETRANSLATE($A258,""en"",""zh-cn"")"),"雷克瑟姆")</f>
        <v>雷克瑟姆</v>
      </c>
      <c r="H258" s="9" t="str">
        <f>IFERROR(__xludf.DUMMYFUNCTION("GOOGLETRANSLATE($A258,""en"",""ja"")"),"レクサム")</f>
        <v>レクサム</v>
      </c>
      <c r="I258" s="9" t="str">
        <f>IFERROR(__xludf.DUMMYFUNCTION("GOOGLETRANSLATE($A258,""en"",""ko"")"),"렉섬")</f>
        <v>렉섬</v>
      </c>
      <c r="J258" s="9" t="str">
        <f>IFERROR(__xludf.DUMMYFUNCTION("GOOGLETRANSLATE($A258,""en"",""pt-BR"")"),"Wrexham")</f>
        <v>Wrexham</v>
      </c>
    </row>
    <row r="259">
      <c r="A259" s="9" t="str">
        <f>IFERROR(__xludf.DUMMYFUNCTION("""COMPUTED_VALUE"""),"Powys")</f>
        <v>Powys</v>
      </c>
      <c r="B259" s="9" t="str">
        <f>IFERROR(__xludf.DUMMYFUNCTION("""COMPUTED_VALUE"""),"gb-pow")</f>
        <v>gb-pow</v>
      </c>
      <c r="C259" s="9" t="str">
        <f>IFERROR(__xludf.DUMMYFUNCTION("GOOGLETRANSLATE($A259,""en"",""de"")"),"Powys")</f>
        <v>Powys</v>
      </c>
      <c r="D259" s="9" t="str">
        <f>IFERROR(__xludf.DUMMYFUNCTION("GOOGLETRANSLATE($A259,""en"",""fr"")"),"Powys")</f>
        <v>Powys</v>
      </c>
      <c r="E259" s="9" t="str">
        <f>IFERROR(__xludf.DUMMYFUNCTION("GOOGLETRANSLATE($A259,""en"",""es"")"),"Powys")</f>
        <v>Powys</v>
      </c>
      <c r="F259" s="9" t="str">
        <f>IFERROR(__xludf.DUMMYFUNCTION("GOOGLETRANSLATE($A259,""en"",""it"")"),"Powys")</f>
        <v>Powys</v>
      </c>
      <c r="G259" s="9" t="str">
        <f>IFERROR(__xludf.DUMMYFUNCTION("GOOGLETRANSLATE($A259,""en"",""zh-cn"")"),"波伊斯")</f>
        <v>波伊斯</v>
      </c>
      <c r="H259" s="9" t="str">
        <f>IFERROR(__xludf.DUMMYFUNCTION("GOOGLETRANSLATE($A259,""en"",""ja"")"),"ポーウィス")</f>
        <v>ポーウィス</v>
      </c>
      <c r="I259" s="9" t="str">
        <f>IFERROR(__xludf.DUMMYFUNCTION("GOOGLETRANSLATE($A259,""en"",""ko"")"),"포위스")</f>
        <v>포위스</v>
      </c>
      <c r="J259" s="9" t="str">
        <f>IFERROR(__xludf.DUMMYFUNCTION("GOOGLETRANSLATE($A259,""en"",""pt-BR"")"),"Powys")</f>
        <v>Powys</v>
      </c>
    </row>
    <row r="260">
      <c r="A260" s="9" t="str">
        <f>IFERROR(__xludf.DUMMYFUNCTION("""COMPUTED_VALUE"""),"Rhondda, Cynon, Taff")</f>
        <v>Rhondda, Cynon, Taff</v>
      </c>
      <c r="B260" s="9" t="str">
        <f>IFERROR(__xludf.DUMMYFUNCTION("""COMPUTED_VALUE"""),"gb-rct")</f>
        <v>gb-rct</v>
      </c>
      <c r="C260" s="9" t="str">
        <f>IFERROR(__xludf.DUMMYFUNCTION("GOOGLETRANSLATE($A260,""en"",""de"")"),"Rhondda, Cynon, Taff")</f>
        <v>Rhondda, Cynon, Taff</v>
      </c>
      <c r="D260" s="9" t="str">
        <f>IFERROR(__xludf.DUMMYFUNCTION("GOOGLETRANSLATE($A260,""en"",""fr"")"),"Rhondda, Cynon, Taff")</f>
        <v>Rhondda, Cynon, Taff</v>
      </c>
      <c r="E260" s="9" t="str">
        <f>IFERROR(__xludf.DUMMYFUNCTION("GOOGLETRANSLATE($A260,""en"",""es"")"),"Rhondda, Cynon, Taff")</f>
        <v>Rhondda, Cynon, Taff</v>
      </c>
      <c r="F260" s="9" t="str">
        <f>IFERROR(__xludf.DUMMYFUNCTION("GOOGLETRANSLATE($A260,""en"",""it"")"),"Rhondda, Cynon, Taff")</f>
        <v>Rhondda, Cynon, Taff</v>
      </c>
      <c r="G260" s="9" t="str">
        <f>IFERROR(__xludf.DUMMYFUNCTION("GOOGLETRANSLATE($A260,""en"",""zh-cn"")"),"朗达、赛农、塔夫")</f>
        <v>朗达、赛农、塔夫</v>
      </c>
      <c r="H260" s="9" t="str">
        <f>IFERROR(__xludf.DUMMYFUNCTION("GOOGLETRANSLATE($A260,""en"",""ja"")"),"ロンダ、サイノン、タフ")</f>
        <v>ロンダ、サイノン、タフ</v>
      </c>
      <c r="I260" s="9" t="str">
        <f>IFERROR(__xludf.DUMMYFUNCTION("GOOGLETRANSLATE($A260,""en"",""ko"")"),"론다, 사이논, 태프")</f>
        <v>론다, 사이논, 태프</v>
      </c>
      <c r="J260" s="9" t="str">
        <f>IFERROR(__xludf.DUMMYFUNCTION("GOOGLETRANSLATE($A260,""en"",""pt-BR"")"),"Rhondda, Cynon, Taff")</f>
        <v>Rhondda, Cynon, Taff</v>
      </c>
    </row>
    <row r="261">
      <c r="A261" s="9" t="str">
        <f>IFERROR(__xludf.DUMMYFUNCTION("""COMPUTED_VALUE"""),"Swansea")</f>
        <v>Swansea</v>
      </c>
      <c r="B261" s="9" t="str">
        <f>IFERROR(__xludf.DUMMYFUNCTION("""COMPUTED_VALUE"""),"gb-swa")</f>
        <v>gb-swa</v>
      </c>
      <c r="C261" s="9" t="str">
        <f>IFERROR(__xludf.DUMMYFUNCTION("GOOGLETRANSLATE($A261,""en"",""de"")"),"Swansea")</f>
        <v>Swansea</v>
      </c>
      <c r="D261" s="9" t="str">
        <f>IFERROR(__xludf.DUMMYFUNCTION("GOOGLETRANSLATE($A261,""en"",""fr"")"),"Swansea")</f>
        <v>Swansea</v>
      </c>
      <c r="E261" s="9" t="str">
        <f>IFERROR(__xludf.DUMMYFUNCTION("GOOGLETRANSLATE($A261,""en"",""es"")"),"Swansea")</f>
        <v>Swansea</v>
      </c>
      <c r="F261" s="9" t="str">
        <f>IFERROR(__xludf.DUMMYFUNCTION("GOOGLETRANSLATE($A261,""en"",""it"")"),"Swansea")</f>
        <v>Swansea</v>
      </c>
      <c r="G261" s="9" t="str">
        <f>IFERROR(__xludf.DUMMYFUNCTION("GOOGLETRANSLATE($A261,""en"",""zh-cn"")"),"斯旺西")</f>
        <v>斯旺西</v>
      </c>
      <c r="H261" s="9" t="str">
        <f>IFERROR(__xludf.DUMMYFUNCTION("GOOGLETRANSLATE($A261,""en"",""ja"")"),"スウォンジー")</f>
        <v>スウォンジー</v>
      </c>
      <c r="I261" s="9" t="str">
        <f>IFERROR(__xludf.DUMMYFUNCTION("GOOGLETRANSLATE($A261,""en"",""ko"")"),"스완지")</f>
        <v>스완지</v>
      </c>
      <c r="J261" s="9" t="str">
        <f>IFERROR(__xludf.DUMMYFUNCTION("GOOGLETRANSLATE($A261,""en"",""pt-BR"")"),"Swansea")</f>
        <v>Swansea</v>
      </c>
    </row>
    <row r="262">
      <c r="A262" s="9" t="str">
        <f>IFERROR(__xludf.DUMMYFUNCTION("""COMPUTED_VALUE"""),"Torfaen")</f>
        <v>Torfaen</v>
      </c>
      <c r="B262" s="9" t="str">
        <f>IFERROR(__xludf.DUMMYFUNCTION("""COMPUTED_VALUE"""),"gb-tof")</f>
        <v>gb-tof</v>
      </c>
      <c r="C262" s="9" t="str">
        <f>IFERROR(__xludf.DUMMYFUNCTION("GOOGLETRANSLATE($A262,""en"",""de"")"),"Torfaen")</f>
        <v>Torfaen</v>
      </c>
      <c r="D262" s="9" t="str">
        <f>IFERROR(__xludf.DUMMYFUNCTION("GOOGLETRANSLATE($A262,""en"",""fr"")"),"Torfaen")</f>
        <v>Torfaen</v>
      </c>
      <c r="E262" s="9" t="str">
        <f>IFERROR(__xludf.DUMMYFUNCTION("GOOGLETRANSLATE($A262,""en"",""es"")"),"Torfaen")</f>
        <v>Torfaen</v>
      </c>
      <c r="F262" s="9" t="str">
        <f>IFERROR(__xludf.DUMMYFUNCTION("GOOGLETRANSLATE($A262,""en"",""it"")"),"Torfaen")</f>
        <v>Torfaen</v>
      </c>
      <c r="G262" s="9" t="str">
        <f>IFERROR(__xludf.DUMMYFUNCTION("GOOGLETRANSLATE($A262,""en"",""zh-cn"")"),"托尔芬")</f>
        <v>托尔芬</v>
      </c>
      <c r="H262" s="9" t="str">
        <f>IFERROR(__xludf.DUMMYFUNCTION("GOOGLETRANSLATE($A262,""en"",""ja"")"),"トルフェン")</f>
        <v>トルフェン</v>
      </c>
      <c r="I262" s="9" t="str">
        <f>IFERROR(__xludf.DUMMYFUNCTION("GOOGLETRANSLATE($A262,""en"",""ko"")"),"토르펜")</f>
        <v>토르펜</v>
      </c>
      <c r="J262" s="9" t="str">
        <f>IFERROR(__xludf.DUMMYFUNCTION("GOOGLETRANSLATE($A262,""en"",""pt-BR"")"),"Torfaen")</f>
        <v>Torfaen</v>
      </c>
    </row>
    <row r="263">
      <c r="A263" s="9" t="str">
        <f>IFERROR(__xludf.DUMMYFUNCTION("""COMPUTED_VALUE"""),"Monmouthshire")</f>
        <v>Monmouthshire</v>
      </c>
      <c r="B263" s="9" t="str">
        <f>IFERROR(__xludf.DUMMYFUNCTION("""COMPUTED_VALUE"""),"gb-mon")</f>
        <v>gb-mon</v>
      </c>
      <c r="C263" s="9" t="str">
        <f>IFERROR(__xludf.DUMMYFUNCTION("GOOGLETRANSLATE($A263,""en"",""de"")"),"Monmouthshire")</f>
        <v>Monmouthshire</v>
      </c>
      <c r="D263" s="9" t="str">
        <f>IFERROR(__xludf.DUMMYFUNCTION("GOOGLETRANSLATE($A263,""en"",""fr"")"),"Comté de Monmouthshire")</f>
        <v>Comté de Monmouthshire</v>
      </c>
      <c r="E263" s="9" t="str">
        <f>IFERROR(__xludf.DUMMYFUNCTION("GOOGLETRANSLATE($A263,""en"",""es"")"),"Monmouthshire")</f>
        <v>Monmouthshire</v>
      </c>
      <c r="F263" s="9" t="str">
        <f>IFERROR(__xludf.DUMMYFUNCTION("GOOGLETRANSLATE($A263,""en"",""it"")"),"Monmouthshire")</f>
        <v>Monmouthshire</v>
      </c>
      <c r="G263" s="9" t="str">
        <f>IFERROR(__xludf.DUMMYFUNCTION("GOOGLETRANSLATE($A263,""en"",""zh-cn"")"),"蒙茅斯郡")</f>
        <v>蒙茅斯郡</v>
      </c>
      <c r="H263" s="9" t="str">
        <f>IFERROR(__xludf.DUMMYFUNCTION("GOOGLETRANSLATE($A263,""en"",""ja"")"),"モンマスシャー")</f>
        <v>モンマスシャー</v>
      </c>
      <c r="I263" s="9" t="str">
        <f>IFERROR(__xludf.DUMMYFUNCTION("GOOGLETRANSLATE($A263,""en"",""ko"")"),"몬머스셔")</f>
        <v>몬머스셔</v>
      </c>
      <c r="J263" s="9" t="str">
        <f>IFERROR(__xludf.DUMMYFUNCTION("GOOGLETRANSLATE($A263,""en"",""pt-BR"")"),"Monmouthshire")</f>
        <v>Monmouthshire</v>
      </c>
    </row>
    <row r="264">
      <c r="A264" s="9" t="str">
        <f>IFERROR(__xludf.DUMMYFUNCTION("""COMPUTED_VALUE"""),"Neath Port Talbot")</f>
        <v>Neath Port Talbot</v>
      </c>
      <c r="B264" s="9" t="str">
        <f>IFERROR(__xludf.DUMMYFUNCTION("""COMPUTED_VALUE"""),"gb-ntl")</f>
        <v>gb-ntl</v>
      </c>
      <c r="C264" s="9" t="str">
        <f>IFERROR(__xludf.DUMMYFUNCTION("GOOGLETRANSLATE($A264,""en"",""de"")"),"Unter Port Talbot")</f>
        <v>Unter Port Talbot</v>
      </c>
      <c r="D264" s="9" t="str">
        <f>IFERROR(__xludf.DUMMYFUNCTION("GOOGLETRANSLATE($A264,""en"",""fr"")"),"Neath Port Talbot")</f>
        <v>Neath Port Talbot</v>
      </c>
      <c r="E264" s="9" t="str">
        <f>IFERROR(__xludf.DUMMYFUNCTION("GOOGLETRANSLATE($A264,""en"",""es"")"),"Neath Port Talbot")</f>
        <v>Neath Port Talbot</v>
      </c>
      <c r="F264" s="9" t="str">
        <f>IFERROR(__xludf.DUMMYFUNCTION("GOOGLETRANSLATE($A264,""en"",""it"")"),"Vicino a Port Talbot")</f>
        <v>Vicino a Port Talbot</v>
      </c>
      <c r="G264" s="9" t="str">
        <f>IFERROR(__xludf.DUMMYFUNCTION("GOOGLETRANSLATE($A264,""en"",""zh-cn"")"),"塔尔伯特港")</f>
        <v>塔尔伯特港</v>
      </c>
      <c r="H264" s="9" t="str">
        <f>IFERROR(__xludf.DUMMYFUNCTION("GOOGLETRANSLATE($A264,""en"",""ja"")"),"ニースポートタルボット")</f>
        <v>ニースポートタルボット</v>
      </c>
      <c r="I264" s="9" t="str">
        <f>IFERROR(__xludf.DUMMYFUNCTION("GOOGLETRANSLATE($A264,""en"",""ko"")"),"니스 포트 탤벗")</f>
        <v>니스 포트 탤벗</v>
      </c>
      <c r="J264" s="9" t="str">
        <f>IFERROR(__xludf.DUMMYFUNCTION("GOOGLETRANSLATE($A264,""en"",""pt-BR"")"),"Neath Port Talbot")</f>
        <v>Neath Port Talbot</v>
      </c>
    </row>
    <row r="265">
      <c r="A265" s="9" t="str">
        <f>IFERROR(__xludf.DUMMYFUNCTION("""COMPUTED_VALUE"""),"Newport")</f>
        <v>Newport</v>
      </c>
      <c r="B265" s="9" t="str">
        <f>IFERROR(__xludf.DUMMYFUNCTION("""COMPUTED_VALUE"""),"gb-nwp")</f>
        <v>gb-nwp</v>
      </c>
      <c r="C265" s="9" t="str">
        <f>IFERROR(__xludf.DUMMYFUNCTION("GOOGLETRANSLATE($A265,""en"",""de"")"),"Newport")</f>
        <v>Newport</v>
      </c>
      <c r="D265" s="9" t="str">
        <f>IFERROR(__xludf.DUMMYFUNCTION("GOOGLETRANSLATE($A265,""en"",""fr"")"),"Newport")</f>
        <v>Newport</v>
      </c>
      <c r="E265" s="9" t="str">
        <f>IFERROR(__xludf.DUMMYFUNCTION("GOOGLETRANSLATE($A265,""en"",""es"")"),"Newport")</f>
        <v>Newport</v>
      </c>
      <c r="F265" s="9" t="str">
        <f>IFERROR(__xludf.DUMMYFUNCTION("GOOGLETRANSLATE($A265,""en"",""it"")"),"Newport")</f>
        <v>Newport</v>
      </c>
      <c r="G265" s="9" t="str">
        <f>IFERROR(__xludf.DUMMYFUNCTION("GOOGLETRANSLATE($A265,""en"",""zh-cn"")"),"纽波特")</f>
        <v>纽波特</v>
      </c>
      <c r="H265" s="9" t="str">
        <f>IFERROR(__xludf.DUMMYFUNCTION("GOOGLETRANSLATE($A265,""en"",""ja"")"),"ニューポート")</f>
        <v>ニューポート</v>
      </c>
      <c r="I265" s="9" t="str">
        <f>IFERROR(__xludf.DUMMYFUNCTION("GOOGLETRANSLATE($A265,""en"",""ko"")"),"뉴포트")</f>
        <v>뉴포트</v>
      </c>
      <c r="J265" s="9" t="str">
        <f>IFERROR(__xludf.DUMMYFUNCTION("GOOGLETRANSLATE($A265,""en"",""pt-BR"")"),"Newport")</f>
        <v>Newport</v>
      </c>
    </row>
    <row r="266">
      <c r="A266" s="9" t="str">
        <f>IFERROR(__xludf.DUMMYFUNCTION("""COMPUTED_VALUE"""),"Pembrokeshire")</f>
        <v>Pembrokeshire</v>
      </c>
      <c r="B266" s="9" t="str">
        <f>IFERROR(__xludf.DUMMYFUNCTION("""COMPUTED_VALUE"""),"gb-pem")</f>
        <v>gb-pem</v>
      </c>
      <c r="C266" s="9" t="str">
        <f>IFERROR(__xludf.DUMMYFUNCTION("GOOGLETRANSLATE($A266,""en"",""de"")"),"Pembrokeshire")</f>
        <v>Pembrokeshire</v>
      </c>
      <c r="D266" s="9" t="str">
        <f>IFERROR(__xludf.DUMMYFUNCTION("GOOGLETRANSLATE($A266,""en"",""fr"")"),"Pembrokeshire")</f>
        <v>Pembrokeshire</v>
      </c>
      <c r="E266" s="9" t="str">
        <f>IFERROR(__xludf.DUMMYFUNCTION("GOOGLETRANSLATE($A266,""en"",""es"")"),"Pembrokeshire")</f>
        <v>Pembrokeshire</v>
      </c>
      <c r="F266" s="9" t="str">
        <f>IFERROR(__xludf.DUMMYFUNCTION("GOOGLETRANSLATE($A266,""en"",""it"")"),"Pembrokeshire")</f>
        <v>Pembrokeshire</v>
      </c>
      <c r="G266" s="9" t="str">
        <f>IFERROR(__xludf.DUMMYFUNCTION("GOOGLETRANSLATE($A266,""en"",""zh-cn"")"),"彭布罗克郡")</f>
        <v>彭布罗克郡</v>
      </c>
      <c r="H266" s="9" t="str">
        <f>IFERROR(__xludf.DUMMYFUNCTION("GOOGLETRANSLATE($A266,""en"",""ja"")"),"ペンブルックシャー")</f>
        <v>ペンブルックシャー</v>
      </c>
      <c r="I266" s="9" t="str">
        <f>IFERROR(__xludf.DUMMYFUNCTION("GOOGLETRANSLATE($A266,""en"",""ko"")"),"펨브로크셔")</f>
        <v>펨브로크셔</v>
      </c>
      <c r="J266" s="9" t="str">
        <f>IFERROR(__xludf.DUMMYFUNCTION("GOOGLETRANSLATE($A266,""en"",""pt-BR"")"),"Pembrokeshire")</f>
        <v>Pembrokeshire</v>
      </c>
    </row>
    <row r="267">
      <c r="A267" s="9" t="str">
        <f>IFERROR(__xludf.DUMMYFUNCTION("""COMPUTED_VALUE"""),"Flintshire")</f>
        <v>Flintshire</v>
      </c>
      <c r="B267" s="9" t="str">
        <f>IFERROR(__xludf.DUMMYFUNCTION("""COMPUTED_VALUE"""),"gb-fln")</f>
        <v>gb-fln</v>
      </c>
      <c r="C267" s="9" t="str">
        <f>IFERROR(__xludf.DUMMYFUNCTION("GOOGLETRANSLATE($A267,""en"",""de"")"),"Flintshire")</f>
        <v>Flintshire</v>
      </c>
      <c r="D267" s="9" t="str">
        <f>IFERROR(__xludf.DUMMYFUNCTION("GOOGLETRANSLATE($A267,""en"",""fr"")"),"Comté de Flint")</f>
        <v>Comté de Flint</v>
      </c>
      <c r="E267" s="9" t="str">
        <f>IFERROR(__xludf.DUMMYFUNCTION("GOOGLETRANSLATE($A267,""en"",""es"")"),"Flintshire")</f>
        <v>Flintshire</v>
      </c>
      <c r="F267" s="9" t="str">
        <f>IFERROR(__xludf.DUMMYFUNCTION("GOOGLETRANSLATE($A267,""en"",""it"")"),"Flintshire")</f>
        <v>Flintshire</v>
      </c>
      <c r="G267" s="9" t="str">
        <f>IFERROR(__xludf.DUMMYFUNCTION("GOOGLETRANSLATE($A267,""en"",""zh-cn"")"),"弗林特郡")</f>
        <v>弗林特郡</v>
      </c>
      <c r="H267" s="9" t="str">
        <f>IFERROR(__xludf.DUMMYFUNCTION("GOOGLETRANSLATE($A267,""en"",""ja"")"),"フリントシャー")</f>
        <v>フリントシャー</v>
      </c>
      <c r="I267" s="9" t="str">
        <f>IFERROR(__xludf.DUMMYFUNCTION("GOOGLETRANSLATE($A267,""en"",""ko"")"),"플린트셔")</f>
        <v>플린트셔</v>
      </c>
      <c r="J267" s="9" t="str">
        <f>IFERROR(__xludf.DUMMYFUNCTION("GOOGLETRANSLATE($A267,""en"",""pt-BR"")"),"Flintshire")</f>
        <v>Flintshire</v>
      </c>
    </row>
    <row r="268">
      <c r="A268" s="9" t="str">
        <f>IFERROR(__xludf.DUMMYFUNCTION("""COMPUTED_VALUE"""),"Gibraltar")</f>
        <v>Gibraltar</v>
      </c>
      <c r="B268" s="9" t="str">
        <f>IFERROR(__xludf.DUMMYFUNCTION("""COMPUTED_VALUE"""),"gb-gib")</f>
        <v>gb-gib</v>
      </c>
      <c r="C268" s="9" t="str">
        <f>IFERROR(__xludf.DUMMYFUNCTION("GOOGLETRANSLATE($A268,""en"",""de"")"),"Gibraltar")</f>
        <v>Gibraltar</v>
      </c>
      <c r="D268" s="9" t="str">
        <f>IFERROR(__xludf.DUMMYFUNCTION("GOOGLETRANSLATE($A268,""en"",""fr"")"),"Gibraltar")</f>
        <v>Gibraltar</v>
      </c>
      <c r="E268" s="9" t="str">
        <f>IFERROR(__xludf.DUMMYFUNCTION("GOOGLETRANSLATE($A268,""en"",""es"")"),"Gibraltar")</f>
        <v>Gibraltar</v>
      </c>
      <c r="F268" s="9" t="str">
        <f>IFERROR(__xludf.DUMMYFUNCTION("GOOGLETRANSLATE($A268,""en"",""it"")"),"Gibilterra")</f>
        <v>Gibilterra</v>
      </c>
      <c r="G268" s="9" t="str">
        <f>IFERROR(__xludf.DUMMYFUNCTION("GOOGLETRANSLATE($A268,""en"",""zh-cn"")"),"直布罗陀")</f>
        <v>直布罗陀</v>
      </c>
      <c r="H268" s="9" t="str">
        <f>IFERROR(__xludf.DUMMYFUNCTION("GOOGLETRANSLATE($A268,""en"",""ja"")"),"ジブラルタル")</f>
        <v>ジブラルタル</v>
      </c>
      <c r="I268" s="9" t="str">
        <f>IFERROR(__xludf.DUMMYFUNCTION("GOOGLETRANSLATE($A268,""en"",""ko"")"),"지브롤터")</f>
        <v>지브롤터</v>
      </c>
      <c r="J268" s="9" t="str">
        <f>IFERROR(__xludf.DUMMYFUNCTION("GOOGLETRANSLATE($A268,""en"",""pt-BR"")"),"Gibraltar")</f>
        <v>Gibraltar</v>
      </c>
    </row>
    <row r="269">
      <c r="A269" s="9" t="str">
        <f>IFERROR(__xludf.DUMMYFUNCTION("""COMPUTED_VALUE"""),"Gwynedd")</f>
        <v>Gwynedd</v>
      </c>
      <c r="B269" s="9" t="str">
        <f>IFERROR(__xludf.DUMMYFUNCTION("""COMPUTED_VALUE"""),"gb-gwn")</f>
        <v>gb-gwn</v>
      </c>
      <c r="C269" s="9" t="str">
        <f>IFERROR(__xludf.DUMMYFUNCTION("GOOGLETRANSLATE($A269,""en"",""de"")"),"Gwynedd")</f>
        <v>Gwynedd</v>
      </c>
      <c r="D269" s="9" t="str">
        <f>IFERROR(__xludf.DUMMYFUNCTION("GOOGLETRANSLATE($A269,""en"",""fr"")"),"Gwynedd")</f>
        <v>Gwynedd</v>
      </c>
      <c r="E269" s="9" t="str">
        <f>IFERROR(__xludf.DUMMYFUNCTION("GOOGLETRANSLATE($A269,""en"",""es"")"),"Gwynedd")</f>
        <v>Gwynedd</v>
      </c>
      <c r="F269" s="9" t="str">
        <f>IFERROR(__xludf.DUMMYFUNCTION("GOOGLETRANSLATE($A269,""en"",""it"")"),"Gwynedd")</f>
        <v>Gwynedd</v>
      </c>
      <c r="G269" s="9" t="str">
        <f>IFERROR(__xludf.DUMMYFUNCTION("GOOGLETRANSLATE($A269,""en"",""zh-cn"")"),"格温内德")</f>
        <v>格温内德</v>
      </c>
      <c r="H269" s="9" t="str">
        <f>IFERROR(__xludf.DUMMYFUNCTION("GOOGLETRANSLATE($A269,""en"",""ja"")"),"グウィネズ")</f>
        <v>グウィネズ</v>
      </c>
      <c r="I269" s="9" t="str">
        <f>IFERROR(__xludf.DUMMYFUNCTION("GOOGLETRANSLATE($A269,""en"",""ko"")"),"귀네드")</f>
        <v>귀네드</v>
      </c>
      <c r="J269" s="9" t="str">
        <f>IFERROR(__xludf.DUMMYFUNCTION("GOOGLETRANSLATE($A269,""en"",""pt-BR"")"),"Gwynedd")</f>
        <v>Gwynedd</v>
      </c>
    </row>
    <row r="270">
      <c r="A270" s="9" t="str">
        <f>IFERROR(__xludf.DUMMYFUNCTION("""COMPUTED_VALUE"""),"Isle of Anglesey")</f>
        <v>Isle of Anglesey</v>
      </c>
      <c r="B270" s="9" t="str">
        <f>IFERROR(__xludf.DUMMYFUNCTION("""COMPUTED_VALUE"""),"gb-agy")</f>
        <v>gb-agy</v>
      </c>
      <c r="C270" s="9" t="str">
        <f>IFERROR(__xludf.DUMMYFUNCTION("GOOGLETRANSLATE($A270,""en"",""de"")"),"Insel Anglesey")</f>
        <v>Insel Anglesey</v>
      </c>
      <c r="D270" s="9" t="str">
        <f>IFERROR(__xludf.DUMMYFUNCTION("GOOGLETRANSLATE($A270,""en"",""fr"")"),"Île d'Anglesey")</f>
        <v>Île d'Anglesey</v>
      </c>
      <c r="E270" s="9" t="str">
        <f>IFERROR(__xludf.DUMMYFUNCTION("GOOGLETRANSLATE($A270,""en"",""es"")"),"Isla de Anglesey")</f>
        <v>Isla de Anglesey</v>
      </c>
      <c r="F270" s="9" t="str">
        <f>IFERROR(__xludf.DUMMYFUNCTION("GOOGLETRANSLATE($A270,""en"",""it"")"),"Isola di Anglesey")</f>
        <v>Isola di Anglesey</v>
      </c>
      <c r="G270" s="9" t="str">
        <f>IFERROR(__xludf.DUMMYFUNCTION("GOOGLETRANSLATE($A270,""en"",""zh-cn"")"),"安格尔西岛")</f>
        <v>安格尔西岛</v>
      </c>
      <c r="H270" s="9" t="str">
        <f>IFERROR(__xludf.DUMMYFUNCTION("GOOGLETRANSLATE($A270,""en"",""ja"")"),"アングルシー島")</f>
        <v>アングルシー島</v>
      </c>
      <c r="I270" s="9" t="str">
        <f>IFERROR(__xludf.DUMMYFUNCTION("GOOGLETRANSLATE($A270,""en"",""ko"")"),"앵글시 섬")</f>
        <v>앵글시 섬</v>
      </c>
      <c r="J270" s="9" t="str">
        <f>IFERROR(__xludf.DUMMYFUNCTION("GOOGLETRANSLATE($A270,""en"",""pt-BR"")"),"Ilha de Anglesey")</f>
        <v>Ilha de Anglesey</v>
      </c>
    </row>
    <row r="271">
      <c r="A271" s="9" t="str">
        <f>IFERROR(__xludf.DUMMYFUNCTION("""COMPUTED_VALUE"""),"Merthyr Tydfil")</f>
        <v>Merthyr Tydfil</v>
      </c>
      <c r="B271" s="9" t="str">
        <f>IFERROR(__xludf.DUMMYFUNCTION("""COMPUTED_VALUE"""),"gb-mty")</f>
        <v>gb-mty</v>
      </c>
      <c r="C271" s="9" t="str">
        <f>IFERROR(__xludf.DUMMYFUNCTION("GOOGLETRANSLATE($A271,""en"",""de"")"),"Merthyr Tydfil")</f>
        <v>Merthyr Tydfil</v>
      </c>
      <c r="D271" s="9" t="str">
        <f>IFERROR(__xludf.DUMMYFUNCTION("GOOGLETRANSLATE($A271,""en"",""fr"")"),"Merthyr Tydfil")</f>
        <v>Merthyr Tydfil</v>
      </c>
      <c r="E271" s="9" t="str">
        <f>IFERROR(__xludf.DUMMYFUNCTION("GOOGLETRANSLATE($A271,""en"",""es"")"),"Merthyr Tydfil")</f>
        <v>Merthyr Tydfil</v>
      </c>
      <c r="F271" s="9" t="str">
        <f>IFERROR(__xludf.DUMMYFUNCTION("GOOGLETRANSLATE($A271,""en"",""it"")"),"Merthyr Tydfil")</f>
        <v>Merthyr Tydfil</v>
      </c>
      <c r="G271" s="9" t="str">
        <f>IFERROR(__xludf.DUMMYFUNCTION("GOOGLETRANSLATE($A271,""en"",""zh-cn"")"),"梅瑟·蒂德菲尔")</f>
        <v>梅瑟·蒂德菲尔</v>
      </c>
      <c r="H271" s="9" t="str">
        <f>IFERROR(__xludf.DUMMYFUNCTION("GOOGLETRANSLATE($A271,""en"",""ja"")"),"マーサー・ティドフィル")</f>
        <v>マーサー・ティドフィル</v>
      </c>
      <c r="I271" s="9" t="str">
        <f>IFERROR(__xludf.DUMMYFUNCTION("GOOGLETRANSLATE($A271,""en"",""ko"")"),"머티르 티드필")</f>
        <v>머티르 티드필</v>
      </c>
      <c r="J271" s="9" t="str">
        <f>IFERROR(__xludf.DUMMYFUNCTION("GOOGLETRANSLATE($A271,""en"",""pt-BR"")"),"Merthyr Tydfil")</f>
        <v>Merthyr Tydfil</v>
      </c>
    </row>
    <row r="272">
      <c r="A272" s="9" t="str">
        <f>IFERROR(__xludf.DUMMYFUNCTION("""COMPUTED_VALUE"""),"Falkirk")</f>
        <v>Falkirk</v>
      </c>
      <c r="B272" s="9" t="str">
        <f>IFERROR(__xludf.DUMMYFUNCTION("""COMPUTED_VALUE"""),"gb-fal")</f>
        <v>gb-fal</v>
      </c>
      <c r="C272" s="9" t="str">
        <f>IFERROR(__xludf.DUMMYFUNCTION("GOOGLETRANSLATE($A272,""en"",""de"")"),"Falkirk")</f>
        <v>Falkirk</v>
      </c>
      <c r="D272" s="9" t="str">
        <f>IFERROR(__xludf.DUMMYFUNCTION("GOOGLETRANSLATE($A272,""en"",""fr"")"),"Falkirk")</f>
        <v>Falkirk</v>
      </c>
      <c r="E272" s="9" t="str">
        <f>IFERROR(__xludf.DUMMYFUNCTION("GOOGLETRANSLATE($A272,""en"",""es"")"),"Falkirk")</f>
        <v>Falkirk</v>
      </c>
      <c r="F272" s="9" t="str">
        <f>IFERROR(__xludf.DUMMYFUNCTION("GOOGLETRANSLATE($A272,""en"",""it"")"),"Falkirk")</f>
        <v>Falkirk</v>
      </c>
      <c r="G272" s="9" t="str">
        <f>IFERROR(__xludf.DUMMYFUNCTION("GOOGLETRANSLATE($A272,""en"",""zh-cn"")"),"福尔柯克")</f>
        <v>福尔柯克</v>
      </c>
      <c r="H272" s="9" t="str">
        <f>IFERROR(__xludf.DUMMYFUNCTION("GOOGLETRANSLATE($A272,""en"",""ja"")"),"フォルカーク")</f>
        <v>フォルカーク</v>
      </c>
      <c r="I272" s="9" t="str">
        <f>IFERROR(__xludf.DUMMYFUNCTION("GOOGLETRANSLATE($A272,""en"",""ko"")"),"폴커크")</f>
        <v>폴커크</v>
      </c>
      <c r="J272" s="9" t="str">
        <f>IFERROR(__xludf.DUMMYFUNCTION("GOOGLETRANSLATE($A272,""en"",""pt-BR"")"),"Falkirk")</f>
        <v>Falkirk</v>
      </c>
    </row>
    <row r="273">
      <c r="A273" s="9" t="str">
        <f>IFERROR(__xludf.DUMMYFUNCTION("""COMPUTED_VALUE"""),"Fife")</f>
        <v>Fife</v>
      </c>
      <c r="B273" s="9" t="str">
        <f>IFERROR(__xludf.DUMMYFUNCTION("""COMPUTED_VALUE"""),"gb-fif")</f>
        <v>gb-fif</v>
      </c>
      <c r="C273" s="9" t="str">
        <f>IFERROR(__xludf.DUMMYFUNCTION("GOOGLETRANSLATE($A273,""en"",""de"")"),"Fife")</f>
        <v>Fife</v>
      </c>
      <c r="D273" s="9" t="str">
        <f>IFERROR(__xludf.DUMMYFUNCTION("GOOGLETRANSLATE($A273,""en"",""fr"")"),"Fifre")</f>
        <v>Fifre</v>
      </c>
      <c r="E273" s="9" t="str">
        <f>IFERROR(__xludf.DUMMYFUNCTION("GOOGLETRANSLATE($A273,""en"",""es"")"),"Pífano")</f>
        <v>Pífano</v>
      </c>
      <c r="F273" s="9" t="str">
        <f>IFERROR(__xludf.DUMMYFUNCTION("GOOGLETRANSLATE($A273,""en"",""it"")"),"Piffero")</f>
        <v>Piffero</v>
      </c>
      <c r="G273" s="9" t="str">
        <f>IFERROR(__xludf.DUMMYFUNCTION("GOOGLETRANSLATE($A273,""en"",""zh-cn"")"),"法夫")</f>
        <v>法夫</v>
      </c>
      <c r="H273" s="9" t="str">
        <f>IFERROR(__xludf.DUMMYFUNCTION("GOOGLETRANSLATE($A273,""en"",""ja"")"),"ファイフ")</f>
        <v>ファイフ</v>
      </c>
      <c r="I273" s="9" t="str">
        <f>IFERROR(__xludf.DUMMYFUNCTION("GOOGLETRANSLATE($A273,""en"",""ko"")"),"파이프")</f>
        <v>파이프</v>
      </c>
      <c r="J273" s="9" t="str">
        <f>IFERROR(__xludf.DUMMYFUNCTION("GOOGLETRANSLATE($A273,""en"",""pt-BR"")"),"Fife")</f>
        <v>Fife</v>
      </c>
    </row>
    <row r="274">
      <c r="A274" s="9" t="str">
        <f>IFERROR(__xludf.DUMMYFUNCTION("""COMPUTED_VALUE"""),"Glasgow City")</f>
        <v>Glasgow City</v>
      </c>
      <c r="B274" s="9" t="str">
        <f>IFERROR(__xludf.DUMMYFUNCTION("""COMPUTED_VALUE"""),"gb-glg")</f>
        <v>gb-glg</v>
      </c>
      <c r="C274" s="9" t="str">
        <f>IFERROR(__xludf.DUMMYFUNCTION("GOOGLETRANSLATE($A274,""en"",""de"")"),"Glasgow-Stadt")</f>
        <v>Glasgow-Stadt</v>
      </c>
      <c r="D274" s="9" t="str">
        <f>IFERROR(__xludf.DUMMYFUNCTION("GOOGLETRANSLATE($A274,""en"",""fr"")"),"Ville de Glasgow")</f>
        <v>Ville de Glasgow</v>
      </c>
      <c r="E274" s="9" t="str">
        <f>IFERROR(__xludf.DUMMYFUNCTION("GOOGLETRANSLATE($A274,""en"",""es"")"),"ciudad de glasgow")</f>
        <v>ciudad de glasgow</v>
      </c>
      <c r="F274" s="9" t="str">
        <f>IFERROR(__xludf.DUMMYFUNCTION("GOOGLETRANSLATE($A274,""en"",""it"")"),"Città di Glasgow")</f>
        <v>Città di Glasgow</v>
      </c>
      <c r="G274" s="9" t="str">
        <f>IFERROR(__xludf.DUMMYFUNCTION("GOOGLETRANSLATE($A274,""en"",""zh-cn"")"),"格拉斯哥市")</f>
        <v>格拉斯哥市</v>
      </c>
      <c r="H274" s="9" t="str">
        <f>IFERROR(__xludf.DUMMYFUNCTION("GOOGLETRANSLATE($A274,""en"",""ja"")"),"グラスゴー市")</f>
        <v>グラスゴー市</v>
      </c>
      <c r="I274" s="9" t="str">
        <f>IFERROR(__xludf.DUMMYFUNCTION("GOOGLETRANSLATE($A274,""en"",""ko"")"),"글래스고 시티")</f>
        <v>글래스고 시티</v>
      </c>
      <c r="J274" s="9" t="str">
        <f>IFERROR(__xludf.DUMMYFUNCTION("GOOGLETRANSLATE($A274,""en"",""pt-BR"")"),"Cidade de Glasgow")</f>
        <v>Cidade de Glasgow</v>
      </c>
    </row>
    <row r="275">
      <c r="A275" s="9" t="str">
        <f>IFERROR(__xludf.DUMMYFUNCTION("""COMPUTED_VALUE"""),"Highland")</f>
        <v>Highland</v>
      </c>
      <c r="B275" s="9" t="str">
        <f>IFERROR(__xludf.DUMMYFUNCTION("""COMPUTED_VALUE"""),"gb-hld")</f>
        <v>gb-hld</v>
      </c>
      <c r="C275" s="9" t="str">
        <f>IFERROR(__xludf.DUMMYFUNCTION("GOOGLETRANSLATE($A275,""en"",""de"")"),"Hochland")</f>
        <v>Hochland</v>
      </c>
      <c r="D275" s="9" t="str">
        <f>IFERROR(__xludf.DUMMYFUNCTION("GOOGLETRANSLATE($A275,""en"",""fr"")"),"Montagnes")</f>
        <v>Montagnes</v>
      </c>
      <c r="E275" s="9" t="str">
        <f>IFERROR(__xludf.DUMMYFUNCTION("GOOGLETRANSLATE($A275,""en"",""es"")"),"Tierras altas")</f>
        <v>Tierras altas</v>
      </c>
      <c r="F275" s="9" t="str">
        <f>IFERROR(__xludf.DUMMYFUNCTION("GOOGLETRANSLATE($A275,""en"",""it"")"),"Altopiano")</f>
        <v>Altopiano</v>
      </c>
      <c r="G275" s="9" t="str">
        <f>IFERROR(__xludf.DUMMYFUNCTION("GOOGLETRANSLATE($A275,""en"",""zh-cn"")"),"高地")</f>
        <v>高地</v>
      </c>
      <c r="H275" s="9" t="str">
        <f>IFERROR(__xludf.DUMMYFUNCTION("GOOGLETRANSLATE($A275,""en"",""ja"")"),"ハイランド")</f>
        <v>ハイランド</v>
      </c>
      <c r="I275" s="9" t="str">
        <f>IFERROR(__xludf.DUMMYFUNCTION("GOOGLETRANSLATE($A275,""en"",""ko"")"),"고지")</f>
        <v>고지</v>
      </c>
      <c r="J275" s="9" t="str">
        <f>IFERROR(__xludf.DUMMYFUNCTION("GOOGLETRANSLATE($A275,""en"",""pt-BR"")"),"Terras Altas")</f>
        <v>Terras Altas</v>
      </c>
    </row>
    <row r="276">
      <c r="A276" s="9" t="str">
        <f>IFERROR(__xludf.DUMMYFUNCTION("""COMPUTED_VALUE"""),"East Lothian")</f>
        <v>East Lothian</v>
      </c>
      <c r="B276" s="9" t="str">
        <f>IFERROR(__xludf.DUMMYFUNCTION("""COMPUTED_VALUE"""),"gb-eln")</f>
        <v>gb-eln</v>
      </c>
      <c r="C276" s="9" t="str">
        <f>IFERROR(__xludf.DUMMYFUNCTION("GOOGLETRANSLATE($A276,""en"",""de"")"),"East Lothian")</f>
        <v>East Lothian</v>
      </c>
      <c r="D276" s="9" t="str">
        <f>IFERROR(__xludf.DUMMYFUNCTION("GOOGLETRANSLATE($A276,""en"",""fr"")"),"Lothian oriental")</f>
        <v>Lothian oriental</v>
      </c>
      <c r="E276" s="9" t="str">
        <f>IFERROR(__xludf.DUMMYFUNCTION("GOOGLETRANSLATE($A276,""en"",""es"")"),"Lothian Oriental")</f>
        <v>Lothian Oriental</v>
      </c>
      <c r="F276" s="9" t="str">
        <f>IFERROR(__xludf.DUMMYFUNCTION("GOOGLETRANSLATE($A276,""en"",""it"")"),"Lothian orientale")</f>
        <v>Lothian orientale</v>
      </c>
      <c r="G276" s="9" t="str">
        <f>IFERROR(__xludf.DUMMYFUNCTION("GOOGLETRANSLATE($A276,""en"",""zh-cn"")"),"东洛锡安")</f>
        <v>东洛锡安</v>
      </c>
      <c r="H276" s="9" t="str">
        <f>IFERROR(__xludf.DUMMYFUNCTION("GOOGLETRANSLATE($A276,""en"",""ja"")"),"イーストロージアン")</f>
        <v>イーストロージアン</v>
      </c>
      <c r="I276" s="9" t="str">
        <f>IFERROR(__xludf.DUMMYFUNCTION("GOOGLETRANSLATE($A276,""en"",""ko"")"),"이스트 로디언")</f>
        <v>이스트 로디언</v>
      </c>
      <c r="J276" s="9" t="str">
        <f>IFERROR(__xludf.DUMMYFUNCTION("GOOGLETRANSLATE($A276,""en"",""pt-BR"")"),"Leste de Lothian")</f>
        <v>Leste de Lothian</v>
      </c>
    </row>
    <row r="277">
      <c r="A277" s="9" t="str">
        <f>IFERROR(__xludf.DUMMYFUNCTION("""COMPUTED_VALUE"""),"East Renfrewshire")</f>
        <v>East Renfrewshire</v>
      </c>
      <c r="B277" s="9" t="str">
        <f>IFERROR(__xludf.DUMMYFUNCTION("""COMPUTED_VALUE"""),"gb-erw")</f>
        <v>gb-erw</v>
      </c>
      <c r="C277" s="9" t="str">
        <f>IFERROR(__xludf.DUMMYFUNCTION("GOOGLETRANSLATE($A277,""en"",""de"")"),"Ost-Renfrewshire")</f>
        <v>Ost-Renfrewshire</v>
      </c>
      <c r="D277" s="9" t="str">
        <f>IFERROR(__xludf.DUMMYFUNCTION("GOOGLETRANSLATE($A277,""en"",""fr"")"),"Comté de Renfrew-Est")</f>
        <v>Comté de Renfrew-Est</v>
      </c>
      <c r="E277" s="9" t="str">
        <f>IFERROR(__xludf.DUMMYFUNCTION("GOOGLETRANSLATE($A277,""en"",""es"")"),"Renfrewshire del Este")</f>
        <v>Renfrewshire del Este</v>
      </c>
      <c r="F277" s="9" t="str">
        <f>IFERROR(__xludf.DUMMYFUNCTION("GOOGLETRANSLATE($A277,""en"",""it"")"),"Renfrewshire orientale")</f>
        <v>Renfrewshire orientale</v>
      </c>
      <c r="G277" s="9" t="str">
        <f>IFERROR(__xludf.DUMMYFUNCTION("GOOGLETRANSLATE($A277,""en"",""zh-cn"")"),"东伦弗鲁郡")</f>
        <v>东伦弗鲁郡</v>
      </c>
      <c r="H277" s="9" t="str">
        <f>IFERROR(__xludf.DUMMYFUNCTION("GOOGLETRANSLATE($A277,""en"",""ja"")"),"イースト・レンフルーシャー")</f>
        <v>イースト・レンフルーシャー</v>
      </c>
      <c r="I277" s="9" t="str">
        <f>IFERROR(__xludf.DUMMYFUNCTION("GOOGLETRANSLATE($A277,""en"",""ko"")"),"이스트 렌프루셔")</f>
        <v>이스트 렌프루셔</v>
      </c>
      <c r="J277" s="9" t="str">
        <f>IFERROR(__xludf.DUMMYFUNCTION("GOOGLETRANSLATE($A277,""en"",""pt-BR"")"),"Leste de Renfrewshire")</f>
        <v>Leste de Renfrewshire</v>
      </c>
    </row>
    <row r="278">
      <c r="A278" s="9" t="str">
        <f>IFERROR(__xludf.DUMMYFUNCTION("""COMPUTED_VALUE"""),"Edinburgh, City of")</f>
        <v>Edinburgh, City of</v>
      </c>
      <c r="B278" s="9" t="str">
        <f>IFERROR(__xludf.DUMMYFUNCTION("""COMPUTED_VALUE"""),"gb-edh")</f>
        <v>gb-edh</v>
      </c>
      <c r="C278" s="9" t="str">
        <f>IFERROR(__xludf.DUMMYFUNCTION("GOOGLETRANSLATE($A278,""en"",""de"")"),"Edinburgh, Stadt")</f>
        <v>Edinburgh, Stadt</v>
      </c>
      <c r="D278" s="9" t="str">
        <f>IFERROR(__xludf.DUMMYFUNCTION("GOOGLETRANSLATE($A278,""en"",""fr"")"),"Édimbourg, ville de")</f>
        <v>Édimbourg, ville de</v>
      </c>
      <c r="E278" s="9" t="str">
        <f>IFERROR(__xludf.DUMMYFUNCTION("GOOGLETRANSLATE($A278,""en"",""es"")"),"Edimburgo, ciudad de")</f>
        <v>Edimburgo, ciudad de</v>
      </c>
      <c r="F278" s="9" t="str">
        <f>IFERROR(__xludf.DUMMYFUNCTION("GOOGLETRANSLATE($A278,""en"",""it"")"),"Edimburgo, città di")</f>
        <v>Edimburgo, città di</v>
      </c>
      <c r="G278" s="9" t="str">
        <f>IFERROR(__xludf.DUMMYFUNCTION("GOOGLETRANSLATE($A278,""en"",""zh-cn"")"),"爱丁堡市")</f>
        <v>爱丁堡市</v>
      </c>
      <c r="H278" s="9" t="str">
        <f>IFERROR(__xludf.DUMMYFUNCTION("GOOGLETRANSLATE($A278,""en"",""ja"")"),"エディンバラ市")</f>
        <v>エディンバラ市</v>
      </c>
      <c r="I278" s="9" t="str">
        <f>IFERROR(__xludf.DUMMYFUNCTION("GOOGLETRANSLATE($A278,""en"",""ko"")"),"에든버러 시")</f>
        <v>에든버러 시</v>
      </c>
      <c r="J278" s="9" t="str">
        <f>IFERROR(__xludf.DUMMYFUNCTION("GOOGLETRANSLATE($A278,""en"",""pt-BR"")"),"Edimburgo, cidade de")</f>
        <v>Edimburgo, cidade de</v>
      </c>
    </row>
    <row r="279">
      <c r="A279" s="9" t="str">
        <f>IFERROR(__xludf.DUMMYFUNCTION("""COMPUTED_VALUE"""),"Eilean Siar")</f>
        <v>Eilean Siar</v>
      </c>
      <c r="B279" s="9" t="str">
        <f>IFERROR(__xludf.DUMMYFUNCTION("""COMPUTED_VALUE"""),"gb-els")</f>
        <v>gb-els</v>
      </c>
      <c r="C279" s="9" t="str">
        <f>IFERROR(__xludf.DUMMYFUNCTION("GOOGLETRANSLATE($A279,""en"",""de"")"),"Eilean Siar")</f>
        <v>Eilean Siar</v>
      </c>
      <c r="D279" s="9" t="str">
        <f>IFERROR(__xludf.DUMMYFUNCTION("GOOGLETRANSLATE($A279,""en"",""fr"")"),"Eilean Siar")</f>
        <v>Eilean Siar</v>
      </c>
      <c r="E279" s="9" t="str">
        <f>IFERROR(__xludf.DUMMYFUNCTION("GOOGLETRANSLATE($A279,""en"",""es"")"),"Eilean Siar")</f>
        <v>Eilean Siar</v>
      </c>
      <c r="F279" s="9" t="str">
        <f>IFERROR(__xludf.DUMMYFUNCTION("GOOGLETRANSLATE($A279,""en"",""it"")"),"Eilean Siar")</f>
        <v>Eilean Siar</v>
      </c>
      <c r="G279" s="9" t="str">
        <f>IFERROR(__xludf.DUMMYFUNCTION("GOOGLETRANSLATE($A279,""en"",""zh-cn"")"),"艾琳·西亚尔")</f>
        <v>艾琳·西亚尔</v>
      </c>
      <c r="H279" s="9" t="str">
        <f>IFERROR(__xludf.DUMMYFUNCTION("GOOGLETRANSLATE($A279,""en"",""ja"")"),"アイリーン・シアー")</f>
        <v>アイリーン・シアー</v>
      </c>
      <c r="I279" s="9" t="str">
        <f>IFERROR(__xludf.DUMMYFUNCTION("GOOGLETRANSLATE($A279,""en"",""ko"")"),"에일린 시아르")</f>
        <v>에일린 시아르</v>
      </c>
      <c r="J279" s="9" t="str">
        <f>IFERROR(__xludf.DUMMYFUNCTION("GOOGLETRANSLATE($A279,""en"",""pt-BR"")"),"Eilean Siar")</f>
        <v>Eilean Siar</v>
      </c>
    </row>
    <row r="280">
      <c r="A280" s="9" t="str">
        <f>IFERROR(__xludf.DUMMYFUNCTION("""COMPUTED_VALUE"""),"Dumfries and Galloway")</f>
        <v>Dumfries and Galloway</v>
      </c>
      <c r="B280" s="9" t="str">
        <f>IFERROR(__xludf.DUMMYFUNCTION("""COMPUTED_VALUE"""),"gb-dgy")</f>
        <v>gb-dgy</v>
      </c>
      <c r="C280" s="9" t="str">
        <f>IFERROR(__xludf.DUMMYFUNCTION("GOOGLETRANSLATE($A280,""en"",""de"")"),"Dumfries und Galloway")</f>
        <v>Dumfries und Galloway</v>
      </c>
      <c r="D280" s="9" t="str">
        <f>IFERROR(__xludf.DUMMYFUNCTION("GOOGLETRANSLATE($A280,""en"",""fr"")"),"Dumfries et Galloway")</f>
        <v>Dumfries et Galloway</v>
      </c>
      <c r="E280" s="9" t="str">
        <f>IFERROR(__xludf.DUMMYFUNCTION("GOOGLETRANSLATE($A280,""en"",""es"")"),"Dumfries y Galloway")</f>
        <v>Dumfries y Galloway</v>
      </c>
      <c r="F280" s="9" t="str">
        <f>IFERROR(__xludf.DUMMYFUNCTION("GOOGLETRANSLATE($A280,""en"",""it"")"),"Dumfries e Galloway")</f>
        <v>Dumfries e Galloway</v>
      </c>
      <c r="G280" s="9" t="str">
        <f>IFERROR(__xludf.DUMMYFUNCTION("GOOGLETRANSLATE($A280,""en"",""zh-cn"")"),"邓弗里斯和加洛韦")</f>
        <v>邓弗里斯和加洛韦</v>
      </c>
      <c r="H280" s="9" t="str">
        <f>IFERROR(__xludf.DUMMYFUNCTION("GOOGLETRANSLATE($A280,""en"",""ja"")"),"ダンフリーズとギャロウェイ")</f>
        <v>ダンフリーズとギャロウェイ</v>
      </c>
      <c r="I280" s="9" t="str">
        <f>IFERROR(__xludf.DUMMYFUNCTION("GOOGLETRANSLATE($A280,""en"",""ko"")"),"덤프리스와 갤러웨이")</f>
        <v>덤프리스와 갤러웨이</v>
      </c>
      <c r="J280" s="9" t="str">
        <f>IFERROR(__xludf.DUMMYFUNCTION("GOOGLETRANSLATE($A280,""en"",""pt-BR"")"),"Dumfries e Galloway")</f>
        <v>Dumfries e Galloway</v>
      </c>
    </row>
    <row r="281">
      <c r="A281" s="9" t="str">
        <f>IFERROR(__xludf.DUMMYFUNCTION("""COMPUTED_VALUE"""),"Dundee City")</f>
        <v>Dundee City</v>
      </c>
      <c r="B281" s="9" t="str">
        <f>IFERROR(__xludf.DUMMYFUNCTION("""COMPUTED_VALUE"""),"gb-dnd")</f>
        <v>gb-dnd</v>
      </c>
      <c r="C281" s="9" t="str">
        <f>IFERROR(__xludf.DUMMYFUNCTION("GOOGLETRANSLATE($A281,""en"",""de"")"),"Dundee-Stadt")</f>
        <v>Dundee-Stadt</v>
      </c>
      <c r="D281" s="9" t="str">
        <f>IFERROR(__xludf.DUMMYFUNCTION("GOOGLETRANSLATE($A281,""en"",""fr"")"),"Ville de Dundee")</f>
        <v>Ville de Dundee</v>
      </c>
      <c r="E281" s="9" t="str">
        <f>IFERROR(__xludf.DUMMYFUNCTION("GOOGLETRANSLATE($A281,""en"",""es"")"),"ciudad de dundee")</f>
        <v>ciudad de dundee</v>
      </c>
      <c r="F281" s="9" t="str">
        <f>IFERROR(__xludf.DUMMYFUNCTION("GOOGLETRANSLATE($A281,""en"",""it"")"),"Città di Dundee")</f>
        <v>Città di Dundee</v>
      </c>
      <c r="G281" s="9" t="str">
        <f>IFERROR(__xludf.DUMMYFUNCTION("GOOGLETRANSLATE($A281,""en"",""zh-cn"")"),"邓迪市")</f>
        <v>邓迪市</v>
      </c>
      <c r="H281" s="9" t="str">
        <f>IFERROR(__xludf.DUMMYFUNCTION("GOOGLETRANSLATE($A281,""en"",""ja"")"),"ダンディーシティ")</f>
        <v>ダンディーシティ</v>
      </c>
      <c r="I281" s="9" t="str">
        <f>IFERROR(__xludf.DUMMYFUNCTION("GOOGLETRANSLATE($A281,""en"",""ko"")"),"던디 시티")</f>
        <v>던디 시티</v>
      </c>
      <c r="J281" s="9" t="str">
        <f>IFERROR(__xludf.DUMMYFUNCTION("GOOGLETRANSLATE($A281,""en"",""pt-BR"")"),"Cidade de Dundee")</f>
        <v>Cidade de Dundee</v>
      </c>
    </row>
    <row r="282">
      <c r="A282" s="9" t="str">
        <f>IFERROR(__xludf.DUMMYFUNCTION("""COMPUTED_VALUE"""),"East Ayrshire")</f>
        <v>East Ayrshire</v>
      </c>
      <c r="B282" s="9" t="str">
        <f>IFERROR(__xludf.DUMMYFUNCTION("""COMPUTED_VALUE"""),"gb-eay")</f>
        <v>gb-eay</v>
      </c>
      <c r="C282" s="9" t="str">
        <f>IFERROR(__xludf.DUMMYFUNCTION("GOOGLETRANSLATE($A282,""en"",""de"")"),"Ost-Ayrshire")</f>
        <v>Ost-Ayrshire</v>
      </c>
      <c r="D282" s="9" t="str">
        <f>IFERROR(__xludf.DUMMYFUNCTION("GOOGLETRANSLATE($A282,""en"",""fr"")"),"Ayrshire de l’Est")</f>
        <v>Ayrshire de l’Est</v>
      </c>
      <c r="E282" s="9" t="str">
        <f>IFERROR(__xludf.DUMMYFUNCTION("GOOGLETRANSLATE($A282,""en"",""es"")"),"Ayrshire del este")</f>
        <v>Ayrshire del este</v>
      </c>
      <c r="F282" s="9" t="str">
        <f>IFERROR(__xludf.DUMMYFUNCTION("GOOGLETRANSLATE($A282,""en"",""it"")"),"Ayrshire orientale")</f>
        <v>Ayrshire orientale</v>
      </c>
      <c r="G282" s="9" t="str">
        <f>IFERROR(__xludf.DUMMYFUNCTION("GOOGLETRANSLATE($A282,""en"",""zh-cn"")"),"东艾尔郡")</f>
        <v>东艾尔郡</v>
      </c>
      <c r="H282" s="9" t="str">
        <f>IFERROR(__xludf.DUMMYFUNCTION("GOOGLETRANSLATE($A282,""en"",""ja"")"),"イースト・エアシャー")</f>
        <v>イースト・エアシャー</v>
      </c>
      <c r="I282" s="9" t="str">
        <f>IFERROR(__xludf.DUMMYFUNCTION("GOOGLETRANSLATE($A282,""en"",""ko"")"),"이스트 에어셔")</f>
        <v>이스트 에어셔</v>
      </c>
      <c r="J282" s="9" t="str">
        <f>IFERROR(__xludf.DUMMYFUNCTION("GOOGLETRANSLATE($A282,""en"",""pt-BR"")"),"Leste de Ayrshire")</f>
        <v>Leste de Ayrshire</v>
      </c>
    </row>
    <row r="283">
      <c r="A283" s="9" t="str">
        <f>IFERROR(__xludf.DUMMYFUNCTION("""COMPUTED_VALUE"""),"East Dunbartonshire")</f>
        <v>East Dunbartonshire</v>
      </c>
      <c r="B283" s="9" t="str">
        <f>IFERROR(__xludf.DUMMYFUNCTION("""COMPUTED_VALUE"""),"gb-edu")</f>
        <v>gb-edu</v>
      </c>
      <c r="C283" s="9" t="str">
        <f>IFERROR(__xludf.DUMMYFUNCTION("GOOGLETRANSLATE($A283,""en"",""de"")"),"Ost-Dunbartonshire")</f>
        <v>Ost-Dunbartonshire</v>
      </c>
      <c r="D283" s="9" t="str">
        <f>IFERROR(__xludf.DUMMYFUNCTION("GOOGLETRANSLATE($A283,""en"",""fr"")"),"Comté de Dunbarton Est")</f>
        <v>Comté de Dunbarton Est</v>
      </c>
      <c r="E283" s="9" t="str">
        <f>IFERROR(__xludf.DUMMYFUNCTION("GOOGLETRANSLATE($A283,""en"",""es"")"),"Este de Dunbartonshire")</f>
        <v>Este de Dunbartonshire</v>
      </c>
      <c r="F283" s="9" t="str">
        <f>IFERROR(__xludf.DUMMYFUNCTION("GOOGLETRANSLATE($A283,""en"",""it"")"),"Dunbartonshire orientale")</f>
        <v>Dunbartonshire orientale</v>
      </c>
      <c r="G283" s="9" t="str">
        <f>IFERROR(__xludf.DUMMYFUNCTION("GOOGLETRANSLATE($A283,""en"",""zh-cn"")"),"东邓巴顿郡")</f>
        <v>东邓巴顿郡</v>
      </c>
      <c r="H283" s="9" t="str">
        <f>IFERROR(__xludf.DUMMYFUNCTION("GOOGLETRANSLATE($A283,""en"",""ja"")"),"イースト ダンバートンシャー")</f>
        <v>イースト ダンバートンシャー</v>
      </c>
      <c r="I283" s="9" t="str">
        <f>IFERROR(__xludf.DUMMYFUNCTION("GOOGLETRANSLATE($A283,""en"",""ko"")"),"이스트 던바턴셔")</f>
        <v>이스트 던바턴셔</v>
      </c>
      <c r="J283" s="9" t="str">
        <f>IFERROR(__xludf.DUMMYFUNCTION("GOOGLETRANSLATE($A283,""en"",""pt-BR"")"),"Leste de Dunbartonshire")</f>
        <v>Leste de Dunbartonshire</v>
      </c>
    </row>
    <row r="284">
      <c r="A284" s="9" t="str">
        <f>IFERROR(__xludf.DUMMYFUNCTION("""COMPUTED_VALUE"""),"Aberdeenshire")</f>
        <v>Aberdeenshire</v>
      </c>
      <c r="B284" s="9" t="str">
        <f>IFERROR(__xludf.DUMMYFUNCTION("""COMPUTED_VALUE"""),"gb-abd")</f>
        <v>gb-abd</v>
      </c>
      <c r="C284" s="9" t="str">
        <f>IFERROR(__xludf.DUMMYFUNCTION("GOOGLETRANSLATE($A284,""en"",""de"")"),"Aberdeenshire")</f>
        <v>Aberdeenshire</v>
      </c>
      <c r="D284" s="9" t="str">
        <f>IFERROR(__xludf.DUMMYFUNCTION("GOOGLETRANSLATE($A284,""en"",""fr"")"),"Aberdeenshire")</f>
        <v>Aberdeenshire</v>
      </c>
      <c r="E284" s="9" t="str">
        <f>IFERROR(__xludf.DUMMYFUNCTION("GOOGLETRANSLATE($A284,""en"",""es"")"),"Aberdeenshire")</f>
        <v>Aberdeenshire</v>
      </c>
      <c r="F284" s="9" t="str">
        <f>IFERROR(__xludf.DUMMYFUNCTION("GOOGLETRANSLATE($A284,""en"",""it"")"),"Aberdeenshire")</f>
        <v>Aberdeenshire</v>
      </c>
      <c r="G284" s="9" t="str">
        <f>IFERROR(__xludf.DUMMYFUNCTION("GOOGLETRANSLATE($A284,""en"",""zh-cn"")"),"阿伯丁郡")</f>
        <v>阿伯丁郡</v>
      </c>
      <c r="H284" s="9" t="str">
        <f>IFERROR(__xludf.DUMMYFUNCTION("GOOGLETRANSLATE($A284,""en"",""ja"")"),"アバディーンシャー")</f>
        <v>アバディーンシャー</v>
      </c>
      <c r="I284" s="9" t="str">
        <f>IFERROR(__xludf.DUMMYFUNCTION("GOOGLETRANSLATE($A284,""en"",""ko"")"),"애버딘셔")</f>
        <v>애버딘셔</v>
      </c>
      <c r="J284" s="9" t="str">
        <f>IFERROR(__xludf.DUMMYFUNCTION("GOOGLETRANSLATE($A284,""en"",""pt-BR"")"),"Aberdeenshire")</f>
        <v>Aberdeenshire</v>
      </c>
    </row>
    <row r="285">
      <c r="A285" s="9" t="str">
        <f>IFERROR(__xludf.DUMMYFUNCTION("""COMPUTED_VALUE"""),"Angus")</f>
        <v>Angus</v>
      </c>
      <c r="B285" s="9" t="str">
        <f>IFERROR(__xludf.DUMMYFUNCTION("""COMPUTED_VALUE"""),"gb-ans")</f>
        <v>gb-ans</v>
      </c>
      <c r="C285" s="9" t="str">
        <f>IFERROR(__xludf.DUMMYFUNCTION("GOOGLETRANSLATE($A285,""en"",""de"")"),"Angus")</f>
        <v>Angus</v>
      </c>
      <c r="D285" s="9" t="str">
        <f>IFERROR(__xludf.DUMMYFUNCTION("GOOGLETRANSLATE($A285,""en"",""fr"")"),"Angus")</f>
        <v>Angus</v>
      </c>
      <c r="E285" s="9" t="str">
        <f>IFERROR(__xludf.DUMMYFUNCTION("GOOGLETRANSLATE($A285,""en"",""es"")"),"Angus")</f>
        <v>Angus</v>
      </c>
      <c r="F285" s="9" t="str">
        <f>IFERROR(__xludf.DUMMYFUNCTION("GOOGLETRANSLATE($A285,""en"",""it"")"),"Angus")</f>
        <v>Angus</v>
      </c>
      <c r="G285" s="9" t="str">
        <f>IFERROR(__xludf.DUMMYFUNCTION("GOOGLETRANSLATE($A285,""en"",""zh-cn"")"),"安格斯")</f>
        <v>安格斯</v>
      </c>
      <c r="H285" s="9" t="str">
        <f>IFERROR(__xludf.DUMMYFUNCTION("GOOGLETRANSLATE($A285,""en"",""ja"")"),"アンガス")</f>
        <v>アンガス</v>
      </c>
      <c r="I285" s="9" t="str">
        <f>IFERROR(__xludf.DUMMYFUNCTION("GOOGLETRANSLATE($A285,""en"",""ko"")"),"앵거스")</f>
        <v>앵거스</v>
      </c>
      <c r="J285" s="9" t="str">
        <f>IFERROR(__xludf.DUMMYFUNCTION("GOOGLETRANSLATE($A285,""en"",""pt-BR"")"),"Angus")</f>
        <v>Angus</v>
      </c>
    </row>
    <row r="286">
      <c r="A286" s="9" t="str">
        <f>IFERROR(__xludf.DUMMYFUNCTION("""COMPUTED_VALUE"""),"Argyll and Bute")</f>
        <v>Argyll and Bute</v>
      </c>
      <c r="B286" s="9" t="str">
        <f>IFERROR(__xludf.DUMMYFUNCTION("""COMPUTED_VALUE"""),"gb-agb")</f>
        <v>gb-agb</v>
      </c>
      <c r="C286" s="9" t="str">
        <f>IFERROR(__xludf.DUMMYFUNCTION("GOOGLETRANSLATE($A286,""en"",""de"")"),"Argyll und Bute")</f>
        <v>Argyll und Bute</v>
      </c>
      <c r="D286" s="9" t="str">
        <f>IFERROR(__xludf.DUMMYFUNCTION("GOOGLETRANSLATE($A286,""en"",""fr"")"),"Argyll et Bute")</f>
        <v>Argyll et Bute</v>
      </c>
      <c r="E286" s="9" t="str">
        <f>IFERROR(__xludf.DUMMYFUNCTION("GOOGLETRANSLATE($A286,""en"",""es"")"),"Argyll y Bute")</f>
        <v>Argyll y Bute</v>
      </c>
      <c r="F286" s="9" t="str">
        <f>IFERROR(__xludf.DUMMYFUNCTION("GOOGLETRANSLATE($A286,""en"",""it"")"),"Argyll e Bute")</f>
        <v>Argyll e Bute</v>
      </c>
      <c r="G286" s="9" t="str">
        <f>IFERROR(__xludf.DUMMYFUNCTION("GOOGLETRANSLATE($A286,""en"",""zh-cn"")"),"阿盖尔比特")</f>
        <v>阿盖尔比特</v>
      </c>
      <c r="H286" s="9" t="str">
        <f>IFERROR(__xludf.DUMMYFUNCTION("GOOGLETRANSLATE($A286,""en"",""ja"")"),"アーガイルとビュート")</f>
        <v>アーガイルとビュート</v>
      </c>
      <c r="I286" s="9" t="str">
        <f>IFERROR(__xludf.DUMMYFUNCTION("GOOGLETRANSLATE($A286,""en"",""ko"")"),"아가일 앤 뷰트")</f>
        <v>아가일 앤 뷰트</v>
      </c>
      <c r="J286" s="9" t="str">
        <f>IFERROR(__xludf.DUMMYFUNCTION("GOOGLETRANSLATE($A286,""en"",""pt-BR"")"),"Argyll e Bute")</f>
        <v>Argyll e Bute</v>
      </c>
    </row>
    <row r="287">
      <c r="A287" s="9" t="str">
        <f>IFERROR(__xludf.DUMMYFUNCTION("""COMPUTED_VALUE"""),"Clackmannanshire")</f>
        <v>Clackmannanshire</v>
      </c>
      <c r="B287" s="9" t="str">
        <f>IFERROR(__xludf.DUMMYFUNCTION("""COMPUTED_VALUE"""),"gb-clk")</f>
        <v>gb-clk</v>
      </c>
      <c r="C287" s="9" t="str">
        <f>IFERROR(__xludf.DUMMYFUNCTION("GOOGLETRANSLATE($A287,""en"",""de"")"),"Clackmannanshire")</f>
        <v>Clackmannanshire</v>
      </c>
      <c r="D287" s="9" t="str">
        <f>IFERROR(__xludf.DUMMYFUNCTION("GOOGLETRANSLATE($A287,""en"",""fr"")"),"Clackmannanshire")</f>
        <v>Clackmannanshire</v>
      </c>
      <c r="E287" s="9" t="str">
        <f>IFERROR(__xludf.DUMMYFUNCTION("GOOGLETRANSLATE($A287,""en"",""es"")"),"Clackmannanshire")</f>
        <v>Clackmannanshire</v>
      </c>
      <c r="F287" s="9" t="str">
        <f>IFERROR(__xludf.DUMMYFUNCTION("GOOGLETRANSLATE($A287,""en"",""it"")"),"Clackmannanshire")</f>
        <v>Clackmannanshire</v>
      </c>
      <c r="G287" s="9" t="str">
        <f>IFERROR(__xludf.DUMMYFUNCTION("GOOGLETRANSLATE($A287,""en"",""zh-cn"")"),"克拉克曼南郡")</f>
        <v>克拉克曼南郡</v>
      </c>
      <c r="H287" s="9" t="str">
        <f>IFERROR(__xludf.DUMMYFUNCTION("GOOGLETRANSLATE($A287,""en"",""ja"")"),"クラックマナンシャー")</f>
        <v>クラックマナンシャー</v>
      </c>
      <c r="I287" s="9" t="str">
        <f>IFERROR(__xludf.DUMMYFUNCTION("GOOGLETRANSLATE($A287,""en"",""ko"")"),"클랙매넌셔")</f>
        <v>클랙매넌셔</v>
      </c>
      <c r="J287" s="9" t="str">
        <f>IFERROR(__xludf.DUMMYFUNCTION("GOOGLETRANSLATE($A287,""en"",""pt-BR"")"),"Clackmannanshire")</f>
        <v>Clackmannanshire</v>
      </c>
    </row>
    <row r="288">
      <c r="A288" s="9" t="str">
        <f>IFERROR(__xludf.DUMMYFUNCTION("""COMPUTED_VALUE"""),"Stirling")</f>
        <v>Stirling</v>
      </c>
      <c r="B288" s="9" t="str">
        <f>IFERROR(__xludf.DUMMYFUNCTION("""COMPUTED_VALUE"""),"gb-stg")</f>
        <v>gb-stg</v>
      </c>
      <c r="C288" s="9" t="str">
        <f>IFERROR(__xludf.DUMMYFUNCTION("GOOGLETRANSLATE($A288,""en"",""de"")"),"Stirling")</f>
        <v>Stirling</v>
      </c>
      <c r="D288" s="9" t="str">
        <f>IFERROR(__xludf.DUMMYFUNCTION("GOOGLETRANSLATE($A288,""en"",""fr"")"),"Stirling")</f>
        <v>Stirling</v>
      </c>
      <c r="E288" s="9" t="str">
        <f>IFERROR(__xludf.DUMMYFUNCTION("GOOGLETRANSLATE($A288,""en"",""es"")"),"Stirling")</f>
        <v>Stirling</v>
      </c>
      <c r="F288" s="9" t="str">
        <f>IFERROR(__xludf.DUMMYFUNCTION("GOOGLETRANSLATE($A288,""en"",""it"")"),"Stirling")</f>
        <v>Stirling</v>
      </c>
      <c r="G288" s="9" t="str">
        <f>IFERROR(__xludf.DUMMYFUNCTION("GOOGLETRANSLATE($A288,""en"",""zh-cn"")"),"斯特林")</f>
        <v>斯特林</v>
      </c>
      <c r="H288" s="9" t="str">
        <f>IFERROR(__xludf.DUMMYFUNCTION("GOOGLETRANSLATE($A288,""en"",""ja"")"),"スターリング")</f>
        <v>スターリング</v>
      </c>
      <c r="I288" s="9" t="str">
        <f>IFERROR(__xludf.DUMMYFUNCTION("GOOGLETRANSLATE($A288,""en"",""ko"")"),"스털링")</f>
        <v>스털링</v>
      </c>
      <c r="J288" s="9" t="str">
        <f>IFERROR(__xludf.DUMMYFUNCTION("GOOGLETRANSLATE($A288,""en"",""pt-BR"")"),"Stirling")</f>
        <v>Stirling</v>
      </c>
    </row>
    <row r="289">
      <c r="A289" s="9" t="str">
        <f>IFERROR(__xludf.DUMMYFUNCTION("""COMPUTED_VALUE"""),"West Dunbartonshire")</f>
        <v>West Dunbartonshire</v>
      </c>
      <c r="B289" s="9" t="str">
        <f>IFERROR(__xludf.DUMMYFUNCTION("""COMPUTED_VALUE"""),"gb-wdu")</f>
        <v>gb-wdu</v>
      </c>
      <c r="C289" s="9" t="str">
        <f>IFERROR(__xludf.DUMMYFUNCTION("GOOGLETRANSLATE($A289,""en"",""de"")"),"West Dunbartonshire")</f>
        <v>West Dunbartonshire</v>
      </c>
      <c r="D289" s="9" t="str">
        <f>IFERROR(__xludf.DUMMYFUNCTION("GOOGLETRANSLATE($A289,""en"",""fr"")"),"Comté de Dunbarton Ouest")</f>
        <v>Comté de Dunbarton Ouest</v>
      </c>
      <c r="E289" s="9" t="str">
        <f>IFERROR(__xludf.DUMMYFUNCTION("GOOGLETRANSLATE($A289,""en"",""es"")"),"Dunbartonshire occidental")</f>
        <v>Dunbartonshire occidental</v>
      </c>
      <c r="F289" s="9" t="str">
        <f>IFERROR(__xludf.DUMMYFUNCTION("GOOGLETRANSLATE($A289,""en"",""it"")"),"Dunbartonshire occidentale")</f>
        <v>Dunbartonshire occidentale</v>
      </c>
      <c r="G289" s="9" t="str">
        <f>IFERROR(__xludf.DUMMYFUNCTION("GOOGLETRANSLATE($A289,""en"",""zh-cn"")"),"西邓巴顿郡")</f>
        <v>西邓巴顿郡</v>
      </c>
      <c r="H289" s="9" t="str">
        <f>IFERROR(__xludf.DUMMYFUNCTION("GOOGLETRANSLATE($A289,""en"",""ja"")"),"ウェスト・ダンバートンシャー")</f>
        <v>ウェスト・ダンバートンシャー</v>
      </c>
      <c r="I289" s="9" t="str">
        <f>IFERROR(__xludf.DUMMYFUNCTION("GOOGLETRANSLATE($A289,""en"",""ko"")"),"웨스트 던바턴셔")</f>
        <v>웨스트 던바턴셔</v>
      </c>
      <c r="J289" s="9" t="str">
        <f>IFERROR(__xludf.DUMMYFUNCTION("GOOGLETRANSLATE($A289,""en"",""pt-BR"")"),"Oeste de Dunbartonshire")</f>
        <v>Oeste de Dunbartonshire</v>
      </c>
    </row>
    <row r="290">
      <c r="A290" s="9" t="str">
        <f>IFERROR(__xludf.DUMMYFUNCTION("""COMPUTED_VALUE"""),"West Lothian")</f>
        <v>West Lothian</v>
      </c>
      <c r="B290" s="9" t="str">
        <f>IFERROR(__xludf.DUMMYFUNCTION("""COMPUTED_VALUE"""),"gb-wln")</f>
        <v>gb-wln</v>
      </c>
      <c r="C290" s="9" t="str">
        <f>IFERROR(__xludf.DUMMYFUNCTION("GOOGLETRANSLATE($A290,""en"",""de"")"),"West Lothian")</f>
        <v>West Lothian</v>
      </c>
      <c r="D290" s="9" t="str">
        <f>IFERROR(__xludf.DUMMYFUNCTION("GOOGLETRANSLATE($A290,""en"",""fr"")"),"Lothian occidental")</f>
        <v>Lothian occidental</v>
      </c>
      <c r="E290" s="9" t="str">
        <f>IFERROR(__xludf.DUMMYFUNCTION("GOOGLETRANSLATE($A290,""en"",""es"")"),"Lothian Occidental")</f>
        <v>Lothian Occidental</v>
      </c>
      <c r="F290" s="9" t="str">
        <f>IFERROR(__xludf.DUMMYFUNCTION("GOOGLETRANSLATE($A290,""en"",""it"")"),"Lothian occidentale")</f>
        <v>Lothian occidentale</v>
      </c>
      <c r="G290" s="9" t="str">
        <f>IFERROR(__xludf.DUMMYFUNCTION("GOOGLETRANSLATE($A290,""en"",""zh-cn"")"),"西洛锡安")</f>
        <v>西洛锡安</v>
      </c>
      <c r="H290" s="9" t="str">
        <f>IFERROR(__xludf.DUMMYFUNCTION("GOOGLETRANSLATE($A290,""en"",""ja"")"),"ウェストロージアン")</f>
        <v>ウェストロージアン</v>
      </c>
      <c r="I290" s="9" t="str">
        <f>IFERROR(__xludf.DUMMYFUNCTION("GOOGLETRANSLATE($A290,""en"",""ko"")"),"웨스트 로디언")</f>
        <v>웨스트 로디언</v>
      </c>
      <c r="J290" s="9" t="str">
        <f>IFERROR(__xludf.DUMMYFUNCTION("GOOGLETRANSLATE($A290,""en"",""pt-BR"")"),"Oeste de Lothian")</f>
        <v>Oeste de Lothian</v>
      </c>
    </row>
    <row r="291">
      <c r="A291" s="9" t="str">
        <f>IFERROR(__xludf.DUMMYFUNCTION("""COMPUTED_VALUE"""),"Blaenau Gwent")</f>
        <v>Blaenau Gwent</v>
      </c>
      <c r="B291" s="9" t="str">
        <f>IFERROR(__xludf.DUMMYFUNCTION("""COMPUTED_VALUE"""),"gb-bgw")</f>
        <v>gb-bgw</v>
      </c>
      <c r="C291" s="9" t="str">
        <f>IFERROR(__xludf.DUMMYFUNCTION("GOOGLETRANSLATE($A291,""en"",""de"")"),"Blaenau Gwent")</f>
        <v>Blaenau Gwent</v>
      </c>
      <c r="D291" s="9" t="str">
        <f>IFERROR(__xludf.DUMMYFUNCTION("GOOGLETRANSLATE($A291,""en"",""fr"")"),"Blaenau Gwent")</f>
        <v>Blaenau Gwent</v>
      </c>
      <c r="E291" s="9" t="str">
        <f>IFERROR(__xludf.DUMMYFUNCTION("GOOGLETRANSLATE($A291,""en"",""es"")"),"Blaenau Gwent")</f>
        <v>Blaenau Gwent</v>
      </c>
      <c r="F291" s="9" t="str">
        <f>IFERROR(__xludf.DUMMYFUNCTION("GOOGLETRANSLATE($A291,""en"",""it"")"),"Blaenau Gwent")</f>
        <v>Blaenau Gwent</v>
      </c>
      <c r="G291" s="9" t="str">
        <f>IFERROR(__xludf.DUMMYFUNCTION("GOOGLETRANSLATE($A291,""en"",""zh-cn"")"),"布莱瑙昆特牌")</f>
        <v>布莱瑙昆特牌</v>
      </c>
      <c r="H291" s="9" t="str">
        <f>IFERROR(__xludf.DUMMYFUNCTION("GOOGLETRANSLATE($A291,""en"",""ja"")"),"ブライナウ グウェント")</f>
        <v>ブライナウ グウェント</v>
      </c>
      <c r="I291" s="9" t="str">
        <f>IFERROR(__xludf.DUMMYFUNCTION("GOOGLETRANSLATE($A291,""en"",""ko"")"),"블래나우 궨트")</f>
        <v>블래나우 궨트</v>
      </c>
      <c r="J291" s="9" t="str">
        <f>IFERROR(__xludf.DUMMYFUNCTION("GOOGLETRANSLATE($A291,""en"",""pt-BR"")"),"Blaenau Gwent")</f>
        <v>Blaenau Gwent</v>
      </c>
    </row>
    <row r="292">
      <c r="A292" s="9" t="str">
        <f>IFERROR(__xludf.DUMMYFUNCTION("""COMPUTED_VALUE"""),"Scottish Borders")</f>
        <v>Scottish Borders</v>
      </c>
      <c r="B292" s="9" t="str">
        <f>IFERROR(__xludf.DUMMYFUNCTION("""COMPUTED_VALUE"""),"gb-scb")</f>
        <v>gb-scb</v>
      </c>
      <c r="C292" s="9" t="str">
        <f>IFERROR(__xludf.DUMMYFUNCTION("GOOGLETRANSLATE($A292,""en"",""de"")"),"Schottische Grenzen")</f>
        <v>Schottische Grenzen</v>
      </c>
      <c r="D292" s="9" t="str">
        <f>IFERROR(__xludf.DUMMYFUNCTION("GOOGLETRANSLATE($A292,""en"",""fr"")"),"Frontières écossaises")</f>
        <v>Frontières écossaises</v>
      </c>
      <c r="E292" s="9" t="str">
        <f>IFERROR(__xludf.DUMMYFUNCTION("GOOGLETRANSLATE($A292,""en"",""es"")"),"Fronteras escocesas")</f>
        <v>Fronteras escocesas</v>
      </c>
      <c r="F292" s="9" t="str">
        <f>IFERROR(__xludf.DUMMYFUNCTION("GOOGLETRANSLATE($A292,""en"",""it"")"),"Confini scozzesi")</f>
        <v>Confini scozzesi</v>
      </c>
      <c r="G292" s="9" t="str">
        <f>IFERROR(__xludf.DUMMYFUNCTION("GOOGLETRANSLATE($A292,""en"",""zh-cn"")"),"苏格兰边境")</f>
        <v>苏格兰边境</v>
      </c>
      <c r="H292" s="9" t="str">
        <f>IFERROR(__xludf.DUMMYFUNCTION("GOOGLETRANSLATE($A292,""en"",""ja"")"),"スコットランドの国境")</f>
        <v>スコットランドの国境</v>
      </c>
      <c r="I292" s="9" t="str">
        <f>IFERROR(__xludf.DUMMYFUNCTION("GOOGLETRANSLATE($A292,""en"",""ko"")"),"스코틀랜드 국경")</f>
        <v>스코틀랜드 국경</v>
      </c>
      <c r="J292" s="9" t="str">
        <f>IFERROR(__xludf.DUMMYFUNCTION("GOOGLETRANSLATE($A292,""en"",""pt-BR"")"),"Fronteiras Escocesas")</f>
        <v>Fronteiras Escocesas</v>
      </c>
    </row>
    <row r="293">
      <c r="A293" s="9" t="str">
        <f>IFERROR(__xludf.DUMMYFUNCTION("""COMPUTED_VALUE"""),"Shetland Islands")</f>
        <v>Shetland Islands</v>
      </c>
      <c r="B293" s="9" t="str">
        <f>IFERROR(__xludf.DUMMYFUNCTION("""COMPUTED_VALUE"""),"gb-zet")</f>
        <v>gb-zet</v>
      </c>
      <c r="C293" s="9" t="str">
        <f>IFERROR(__xludf.DUMMYFUNCTION("GOOGLETRANSLATE($A293,""en"",""de"")"),"Shetlandinseln")</f>
        <v>Shetlandinseln</v>
      </c>
      <c r="D293" s="9" t="str">
        <f>IFERROR(__xludf.DUMMYFUNCTION("GOOGLETRANSLATE($A293,""en"",""fr"")"),"Îles Shetland")</f>
        <v>Îles Shetland</v>
      </c>
      <c r="E293" s="9" t="str">
        <f>IFERROR(__xludf.DUMMYFUNCTION("GOOGLETRANSLATE($A293,""en"",""es"")"),"Islas Shetland")</f>
        <v>Islas Shetland</v>
      </c>
      <c r="F293" s="9" t="str">
        <f>IFERROR(__xludf.DUMMYFUNCTION("GOOGLETRANSLATE($A293,""en"",""it"")"),"Isole Shetland")</f>
        <v>Isole Shetland</v>
      </c>
      <c r="G293" s="9" t="str">
        <f>IFERROR(__xludf.DUMMYFUNCTION("GOOGLETRANSLATE($A293,""en"",""zh-cn"")"),"设得兰群岛")</f>
        <v>设得兰群岛</v>
      </c>
      <c r="H293" s="9" t="str">
        <f>IFERROR(__xludf.DUMMYFUNCTION("GOOGLETRANSLATE($A293,""en"",""ja"")"),"シェトランド諸島")</f>
        <v>シェトランド諸島</v>
      </c>
      <c r="I293" s="9" t="str">
        <f>IFERROR(__xludf.DUMMYFUNCTION("GOOGLETRANSLATE($A293,""en"",""ko"")"),"셰틀랜드 제도")</f>
        <v>셰틀랜드 제도</v>
      </c>
      <c r="J293" s="9" t="str">
        <f>IFERROR(__xludf.DUMMYFUNCTION("GOOGLETRANSLATE($A293,""en"",""pt-BR"")"),"Ilhas Shetland")</f>
        <v>Ilhas Shetland</v>
      </c>
    </row>
    <row r="294">
      <c r="A294" s="9" t="str">
        <f>IFERROR(__xludf.DUMMYFUNCTION("""COMPUTED_VALUE"""),"South Ayrshire")</f>
        <v>South Ayrshire</v>
      </c>
      <c r="B294" s="9" t="str">
        <f>IFERROR(__xludf.DUMMYFUNCTION("""COMPUTED_VALUE"""),"gb-say")</f>
        <v>gb-say</v>
      </c>
      <c r="C294" s="9" t="str">
        <f>IFERROR(__xludf.DUMMYFUNCTION("GOOGLETRANSLATE($A294,""en"",""de"")"),"Süd-Ayrshire")</f>
        <v>Süd-Ayrshire</v>
      </c>
      <c r="D294" s="9" t="str">
        <f>IFERROR(__xludf.DUMMYFUNCTION("GOOGLETRANSLATE($A294,""en"",""fr"")"),"Comté d'Ayrshire du Sud")</f>
        <v>Comté d'Ayrshire du Sud</v>
      </c>
      <c r="E294" s="9" t="str">
        <f>IFERROR(__xludf.DUMMYFUNCTION("GOOGLETRANSLATE($A294,""en"",""es"")"),"Ayrshire del Sur")</f>
        <v>Ayrshire del Sur</v>
      </c>
      <c r="F294" s="9" t="str">
        <f>IFERROR(__xludf.DUMMYFUNCTION("GOOGLETRANSLATE($A294,""en"",""it"")"),"Ayrshire meridionale")</f>
        <v>Ayrshire meridionale</v>
      </c>
      <c r="G294" s="9" t="str">
        <f>IFERROR(__xludf.DUMMYFUNCTION("GOOGLETRANSLATE($A294,""en"",""zh-cn"")"),"南艾尔郡")</f>
        <v>南艾尔郡</v>
      </c>
      <c r="H294" s="9" t="str">
        <f>IFERROR(__xludf.DUMMYFUNCTION("GOOGLETRANSLATE($A294,""en"",""ja"")"),"サウスエアシャー")</f>
        <v>サウスエアシャー</v>
      </c>
      <c r="I294" s="9" t="str">
        <f>IFERROR(__xludf.DUMMYFUNCTION("GOOGLETRANSLATE($A294,""en"",""ko"")"),"사우스 에어셔")</f>
        <v>사우스 에어셔</v>
      </c>
      <c r="J294" s="9" t="str">
        <f>IFERROR(__xludf.DUMMYFUNCTION("GOOGLETRANSLATE($A294,""en"",""pt-BR"")"),"Ayrshire do Sul")</f>
        <v>Ayrshire do Sul</v>
      </c>
    </row>
    <row r="295">
      <c r="A295" s="9" t="str">
        <f>IFERROR(__xludf.DUMMYFUNCTION("""COMPUTED_VALUE"""),"South Lanarkshire")</f>
        <v>South Lanarkshire</v>
      </c>
      <c r="B295" s="9" t="str">
        <f>IFERROR(__xludf.DUMMYFUNCTION("""COMPUTED_VALUE"""),"gb-slk")</f>
        <v>gb-slk</v>
      </c>
      <c r="C295" s="9" t="str">
        <f>IFERROR(__xludf.DUMMYFUNCTION("GOOGLETRANSLATE($A295,""en"",""de"")"),"Süd-Lanarkshire")</f>
        <v>Süd-Lanarkshire</v>
      </c>
      <c r="D295" s="9" t="str">
        <f>IFERROR(__xludf.DUMMYFUNCTION("GOOGLETRANSLATE($A295,""en"",""fr"")"),"Lanarkshire du Sud")</f>
        <v>Lanarkshire du Sud</v>
      </c>
      <c r="E295" s="9" t="str">
        <f>IFERROR(__xludf.DUMMYFUNCTION("GOOGLETRANSLATE($A295,""en"",""es"")"),"Lanarkshire del Sur")</f>
        <v>Lanarkshire del Sur</v>
      </c>
      <c r="F295" s="9" t="str">
        <f>IFERROR(__xludf.DUMMYFUNCTION("GOOGLETRANSLATE($A295,""en"",""it"")"),"Lanarkshire meridionale")</f>
        <v>Lanarkshire meridionale</v>
      </c>
      <c r="G295" s="9" t="str">
        <f>IFERROR(__xludf.DUMMYFUNCTION("GOOGLETRANSLATE($A295,""en"",""zh-cn"")"),"南拉纳克郡")</f>
        <v>南拉纳克郡</v>
      </c>
      <c r="H295" s="9" t="str">
        <f>IFERROR(__xludf.DUMMYFUNCTION("GOOGLETRANSLATE($A295,""en"",""ja"")"),"サウス・ラナークシャー")</f>
        <v>サウス・ラナークシャー</v>
      </c>
      <c r="I295" s="9" t="str">
        <f>IFERROR(__xludf.DUMMYFUNCTION("GOOGLETRANSLATE($A295,""en"",""ko"")"),"사우스라나크셔")</f>
        <v>사우스라나크셔</v>
      </c>
      <c r="J295" s="9" t="str">
        <f>IFERROR(__xludf.DUMMYFUNCTION("GOOGLETRANSLATE($A295,""en"",""pt-BR"")"),"Lanarkshire do Sul")</f>
        <v>Lanarkshire do Sul</v>
      </c>
    </row>
    <row r="296">
      <c r="A296" s="9" t="str">
        <f>IFERROR(__xludf.DUMMYFUNCTION("""COMPUTED_VALUE"""),"North Lanarkshire")</f>
        <v>North Lanarkshire</v>
      </c>
      <c r="B296" s="9" t="str">
        <f>IFERROR(__xludf.DUMMYFUNCTION("""COMPUTED_VALUE"""),"gb-nlk")</f>
        <v>gb-nlk</v>
      </c>
      <c r="C296" s="9" t="str">
        <f>IFERROR(__xludf.DUMMYFUNCTION("GOOGLETRANSLATE($A296,""en"",""de"")"),"Nord-Lanarkshire")</f>
        <v>Nord-Lanarkshire</v>
      </c>
      <c r="D296" s="9" t="str">
        <f>IFERROR(__xludf.DUMMYFUNCTION("GOOGLETRANSLATE($A296,""en"",""fr"")"),"Lanarkshire du Nord")</f>
        <v>Lanarkshire du Nord</v>
      </c>
      <c r="E296" s="9" t="str">
        <f>IFERROR(__xludf.DUMMYFUNCTION("GOOGLETRANSLATE($A296,""en"",""es"")"),"Lanarkshire del Norte")</f>
        <v>Lanarkshire del Norte</v>
      </c>
      <c r="F296" s="9" t="str">
        <f>IFERROR(__xludf.DUMMYFUNCTION("GOOGLETRANSLATE($A296,""en"",""it"")"),"Lanarkshire settentrionale")</f>
        <v>Lanarkshire settentrionale</v>
      </c>
      <c r="G296" s="9" t="str">
        <f>IFERROR(__xludf.DUMMYFUNCTION("GOOGLETRANSLATE($A296,""en"",""zh-cn"")"),"北拉纳克郡")</f>
        <v>北拉纳克郡</v>
      </c>
      <c r="H296" s="9" t="str">
        <f>IFERROR(__xludf.DUMMYFUNCTION("GOOGLETRANSLATE($A296,""en"",""ja"")"),"ノース・ラナークシャー")</f>
        <v>ノース・ラナークシャー</v>
      </c>
      <c r="I296" s="9" t="str">
        <f>IFERROR(__xludf.DUMMYFUNCTION("GOOGLETRANSLATE($A296,""en"",""ko"")"),"노스라나크셔")</f>
        <v>노스라나크셔</v>
      </c>
      <c r="J296" s="9" t="str">
        <f>IFERROR(__xludf.DUMMYFUNCTION("GOOGLETRANSLATE($A296,""en"",""pt-BR"")"),"Norte de Lanarkshire")</f>
        <v>Norte de Lanarkshire</v>
      </c>
    </row>
    <row r="297">
      <c r="A297" s="9" t="str">
        <f>IFERROR(__xludf.DUMMYFUNCTION("""COMPUTED_VALUE"""),"Orkney Islands")</f>
        <v>Orkney Islands</v>
      </c>
      <c r="B297" s="9" t="str">
        <f>IFERROR(__xludf.DUMMYFUNCTION("""COMPUTED_VALUE"""),"gb-ork")</f>
        <v>gb-ork</v>
      </c>
      <c r="C297" s="9" t="str">
        <f>IFERROR(__xludf.DUMMYFUNCTION("GOOGLETRANSLATE($A297,""en"",""de"")"),"Orkney-Inseln")</f>
        <v>Orkney-Inseln</v>
      </c>
      <c r="D297" s="9" t="str">
        <f>IFERROR(__xludf.DUMMYFUNCTION("GOOGLETRANSLATE($A297,""en"",""fr"")"),"Îles Orcades")</f>
        <v>Îles Orcades</v>
      </c>
      <c r="E297" s="9" t="str">
        <f>IFERROR(__xludf.DUMMYFUNCTION("GOOGLETRANSLATE($A297,""en"",""es"")"),"Islas Orcadas")</f>
        <v>Islas Orcadas</v>
      </c>
      <c r="F297" s="9" t="str">
        <f>IFERROR(__xludf.DUMMYFUNCTION("GOOGLETRANSLATE($A297,""en"",""it"")"),"Isole Orcadi")</f>
        <v>Isole Orcadi</v>
      </c>
      <c r="G297" s="9" t="str">
        <f>IFERROR(__xludf.DUMMYFUNCTION("GOOGLETRANSLATE($A297,""en"",""zh-cn"")"),"奥克尼群岛")</f>
        <v>奥克尼群岛</v>
      </c>
      <c r="H297" s="9" t="str">
        <f>IFERROR(__xludf.DUMMYFUNCTION("GOOGLETRANSLATE($A297,""en"",""ja"")"),"オークニー諸島")</f>
        <v>オークニー諸島</v>
      </c>
      <c r="I297" s="9" t="str">
        <f>IFERROR(__xludf.DUMMYFUNCTION("GOOGLETRANSLATE($A297,""en"",""ko"")"),"오크니 제도")</f>
        <v>오크니 제도</v>
      </c>
      <c r="J297" s="9" t="str">
        <f>IFERROR(__xludf.DUMMYFUNCTION("GOOGLETRANSLATE($A297,""en"",""pt-BR"")"),"Ilhas Órcades")</f>
        <v>Ilhas Órcades</v>
      </c>
    </row>
    <row r="298">
      <c r="A298" s="9" t="str">
        <f>IFERROR(__xludf.DUMMYFUNCTION("""COMPUTED_VALUE"""),"Perth and Kinross")</f>
        <v>Perth and Kinross</v>
      </c>
      <c r="B298" s="9" t="str">
        <f>IFERROR(__xludf.DUMMYFUNCTION("""COMPUTED_VALUE"""),"gb-pkn")</f>
        <v>gb-pkn</v>
      </c>
      <c r="C298" s="9" t="str">
        <f>IFERROR(__xludf.DUMMYFUNCTION("GOOGLETRANSLATE($A298,""en"",""de"")"),"Perth und Kinross")</f>
        <v>Perth und Kinross</v>
      </c>
      <c r="D298" s="9" t="str">
        <f>IFERROR(__xludf.DUMMYFUNCTION("GOOGLETRANSLATE($A298,""en"",""fr"")"),"Perth et Kinross")</f>
        <v>Perth et Kinross</v>
      </c>
      <c r="E298" s="9" t="str">
        <f>IFERROR(__xludf.DUMMYFUNCTION("GOOGLETRANSLATE($A298,""en"",""es"")"),"Perth y Kinross")</f>
        <v>Perth y Kinross</v>
      </c>
      <c r="F298" s="9" t="str">
        <f>IFERROR(__xludf.DUMMYFUNCTION("GOOGLETRANSLATE($A298,""en"",""it"")"),"Perth e Kinross")</f>
        <v>Perth e Kinross</v>
      </c>
      <c r="G298" s="9" t="str">
        <f>IFERROR(__xludf.DUMMYFUNCTION("GOOGLETRANSLATE($A298,""en"",""zh-cn"")"),"珀斯和金罗斯")</f>
        <v>珀斯和金罗斯</v>
      </c>
      <c r="H298" s="9" t="str">
        <f>IFERROR(__xludf.DUMMYFUNCTION("GOOGLETRANSLATE($A298,""en"",""ja"")"),"パースとキンロス")</f>
        <v>パースとキンロス</v>
      </c>
      <c r="I298" s="9" t="str">
        <f>IFERROR(__xludf.DUMMYFUNCTION("GOOGLETRANSLATE($A298,""en"",""ko"")"),"퍼스와 킨로스")</f>
        <v>퍼스와 킨로스</v>
      </c>
      <c r="J298" s="9" t="str">
        <f>IFERROR(__xludf.DUMMYFUNCTION("GOOGLETRANSLATE($A298,""en"",""pt-BR"")"),"Perth e Kinross")</f>
        <v>Perth e Kinross</v>
      </c>
    </row>
    <row r="299">
      <c r="A299" s="9" t="str">
        <f>IFERROR(__xludf.DUMMYFUNCTION("""COMPUTED_VALUE"""),"Renfrewshire")</f>
        <v>Renfrewshire</v>
      </c>
      <c r="B299" s="9" t="str">
        <f>IFERROR(__xludf.DUMMYFUNCTION("""COMPUTED_VALUE"""),"gb-rfw")</f>
        <v>gb-rfw</v>
      </c>
      <c r="C299" s="9" t="str">
        <f>IFERROR(__xludf.DUMMYFUNCTION("GOOGLETRANSLATE($A299,""en"",""de"")"),"Renfrewshire")</f>
        <v>Renfrewshire</v>
      </c>
      <c r="D299" s="9" t="str">
        <f>IFERROR(__xludf.DUMMYFUNCTION("GOOGLETRANSLATE($A299,""en"",""fr"")"),"Comté de Renfrew")</f>
        <v>Comté de Renfrew</v>
      </c>
      <c r="E299" s="9" t="str">
        <f>IFERROR(__xludf.DUMMYFUNCTION("GOOGLETRANSLATE($A299,""en"",""es"")"),"Renfrewshire")</f>
        <v>Renfrewshire</v>
      </c>
      <c r="F299" s="9" t="str">
        <f>IFERROR(__xludf.DUMMYFUNCTION("GOOGLETRANSLATE($A299,""en"",""it"")"),"Renfrewshire")</f>
        <v>Renfrewshire</v>
      </c>
      <c r="G299" s="9" t="str">
        <f>IFERROR(__xludf.DUMMYFUNCTION("GOOGLETRANSLATE($A299,""en"",""zh-cn"")"),"伦弗鲁郡")</f>
        <v>伦弗鲁郡</v>
      </c>
      <c r="H299" s="9" t="str">
        <f>IFERROR(__xludf.DUMMYFUNCTION("GOOGLETRANSLATE($A299,""en"",""ja"")"),"レンフルーシャー")</f>
        <v>レンフルーシャー</v>
      </c>
      <c r="I299" s="9" t="str">
        <f>IFERROR(__xludf.DUMMYFUNCTION("GOOGLETRANSLATE($A299,""en"",""ko"")"),"렌프루셔")</f>
        <v>렌프루셔</v>
      </c>
      <c r="J299" s="9" t="str">
        <f>IFERROR(__xludf.DUMMYFUNCTION("GOOGLETRANSLATE($A299,""en"",""pt-BR"")"),"Renfrewshire")</f>
        <v>Renfrewshire</v>
      </c>
    </row>
    <row r="300">
      <c r="A300" s="9" t="str">
        <f>IFERROR(__xludf.DUMMYFUNCTION("""COMPUTED_VALUE"""),"Inverclyde")</f>
        <v>Inverclyde</v>
      </c>
      <c r="B300" s="9" t="str">
        <f>IFERROR(__xludf.DUMMYFUNCTION("""COMPUTED_VALUE"""),"gb-ivc")</f>
        <v>gb-ivc</v>
      </c>
      <c r="C300" s="9" t="str">
        <f>IFERROR(__xludf.DUMMYFUNCTION("GOOGLETRANSLATE($A300,""en"",""de"")"),"Inverclyde")</f>
        <v>Inverclyde</v>
      </c>
      <c r="D300" s="9" t="str">
        <f>IFERROR(__xludf.DUMMYFUNCTION("GOOGLETRANSLATE($A300,""en"",""fr"")"),"Inverclyde")</f>
        <v>Inverclyde</v>
      </c>
      <c r="E300" s="9" t="str">
        <f>IFERROR(__xludf.DUMMYFUNCTION("GOOGLETRANSLATE($A300,""en"",""es"")"),"Inverclyde")</f>
        <v>Inverclyde</v>
      </c>
      <c r="F300" s="9" t="str">
        <f>IFERROR(__xludf.DUMMYFUNCTION("GOOGLETRANSLATE($A300,""en"",""it"")"),"Inverclide")</f>
        <v>Inverclide</v>
      </c>
      <c r="G300" s="9" t="str">
        <f>IFERROR(__xludf.DUMMYFUNCTION("GOOGLETRANSLATE($A300,""en"",""zh-cn"")"),"因弗克莱德")</f>
        <v>因弗克莱德</v>
      </c>
      <c r="H300" s="9" t="str">
        <f>IFERROR(__xludf.DUMMYFUNCTION("GOOGLETRANSLATE($A300,""en"",""ja"")"),"インバークライド")</f>
        <v>インバークライド</v>
      </c>
      <c r="I300" s="9" t="str">
        <f>IFERROR(__xludf.DUMMYFUNCTION("GOOGLETRANSLATE($A300,""en"",""ko"")"),"인버클라이드")</f>
        <v>인버클라이드</v>
      </c>
      <c r="J300" s="9" t="str">
        <f>IFERROR(__xludf.DUMMYFUNCTION("GOOGLETRANSLATE($A300,""en"",""pt-BR"")"),"Inverclyde")</f>
        <v>Inverclyde</v>
      </c>
    </row>
    <row r="301">
      <c r="A301" s="9" t="str">
        <f>IFERROR(__xludf.DUMMYFUNCTION("""COMPUTED_VALUE"""),"Midlothian")</f>
        <v>Midlothian</v>
      </c>
      <c r="B301" s="9" t="str">
        <f>IFERROR(__xludf.DUMMYFUNCTION("""COMPUTED_VALUE"""),"gb-mln")</f>
        <v>gb-mln</v>
      </c>
      <c r="C301" s="9" t="str">
        <f>IFERROR(__xludf.DUMMYFUNCTION("GOOGLETRANSLATE($A301,""en"",""de"")"),"Midlothian")</f>
        <v>Midlothian</v>
      </c>
      <c r="D301" s="9" t="str">
        <f>IFERROR(__xludf.DUMMYFUNCTION("GOOGLETRANSLATE($A301,""en"",""fr"")"),"Midlothien")</f>
        <v>Midlothien</v>
      </c>
      <c r="E301" s="9" t="str">
        <f>IFERROR(__xludf.DUMMYFUNCTION("GOOGLETRANSLATE($A301,""en"",""es"")"),"Midlothiano")</f>
        <v>Midlothiano</v>
      </c>
      <c r="F301" s="9" t="str">
        <f>IFERROR(__xludf.DUMMYFUNCTION("GOOGLETRANSLATE($A301,""en"",""it"")"),"Midlothian")</f>
        <v>Midlothian</v>
      </c>
      <c r="G301" s="9" t="str">
        <f>IFERROR(__xludf.DUMMYFUNCTION("GOOGLETRANSLATE($A301,""en"",""zh-cn"")"),"中洛锡安")</f>
        <v>中洛锡安</v>
      </c>
      <c r="H301" s="9" t="str">
        <f>IFERROR(__xludf.DUMMYFUNCTION("GOOGLETRANSLATE($A301,""en"",""ja"")"),"ミッドロジアン")</f>
        <v>ミッドロジアン</v>
      </c>
      <c r="I301" s="9" t="str">
        <f>IFERROR(__xludf.DUMMYFUNCTION("GOOGLETRANSLATE($A301,""en"",""ko"")"),"미들로디언")</f>
        <v>미들로디언</v>
      </c>
      <c r="J301" s="9" t="str">
        <f>IFERROR(__xludf.DUMMYFUNCTION("GOOGLETRANSLATE($A301,""en"",""pt-BR"")"),"Midlothian")</f>
        <v>Midlothian</v>
      </c>
    </row>
    <row r="302">
      <c r="A302" s="9" t="str">
        <f>IFERROR(__xludf.DUMMYFUNCTION("""COMPUTED_VALUE"""),"Moray")</f>
        <v>Moray</v>
      </c>
      <c r="B302" s="9" t="str">
        <f>IFERROR(__xludf.DUMMYFUNCTION("""COMPUTED_VALUE"""),"gb-mry")</f>
        <v>gb-mry</v>
      </c>
      <c r="C302" s="9" t="str">
        <f>IFERROR(__xludf.DUMMYFUNCTION("GOOGLETRANSLATE($A302,""en"",""de"")"),"Moray")</f>
        <v>Moray</v>
      </c>
      <c r="D302" s="9" t="str">
        <f>IFERROR(__xludf.DUMMYFUNCTION("GOOGLETRANSLATE($A302,""en"",""fr"")"),"Murène")</f>
        <v>Murène</v>
      </c>
      <c r="E302" s="9" t="str">
        <f>IFERROR(__xludf.DUMMYFUNCTION("GOOGLETRANSLATE($A302,""en"",""es"")"),"Moray")</f>
        <v>Moray</v>
      </c>
      <c r="F302" s="9" t="str">
        <f>IFERROR(__xludf.DUMMYFUNCTION("GOOGLETRANSLATE($A302,""en"",""it"")"),"Moray")</f>
        <v>Moray</v>
      </c>
      <c r="G302" s="9" t="str">
        <f>IFERROR(__xludf.DUMMYFUNCTION("GOOGLETRANSLATE($A302,""en"",""zh-cn"")"),"海鳗")</f>
        <v>海鳗</v>
      </c>
      <c r="H302" s="9" t="str">
        <f>IFERROR(__xludf.DUMMYFUNCTION("GOOGLETRANSLATE($A302,""en"",""ja"")"),"ウツボ")</f>
        <v>ウツボ</v>
      </c>
      <c r="I302" s="9" t="str">
        <f>IFERROR(__xludf.DUMMYFUNCTION("GOOGLETRANSLATE($A302,""en"",""ko"")"),"곰치")</f>
        <v>곰치</v>
      </c>
      <c r="J302" s="9" t="str">
        <f>IFERROR(__xludf.DUMMYFUNCTION("GOOGLETRANSLATE($A302,""en"",""pt-BR"")"),"Moraia")</f>
        <v>Moraia</v>
      </c>
    </row>
    <row r="303">
      <c r="A303" s="9" t="str">
        <f>IFERROR(__xludf.DUMMYFUNCTION("""COMPUTED_VALUE"""),"North Ayrshire")</f>
        <v>North Ayrshire</v>
      </c>
      <c r="B303" s="9" t="str">
        <f>IFERROR(__xludf.DUMMYFUNCTION("""COMPUTED_VALUE"""),"gb-nay")</f>
        <v>gb-nay</v>
      </c>
      <c r="C303" s="9" t="str">
        <f>IFERROR(__xludf.DUMMYFUNCTION("GOOGLETRANSLATE($A303,""en"",""de"")"),"Nord-Ayrshire")</f>
        <v>Nord-Ayrshire</v>
      </c>
      <c r="D303" s="9" t="str">
        <f>IFERROR(__xludf.DUMMYFUNCTION("GOOGLETRANSLATE($A303,""en"",""fr"")"),"Comté d'Ayrshire du Nord")</f>
        <v>Comté d'Ayrshire du Nord</v>
      </c>
      <c r="E303" s="9" t="str">
        <f>IFERROR(__xludf.DUMMYFUNCTION("GOOGLETRANSLATE($A303,""en"",""es"")"),"Ayrshire del norte")</f>
        <v>Ayrshire del norte</v>
      </c>
      <c r="F303" s="9" t="str">
        <f>IFERROR(__xludf.DUMMYFUNCTION("GOOGLETRANSLATE($A303,""en"",""it"")"),"Ayrshire settentrionale")</f>
        <v>Ayrshire settentrionale</v>
      </c>
      <c r="G303" s="9" t="str">
        <f>IFERROR(__xludf.DUMMYFUNCTION("GOOGLETRANSLATE($A303,""en"",""zh-cn"")"),"北艾尔郡")</f>
        <v>北艾尔郡</v>
      </c>
      <c r="H303" s="9" t="str">
        <f>IFERROR(__xludf.DUMMYFUNCTION("GOOGLETRANSLATE($A303,""en"",""ja"")"),"ノースエアシャー")</f>
        <v>ノースエアシャー</v>
      </c>
      <c r="I303" s="9" t="str">
        <f>IFERROR(__xludf.DUMMYFUNCTION("GOOGLETRANSLATE($A303,""en"",""ko"")"),"노스에어셔")</f>
        <v>노스에어셔</v>
      </c>
      <c r="J303" s="9" t="str">
        <f>IFERROR(__xludf.DUMMYFUNCTION("GOOGLETRANSLATE($A303,""en"",""pt-BR"")"),"Norte de Ayrshire")</f>
        <v>Norte de Ayrshire</v>
      </c>
    </row>
    <row r="304">
      <c r="A304" s="9" t="str">
        <f>IFERROR(__xludf.DUMMYFUNCTION("""COMPUTED_VALUE"""),"Ceredigion")</f>
        <v>Ceredigion</v>
      </c>
      <c r="B304" s="9" t="str">
        <f>IFERROR(__xludf.DUMMYFUNCTION("""COMPUTED_VALUE"""),"gb-cgn")</f>
        <v>gb-cgn</v>
      </c>
      <c r="C304" s="9" t="str">
        <f>IFERROR(__xludf.DUMMYFUNCTION("GOOGLETRANSLATE($A304,""en"",""de"")"),"Ceredigion")</f>
        <v>Ceredigion</v>
      </c>
      <c r="D304" s="9" t="str">
        <f>IFERROR(__xludf.DUMMYFUNCTION("GOOGLETRANSLATE($A304,""en"",""fr"")"),"Cérédigion")</f>
        <v>Cérédigion</v>
      </c>
      <c r="E304" s="9" t="str">
        <f>IFERROR(__xludf.DUMMYFUNCTION("GOOGLETRANSLATE($A304,""en"",""es"")"),"Ceredigión")</f>
        <v>Ceredigión</v>
      </c>
      <c r="F304" s="9" t="str">
        <f>IFERROR(__xludf.DUMMYFUNCTION("GOOGLETRANSLATE($A304,""en"",""it"")"),"Ceredigion")</f>
        <v>Ceredigion</v>
      </c>
      <c r="G304" s="9" t="str">
        <f>IFERROR(__xludf.DUMMYFUNCTION("GOOGLETRANSLATE($A304,""en"",""zh-cn"")"),"锡尔迪金")</f>
        <v>锡尔迪金</v>
      </c>
      <c r="H304" s="9" t="str">
        <f>IFERROR(__xludf.DUMMYFUNCTION("GOOGLETRANSLATE($A304,""en"",""ja"")"),"ケレディジョン")</f>
        <v>ケレディジョン</v>
      </c>
      <c r="I304" s="9" t="str">
        <f>IFERROR(__xludf.DUMMYFUNCTION("GOOGLETRANSLATE($A304,""en"",""ko"")"),"세레디젼")</f>
        <v>세레디젼</v>
      </c>
      <c r="J304" s="9" t="str">
        <f>IFERROR(__xludf.DUMMYFUNCTION("GOOGLETRANSLATE($A304,""en"",""pt-BR"")"),"Ceredigião")</f>
        <v>Ceredigião</v>
      </c>
    </row>
    <row r="305">
      <c r="A305" s="9" t="str">
        <f>IFERROR(__xludf.DUMMYFUNCTION("""COMPUTED_VALUE"""),"Conwy")</f>
        <v>Conwy</v>
      </c>
      <c r="B305" s="9" t="str">
        <f>IFERROR(__xludf.DUMMYFUNCTION("""COMPUTED_VALUE"""),"gb-cwy")</f>
        <v>gb-cwy</v>
      </c>
      <c r="C305" s="9" t="str">
        <f>IFERROR(__xludf.DUMMYFUNCTION("GOOGLETRANSLATE($A305,""en"",""de"")"),"Conwy")</f>
        <v>Conwy</v>
      </c>
      <c r="D305" s="9" t="str">
        <f>IFERROR(__xludf.DUMMYFUNCTION("GOOGLETRANSLATE($A305,""en"",""fr"")"),"Conwy")</f>
        <v>Conwy</v>
      </c>
      <c r="E305" s="9" t="str">
        <f>IFERROR(__xludf.DUMMYFUNCTION("GOOGLETRANSLATE($A305,""en"",""es"")"),"Conwy")</f>
        <v>Conwy</v>
      </c>
      <c r="F305" s="9" t="str">
        <f>IFERROR(__xludf.DUMMYFUNCTION("GOOGLETRANSLATE($A305,""en"",""it"")"),"Conwy")</f>
        <v>Conwy</v>
      </c>
      <c r="G305" s="9" t="str">
        <f>IFERROR(__xludf.DUMMYFUNCTION("GOOGLETRANSLATE($A305,""en"",""zh-cn"")"),"康威")</f>
        <v>康威</v>
      </c>
      <c r="H305" s="9" t="str">
        <f>IFERROR(__xludf.DUMMYFUNCTION("GOOGLETRANSLATE($A305,""en"",""ja"")"),"コンウィ")</f>
        <v>コンウィ</v>
      </c>
      <c r="I305" s="9" t="str">
        <f>IFERROR(__xludf.DUMMYFUNCTION("GOOGLETRANSLATE($A305,""en"",""ko"")"),"콘위")</f>
        <v>콘위</v>
      </c>
      <c r="J305" s="9" t="str">
        <f>IFERROR(__xludf.DUMMYFUNCTION("GOOGLETRANSLATE($A305,""en"",""pt-BR"")"),"Conwy")</f>
        <v>Conwy</v>
      </c>
    </row>
    <row r="306">
      <c r="A306" s="9" t="str">
        <f>IFERROR(__xludf.DUMMYFUNCTION("""COMPUTED_VALUE"""),"Denbighshire")</f>
        <v>Denbighshire</v>
      </c>
      <c r="B306" s="9" t="str">
        <f>IFERROR(__xludf.DUMMYFUNCTION("""COMPUTED_VALUE"""),"gb-den")</f>
        <v>gb-den</v>
      </c>
      <c r="C306" s="9" t="str">
        <f>IFERROR(__xludf.DUMMYFUNCTION("GOOGLETRANSLATE($A306,""en"",""de"")"),"Denbighshire")</f>
        <v>Denbighshire</v>
      </c>
      <c r="D306" s="9" t="str">
        <f>IFERROR(__xludf.DUMMYFUNCTION("GOOGLETRANSLATE($A306,""en"",""fr"")"),"Denbighshire")</f>
        <v>Denbighshire</v>
      </c>
      <c r="E306" s="9" t="str">
        <f>IFERROR(__xludf.DUMMYFUNCTION("GOOGLETRANSLATE($A306,""en"",""es"")"),"Denbighshire")</f>
        <v>Denbighshire</v>
      </c>
      <c r="F306" s="9" t="str">
        <f>IFERROR(__xludf.DUMMYFUNCTION("GOOGLETRANSLATE($A306,""en"",""it"")"),"Denbighshire")</f>
        <v>Denbighshire</v>
      </c>
      <c r="G306" s="9" t="str">
        <f>IFERROR(__xludf.DUMMYFUNCTION("GOOGLETRANSLATE($A306,""en"",""zh-cn"")"),"登比郡")</f>
        <v>登比郡</v>
      </c>
      <c r="H306" s="9" t="str">
        <f>IFERROR(__xludf.DUMMYFUNCTION("GOOGLETRANSLATE($A306,""en"",""ja"")"),"デンビシャー")</f>
        <v>デンビシャー</v>
      </c>
      <c r="I306" s="9" t="str">
        <f>IFERROR(__xludf.DUMMYFUNCTION("GOOGLETRANSLATE($A306,""en"",""ko"")"),"덴빅셔")</f>
        <v>덴빅셔</v>
      </c>
      <c r="J306" s="9" t="str">
        <f>IFERROR(__xludf.DUMMYFUNCTION("GOOGLETRANSLATE($A306,""en"",""pt-BR"")"),"Denbighshire")</f>
        <v>Denbighshire</v>
      </c>
    </row>
    <row r="307">
      <c r="A307" s="9" t="str">
        <f>IFERROR(__xludf.DUMMYFUNCTION("""COMPUTED_VALUE"""),"Bridgend")</f>
        <v>Bridgend</v>
      </c>
      <c r="B307" s="9" t="str">
        <f>IFERROR(__xludf.DUMMYFUNCTION("""COMPUTED_VALUE"""),"gb-bge")</f>
        <v>gb-bge</v>
      </c>
      <c r="C307" s="9" t="str">
        <f>IFERROR(__xludf.DUMMYFUNCTION("GOOGLETRANSLATE($A307,""en"",""de"")"),"Bridgend")</f>
        <v>Bridgend</v>
      </c>
      <c r="D307" s="9" t="str">
        <f>IFERROR(__xludf.DUMMYFUNCTION("GOOGLETRANSLATE($A307,""en"",""fr"")"),"Bridgend")</f>
        <v>Bridgend</v>
      </c>
      <c r="E307" s="9" t="str">
        <f>IFERROR(__xludf.DUMMYFUNCTION("GOOGLETRANSLATE($A307,""en"",""es"")"),"puente")</f>
        <v>puente</v>
      </c>
      <c r="F307" s="9" t="str">
        <f>IFERROR(__xludf.DUMMYFUNCTION("GOOGLETRANSLATE($A307,""en"",""it"")"),"Bridgend")</f>
        <v>Bridgend</v>
      </c>
      <c r="G307" s="9" t="str">
        <f>IFERROR(__xludf.DUMMYFUNCTION("GOOGLETRANSLATE($A307,""en"",""zh-cn"")"),"布里真德")</f>
        <v>布里真德</v>
      </c>
      <c r="H307" s="9" t="str">
        <f>IFERROR(__xludf.DUMMYFUNCTION("GOOGLETRANSLATE($A307,""en"",""ja"")"),"ブリジェンド")</f>
        <v>ブリジェンド</v>
      </c>
      <c r="I307" s="9" t="str">
        <f>IFERROR(__xludf.DUMMYFUNCTION("GOOGLETRANSLATE($A307,""en"",""ko"")"),"브리젠드")</f>
        <v>브리젠드</v>
      </c>
      <c r="J307" s="9" t="str">
        <f>IFERROR(__xludf.DUMMYFUNCTION("GOOGLETRANSLATE($A307,""en"",""pt-BR"")"),"Bridgend")</f>
        <v>Bridgend</v>
      </c>
    </row>
    <row r="308">
      <c r="A308" s="9" t="str">
        <f>IFERROR(__xludf.DUMMYFUNCTION("""COMPUTED_VALUE"""),"Caerphilly")</f>
        <v>Caerphilly</v>
      </c>
      <c r="B308" s="9" t="str">
        <f>IFERROR(__xludf.DUMMYFUNCTION("""COMPUTED_VALUE"""),"gb-cay")</f>
        <v>gb-cay</v>
      </c>
      <c r="C308" s="9" t="str">
        <f>IFERROR(__xludf.DUMMYFUNCTION("GOOGLETRANSLATE($A308,""en"",""de"")"),"Caerphilly")</f>
        <v>Caerphilly</v>
      </c>
      <c r="D308" s="9" t="str">
        <f>IFERROR(__xludf.DUMMYFUNCTION("GOOGLETRANSLATE($A308,""en"",""fr"")"),"Caerphilly")</f>
        <v>Caerphilly</v>
      </c>
      <c r="E308" s="9" t="str">
        <f>IFERROR(__xludf.DUMMYFUNCTION("GOOGLETRANSLATE($A308,""en"",""es"")"),"caerphilly")</f>
        <v>caerphilly</v>
      </c>
      <c r="F308" s="9" t="str">
        <f>IFERROR(__xludf.DUMMYFUNCTION("GOOGLETRANSLATE($A308,""en"",""it"")"),"Caerphilly")</f>
        <v>Caerphilly</v>
      </c>
      <c r="G308" s="9" t="str">
        <f>IFERROR(__xludf.DUMMYFUNCTION("GOOGLETRANSLATE($A308,""en"",""zh-cn"")"),"卡菲利")</f>
        <v>卡菲利</v>
      </c>
      <c r="H308" s="9" t="str">
        <f>IFERROR(__xludf.DUMMYFUNCTION("GOOGLETRANSLATE($A308,""en"",""ja"")"),"ケアフィリー")</f>
        <v>ケアフィリー</v>
      </c>
      <c r="I308" s="9" t="str">
        <f>IFERROR(__xludf.DUMMYFUNCTION("GOOGLETRANSLATE($A308,""en"",""ko"")"),"케어필리")</f>
        <v>케어필리</v>
      </c>
      <c r="J308" s="9" t="str">
        <f>IFERROR(__xludf.DUMMYFUNCTION("GOOGLETRANSLATE($A308,""en"",""pt-BR"")"),"Caerphilly")</f>
        <v>Caerphilly</v>
      </c>
    </row>
    <row r="309">
      <c r="A309" s="9" t="str">
        <f>IFERROR(__xludf.DUMMYFUNCTION("""COMPUTED_VALUE"""),"Cardiff")</f>
        <v>Cardiff</v>
      </c>
      <c r="B309" s="9" t="str">
        <f>IFERROR(__xludf.DUMMYFUNCTION("""COMPUTED_VALUE"""),"gb-crf")</f>
        <v>gb-crf</v>
      </c>
      <c r="C309" s="9" t="str">
        <f>IFERROR(__xludf.DUMMYFUNCTION("GOOGLETRANSLATE($A309,""en"",""de"")"),"Cardiff")</f>
        <v>Cardiff</v>
      </c>
      <c r="D309" s="9" t="str">
        <f>IFERROR(__xludf.DUMMYFUNCTION("GOOGLETRANSLATE($A309,""en"",""fr"")"),"Cardiff")</f>
        <v>Cardiff</v>
      </c>
      <c r="E309" s="9" t="str">
        <f>IFERROR(__xludf.DUMMYFUNCTION("GOOGLETRANSLATE($A309,""en"",""es"")"),"Cardiff")</f>
        <v>Cardiff</v>
      </c>
      <c r="F309" s="9" t="str">
        <f>IFERROR(__xludf.DUMMYFUNCTION("GOOGLETRANSLATE($A309,""en"",""it"")"),"Cardiff")</f>
        <v>Cardiff</v>
      </c>
      <c r="G309" s="9" t="str">
        <f>IFERROR(__xludf.DUMMYFUNCTION("GOOGLETRANSLATE($A309,""en"",""zh-cn"")"),"卡迪夫")</f>
        <v>卡迪夫</v>
      </c>
      <c r="H309" s="9" t="str">
        <f>IFERROR(__xludf.DUMMYFUNCTION("GOOGLETRANSLATE($A309,""en"",""ja"")"),"カーディフ")</f>
        <v>カーディフ</v>
      </c>
      <c r="I309" s="9" t="str">
        <f>IFERROR(__xludf.DUMMYFUNCTION("GOOGLETRANSLATE($A309,""en"",""ko"")"),"카디프")</f>
        <v>카디프</v>
      </c>
      <c r="J309" s="9" t="str">
        <f>IFERROR(__xludf.DUMMYFUNCTION("GOOGLETRANSLATE($A309,""en"",""pt-BR"")"),"Cardife")</f>
        <v>Cardife</v>
      </c>
    </row>
    <row r="310">
      <c r="A310" s="9" t="str">
        <f>IFERROR(__xludf.DUMMYFUNCTION("""COMPUTED_VALUE"""),"Carmarthenshire")</f>
        <v>Carmarthenshire</v>
      </c>
      <c r="B310" s="9" t="str">
        <f>IFERROR(__xludf.DUMMYFUNCTION("""COMPUTED_VALUE"""),"gb-cmn")</f>
        <v>gb-cmn</v>
      </c>
      <c r="C310" s="9" t="str">
        <f>IFERROR(__xludf.DUMMYFUNCTION("GOOGLETRANSLATE($A310,""en"",""de"")"),"Carmarthenshire")</f>
        <v>Carmarthenshire</v>
      </c>
      <c r="D310" s="9" t="str">
        <f>IFERROR(__xludf.DUMMYFUNCTION("GOOGLETRANSLATE($A310,""en"",""fr"")"),"Comté de Carmarthen")</f>
        <v>Comté de Carmarthen</v>
      </c>
      <c r="E310" s="9" t="str">
        <f>IFERROR(__xludf.DUMMYFUNCTION("GOOGLETRANSLATE($A310,""en"",""es"")"),"Carmarthenshire")</f>
        <v>Carmarthenshire</v>
      </c>
      <c r="F310" s="9" t="str">
        <f>IFERROR(__xludf.DUMMYFUNCTION("GOOGLETRANSLATE($A310,""en"",""it"")"),"Carmarthenshire")</f>
        <v>Carmarthenshire</v>
      </c>
      <c r="G310" s="9" t="str">
        <f>IFERROR(__xludf.DUMMYFUNCTION("GOOGLETRANSLATE($A310,""en"",""zh-cn"")"),"卡马森郡")</f>
        <v>卡马森郡</v>
      </c>
      <c r="H310" s="9" t="str">
        <f>IFERROR(__xludf.DUMMYFUNCTION("GOOGLETRANSLATE($A310,""en"",""ja"")"),"カーマーゼンシャー")</f>
        <v>カーマーゼンシャー</v>
      </c>
      <c r="I310" s="9" t="str">
        <f>IFERROR(__xludf.DUMMYFUNCTION("GOOGLETRANSLATE($A310,""en"",""ko"")"),"카마던셔")</f>
        <v>카마던셔</v>
      </c>
      <c r="J310" s="9" t="str">
        <f>IFERROR(__xludf.DUMMYFUNCTION("GOOGLETRANSLATE($A310,""en"",""pt-BR"")"),"Carmarthenshire")</f>
        <v>Carmarthenshire</v>
      </c>
    </row>
    <row r="311">
      <c r="A311" s="9" t="str">
        <f>IFERROR(__xludf.DUMMYFUNCTION("""COMPUTED_VALUE"""),"Ghōr")</f>
        <v>Ghōr</v>
      </c>
      <c r="B311" s="9" t="str">
        <f>IFERROR(__xludf.DUMMYFUNCTION("""COMPUTED_VALUE"""),"af-gho")</f>
        <v>af-gho</v>
      </c>
      <c r="C311" s="9" t="str">
        <f>IFERROR(__xludf.DUMMYFUNCTION("GOOGLETRANSLATE($A311,""en"",""de"")"),"Ghōr")</f>
        <v>Ghōr</v>
      </c>
      <c r="D311" s="9" t="str">
        <f>IFERROR(__xludf.DUMMYFUNCTION("GOOGLETRANSLATE($A311,""en"",""fr"")"),"Ghor")</f>
        <v>Ghor</v>
      </c>
      <c r="E311" s="9" t="str">
        <f>IFERROR(__xludf.DUMMYFUNCTION("GOOGLETRANSLATE($A311,""en"",""es"")"),"Ghor")</f>
        <v>Ghor</v>
      </c>
      <c r="F311" s="9" t="str">
        <f>IFERROR(__xludf.DUMMYFUNCTION("GOOGLETRANSLATE($A311,""en"",""it"")"),"Ghor")</f>
        <v>Ghor</v>
      </c>
      <c r="G311" s="9" t="str">
        <f>IFERROR(__xludf.DUMMYFUNCTION("GOOGLETRANSLATE($A311,""en"",""zh-cn"")"),"古尔")</f>
        <v>古尔</v>
      </c>
      <c r="H311" s="9" t="str">
        <f>IFERROR(__xludf.DUMMYFUNCTION("GOOGLETRANSLATE($A311,""en"",""ja"")"),"ゴール")</f>
        <v>ゴール</v>
      </c>
      <c r="I311" s="9" t="str">
        <f>IFERROR(__xludf.DUMMYFUNCTION("GOOGLETRANSLATE($A311,""en"",""ko"")"),"고르")</f>
        <v>고르</v>
      </c>
      <c r="J311" s="9" t="str">
        <f>IFERROR(__xludf.DUMMYFUNCTION("GOOGLETRANSLATE($A311,""en"",""pt-BR"")"),"Ghor")</f>
        <v>Ghor</v>
      </c>
    </row>
    <row r="312">
      <c r="A312" s="9" t="str">
        <f>IFERROR(__xludf.DUMMYFUNCTION("""COMPUTED_VALUE"""),"Bādghīs")</f>
        <v>Bādghīs</v>
      </c>
      <c r="B312" s="9" t="str">
        <f>IFERROR(__xludf.DUMMYFUNCTION("""COMPUTED_VALUE"""),"af-bdg")</f>
        <v>af-bdg</v>
      </c>
      <c r="C312" s="9" t="str">
        <f>IFERROR(__xludf.DUMMYFUNCTION("GOOGLETRANSLATE($A312,""en"",""de"")"),"Badghīs")</f>
        <v>Badghīs</v>
      </c>
      <c r="D312" s="9" t="str">
        <f>IFERROR(__xludf.DUMMYFUNCTION("GOOGLETRANSLATE($A312,""en"",""fr"")"),"Badghis")</f>
        <v>Badghis</v>
      </c>
      <c r="E312" s="9" t="str">
        <f>IFERROR(__xludf.DUMMYFUNCTION("GOOGLETRANSLATE($A312,""en"",""es"")"),"badghis")</f>
        <v>badghis</v>
      </c>
      <c r="F312" s="9" t="str">
        <f>IFERROR(__xludf.DUMMYFUNCTION("GOOGLETRANSLATE($A312,""en"",""it"")"),"Badghis")</f>
        <v>Badghis</v>
      </c>
      <c r="G312" s="9" t="str">
        <f>IFERROR(__xludf.DUMMYFUNCTION("GOOGLETRANSLATE($A312,""en"",""zh-cn"")"),"巴德吉斯")</f>
        <v>巴德吉斯</v>
      </c>
      <c r="H312" s="9" t="str">
        <f>IFERROR(__xludf.DUMMYFUNCTION("GOOGLETRANSLATE($A312,""en"",""ja"")"),"バードギース")</f>
        <v>バードギース</v>
      </c>
      <c r="I312" s="9" t="str">
        <f>IFERROR(__xludf.DUMMYFUNCTION("GOOGLETRANSLATE($A312,""en"",""ko"")"),"바디기스")</f>
        <v>바디기스</v>
      </c>
      <c r="J312" s="9" t="str">
        <f>IFERROR(__xludf.DUMMYFUNCTION("GOOGLETRANSLATE($A312,""en"",""pt-BR"")"),"Badghis")</f>
        <v>Badghis</v>
      </c>
    </row>
    <row r="313">
      <c r="A313" s="9" t="str">
        <f>IFERROR(__xludf.DUMMYFUNCTION("""COMPUTED_VALUE"""),"Ghaznī")</f>
        <v>Ghaznī</v>
      </c>
      <c r="B313" s="9" t="str">
        <f>IFERROR(__xludf.DUMMYFUNCTION("""COMPUTED_VALUE"""),"af-gha")</f>
        <v>af-gha</v>
      </c>
      <c r="C313" s="9" t="str">
        <f>IFERROR(__xludf.DUMMYFUNCTION("GOOGLETRANSLATE($A313,""en"",""de"")"),"Ghaznī")</f>
        <v>Ghaznī</v>
      </c>
      <c r="D313" s="9" t="str">
        <f>IFERROR(__xludf.DUMMYFUNCTION("GOOGLETRANSLATE($A313,""en"",""fr"")"),"Ghazni")</f>
        <v>Ghazni</v>
      </c>
      <c r="E313" s="9" t="str">
        <f>IFERROR(__xludf.DUMMYFUNCTION("GOOGLETRANSLATE($A313,""en"",""es"")"),"Ghazni")</f>
        <v>Ghazni</v>
      </c>
      <c r="F313" s="9" t="str">
        <f>IFERROR(__xludf.DUMMYFUNCTION("GOOGLETRANSLATE($A313,""en"",""it"")"),"Ghazni")</f>
        <v>Ghazni</v>
      </c>
      <c r="G313" s="9" t="str">
        <f>IFERROR(__xludf.DUMMYFUNCTION("GOOGLETRANSLATE($A313,""en"",""zh-cn"")"),"加兹尼")</f>
        <v>加兹尼</v>
      </c>
      <c r="H313" s="9" t="str">
        <f>IFERROR(__xludf.DUMMYFUNCTION("GOOGLETRANSLATE($A313,""en"",""ja"")"),"ガズニ")</f>
        <v>ガズニ</v>
      </c>
      <c r="I313" s="9" t="str">
        <f>IFERROR(__xludf.DUMMYFUNCTION("GOOGLETRANSLATE($A313,""en"",""ko"")"),"가즈니")</f>
        <v>가즈니</v>
      </c>
      <c r="J313" s="9" t="str">
        <f>IFERROR(__xludf.DUMMYFUNCTION("GOOGLETRANSLATE($A313,""en"",""pt-BR"")"),"Ghaznī")</f>
        <v>Ghaznī</v>
      </c>
    </row>
    <row r="314">
      <c r="A314" s="9" t="str">
        <f>IFERROR(__xludf.DUMMYFUNCTION("""COMPUTED_VALUE"""),"Lōgar")</f>
        <v>Lōgar</v>
      </c>
      <c r="B314" s="9" t="str">
        <f>IFERROR(__xludf.DUMMYFUNCTION("""COMPUTED_VALUE"""),"af-log")</f>
        <v>af-log</v>
      </c>
      <c r="C314" s="9" t="str">
        <f>IFERROR(__xludf.DUMMYFUNCTION("GOOGLETRANSLATE($A314,""en"",""de"")"),"Logar")</f>
        <v>Logar</v>
      </c>
      <c r="D314" s="9" t="str">
        <f>IFERROR(__xludf.DUMMYFUNCTION("GOOGLETRANSLATE($A314,""en"",""fr"")"),"Logar")</f>
        <v>Logar</v>
      </c>
      <c r="E314" s="9" t="str">
        <f>IFERROR(__xludf.DUMMYFUNCTION("GOOGLETRANSLATE($A314,""en"",""es"")"),"logar")</f>
        <v>logar</v>
      </c>
      <c r="F314" s="9" t="str">
        <f>IFERROR(__xludf.DUMMYFUNCTION("GOOGLETRANSLATE($A314,""en"",""it"")"),"Logar")</f>
        <v>Logar</v>
      </c>
      <c r="G314" s="9" t="str">
        <f>IFERROR(__xludf.DUMMYFUNCTION("GOOGLETRANSLATE($A314,""en"",""zh-cn"")"),"洛加尔")</f>
        <v>洛加尔</v>
      </c>
      <c r="H314" s="9" t="str">
        <f>IFERROR(__xludf.DUMMYFUNCTION("GOOGLETRANSLATE($A314,""en"",""ja"")"),"ロガール")</f>
        <v>ロガール</v>
      </c>
      <c r="I314" s="9" t="str">
        <f>IFERROR(__xludf.DUMMYFUNCTION("GOOGLETRANSLATE($A314,""en"",""ko"")"),"로가르")</f>
        <v>로가르</v>
      </c>
      <c r="J314" s="9" t="str">
        <f>IFERROR(__xludf.DUMMYFUNCTION("GOOGLETRANSLATE($A314,""en"",""pt-BR"")"),"Logar")</f>
        <v>Logar</v>
      </c>
    </row>
    <row r="315">
      <c r="A315" s="9" t="str">
        <f>IFERROR(__xludf.DUMMYFUNCTION("""COMPUTED_VALUE"""),"Kābul")</f>
        <v>Kābul</v>
      </c>
      <c r="B315" s="9" t="str">
        <f>IFERROR(__xludf.DUMMYFUNCTION("""COMPUTED_VALUE"""),"af-kab")</f>
        <v>af-kab</v>
      </c>
      <c r="C315" s="9" t="str">
        <f>IFERROR(__xludf.DUMMYFUNCTION("GOOGLETRANSLATE($A315,""en"",""de"")"),"Kabul")</f>
        <v>Kabul</v>
      </c>
      <c r="D315" s="9" t="str">
        <f>IFERROR(__xludf.DUMMYFUNCTION("GOOGLETRANSLATE($A315,""en"",""fr"")"),"Kaboul")</f>
        <v>Kaboul</v>
      </c>
      <c r="E315" s="9" t="str">
        <f>IFERROR(__xludf.DUMMYFUNCTION("GOOGLETRANSLATE($A315,""en"",""es"")"),"Kabul")</f>
        <v>Kabul</v>
      </c>
      <c r="F315" s="9" t="str">
        <f>IFERROR(__xludf.DUMMYFUNCTION("GOOGLETRANSLATE($A315,""en"",""it"")"),"Kabul")</f>
        <v>Kabul</v>
      </c>
      <c r="G315" s="9" t="str">
        <f>IFERROR(__xludf.DUMMYFUNCTION("GOOGLETRANSLATE($A315,""en"",""zh-cn"")"),"喀布尔")</f>
        <v>喀布尔</v>
      </c>
      <c r="H315" s="9" t="str">
        <f>IFERROR(__xludf.DUMMYFUNCTION("GOOGLETRANSLATE($A315,""en"",""ja"")"),"カーブール")</f>
        <v>カーブール</v>
      </c>
      <c r="I315" s="9" t="str">
        <f>IFERROR(__xludf.DUMMYFUNCTION("GOOGLETRANSLATE($A315,""en"",""ko"")"),"카불")</f>
        <v>카불</v>
      </c>
      <c r="J315" s="9" t="str">
        <f>IFERROR(__xludf.DUMMYFUNCTION("GOOGLETRANSLATE($A315,""en"",""pt-BR"")"),"Cabul")</f>
        <v>Cabul</v>
      </c>
    </row>
    <row r="316">
      <c r="A316" s="9" t="str">
        <f>IFERROR(__xludf.DUMMYFUNCTION("""COMPUTED_VALUE"""),"Balkh")</f>
        <v>Balkh</v>
      </c>
      <c r="B316" s="9" t="str">
        <f>IFERROR(__xludf.DUMMYFUNCTION("""COMPUTED_VALUE"""),"af-bal")</f>
        <v>af-bal</v>
      </c>
      <c r="C316" s="9" t="str">
        <f>IFERROR(__xludf.DUMMYFUNCTION("GOOGLETRANSLATE($A316,""en"",""de"")"),"Balch")</f>
        <v>Balch</v>
      </c>
      <c r="D316" s="9" t="str">
        <f>IFERROR(__xludf.DUMMYFUNCTION("GOOGLETRANSLATE($A316,""en"",""fr"")"),"Balkh")</f>
        <v>Balkh</v>
      </c>
      <c r="E316" s="9" t="str">
        <f>IFERROR(__xludf.DUMMYFUNCTION("GOOGLETRANSLATE($A316,""en"",""es"")"),"Balj")</f>
        <v>Balj</v>
      </c>
      <c r="F316" s="9" t="str">
        <f>IFERROR(__xludf.DUMMYFUNCTION("GOOGLETRANSLATE($A316,""en"",""it"")"),"Balkh")</f>
        <v>Balkh</v>
      </c>
      <c r="G316" s="9" t="str">
        <f>IFERROR(__xludf.DUMMYFUNCTION("GOOGLETRANSLATE($A316,""en"",""zh-cn"")"),"巴尔赫")</f>
        <v>巴尔赫</v>
      </c>
      <c r="H316" s="9" t="str">
        <f>IFERROR(__xludf.DUMMYFUNCTION("GOOGLETRANSLATE($A316,""en"",""ja"")"),"バルフ")</f>
        <v>バルフ</v>
      </c>
      <c r="I316" s="9" t="str">
        <f>IFERROR(__xludf.DUMMYFUNCTION("GOOGLETRANSLATE($A316,""en"",""ko"")"),"발크")</f>
        <v>발크</v>
      </c>
      <c r="J316" s="9" t="str">
        <f>IFERROR(__xludf.DUMMYFUNCTION("GOOGLETRANSLATE($A316,""en"",""pt-BR"")"),"Balkh")</f>
        <v>Balkh</v>
      </c>
    </row>
    <row r="317">
      <c r="A317" s="9" t="str">
        <f>IFERROR(__xludf.DUMMYFUNCTION("""COMPUTED_VALUE"""),"Zābul")</f>
        <v>Zābul</v>
      </c>
      <c r="B317" s="9" t="str">
        <f>IFERROR(__xludf.DUMMYFUNCTION("""COMPUTED_VALUE"""),"af-zab")</f>
        <v>af-zab</v>
      </c>
      <c r="C317" s="9" t="str">
        <f>IFERROR(__xludf.DUMMYFUNCTION("GOOGLETRANSLATE($A317,""en"",""de"")"),"Zabul")</f>
        <v>Zabul</v>
      </c>
      <c r="D317" s="9" t="str">
        <f>IFERROR(__xludf.DUMMYFUNCTION("GOOGLETRANSLATE($A317,""en"",""fr"")"),"Zabul")</f>
        <v>Zabul</v>
      </c>
      <c r="E317" s="9" t="str">
        <f>IFERROR(__xludf.DUMMYFUNCTION("GOOGLETRANSLATE($A317,""en"",""es"")"),"Zabul")</f>
        <v>Zabul</v>
      </c>
      <c r="F317" s="9" t="str">
        <f>IFERROR(__xludf.DUMMYFUNCTION("GOOGLETRANSLATE($A317,""en"",""it"")"),"Zabul")</f>
        <v>Zabul</v>
      </c>
      <c r="G317" s="9" t="str">
        <f>IFERROR(__xludf.DUMMYFUNCTION("GOOGLETRANSLATE($A317,""en"",""zh-cn"")"),"扎布尔")</f>
        <v>扎布尔</v>
      </c>
      <c r="H317" s="9" t="str">
        <f>IFERROR(__xludf.DUMMYFUNCTION("GOOGLETRANSLATE($A317,""en"",""ja"")"),"ザーブル")</f>
        <v>ザーブル</v>
      </c>
      <c r="I317" s="9" t="str">
        <f>IFERROR(__xludf.DUMMYFUNCTION("GOOGLETRANSLATE($A317,""en"",""ko"")"),"자불")</f>
        <v>자불</v>
      </c>
      <c r="J317" s="9" t="str">
        <f>IFERROR(__xludf.DUMMYFUNCTION("GOOGLETRANSLATE($A317,""en"",""pt-BR"")"),"Zabul")</f>
        <v>Zabul</v>
      </c>
    </row>
    <row r="318">
      <c r="A318" s="9" t="str">
        <f>IFERROR(__xludf.DUMMYFUNCTION("""COMPUTED_VALUE"""),"Bāmyān")</f>
        <v>Bāmyān</v>
      </c>
      <c r="B318" s="9" t="str">
        <f>IFERROR(__xludf.DUMMYFUNCTION("""COMPUTED_VALUE"""),"af-bam")</f>
        <v>af-bam</v>
      </c>
      <c r="C318" s="9" t="str">
        <f>IFERROR(__xludf.DUMMYFUNCTION("GOOGLETRANSLATE($A318,""en"",""de"")"),"Bāmyān")</f>
        <v>Bāmyān</v>
      </c>
      <c r="D318" s="9" t="str">
        <f>IFERROR(__xludf.DUMMYFUNCTION("GOOGLETRANSLATE($A318,""en"",""fr"")"),"Bamyan")</f>
        <v>Bamyan</v>
      </c>
      <c r="E318" s="9" t="str">
        <f>IFERROR(__xludf.DUMMYFUNCTION("GOOGLETRANSLATE($A318,""en"",""es"")"),"Bamiyán")</f>
        <v>Bamiyán</v>
      </c>
      <c r="F318" s="9" t="str">
        <f>IFERROR(__xludf.DUMMYFUNCTION("GOOGLETRANSLATE($A318,""en"",""it"")"),"Bamyan")</f>
        <v>Bamyan</v>
      </c>
      <c r="G318" s="9" t="str">
        <f>IFERROR(__xludf.DUMMYFUNCTION("GOOGLETRANSLATE($A318,""en"",""zh-cn"")"),"巴米扬")</f>
        <v>巴米扬</v>
      </c>
      <c r="H318" s="9" t="str">
        <f>IFERROR(__xludf.DUMMYFUNCTION("GOOGLETRANSLATE($A318,""en"",""ja"")"),"バーミャン")</f>
        <v>バーミャン</v>
      </c>
      <c r="I318" s="9" t="str">
        <f>IFERROR(__xludf.DUMMYFUNCTION("GOOGLETRANSLATE($A318,""en"",""ko"")"),"바미안")</f>
        <v>바미안</v>
      </c>
      <c r="J318" s="9" t="str">
        <f>IFERROR(__xludf.DUMMYFUNCTION("GOOGLETRANSLATE($A318,""en"",""pt-BR"")"),"Bamyan")</f>
        <v>Bamyan</v>
      </c>
    </row>
    <row r="319">
      <c r="A319" s="9" t="str">
        <f>IFERROR(__xludf.DUMMYFUNCTION("""COMPUTED_VALUE"""),"Khōst")</f>
        <v>Khōst</v>
      </c>
      <c r="B319" s="9" t="str">
        <f>IFERROR(__xludf.DUMMYFUNCTION("""COMPUTED_VALUE"""),"af-kho")</f>
        <v>af-kho</v>
      </c>
      <c r="C319" s="9" t="str">
        <f>IFERROR(__xludf.DUMMYFUNCTION("GOOGLETRANSLATE($A319,""en"",""de"")"),"Khōst")</f>
        <v>Khōst</v>
      </c>
      <c r="D319" s="9" t="str">
        <f>IFERROR(__xludf.DUMMYFUNCTION("GOOGLETRANSLATE($A319,""en"",""fr"")"),"Khost")</f>
        <v>Khost</v>
      </c>
      <c r="E319" s="9" t="str">
        <f>IFERROR(__xludf.DUMMYFUNCTION("GOOGLETRANSLATE($A319,""en"",""es"")"),"Khost")</f>
        <v>Khost</v>
      </c>
      <c r="F319" s="9" t="str">
        <f>IFERROR(__xludf.DUMMYFUNCTION("GOOGLETRANSLATE($A319,""en"",""it"")"),"Khōst")</f>
        <v>Khōst</v>
      </c>
      <c r="G319" s="9" t="str">
        <f>IFERROR(__xludf.DUMMYFUNCTION("GOOGLETRANSLATE($A319,""en"",""zh-cn"")"),"霍斯特")</f>
        <v>霍斯特</v>
      </c>
      <c r="H319" s="9" t="str">
        <f>IFERROR(__xludf.DUMMYFUNCTION("GOOGLETRANSLATE($A319,""en"",""ja"")"),"ホースト")</f>
        <v>ホースト</v>
      </c>
      <c r="I319" s="9" t="str">
        <f>IFERROR(__xludf.DUMMYFUNCTION("GOOGLETRANSLATE($A319,""en"",""ko"")"),"코스트")</f>
        <v>코스트</v>
      </c>
      <c r="J319" s="9" t="str">
        <f>IFERROR(__xludf.DUMMYFUNCTION("GOOGLETRANSLATE($A319,""en"",""pt-BR"")"),"Host")</f>
        <v>Host</v>
      </c>
    </row>
    <row r="320">
      <c r="A320" s="9" t="str">
        <f>IFERROR(__xludf.DUMMYFUNCTION("""COMPUTED_VALUE"""),"Nīmrōz")</f>
        <v>Nīmrōz</v>
      </c>
      <c r="B320" s="9" t="str">
        <f>IFERROR(__xludf.DUMMYFUNCTION("""COMPUTED_VALUE"""),"af-nim")</f>
        <v>af-nim</v>
      </c>
      <c r="C320" s="9" t="str">
        <f>IFERROR(__xludf.DUMMYFUNCTION("GOOGLETRANSLATE($A320,""en"",""de"")"),"Nīmrōz")</f>
        <v>Nīmrōz</v>
      </c>
      <c r="D320" s="9" t="str">
        <f>IFERROR(__xludf.DUMMYFUNCTION("GOOGLETRANSLATE($A320,""en"",""fr"")"),"Nimroz")</f>
        <v>Nimroz</v>
      </c>
      <c r="E320" s="9" t="str">
        <f>IFERROR(__xludf.DUMMYFUNCTION("GOOGLETRANSLATE($A320,""en"",""es"")"),"nimroz")</f>
        <v>nimroz</v>
      </c>
      <c r="F320" s="9" t="str">
        <f>IFERROR(__xludf.DUMMYFUNCTION("GOOGLETRANSLATE($A320,""en"",""it"")"),"Nimroz")</f>
        <v>Nimroz</v>
      </c>
      <c r="G320" s="9" t="str">
        <f>IFERROR(__xludf.DUMMYFUNCTION("GOOGLETRANSLATE($A320,""en"",""zh-cn"")"),"尼姆鲁兹")</f>
        <v>尼姆鲁兹</v>
      </c>
      <c r="H320" s="9" t="str">
        <f>IFERROR(__xludf.DUMMYFUNCTION("GOOGLETRANSLATE($A320,""en"",""ja"")"),"ニムローズ")</f>
        <v>ニムローズ</v>
      </c>
      <c r="I320" s="9" t="str">
        <f>IFERROR(__xludf.DUMMYFUNCTION("GOOGLETRANSLATE($A320,""en"",""ko"")"),"님로즈")</f>
        <v>님로즈</v>
      </c>
      <c r="J320" s="9" t="str">
        <f>IFERROR(__xludf.DUMMYFUNCTION("GOOGLETRANSLATE($A320,""en"",""pt-BR"")"),"Nimroz")</f>
        <v>Nimroz</v>
      </c>
    </row>
    <row r="321">
      <c r="A321" s="9" t="str">
        <f>IFERROR(__xludf.DUMMYFUNCTION("""COMPUTED_VALUE"""),"Kandahār")</f>
        <v>Kandahār</v>
      </c>
      <c r="B321" s="9" t="str">
        <f>IFERROR(__xludf.DUMMYFUNCTION("""COMPUTED_VALUE"""),"af-kan")</f>
        <v>af-kan</v>
      </c>
      <c r="C321" s="9" t="str">
        <f>IFERROR(__xludf.DUMMYFUNCTION("GOOGLETRANSLATE($A321,""en"",""de"")"),"Kandahar")</f>
        <v>Kandahar</v>
      </c>
      <c r="D321" s="9" t="str">
        <f>IFERROR(__xludf.DUMMYFUNCTION("GOOGLETRANSLATE($A321,""en"",""fr"")"),"Kandahar")</f>
        <v>Kandahar</v>
      </c>
      <c r="E321" s="9" t="str">
        <f>IFERROR(__xludf.DUMMYFUNCTION("GOOGLETRANSLATE($A321,""en"",""es"")"),"Kandahar")</f>
        <v>Kandahar</v>
      </c>
      <c r="F321" s="9" t="str">
        <f>IFERROR(__xludf.DUMMYFUNCTION("GOOGLETRANSLATE($A321,""en"",""it"")"),"Kandahar")</f>
        <v>Kandahar</v>
      </c>
      <c r="G321" s="9" t="str">
        <f>IFERROR(__xludf.DUMMYFUNCTION("GOOGLETRANSLATE($A321,""en"",""zh-cn"")"),"坎大哈")</f>
        <v>坎大哈</v>
      </c>
      <c r="H321" s="9" t="str">
        <f>IFERROR(__xludf.DUMMYFUNCTION("GOOGLETRANSLATE($A321,""en"",""ja"")"),"カンダハール")</f>
        <v>カンダハール</v>
      </c>
      <c r="I321" s="9" t="str">
        <f>IFERROR(__xludf.DUMMYFUNCTION("GOOGLETRANSLATE($A321,""en"",""ko"")"),"칸다하르")</f>
        <v>칸다하르</v>
      </c>
      <c r="J321" s="9" t="str">
        <f>IFERROR(__xludf.DUMMYFUNCTION("GOOGLETRANSLATE($A321,""en"",""pt-BR"")"),"Kandahar")</f>
        <v>Kandahar</v>
      </c>
    </row>
    <row r="322">
      <c r="A322" s="9" t="str">
        <f>IFERROR(__xludf.DUMMYFUNCTION("""COMPUTED_VALUE"""),"Laghmān")</f>
        <v>Laghmān</v>
      </c>
      <c r="B322" s="9" t="str">
        <f>IFERROR(__xludf.DUMMYFUNCTION("""COMPUTED_VALUE"""),"af-lag")</f>
        <v>af-lag</v>
      </c>
      <c r="C322" s="9" t="str">
        <f>IFERROR(__xludf.DUMMYFUNCTION("GOOGLETRANSLATE($A322,""en"",""de"")"),"Laghman")</f>
        <v>Laghman</v>
      </c>
      <c r="D322" s="9" t="str">
        <f>IFERROR(__xludf.DUMMYFUNCTION("GOOGLETRANSLATE($A322,""en"",""fr"")"),"Laghman")</f>
        <v>Laghman</v>
      </c>
      <c r="E322" s="9" t="str">
        <f>IFERROR(__xludf.DUMMYFUNCTION("GOOGLETRANSLATE($A322,""en"",""es"")"),"Laghman")</f>
        <v>Laghman</v>
      </c>
      <c r="F322" s="9" t="str">
        <f>IFERROR(__xludf.DUMMYFUNCTION("GOOGLETRANSLATE($A322,""en"",""it"")"),"Laghman")</f>
        <v>Laghman</v>
      </c>
      <c r="G322" s="9" t="str">
        <f>IFERROR(__xludf.DUMMYFUNCTION("GOOGLETRANSLATE($A322,""en"",""zh-cn"")"),"拉格曼")</f>
        <v>拉格曼</v>
      </c>
      <c r="H322" s="9" t="str">
        <f>IFERROR(__xludf.DUMMYFUNCTION("GOOGLETRANSLATE($A322,""en"",""ja"")"),"ラグマン")</f>
        <v>ラグマン</v>
      </c>
      <c r="I322" s="9" t="str">
        <f>IFERROR(__xludf.DUMMYFUNCTION("GOOGLETRANSLATE($A322,""en"",""ko"")"),"라그만")</f>
        <v>라그만</v>
      </c>
      <c r="J322" s="9" t="str">
        <f>IFERROR(__xludf.DUMMYFUNCTION("GOOGLETRANSLATE($A322,""en"",""pt-BR"")"),"Laghman")</f>
        <v>Laghman</v>
      </c>
    </row>
    <row r="323">
      <c r="A323" s="9" t="str">
        <f>IFERROR(__xludf.DUMMYFUNCTION("""COMPUTED_VALUE"""),"Paktīkā")</f>
        <v>Paktīkā</v>
      </c>
      <c r="B323" s="9" t="str">
        <f>IFERROR(__xludf.DUMMYFUNCTION("""COMPUTED_VALUE"""),"af-pka")</f>
        <v>af-pka</v>
      </c>
      <c r="C323" s="9" t="str">
        <f>IFERROR(__xludf.DUMMYFUNCTION("GOOGLETRANSLATE($A323,""en"",""de"")"),"Paktikā")</f>
        <v>Paktikā</v>
      </c>
      <c r="D323" s="9" t="str">
        <f>IFERROR(__xludf.DUMMYFUNCTION("GOOGLETRANSLATE($A323,""en"",""fr"")"),"Paktika")</f>
        <v>Paktika</v>
      </c>
      <c r="E323" s="9" t="str">
        <f>IFERROR(__xludf.DUMMYFUNCTION("GOOGLETRANSLATE($A323,""en"",""es"")"),"Paktika")</f>
        <v>Paktika</v>
      </c>
      <c r="F323" s="9" t="str">
        <f>IFERROR(__xludf.DUMMYFUNCTION("GOOGLETRANSLATE($A323,""en"",""it"")"),"Paktika")</f>
        <v>Paktika</v>
      </c>
      <c r="G323" s="9" t="str">
        <f>IFERROR(__xludf.DUMMYFUNCTION("GOOGLETRANSLATE($A323,""en"",""zh-cn"")"),"帕克提卡")</f>
        <v>帕克提卡</v>
      </c>
      <c r="H323" s="9" t="str">
        <f>IFERROR(__xludf.DUMMYFUNCTION("GOOGLETRANSLATE($A323,""en"",""ja"")"),"パクティカ")</f>
        <v>パクティカ</v>
      </c>
      <c r="I323" s="9" t="str">
        <f>IFERROR(__xludf.DUMMYFUNCTION("GOOGLETRANSLATE($A323,""en"",""ko"")"),"팍티카")</f>
        <v>팍티카</v>
      </c>
      <c r="J323" s="9" t="str">
        <f>IFERROR(__xludf.DUMMYFUNCTION("GOOGLETRANSLATE($A323,""en"",""pt-BR"")"),"Paktika")</f>
        <v>Paktika</v>
      </c>
    </row>
    <row r="324">
      <c r="A324" s="9" t="str">
        <f>IFERROR(__xludf.DUMMYFUNCTION("""COMPUTED_VALUE"""),"Uruzgān")</f>
        <v>Uruzgān</v>
      </c>
      <c r="B324" s="9" t="str">
        <f>IFERROR(__xludf.DUMMYFUNCTION("""COMPUTED_VALUE"""),"af-uru")</f>
        <v>af-uru</v>
      </c>
      <c r="C324" s="9" t="str">
        <f>IFERROR(__xludf.DUMMYFUNCTION("GOOGLETRANSLATE($A324,""en"",""de"")"),"Uruzgān")</f>
        <v>Uruzgān</v>
      </c>
      <c r="D324" s="9" t="str">
        <f>IFERROR(__xludf.DUMMYFUNCTION("GOOGLETRANSLATE($A324,""en"",""fr"")"),"Uruzgan")</f>
        <v>Uruzgan</v>
      </c>
      <c r="E324" s="9" t="str">
        <f>IFERROR(__xludf.DUMMYFUNCTION("GOOGLETRANSLATE($A324,""en"",""es"")"),"Uruzgan")</f>
        <v>Uruzgan</v>
      </c>
      <c r="F324" s="9" t="str">
        <f>IFERROR(__xludf.DUMMYFUNCTION("GOOGLETRANSLATE($A324,""en"",""it"")"),"Uruzgan")</f>
        <v>Uruzgan</v>
      </c>
      <c r="G324" s="9" t="str">
        <f>IFERROR(__xludf.DUMMYFUNCTION("GOOGLETRANSLATE($A324,""en"",""zh-cn"")"),"乌鲁兹甘")</f>
        <v>乌鲁兹甘</v>
      </c>
      <c r="H324" s="9" t="str">
        <f>IFERROR(__xludf.DUMMYFUNCTION("GOOGLETRANSLATE($A324,""en"",""ja"")"),"ウルズガーン")</f>
        <v>ウルズガーン</v>
      </c>
      <c r="I324" s="9" t="str">
        <f>IFERROR(__xludf.DUMMYFUNCTION("GOOGLETRANSLATE($A324,""en"",""ko"")"),"우루즈간")</f>
        <v>우루즈간</v>
      </c>
      <c r="J324" s="9" t="str">
        <f>IFERROR(__xludf.DUMMYFUNCTION("GOOGLETRANSLATE($A324,""en"",""pt-BR"")"),"Uruzgan")</f>
        <v>Uruzgan</v>
      </c>
    </row>
    <row r="325">
      <c r="A325" s="9" t="str">
        <f>IFERROR(__xludf.DUMMYFUNCTION("""COMPUTED_VALUE"""),"Herāt")</f>
        <v>Herāt</v>
      </c>
      <c r="B325" s="9" t="str">
        <f>IFERROR(__xludf.DUMMYFUNCTION("""COMPUTED_VALUE"""),"af-her")</f>
        <v>af-her</v>
      </c>
      <c r="C325" s="9" t="str">
        <f>IFERROR(__xludf.DUMMYFUNCTION("GOOGLETRANSLATE($A325,""en"",""de"")"),"Herat")</f>
        <v>Herat</v>
      </c>
      <c r="D325" s="9" t="str">
        <f>IFERROR(__xludf.DUMMYFUNCTION("GOOGLETRANSLATE($A325,""en"",""fr"")"),"Hérat")</f>
        <v>Hérat</v>
      </c>
      <c r="E325" s="9" t="str">
        <f>IFERROR(__xludf.DUMMYFUNCTION("GOOGLETRANSLATE($A325,""en"",""es"")"),"Herāt")</f>
        <v>Herāt</v>
      </c>
      <c r="F325" s="9" t="str">
        <f>IFERROR(__xludf.DUMMYFUNCTION("GOOGLETRANSLATE($A325,""en"",""it"")"),"Herāt")</f>
        <v>Herāt</v>
      </c>
      <c r="G325" s="9" t="str">
        <f>IFERROR(__xludf.DUMMYFUNCTION("GOOGLETRANSLATE($A325,""en"",""zh-cn"")"),"赫拉特")</f>
        <v>赫拉特</v>
      </c>
      <c r="H325" s="9" t="str">
        <f>IFERROR(__xludf.DUMMYFUNCTION("GOOGLETRANSLATE($A325,""en"",""ja"")"),"ヘラート")</f>
        <v>ヘラート</v>
      </c>
      <c r="I325" s="9" t="str">
        <f>IFERROR(__xludf.DUMMYFUNCTION("GOOGLETRANSLATE($A325,""en"",""ko"")"),"헤라트")</f>
        <v>헤라트</v>
      </c>
      <c r="J325" s="9" t="str">
        <f>IFERROR(__xludf.DUMMYFUNCTION("GOOGLETRANSLATE($A325,""en"",""pt-BR"")"),"Herat")</f>
        <v>Herat</v>
      </c>
    </row>
    <row r="326">
      <c r="A326" s="9" t="str">
        <f>IFERROR(__xludf.DUMMYFUNCTION("""COMPUTED_VALUE"""),"Panjshir")</f>
        <v>Panjshir</v>
      </c>
      <c r="B326" s="9" t="str">
        <f>IFERROR(__xludf.DUMMYFUNCTION("""COMPUTED_VALUE"""),"af-pan")</f>
        <v>af-pan</v>
      </c>
      <c r="C326" s="9" t="str">
        <f>IFERROR(__xludf.DUMMYFUNCTION("GOOGLETRANSLATE($A326,""en"",""de"")"),"Panjshir")</f>
        <v>Panjshir</v>
      </c>
      <c r="D326" s="9" t="str">
        <f>IFERROR(__xludf.DUMMYFUNCTION("GOOGLETRANSLATE($A326,""en"",""fr"")"),"Panjshir")</f>
        <v>Panjshir</v>
      </c>
      <c r="E326" s="9" t="str">
        <f>IFERROR(__xludf.DUMMYFUNCTION("GOOGLETRANSLATE($A326,""en"",""es"")"),"Panjshir")</f>
        <v>Panjshir</v>
      </c>
      <c r="F326" s="9" t="str">
        <f>IFERROR(__xludf.DUMMYFUNCTION("GOOGLETRANSLATE($A326,""en"",""it"")"),"Panshir")</f>
        <v>Panshir</v>
      </c>
      <c r="G326" s="9" t="str">
        <f>IFERROR(__xludf.DUMMYFUNCTION("GOOGLETRANSLATE($A326,""en"",""zh-cn"")"),"潘杰希尔")</f>
        <v>潘杰希尔</v>
      </c>
      <c r="H326" s="9" t="str">
        <f>IFERROR(__xludf.DUMMYFUNCTION("GOOGLETRANSLATE($A326,""en"",""ja"")"),"パンジシール")</f>
        <v>パンジシール</v>
      </c>
      <c r="I326" s="9" t="str">
        <f>IFERROR(__xludf.DUMMYFUNCTION("GOOGLETRANSLATE($A326,""en"",""ko"")"),"판시르")</f>
        <v>판시르</v>
      </c>
      <c r="J326" s="9" t="str">
        <f>IFERROR(__xludf.DUMMYFUNCTION("GOOGLETRANSLATE($A326,""en"",""pt-BR"")"),"Panjshir")</f>
        <v>Panjshir</v>
      </c>
    </row>
    <row r="327">
      <c r="A327" s="9" t="str">
        <f>IFERROR(__xludf.DUMMYFUNCTION("""COMPUTED_VALUE"""),"Dāykundi")</f>
        <v>Dāykundi</v>
      </c>
      <c r="B327" s="9" t="str">
        <f>IFERROR(__xludf.DUMMYFUNCTION("""COMPUTED_VALUE"""),"af-day")</f>
        <v>af-day</v>
      </c>
      <c r="C327" s="9" t="str">
        <f>IFERROR(__xludf.DUMMYFUNCTION("GOOGLETRANSLATE($A327,""en"",""de"")"),"Daykundi")</f>
        <v>Daykundi</v>
      </c>
      <c r="D327" s="9" t="str">
        <f>IFERROR(__xludf.DUMMYFUNCTION("GOOGLETRANSLATE($A327,""en"",""fr"")"),"Daykundi")</f>
        <v>Daykundi</v>
      </c>
      <c r="E327" s="9" t="str">
        <f>IFERROR(__xludf.DUMMYFUNCTION("GOOGLETRANSLATE($A327,""en"",""es"")"),"Daykundi")</f>
        <v>Daykundi</v>
      </c>
      <c r="F327" s="9" t="str">
        <f>IFERROR(__xludf.DUMMYFUNCTION("GOOGLETRANSLATE($A327,""en"",""it"")"),"Daykundi")</f>
        <v>Daykundi</v>
      </c>
      <c r="G327" s="9" t="str">
        <f>IFERROR(__xludf.DUMMYFUNCTION("GOOGLETRANSLATE($A327,""en"",""zh-cn"")"),"达昆迪")</f>
        <v>达昆迪</v>
      </c>
      <c r="H327" s="9" t="str">
        <f>IFERROR(__xludf.DUMMYFUNCTION("GOOGLETRANSLATE($A327,""en"",""ja"")"),"ダイクンディ")</f>
        <v>ダイクンディ</v>
      </c>
      <c r="I327" s="9" t="str">
        <f>IFERROR(__xludf.DUMMYFUNCTION("GOOGLETRANSLATE($A327,""en"",""ko"")"),"다이쿤디")</f>
        <v>다이쿤디</v>
      </c>
      <c r="J327" s="9" t="str">
        <f>IFERROR(__xludf.DUMMYFUNCTION("GOOGLETRANSLATE($A327,""en"",""pt-BR"")"),"Daykundi")</f>
        <v>Daykundi</v>
      </c>
    </row>
    <row r="328">
      <c r="A328" s="9" t="str">
        <f>IFERROR(__xludf.DUMMYFUNCTION("""COMPUTED_VALUE"""),"Farāh")</f>
        <v>Farāh</v>
      </c>
      <c r="B328" s="9" t="str">
        <f>IFERROR(__xludf.DUMMYFUNCTION("""COMPUTED_VALUE"""),"af-fra")</f>
        <v>af-fra</v>
      </c>
      <c r="C328" s="9" t="str">
        <f>IFERROR(__xludf.DUMMYFUNCTION("GOOGLETRANSLATE($A328,""en"",""de"")"),"Farah")</f>
        <v>Farah</v>
      </c>
      <c r="D328" s="9" t="str">
        <f>IFERROR(__xludf.DUMMYFUNCTION("GOOGLETRANSLATE($A328,""en"",""fr"")"),"Farah")</f>
        <v>Farah</v>
      </c>
      <c r="E328" s="9" t="str">
        <f>IFERROR(__xludf.DUMMYFUNCTION("GOOGLETRANSLATE($A328,""en"",""es"")"),"Farah")</f>
        <v>Farah</v>
      </c>
      <c r="F328" s="9" t="str">
        <f>IFERROR(__xludf.DUMMYFUNCTION("GOOGLETRANSLATE($A328,""en"",""it"")"),"Farah")</f>
        <v>Farah</v>
      </c>
      <c r="G328" s="9" t="str">
        <f>IFERROR(__xludf.DUMMYFUNCTION("GOOGLETRANSLATE($A328,""en"",""zh-cn"")"),"法拉赫")</f>
        <v>法拉赫</v>
      </c>
      <c r="H328" s="9" t="str">
        <f>IFERROR(__xludf.DUMMYFUNCTION("GOOGLETRANSLATE($A328,""en"",""ja"")"),"ファラー")</f>
        <v>ファラー</v>
      </c>
      <c r="I328" s="9" t="str">
        <f>IFERROR(__xludf.DUMMYFUNCTION("GOOGLETRANSLATE($A328,""en"",""ko"")"),"파라")</f>
        <v>파라</v>
      </c>
      <c r="J328" s="9" t="str">
        <f>IFERROR(__xludf.DUMMYFUNCTION("GOOGLETRANSLATE($A328,""en"",""pt-BR"")"),"Farah")</f>
        <v>Farah</v>
      </c>
    </row>
    <row r="329">
      <c r="A329" s="9" t="str">
        <f>IFERROR(__xludf.DUMMYFUNCTION("""COMPUTED_VALUE"""),"Baghlān")</f>
        <v>Baghlān</v>
      </c>
      <c r="B329" s="9" t="str">
        <f>IFERROR(__xludf.DUMMYFUNCTION("""COMPUTED_VALUE"""),"af-bgl")</f>
        <v>af-bgl</v>
      </c>
      <c r="C329" s="9" t="str">
        <f>IFERROR(__xludf.DUMMYFUNCTION("GOOGLETRANSLATE($A329,""en"",""de"")"),"Baglan")</f>
        <v>Baglan</v>
      </c>
      <c r="D329" s="9" t="str">
        <f>IFERROR(__xludf.DUMMYFUNCTION("GOOGLETRANSLATE($A329,""en"",""fr"")"),"Baghlân")</f>
        <v>Baghlân</v>
      </c>
      <c r="E329" s="9" t="str">
        <f>IFERROR(__xludf.DUMMYFUNCTION("GOOGLETRANSLATE($A329,""en"",""es"")"),"Baghlān")</f>
        <v>Baghlān</v>
      </c>
      <c r="F329" s="9" t="str">
        <f>IFERROR(__xludf.DUMMYFUNCTION("GOOGLETRANSLATE($A329,""en"",""it"")"),"Baghlan")</f>
        <v>Baghlan</v>
      </c>
      <c r="G329" s="9" t="str">
        <f>IFERROR(__xludf.DUMMYFUNCTION("GOOGLETRANSLATE($A329,""en"",""zh-cn"")"),"巴格兰")</f>
        <v>巴格兰</v>
      </c>
      <c r="H329" s="9" t="str">
        <f>IFERROR(__xludf.DUMMYFUNCTION("GOOGLETRANSLATE($A329,""en"",""ja"")"),"バグラーン")</f>
        <v>バグラーン</v>
      </c>
      <c r="I329" s="9" t="str">
        <f>IFERROR(__xludf.DUMMYFUNCTION("GOOGLETRANSLATE($A329,""en"",""ko"")"),"바글란")</f>
        <v>바글란</v>
      </c>
      <c r="J329" s="9" t="str">
        <f>IFERROR(__xludf.DUMMYFUNCTION("GOOGLETRANSLATE($A329,""en"",""pt-BR"")"),"Baghlan")</f>
        <v>Baghlan</v>
      </c>
    </row>
    <row r="330">
      <c r="A330" s="9" t="str">
        <f>IFERROR(__xludf.DUMMYFUNCTION("""COMPUTED_VALUE"""),"Samangān")</f>
        <v>Samangān</v>
      </c>
      <c r="B330" s="9" t="str">
        <f>IFERROR(__xludf.DUMMYFUNCTION("""COMPUTED_VALUE"""),"af-sam")</f>
        <v>af-sam</v>
      </c>
      <c r="C330" s="9" t="str">
        <f>IFERROR(__xludf.DUMMYFUNCTION("GOOGLETRANSLATE($A330,""en"",""de"")"),"Samangān")</f>
        <v>Samangān</v>
      </c>
      <c r="D330" s="9" t="str">
        <f>IFERROR(__xludf.DUMMYFUNCTION("GOOGLETRANSLATE($A330,""en"",""fr"")"),"Samangan")</f>
        <v>Samangan</v>
      </c>
      <c r="E330" s="9" t="str">
        <f>IFERROR(__xludf.DUMMYFUNCTION("GOOGLETRANSLATE($A330,""en"",""es"")"),"samangan")</f>
        <v>samangan</v>
      </c>
      <c r="F330" s="9" t="str">
        <f>IFERROR(__xludf.DUMMYFUNCTION("GOOGLETRANSLATE($A330,""en"",""it"")"),"Samangan")</f>
        <v>Samangan</v>
      </c>
      <c r="G330" s="9" t="str">
        <f>IFERROR(__xludf.DUMMYFUNCTION("GOOGLETRANSLATE($A330,""en"",""zh-cn"")"),"萨曼甘")</f>
        <v>萨曼甘</v>
      </c>
      <c r="H330" s="9" t="str">
        <f>IFERROR(__xludf.DUMMYFUNCTION("GOOGLETRANSLATE($A330,""en"",""ja"")"),"サマンガン")</f>
        <v>サマンガン</v>
      </c>
      <c r="I330" s="9" t="str">
        <f>IFERROR(__xludf.DUMMYFUNCTION("GOOGLETRANSLATE($A330,""en"",""ko"")"),"사만간")</f>
        <v>사만간</v>
      </c>
      <c r="J330" s="9" t="str">
        <f>IFERROR(__xludf.DUMMYFUNCTION("GOOGLETRANSLATE($A330,""en"",""pt-BR"")"),"Samangan")</f>
        <v>Samangan</v>
      </c>
    </row>
    <row r="331">
      <c r="A331" s="9" t="str">
        <f>IFERROR(__xludf.DUMMYFUNCTION("""COMPUTED_VALUE"""),"Kunar")</f>
        <v>Kunar</v>
      </c>
      <c r="B331" s="9" t="str">
        <f>IFERROR(__xludf.DUMMYFUNCTION("""COMPUTED_VALUE"""),"af-knr")</f>
        <v>af-knr</v>
      </c>
      <c r="C331" s="9" t="str">
        <f>IFERROR(__xludf.DUMMYFUNCTION("GOOGLETRANSLATE($A331,""en"",""de"")"),"Kunar")</f>
        <v>Kunar</v>
      </c>
      <c r="D331" s="9" t="str">
        <f>IFERROR(__xludf.DUMMYFUNCTION("GOOGLETRANSLATE($A331,""en"",""fr"")"),"Kunar")</f>
        <v>Kunar</v>
      </c>
      <c r="E331" s="9" t="str">
        <f>IFERROR(__xludf.DUMMYFUNCTION("GOOGLETRANSLATE($A331,""en"",""es"")"),"Kunar")</f>
        <v>Kunar</v>
      </c>
      <c r="F331" s="9" t="str">
        <f>IFERROR(__xludf.DUMMYFUNCTION("GOOGLETRANSLATE($A331,""en"",""it"")"),"Kunar")</f>
        <v>Kunar</v>
      </c>
      <c r="G331" s="9" t="str">
        <f>IFERROR(__xludf.DUMMYFUNCTION("GOOGLETRANSLATE($A331,""en"",""zh-cn"")"),"库纳尔")</f>
        <v>库纳尔</v>
      </c>
      <c r="H331" s="9" t="str">
        <f>IFERROR(__xludf.DUMMYFUNCTION("GOOGLETRANSLATE($A331,""en"",""ja"")"),"クナール")</f>
        <v>クナール</v>
      </c>
      <c r="I331" s="9" t="str">
        <f>IFERROR(__xludf.DUMMYFUNCTION("GOOGLETRANSLATE($A331,""en"",""ko"")"),"쿠나르")</f>
        <v>쿠나르</v>
      </c>
      <c r="J331" s="9" t="str">
        <f>IFERROR(__xludf.DUMMYFUNCTION("GOOGLETRANSLATE($A331,""en"",""pt-BR"")"),"Kunar")</f>
        <v>Kunar</v>
      </c>
    </row>
    <row r="332">
      <c r="A332" s="9" t="str">
        <f>IFERROR(__xludf.DUMMYFUNCTION("""COMPUTED_VALUE"""),"Jowzjān")</f>
        <v>Jowzjān</v>
      </c>
      <c r="B332" s="9" t="str">
        <f>IFERROR(__xludf.DUMMYFUNCTION("""COMPUTED_VALUE"""),"af-jow")</f>
        <v>af-jow</v>
      </c>
      <c r="C332" s="9" t="str">
        <f>IFERROR(__xludf.DUMMYFUNCTION("GOOGLETRANSLATE($A332,""en"",""de"")"),"Jowzjān")</f>
        <v>Jowzjān</v>
      </c>
      <c r="D332" s="9" t="str">
        <f>IFERROR(__xludf.DUMMYFUNCTION("GOOGLETRANSLATE($A332,""en"",""fr"")"),"Jowzjan")</f>
        <v>Jowzjan</v>
      </c>
      <c r="E332" s="9" t="str">
        <f>IFERROR(__xludf.DUMMYFUNCTION("GOOGLETRANSLATE($A332,""en"",""es"")"),"jowzjan")</f>
        <v>jowzjan</v>
      </c>
      <c r="F332" s="9" t="str">
        <f>IFERROR(__xludf.DUMMYFUNCTION("GOOGLETRANSLATE($A332,""en"",""it"")"),"Jowzjan")</f>
        <v>Jowzjan</v>
      </c>
      <c r="G332" s="9" t="str">
        <f>IFERROR(__xludf.DUMMYFUNCTION("GOOGLETRANSLATE($A332,""en"",""zh-cn"")"),"乔兹詹")</f>
        <v>乔兹詹</v>
      </c>
      <c r="H332" s="9" t="str">
        <f>IFERROR(__xludf.DUMMYFUNCTION("GOOGLETRANSLATE($A332,""en"",""ja"")"),"ジョウジャーン")</f>
        <v>ジョウジャーン</v>
      </c>
      <c r="I332" s="9" t="str">
        <f>IFERROR(__xludf.DUMMYFUNCTION("GOOGLETRANSLATE($A332,""en"",""ko"")"),"조잔")</f>
        <v>조잔</v>
      </c>
      <c r="J332" s="9" t="str">
        <f>IFERROR(__xludf.DUMMYFUNCTION("GOOGLETRANSLATE($A332,""en"",""pt-BR"")"),"Jowzjan")</f>
        <v>Jowzjan</v>
      </c>
    </row>
    <row r="333">
      <c r="A333" s="9" t="str">
        <f>IFERROR(__xludf.DUMMYFUNCTION("""COMPUTED_VALUE"""),"Nangarhār")</f>
        <v>Nangarhār</v>
      </c>
      <c r="B333" s="9" t="str">
        <f>IFERROR(__xludf.DUMMYFUNCTION("""COMPUTED_VALUE"""),"af-nan")</f>
        <v>af-nan</v>
      </c>
      <c r="C333" s="9" t="str">
        <f>IFERROR(__xludf.DUMMYFUNCTION("GOOGLETRANSLATE($A333,""en"",""de"")"),"Nangarhar")</f>
        <v>Nangarhar</v>
      </c>
      <c r="D333" s="9" t="str">
        <f>IFERROR(__xludf.DUMMYFUNCTION("GOOGLETRANSLATE($A333,""en"",""fr"")"),"Nangarhar")</f>
        <v>Nangarhar</v>
      </c>
      <c r="E333" s="9" t="str">
        <f>IFERROR(__xludf.DUMMYFUNCTION("GOOGLETRANSLATE($A333,""en"",""es"")"),"Nangarhar")</f>
        <v>Nangarhar</v>
      </c>
      <c r="F333" s="9" t="str">
        <f>IFERROR(__xludf.DUMMYFUNCTION("GOOGLETRANSLATE($A333,""en"",""it"")"),"Nangarhār")</f>
        <v>Nangarhār</v>
      </c>
      <c r="G333" s="9" t="str">
        <f>IFERROR(__xludf.DUMMYFUNCTION("GOOGLETRANSLATE($A333,""en"",""zh-cn"")"),"楠格哈尔邦")</f>
        <v>楠格哈尔邦</v>
      </c>
      <c r="H333" s="9" t="str">
        <f>IFERROR(__xludf.DUMMYFUNCTION("GOOGLETRANSLATE($A333,""en"",""ja"")"),"ナンガルハール")</f>
        <v>ナンガルハール</v>
      </c>
      <c r="I333" s="9" t="str">
        <f>IFERROR(__xludf.DUMMYFUNCTION("GOOGLETRANSLATE($A333,""en"",""ko"")"),"낭가르하르")</f>
        <v>낭가르하르</v>
      </c>
      <c r="J333" s="9" t="str">
        <f>IFERROR(__xludf.DUMMYFUNCTION("GOOGLETRANSLATE($A333,""en"",""pt-BR"")"),"Nangarhar")</f>
        <v>Nangarhar</v>
      </c>
    </row>
    <row r="334">
      <c r="A334" s="9" t="str">
        <f>IFERROR(__xludf.DUMMYFUNCTION("""COMPUTED_VALUE"""),"Takhār")</f>
        <v>Takhār</v>
      </c>
      <c r="B334" s="9" t="str">
        <f>IFERROR(__xludf.DUMMYFUNCTION("""COMPUTED_VALUE"""),"af-tak")</f>
        <v>af-tak</v>
      </c>
      <c r="C334" s="9" t="str">
        <f>IFERROR(__xludf.DUMMYFUNCTION("GOOGLETRANSLATE($A334,""en"",""de"")"),"Takhar")</f>
        <v>Takhar</v>
      </c>
      <c r="D334" s="9" t="str">
        <f>IFERROR(__xludf.DUMMYFUNCTION("GOOGLETRANSLATE($A334,""en"",""fr"")"),"Takhar")</f>
        <v>Takhar</v>
      </c>
      <c r="E334" s="9" t="str">
        <f>IFERROR(__xludf.DUMMYFUNCTION("GOOGLETRANSLATE($A334,""en"",""es"")"),"Takhār")</f>
        <v>Takhār</v>
      </c>
      <c r="F334" s="9" t="str">
        <f>IFERROR(__xludf.DUMMYFUNCTION("GOOGLETRANSLATE($A334,""en"",""it"")"),"Takhar")</f>
        <v>Takhar</v>
      </c>
      <c r="G334" s="9" t="str">
        <f>IFERROR(__xludf.DUMMYFUNCTION("GOOGLETRANSLATE($A334,""en"",""zh-cn"")"),"塔卡")</f>
        <v>塔卡</v>
      </c>
      <c r="H334" s="9" t="str">
        <f>IFERROR(__xludf.DUMMYFUNCTION("GOOGLETRANSLATE($A334,""en"",""ja"")"),"タカハル")</f>
        <v>タカハル</v>
      </c>
      <c r="I334" s="9" t="str">
        <f>IFERROR(__xludf.DUMMYFUNCTION("GOOGLETRANSLATE($A334,""en"",""ko"")"),"타카르")</f>
        <v>타카르</v>
      </c>
      <c r="J334" s="9" t="str">
        <f>IFERROR(__xludf.DUMMYFUNCTION("GOOGLETRANSLATE($A334,""en"",""pt-BR"")"),"Takhar")</f>
        <v>Takhar</v>
      </c>
    </row>
    <row r="335">
      <c r="A335" s="9" t="str">
        <f>IFERROR(__xludf.DUMMYFUNCTION("""COMPUTED_VALUE"""),"Kāpīsā")</f>
        <v>Kāpīsā</v>
      </c>
      <c r="B335" s="9" t="str">
        <f>IFERROR(__xludf.DUMMYFUNCTION("""COMPUTED_VALUE"""),"af-kap")</f>
        <v>af-kap</v>
      </c>
      <c r="C335" s="9" t="str">
        <f>IFERROR(__xludf.DUMMYFUNCTION("GOOGLETRANSLATE($A335,""en"",""de"")"),"Kāpīsā")</f>
        <v>Kāpīsā</v>
      </c>
      <c r="D335" s="9" t="str">
        <f>IFERROR(__xludf.DUMMYFUNCTION("GOOGLETRANSLATE($A335,""en"",""fr"")"),"Kapisa")</f>
        <v>Kapisa</v>
      </c>
      <c r="E335" s="9" t="str">
        <f>IFERROR(__xludf.DUMMYFUNCTION("GOOGLETRANSLATE($A335,""en"",""es"")"),"kāpisā")</f>
        <v>kāpisā</v>
      </c>
      <c r="F335" s="9" t="str">
        <f>IFERROR(__xludf.DUMMYFUNCTION("GOOGLETRANSLATE($A335,""en"",""it"")"),"Kapisa")</f>
        <v>Kapisa</v>
      </c>
      <c r="G335" s="9" t="str">
        <f>IFERROR(__xludf.DUMMYFUNCTION("GOOGLETRANSLATE($A335,""en"",""zh-cn"")"),"卡皮萨")</f>
        <v>卡皮萨</v>
      </c>
      <c r="H335" s="9" t="str">
        <f>IFERROR(__xludf.DUMMYFUNCTION("GOOGLETRANSLATE($A335,""en"",""ja"")"),"カピサー")</f>
        <v>カピサー</v>
      </c>
      <c r="I335" s="9" t="str">
        <f>IFERROR(__xludf.DUMMYFUNCTION("GOOGLETRANSLATE($A335,""en"",""ko"")"),"카피사")</f>
        <v>카피사</v>
      </c>
      <c r="J335" s="9" t="str">
        <f>IFERROR(__xludf.DUMMYFUNCTION("GOOGLETRANSLATE($A335,""en"",""pt-BR"")"),"Kapisa")</f>
        <v>Kapisa</v>
      </c>
    </row>
    <row r="336">
      <c r="A336" s="9" t="str">
        <f>IFERROR(__xludf.DUMMYFUNCTION("""COMPUTED_VALUE"""),"Nūristān")</f>
        <v>Nūristān</v>
      </c>
      <c r="B336" s="9" t="str">
        <f>IFERROR(__xludf.DUMMYFUNCTION("""COMPUTED_VALUE"""),"af-nur")</f>
        <v>af-nur</v>
      </c>
      <c r="C336" s="9" t="str">
        <f>IFERROR(__xludf.DUMMYFUNCTION("GOOGLETRANSLATE($A336,""en"",""de"")"),"Nūristan")</f>
        <v>Nūristan</v>
      </c>
      <c r="D336" s="9" t="str">
        <f>IFERROR(__xludf.DUMMYFUNCTION("GOOGLETRANSLATE($A336,""en"",""fr"")"),"Nouristan")</f>
        <v>Nouristan</v>
      </c>
      <c r="E336" s="9" t="str">
        <f>IFERROR(__xludf.DUMMYFUNCTION("GOOGLETRANSLATE($A336,""en"",""es"")"),"Nuristán")</f>
        <v>Nuristán</v>
      </c>
      <c r="F336" s="9" t="str">
        <f>IFERROR(__xludf.DUMMYFUNCTION("GOOGLETRANSLATE($A336,""en"",""it"")"),"Nūristan")</f>
        <v>Nūristan</v>
      </c>
      <c r="G336" s="9" t="str">
        <f>IFERROR(__xludf.DUMMYFUNCTION("GOOGLETRANSLATE($A336,""en"",""zh-cn"")"),"努里斯坦")</f>
        <v>努里斯坦</v>
      </c>
      <c r="H336" s="9" t="str">
        <f>IFERROR(__xludf.DUMMYFUNCTION("GOOGLETRANSLATE($A336,""en"",""ja"")"),"ヌーリスタン")</f>
        <v>ヌーリスタン</v>
      </c>
      <c r="I336" s="9" t="str">
        <f>IFERROR(__xludf.DUMMYFUNCTION("GOOGLETRANSLATE($A336,""en"",""ko"")"),"누리스탄")</f>
        <v>누리스탄</v>
      </c>
      <c r="J336" s="9" t="str">
        <f>IFERROR(__xludf.DUMMYFUNCTION("GOOGLETRANSLATE($A336,""en"",""pt-BR"")"),"Nuristão")</f>
        <v>Nuristão</v>
      </c>
    </row>
    <row r="337">
      <c r="A337" s="9" t="str">
        <f>IFERROR(__xludf.DUMMYFUNCTION("""COMPUTED_VALUE"""),"Wardak")</f>
        <v>Wardak</v>
      </c>
      <c r="B337" s="9" t="str">
        <f>IFERROR(__xludf.DUMMYFUNCTION("""COMPUTED_VALUE"""),"af-war")</f>
        <v>af-war</v>
      </c>
      <c r="C337" s="9" t="str">
        <f>IFERROR(__xludf.DUMMYFUNCTION("GOOGLETRANSLATE($A337,""en"",""de"")"),"Wardak")</f>
        <v>Wardak</v>
      </c>
      <c r="D337" s="9" t="str">
        <f>IFERROR(__xludf.DUMMYFUNCTION("GOOGLETRANSLATE($A337,""en"",""fr"")"),"Wardak")</f>
        <v>Wardak</v>
      </c>
      <c r="E337" s="9" t="str">
        <f>IFERROR(__xludf.DUMMYFUNCTION("GOOGLETRANSLATE($A337,""en"",""es"")"),"Wardak")</f>
        <v>Wardak</v>
      </c>
      <c r="F337" s="9" t="str">
        <f>IFERROR(__xludf.DUMMYFUNCTION("GOOGLETRANSLATE($A337,""en"",""it"")"),"Wardak")</f>
        <v>Wardak</v>
      </c>
      <c r="G337" s="9" t="str">
        <f>IFERROR(__xludf.DUMMYFUNCTION("GOOGLETRANSLATE($A337,""en"",""zh-cn"")"),"瓦尔达克")</f>
        <v>瓦尔达克</v>
      </c>
      <c r="H337" s="9" t="str">
        <f>IFERROR(__xludf.DUMMYFUNCTION("GOOGLETRANSLATE($A337,""en"",""ja"")"),"ワルダック")</f>
        <v>ワルダック</v>
      </c>
      <c r="I337" s="9" t="str">
        <f>IFERROR(__xludf.DUMMYFUNCTION("GOOGLETRANSLATE($A337,""en"",""ko"")"),"워닥")</f>
        <v>워닥</v>
      </c>
      <c r="J337" s="9" t="str">
        <f>IFERROR(__xludf.DUMMYFUNCTION("GOOGLETRANSLATE($A337,""en"",""pt-BR"")"),"Wardak")</f>
        <v>Wardak</v>
      </c>
    </row>
    <row r="338">
      <c r="A338" s="9" t="str">
        <f>IFERROR(__xludf.DUMMYFUNCTION("""COMPUTED_VALUE"""),"Badakhshān")</f>
        <v>Badakhshān</v>
      </c>
      <c r="B338" s="9" t="str">
        <f>IFERROR(__xludf.DUMMYFUNCTION("""COMPUTED_VALUE"""),"af-bds")</f>
        <v>af-bds</v>
      </c>
      <c r="C338" s="9" t="str">
        <f>IFERROR(__xludf.DUMMYFUNCTION("GOOGLETRANSLATE($A338,""en"",""de"")"),"Badachschan")</f>
        <v>Badachschan</v>
      </c>
      <c r="D338" s="9" t="str">
        <f>IFERROR(__xludf.DUMMYFUNCTION("GOOGLETRANSLATE($A338,""en"",""fr"")"),"Badakhshan")</f>
        <v>Badakhshan</v>
      </c>
      <c r="E338" s="9" t="str">
        <f>IFERROR(__xludf.DUMMYFUNCTION("GOOGLETRANSLATE($A338,""en"",""es"")"),"Badakhshān")</f>
        <v>Badakhshān</v>
      </c>
      <c r="F338" s="9" t="str">
        <f>IFERROR(__xludf.DUMMYFUNCTION("GOOGLETRANSLATE($A338,""en"",""it"")"),"Badakhshan")</f>
        <v>Badakhshan</v>
      </c>
      <c r="G338" s="9" t="str">
        <f>IFERROR(__xludf.DUMMYFUNCTION("GOOGLETRANSLATE($A338,""en"",""zh-cn"")"),"巴达赫尚")</f>
        <v>巴达赫尚</v>
      </c>
      <c r="H338" s="9" t="str">
        <f>IFERROR(__xludf.DUMMYFUNCTION("GOOGLETRANSLATE($A338,""en"",""ja"")"),"バダフシャン")</f>
        <v>バダフシャン</v>
      </c>
      <c r="I338" s="9" t="str">
        <f>IFERROR(__xludf.DUMMYFUNCTION("GOOGLETRANSLATE($A338,""en"",""ko"")"),"바다흐샨")</f>
        <v>바다흐샨</v>
      </c>
      <c r="J338" s="9" t="str">
        <f>IFERROR(__xludf.DUMMYFUNCTION("GOOGLETRANSLATE($A338,""en"",""pt-BR"")"),"Badakhshan")</f>
        <v>Badakhshan</v>
      </c>
    </row>
    <row r="339">
      <c r="A339" s="9" t="str">
        <f>IFERROR(__xludf.DUMMYFUNCTION("""COMPUTED_VALUE"""),"Helmand")</f>
        <v>Helmand</v>
      </c>
      <c r="B339" s="9" t="str">
        <f>IFERROR(__xludf.DUMMYFUNCTION("""COMPUTED_VALUE"""),"af-hel")</f>
        <v>af-hel</v>
      </c>
      <c r="C339" s="9" t="str">
        <f>IFERROR(__xludf.DUMMYFUNCTION("GOOGLETRANSLATE($A339,""en"",""de"")"),"Helmand")</f>
        <v>Helmand</v>
      </c>
      <c r="D339" s="9" t="str">
        <f>IFERROR(__xludf.DUMMYFUNCTION("GOOGLETRANSLATE($A339,""en"",""fr"")"),"Helmand")</f>
        <v>Helmand</v>
      </c>
      <c r="E339" s="9" t="str">
        <f>IFERROR(__xludf.DUMMYFUNCTION("GOOGLETRANSLATE($A339,""en"",""es"")"),"Helmand")</f>
        <v>Helmand</v>
      </c>
      <c r="F339" s="9" t="str">
        <f>IFERROR(__xludf.DUMMYFUNCTION("GOOGLETRANSLATE($A339,""en"",""it"")"),"Helmand")</f>
        <v>Helmand</v>
      </c>
      <c r="G339" s="9" t="str">
        <f>IFERROR(__xludf.DUMMYFUNCTION("GOOGLETRANSLATE($A339,""en"",""zh-cn"")"),"赫尔曼德")</f>
        <v>赫尔曼德</v>
      </c>
      <c r="H339" s="9" t="str">
        <f>IFERROR(__xludf.DUMMYFUNCTION("GOOGLETRANSLATE($A339,""en"",""ja"")"),"ヘルマンド")</f>
        <v>ヘルマンド</v>
      </c>
      <c r="I339" s="9" t="str">
        <f>IFERROR(__xludf.DUMMYFUNCTION("GOOGLETRANSLATE($A339,""en"",""ko"")"),"헬만드")</f>
        <v>헬만드</v>
      </c>
      <c r="J339" s="9" t="str">
        <f>IFERROR(__xludf.DUMMYFUNCTION("GOOGLETRANSLATE($A339,""en"",""pt-BR"")"),"Helmand")</f>
        <v>Helmand</v>
      </c>
    </row>
    <row r="340">
      <c r="A340" s="9" t="str">
        <f>IFERROR(__xludf.DUMMYFUNCTION("""COMPUTED_VALUE"""),"Paktia")</f>
        <v>Paktia</v>
      </c>
      <c r="B340" s="9" t="str">
        <f>IFERROR(__xludf.DUMMYFUNCTION("""COMPUTED_VALUE"""),"af-pia")</f>
        <v>af-pia</v>
      </c>
      <c r="C340" s="9" t="str">
        <f>IFERROR(__xludf.DUMMYFUNCTION("GOOGLETRANSLATE($A340,""en"",""de"")"),"Paktia")</f>
        <v>Paktia</v>
      </c>
      <c r="D340" s="9" t="str">
        <f>IFERROR(__xludf.DUMMYFUNCTION("GOOGLETRANSLATE($A340,""en"",""fr"")"),"Paktiya")</f>
        <v>Paktiya</v>
      </c>
      <c r="E340" s="9" t="str">
        <f>IFERROR(__xludf.DUMMYFUNCTION("GOOGLETRANSLATE($A340,""en"",""es"")"),"paktia")</f>
        <v>paktia</v>
      </c>
      <c r="F340" s="9" t="str">
        <f>IFERROR(__xludf.DUMMYFUNCTION("GOOGLETRANSLATE($A340,""en"",""it"")"),"Paktia")</f>
        <v>Paktia</v>
      </c>
      <c r="G340" s="9" t="str">
        <f>IFERROR(__xludf.DUMMYFUNCTION("GOOGLETRANSLATE($A340,""en"",""zh-cn"")"),"帕克蒂亚")</f>
        <v>帕克蒂亚</v>
      </c>
      <c r="H340" s="9" t="str">
        <f>IFERROR(__xludf.DUMMYFUNCTION("GOOGLETRANSLATE($A340,""en"",""ja"")"),"パクティア")</f>
        <v>パクティア</v>
      </c>
      <c r="I340" s="9" t="str">
        <f>IFERROR(__xludf.DUMMYFUNCTION("GOOGLETRANSLATE($A340,""en"",""ko"")"),"팍티아")</f>
        <v>팍티아</v>
      </c>
      <c r="J340" s="9" t="str">
        <f>IFERROR(__xludf.DUMMYFUNCTION("GOOGLETRANSLATE($A340,""en"",""pt-BR"")"),"Paktia")</f>
        <v>Paktia</v>
      </c>
    </row>
    <row r="341">
      <c r="A341" s="9" t="str">
        <f>IFERROR(__xludf.DUMMYFUNCTION("""COMPUTED_VALUE"""),"Fāryāb")</f>
        <v>Fāryāb</v>
      </c>
      <c r="B341" s="9" t="str">
        <f>IFERROR(__xludf.DUMMYFUNCTION("""COMPUTED_VALUE"""),"af-fyb")</f>
        <v>af-fyb</v>
      </c>
      <c r="C341" s="9" t="str">
        <f>IFERROR(__xludf.DUMMYFUNCTION("GOOGLETRANSLATE($A341,""en"",""de"")"),"Fāryāb")</f>
        <v>Fāryāb</v>
      </c>
      <c r="D341" s="9" t="str">
        <f>IFERROR(__xludf.DUMMYFUNCTION("GOOGLETRANSLATE($A341,""en"",""fr"")"),"Faryab")</f>
        <v>Faryab</v>
      </c>
      <c r="E341" s="9" t="str">
        <f>IFERROR(__xludf.DUMMYFUNCTION("GOOGLETRANSLATE($A341,""en"",""es"")"),"Faryab")</f>
        <v>Faryab</v>
      </c>
      <c r="F341" s="9" t="str">
        <f>IFERROR(__xludf.DUMMYFUNCTION("GOOGLETRANSLATE($A341,""en"",""it"")"),"Faryab")</f>
        <v>Faryab</v>
      </c>
      <c r="G341" s="9" t="str">
        <f>IFERROR(__xludf.DUMMYFUNCTION("GOOGLETRANSLATE($A341,""en"",""zh-cn"")"),"法里亚布")</f>
        <v>法里亚布</v>
      </c>
      <c r="H341" s="9" t="str">
        <f>IFERROR(__xludf.DUMMYFUNCTION("GOOGLETRANSLATE($A341,""en"",""ja"")"),"ファリヤブ")</f>
        <v>ファリヤブ</v>
      </c>
      <c r="I341" s="9" t="str">
        <f>IFERROR(__xludf.DUMMYFUNCTION("GOOGLETRANSLATE($A341,""en"",""ko"")"),"파리야브")</f>
        <v>파리야브</v>
      </c>
      <c r="J341" s="9" t="str">
        <f>IFERROR(__xludf.DUMMYFUNCTION("GOOGLETRANSLATE($A341,""en"",""pt-BR"")"),"Faryab")</f>
        <v>Faryab</v>
      </c>
    </row>
    <row r="342">
      <c r="A342" s="9" t="str">
        <f>IFERROR(__xludf.DUMMYFUNCTION("""COMPUTED_VALUE"""),"Parwān")</f>
        <v>Parwān</v>
      </c>
      <c r="B342" s="9" t="str">
        <f>IFERROR(__xludf.DUMMYFUNCTION("""COMPUTED_VALUE"""),"af-par")</f>
        <v>af-par</v>
      </c>
      <c r="C342" s="9" t="str">
        <f>IFERROR(__xludf.DUMMYFUNCTION("GOOGLETRANSLATE($A342,""en"",""de"")"),"Parwan")</f>
        <v>Parwan</v>
      </c>
      <c r="D342" s="9" t="str">
        <f>IFERROR(__xludf.DUMMYFUNCTION("GOOGLETRANSLATE($A342,""en"",""fr"")"),"Parwan")</f>
        <v>Parwan</v>
      </c>
      <c r="E342" s="9" t="str">
        <f>IFERROR(__xludf.DUMMYFUNCTION("GOOGLETRANSLATE($A342,""en"",""es"")"),"Parwan")</f>
        <v>Parwan</v>
      </c>
      <c r="F342" s="9" t="str">
        <f>IFERROR(__xludf.DUMMYFUNCTION("GOOGLETRANSLATE($A342,""en"",""it"")"),"Parwan")</f>
        <v>Parwan</v>
      </c>
      <c r="G342" s="9" t="str">
        <f>IFERROR(__xludf.DUMMYFUNCTION("GOOGLETRANSLATE($A342,""en"",""zh-cn"")"),"帕尔万")</f>
        <v>帕尔万</v>
      </c>
      <c r="H342" s="9" t="str">
        <f>IFERROR(__xludf.DUMMYFUNCTION("GOOGLETRANSLATE($A342,""en"",""ja"")"),"パルワン")</f>
        <v>パルワン</v>
      </c>
      <c r="I342" s="9" t="str">
        <f>IFERROR(__xludf.DUMMYFUNCTION("GOOGLETRANSLATE($A342,""en"",""ko"")"),"파르완")</f>
        <v>파르완</v>
      </c>
      <c r="J342" s="9" t="str">
        <f>IFERROR(__xludf.DUMMYFUNCTION("GOOGLETRANSLATE($A342,""en"",""pt-BR"")"),"Parwan")</f>
        <v>Parwan</v>
      </c>
    </row>
    <row r="343">
      <c r="A343" s="9" t="str">
        <f>IFERROR(__xludf.DUMMYFUNCTION("""COMPUTED_VALUE"""),"Kunduz")</f>
        <v>Kunduz</v>
      </c>
      <c r="B343" s="9" t="str">
        <f>IFERROR(__xludf.DUMMYFUNCTION("""COMPUTED_VALUE"""),"af-kdz")</f>
        <v>af-kdz</v>
      </c>
      <c r="C343" s="9" t="str">
        <f>IFERROR(__xludf.DUMMYFUNCTION("GOOGLETRANSLATE($A343,""en"",""de"")"),"Kundus")</f>
        <v>Kundus</v>
      </c>
      <c r="D343" s="9" t="str">
        <f>IFERROR(__xludf.DUMMYFUNCTION("GOOGLETRANSLATE($A343,""en"",""fr"")"),"Kunduz")</f>
        <v>Kunduz</v>
      </c>
      <c r="E343" s="9" t="str">
        <f>IFERROR(__xludf.DUMMYFUNCTION("GOOGLETRANSLATE($A343,""en"",""es"")"),"Qundūz")</f>
        <v>Qundūz</v>
      </c>
      <c r="F343" s="9" t="str">
        <f>IFERROR(__xludf.DUMMYFUNCTION("GOOGLETRANSLATE($A343,""en"",""it"")"),"Konduz")</f>
        <v>Konduz</v>
      </c>
      <c r="G343" s="9" t="str">
        <f>IFERROR(__xludf.DUMMYFUNCTION("GOOGLETRANSLATE($A343,""en"",""zh-cn"")"),"昆都士")</f>
        <v>昆都士</v>
      </c>
      <c r="H343" s="9" t="str">
        <f>IFERROR(__xludf.DUMMYFUNCTION("GOOGLETRANSLATE($A343,""en"",""ja"")"),"クンドゥズ")</f>
        <v>クンドゥズ</v>
      </c>
      <c r="I343" s="9" t="str">
        <f>IFERROR(__xludf.DUMMYFUNCTION("GOOGLETRANSLATE($A343,""en"",""ko"")"),"쿤두즈")</f>
        <v>쿤두즈</v>
      </c>
      <c r="J343" s="9" t="str">
        <f>IFERROR(__xludf.DUMMYFUNCTION("GOOGLETRANSLATE($A343,""en"",""pt-BR"")"),"Kunduz")</f>
        <v>Kunduz</v>
      </c>
    </row>
    <row r="344">
      <c r="A344" s="9" t="str">
        <f>IFERROR(__xludf.DUMMYFUNCTION("""COMPUTED_VALUE"""),"Sar-e Pul")</f>
        <v>Sar-e Pul</v>
      </c>
      <c r="B344" s="9" t="str">
        <f>IFERROR(__xludf.DUMMYFUNCTION("""COMPUTED_VALUE"""),"af-sar")</f>
        <v>af-sar</v>
      </c>
      <c r="C344" s="9" t="str">
        <f>IFERROR(__xludf.DUMMYFUNCTION("GOOGLETRANSLATE($A344,""en"",""de"")"),"Sar-e Pul")</f>
        <v>Sar-e Pul</v>
      </c>
      <c r="D344" s="9" t="str">
        <f>IFERROR(__xludf.DUMMYFUNCTION("GOOGLETRANSLATE($A344,""en"",""fr"")"),"Sar-é Pul")</f>
        <v>Sar-é Pul</v>
      </c>
      <c r="E344" s="9" t="str">
        <f>IFERROR(__xludf.DUMMYFUNCTION("GOOGLETRANSLATE($A344,""en"",""es"")"),"Sar-e Pul")</f>
        <v>Sar-e Pul</v>
      </c>
      <c r="F344" s="9" t="str">
        <f>IFERROR(__xludf.DUMMYFUNCTION("GOOGLETRANSLATE($A344,""en"",""it"")"),"Sar-e Pul")</f>
        <v>Sar-e Pul</v>
      </c>
      <c r="G344" s="9" t="str">
        <f>IFERROR(__xludf.DUMMYFUNCTION("GOOGLETRANSLATE($A344,""en"",""zh-cn"")"),"萨雷普尔")</f>
        <v>萨雷普尔</v>
      </c>
      <c r="H344" s="9" t="str">
        <f>IFERROR(__xludf.DUMMYFUNCTION("GOOGLETRANSLATE($A344,""en"",""ja"")"),"サレプル")</f>
        <v>サレプル</v>
      </c>
      <c r="I344" s="9" t="str">
        <f>IFERROR(__xludf.DUMMYFUNCTION("GOOGLETRANSLATE($A344,""en"",""ko"")"),"사레 풀")</f>
        <v>사레 풀</v>
      </c>
      <c r="J344" s="9" t="str">
        <f>IFERROR(__xludf.DUMMYFUNCTION("GOOGLETRANSLATE($A344,""en"",""pt-BR"")"),"Sar-e Pul")</f>
        <v>Sar-e Pul</v>
      </c>
    </row>
    <row r="345">
      <c r="A345" s="9" t="str">
        <f>IFERROR(__xludf.DUMMYFUNCTION("""COMPUTED_VALUE"""),"Kavajë")</f>
        <v>Kavajë</v>
      </c>
      <c r="B345" s="9" t="str">
        <f>IFERROR(__xludf.DUMMYFUNCTION("""COMPUTED_VALUE"""),"al-ka")</f>
        <v>al-ka</v>
      </c>
      <c r="C345" s="9" t="str">
        <f>IFERROR(__xludf.DUMMYFUNCTION("GOOGLETRANSLATE($A345,""en"",""de"")"),"Kavaja")</f>
        <v>Kavaja</v>
      </c>
      <c r="D345" s="9" t="str">
        <f>IFERROR(__xludf.DUMMYFUNCTION("GOOGLETRANSLATE($A345,""en"",""fr"")"),"Kavaje")</f>
        <v>Kavaje</v>
      </c>
      <c r="E345" s="9" t="str">
        <f>IFERROR(__xludf.DUMMYFUNCTION("GOOGLETRANSLATE($A345,""en"",""es"")"),"Kavaje")</f>
        <v>Kavaje</v>
      </c>
      <c r="F345" s="9" t="str">
        <f>IFERROR(__xludf.DUMMYFUNCTION("GOOGLETRANSLATE($A345,""en"",""it"")"),"Kavaje")</f>
        <v>Kavaje</v>
      </c>
      <c r="G345" s="9" t="str">
        <f>IFERROR(__xludf.DUMMYFUNCTION("GOOGLETRANSLATE($A345,""en"",""zh-cn"")"),"卡瓦吉")</f>
        <v>卡瓦吉</v>
      </c>
      <c r="H345" s="9" t="str">
        <f>IFERROR(__xludf.DUMMYFUNCTION("GOOGLETRANSLATE($A345,""en"",""ja"")"),"カバジェ")</f>
        <v>カバジェ</v>
      </c>
      <c r="I345" s="9" t="str">
        <f>IFERROR(__xludf.DUMMYFUNCTION("GOOGLETRANSLATE($A345,""en"",""ko"")"),"카바헤")</f>
        <v>카바헤</v>
      </c>
      <c r="J345" s="9" t="str">
        <f>IFERROR(__xludf.DUMMYFUNCTION("GOOGLETRANSLATE($A345,""en"",""pt-BR"")"),"Kavajë")</f>
        <v>Kavajë</v>
      </c>
    </row>
    <row r="346">
      <c r="A346" s="9" t="str">
        <f>IFERROR(__xludf.DUMMYFUNCTION("""COMPUTED_VALUE"""),"Mirditë")</f>
        <v>Mirditë</v>
      </c>
      <c r="B346" s="9" t="str">
        <f>IFERROR(__xludf.DUMMYFUNCTION("""COMPUTED_VALUE"""),"al-mr")</f>
        <v>al-mr</v>
      </c>
      <c r="C346" s="9" t="str">
        <f>IFERROR(__xludf.DUMMYFUNCTION("GOOGLETRANSLATE($A346,""en"",""de"")"),"Mirdite")</f>
        <v>Mirdite</v>
      </c>
      <c r="D346" s="9" t="str">
        <f>IFERROR(__xludf.DUMMYFUNCTION("GOOGLETRANSLATE($A346,""en"",""fr"")"),"Mirditë")</f>
        <v>Mirditë</v>
      </c>
      <c r="E346" s="9" t="str">
        <f>IFERROR(__xludf.DUMMYFUNCTION("GOOGLETRANSLATE($A346,""en"",""es"")"),"Mirdité")</f>
        <v>Mirdité</v>
      </c>
      <c r="F346" s="9" t="str">
        <f>IFERROR(__xludf.DUMMYFUNCTION("GOOGLETRANSLATE($A346,""en"",""it"")"),"Mirdite")</f>
        <v>Mirdite</v>
      </c>
      <c r="G346" s="9" t="str">
        <f>IFERROR(__xludf.DUMMYFUNCTION("GOOGLETRANSLATE($A346,""en"",""zh-cn"")"),"米尔迪特")</f>
        <v>米尔迪特</v>
      </c>
      <c r="H346" s="9" t="str">
        <f>IFERROR(__xludf.DUMMYFUNCTION("GOOGLETRANSLATE($A346,""en"",""ja"")"),"ミルディテ")</f>
        <v>ミルディテ</v>
      </c>
      <c r="I346" s="9" t="str">
        <f>IFERROR(__xludf.DUMMYFUNCTION("GOOGLETRANSLATE($A346,""en"",""ko"")"),"미르디테")</f>
        <v>미르디테</v>
      </c>
      <c r="J346" s="9" t="str">
        <f>IFERROR(__xludf.DUMMYFUNCTION("GOOGLETRANSLATE($A346,""en"",""pt-BR"")"),"Mirdita")</f>
        <v>Mirdita</v>
      </c>
    </row>
    <row r="347">
      <c r="A347" s="9" t="str">
        <f>IFERROR(__xludf.DUMMYFUNCTION("""COMPUTED_VALUE"""),"Elbasan")</f>
        <v>Elbasan</v>
      </c>
      <c r="B347" s="9" t="str">
        <f>IFERROR(__xludf.DUMMYFUNCTION("""COMPUTED_VALUE"""),"al-03")</f>
        <v>al-03</v>
      </c>
      <c r="C347" s="9" t="str">
        <f>IFERROR(__xludf.DUMMYFUNCTION("GOOGLETRANSLATE($A347,""en"",""de"")"),"Elbasan")</f>
        <v>Elbasan</v>
      </c>
      <c r="D347" s="9" t="str">
        <f>IFERROR(__xludf.DUMMYFUNCTION("GOOGLETRANSLATE($A347,""en"",""fr"")"),"Elbasan")</f>
        <v>Elbasan</v>
      </c>
      <c r="E347" s="9" t="str">
        <f>IFERROR(__xludf.DUMMYFUNCTION("GOOGLETRANSLATE($A347,""en"",""es"")"),"Elbasan")</f>
        <v>Elbasan</v>
      </c>
      <c r="F347" s="9" t="str">
        <f>IFERROR(__xludf.DUMMYFUNCTION("GOOGLETRANSLATE($A347,""en"",""it"")"),"Elbasan")</f>
        <v>Elbasan</v>
      </c>
      <c r="G347" s="9" t="str">
        <f>IFERROR(__xludf.DUMMYFUNCTION("GOOGLETRANSLATE($A347,""en"",""zh-cn"")"),"爱尔巴桑")</f>
        <v>爱尔巴桑</v>
      </c>
      <c r="H347" s="9" t="str">
        <f>IFERROR(__xludf.DUMMYFUNCTION("GOOGLETRANSLATE($A347,""en"",""ja"")"),"エルバサン")</f>
        <v>エルバサン</v>
      </c>
      <c r="I347" s="9" t="str">
        <f>IFERROR(__xludf.DUMMYFUNCTION("GOOGLETRANSLATE($A347,""en"",""ko"")"),"엘바산")</f>
        <v>엘바산</v>
      </c>
      <c r="J347" s="9" t="str">
        <f>IFERROR(__xludf.DUMMYFUNCTION("GOOGLETRANSLATE($A347,""en"",""pt-BR"")"),"Elbasã")</f>
        <v>Elbasã</v>
      </c>
    </row>
    <row r="348">
      <c r="A348" s="9" t="str">
        <f>IFERROR(__xludf.DUMMYFUNCTION("""COMPUTED_VALUE"""),"Kukës")</f>
        <v>Kukës</v>
      </c>
      <c r="B348" s="9" t="str">
        <f>IFERROR(__xludf.DUMMYFUNCTION("""COMPUTED_VALUE"""),"al-07")</f>
        <v>al-07</v>
      </c>
      <c r="C348" s="9" t="str">
        <f>IFERROR(__xludf.DUMMYFUNCTION("GOOGLETRANSLATE($A348,""en"",""de"")"),"Kukes")</f>
        <v>Kukes</v>
      </c>
      <c r="D348" s="9" t="str">
        <f>IFERROR(__xludf.DUMMYFUNCTION("GOOGLETRANSLATE($A348,""en"",""fr"")"),"Kukes")</f>
        <v>Kukes</v>
      </c>
      <c r="E348" s="9" t="str">
        <f>IFERROR(__xludf.DUMMYFUNCTION("GOOGLETRANSLATE($A348,""en"",""es"")"),"kukës")</f>
        <v>kukës</v>
      </c>
      <c r="F348" s="9" t="str">
        <f>IFERROR(__xludf.DUMMYFUNCTION("GOOGLETRANSLATE($A348,""en"",""it"")"),"Kukes")</f>
        <v>Kukes</v>
      </c>
      <c r="G348" s="9" t="str">
        <f>IFERROR(__xludf.DUMMYFUNCTION("GOOGLETRANSLATE($A348,""en"",""zh-cn"")"),"库克斯")</f>
        <v>库克斯</v>
      </c>
      <c r="H348" s="9" t="str">
        <f>IFERROR(__xludf.DUMMYFUNCTION("GOOGLETRANSLATE($A348,""en"",""ja"")"),"クケス")</f>
        <v>クケス</v>
      </c>
      <c r="I348" s="9" t="str">
        <f>IFERROR(__xludf.DUMMYFUNCTION("GOOGLETRANSLATE($A348,""en"",""ko"")"),"쿠케스")</f>
        <v>쿠케스</v>
      </c>
      <c r="J348" s="9" t="str">
        <f>IFERROR(__xludf.DUMMYFUNCTION("GOOGLETRANSLATE($A348,""en"",""pt-BR"")"),"Kukës")</f>
        <v>Kukës</v>
      </c>
    </row>
    <row r="349">
      <c r="A349" s="9" t="str">
        <f>IFERROR(__xludf.DUMMYFUNCTION("""COMPUTED_VALUE"""),"Kolonjë")</f>
        <v>Kolonjë</v>
      </c>
      <c r="B349" s="9" t="str">
        <f>IFERROR(__xludf.DUMMYFUNCTION("""COMPUTED_VALUE"""),"al-er")</f>
        <v>al-er</v>
      </c>
      <c r="C349" s="9" t="str">
        <f>IFERROR(__xludf.DUMMYFUNCTION("GOOGLETRANSLATE($A349,""en"",""de"")"),"Kolonja")</f>
        <v>Kolonja</v>
      </c>
      <c r="D349" s="9" t="str">
        <f>IFERROR(__xludf.DUMMYFUNCTION("GOOGLETRANSLATE($A349,""en"",""fr"")"),"Kolonje")</f>
        <v>Kolonje</v>
      </c>
      <c r="E349" s="9" t="str">
        <f>IFERROR(__xludf.DUMMYFUNCTION("GOOGLETRANSLATE($A349,""en"",""es"")"),"Colonia")</f>
        <v>Colonia</v>
      </c>
      <c r="F349" s="9" t="str">
        <f>IFERROR(__xludf.DUMMYFUNCTION("GOOGLETRANSLATE($A349,""en"",""it"")"),"Kolonjë")</f>
        <v>Kolonjë</v>
      </c>
      <c r="G349" s="9" t="str">
        <f>IFERROR(__xludf.DUMMYFUNCTION("GOOGLETRANSLATE($A349,""en"",""zh-cn"")"),"科隆杰")</f>
        <v>科隆杰</v>
      </c>
      <c r="H349" s="9" t="str">
        <f>IFERROR(__xludf.DUMMYFUNCTION("GOOGLETRANSLATE($A349,""en"",""ja"")"),"コロンジェ")</f>
        <v>コロンジェ</v>
      </c>
      <c r="I349" s="9" t="str">
        <f>IFERROR(__xludf.DUMMYFUNCTION("GOOGLETRANSLATE($A349,""en"",""ko"")"),"콜론제")</f>
        <v>콜론제</v>
      </c>
      <c r="J349" s="9" t="str">
        <f>IFERROR(__xludf.DUMMYFUNCTION("GOOGLETRANSLATE($A349,""en"",""pt-BR"")"),"Kolonjë")</f>
        <v>Kolonjë</v>
      </c>
    </row>
    <row r="350">
      <c r="A350" s="9" t="str">
        <f>IFERROR(__xludf.DUMMYFUNCTION("""COMPUTED_VALUE"""),"Berat")</f>
        <v>Berat</v>
      </c>
      <c r="B350" s="9" t="str">
        <f>IFERROR(__xludf.DUMMYFUNCTION("""COMPUTED_VALUE"""),"al-01")</f>
        <v>al-01</v>
      </c>
      <c r="C350" s="9" t="str">
        <f>IFERROR(__xludf.DUMMYFUNCTION("GOOGLETRANSLATE($A350,""en"",""de"")"),"Berat")</f>
        <v>Berat</v>
      </c>
      <c r="D350" s="9" t="str">
        <f>IFERROR(__xludf.DUMMYFUNCTION("GOOGLETRANSLATE($A350,""en"",""fr"")"),"Bérat")</f>
        <v>Bérat</v>
      </c>
      <c r="E350" s="9" t="str">
        <f>IFERROR(__xludf.DUMMYFUNCTION("GOOGLETRANSLATE($A350,""en"",""es"")"),"berat")</f>
        <v>berat</v>
      </c>
      <c r="F350" s="9" t="str">
        <f>IFERROR(__xludf.DUMMYFUNCTION("GOOGLETRANSLATE($A350,""en"",""it"")"),"Berat")</f>
        <v>Berat</v>
      </c>
      <c r="G350" s="9" t="str">
        <f>IFERROR(__xludf.DUMMYFUNCTION("GOOGLETRANSLATE($A350,""en"",""zh-cn"")"),"培拉特")</f>
        <v>培拉特</v>
      </c>
      <c r="H350" s="9" t="str">
        <f>IFERROR(__xludf.DUMMYFUNCTION("GOOGLETRANSLATE($A350,""en"",""ja"")"),"ベラト")</f>
        <v>ベラト</v>
      </c>
      <c r="I350" s="9" t="str">
        <f>IFERROR(__xludf.DUMMYFUNCTION("GOOGLETRANSLATE($A350,""en"",""ko"")"),"베라트")</f>
        <v>베라트</v>
      </c>
      <c r="J350" s="9" t="str">
        <f>IFERROR(__xludf.DUMMYFUNCTION("GOOGLETRANSLATE($A350,""en"",""pt-BR"")"),"Berat")</f>
        <v>Berat</v>
      </c>
    </row>
    <row r="351">
      <c r="A351" s="9" t="str">
        <f>IFERROR(__xludf.DUMMYFUNCTION("""COMPUTED_VALUE"""),"Kurbin")</f>
        <v>Kurbin</v>
      </c>
      <c r="B351" s="9" t="str">
        <f>IFERROR(__xludf.DUMMYFUNCTION("""COMPUTED_VALUE"""),"al-kb")</f>
        <v>al-kb</v>
      </c>
      <c r="C351" s="9" t="str">
        <f>IFERROR(__xludf.DUMMYFUNCTION("GOOGLETRANSLATE($A351,""en"",""de"")"),"Kurbin")</f>
        <v>Kurbin</v>
      </c>
      <c r="D351" s="9" t="str">
        <f>IFERROR(__xludf.DUMMYFUNCTION("GOOGLETRANSLATE($A351,""en"",""fr"")"),"Kurbine")</f>
        <v>Kurbine</v>
      </c>
      <c r="E351" s="9" t="str">
        <f>IFERROR(__xludf.DUMMYFUNCTION("GOOGLETRANSLATE($A351,""en"",""es"")"),"kurbin")</f>
        <v>kurbin</v>
      </c>
      <c r="F351" s="9" t="str">
        <f>IFERROR(__xludf.DUMMYFUNCTION("GOOGLETRANSLATE($A351,""en"",""it"")"),"Kurbin")</f>
        <v>Kurbin</v>
      </c>
      <c r="G351" s="9" t="str">
        <f>IFERROR(__xludf.DUMMYFUNCTION("GOOGLETRANSLATE($A351,""en"",""zh-cn"")"),"库尔宾")</f>
        <v>库尔宾</v>
      </c>
      <c r="H351" s="9" t="str">
        <f>IFERROR(__xludf.DUMMYFUNCTION("GOOGLETRANSLATE($A351,""en"",""ja"")"),"クルビン")</f>
        <v>クルビン</v>
      </c>
      <c r="I351" s="9" t="str">
        <f>IFERROR(__xludf.DUMMYFUNCTION("GOOGLETRANSLATE($A351,""en"",""ko"")"),"쿠르빈")</f>
        <v>쿠르빈</v>
      </c>
      <c r="J351" s="9" t="str">
        <f>IFERROR(__xludf.DUMMYFUNCTION("GOOGLETRANSLATE($A351,""en"",""pt-BR"")"),"Kurbin")</f>
        <v>Kurbin</v>
      </c>
    </row>
    <row r="352">
      <c r="A352" s="9" t="str">
        <f>IFERROR(__xludf.DUMMYFUNCTION("""COMPUTED_VALUE"""),"Shkodër (District)")</f>
        <v>Shkodër (District)</v>
      </c>
      <c r="B352" s="9" t="str">
        <f>IFERROR(__xludf.DUMMYFUNCTION("""COMPUTED_VALUE"""),"al-sh")</f>
        <v>al-sh</v>
      </c>
      <c r="C352" s="9" t="str">
        <f>IFERROR(__xludf.DUMMYFUNCTION("GOOGLETRANSLATE($A352,""en"",""de"")"),"Shkodër (Bezirk)")</f>
        <v>Shkodër (Bezirk)</v>
      </c>
      <c r="D352" s="9" t="str">
        <f>IFERROR(__xludf.DUMMYFUNCTION("GOOGLETRANSLATE($A352,""en"",""fr"")"),"Shkoder (district)")</f>
        <v>Shkoder (district)</v>
      </c>
      <c r="E352" s="9" t="str">
        <f>IFERROR(__xludf.DUMMYFUNCTION("GOOGLETRANSLATE($A352,""en"",""es"")"),"Shkodër (distrito)")</f>
        <v>Shkodër (distrito)</v>
      </c>
      <c r="F352" s="9" t="str">
        <f>IFERROR(__xludf.DUMMYFUNCTION("GOOGLETRANSLATE($A352,""en"",""it"")"),"Scutari (Distretto)")</f>
        <v>Scutari (Distretto)</v>
      </c>
      <c r="G352" s="9" t="str">
        <f>IFERROR(__xludf.DUMMYFUNCTION("GOOGLETRANSLATE($A352,""en"",""zh-cn"")"),"斯库台（区）")</f>
        <v>斯库台（区）</v>
      </c>
      <c r="H352" s="9" t="str">
        <f>IFERROR(__xludf.DUMMYFUNCTION("GOOGLETRANSLATE($A352,""en"",""ja"")"),"シュコダル (地区)")</f>
        <v>シュコダル (地区)</v>
      </c>
      <c r="I352" s="9" t="str">
        <f>IFERROR(__xludf.DUMMYFUNCTION("GOOGLETRANSLATE($A352,""en"",""ko"")"),"슈코더르(지구)")</f>
        <v>슈코더르(지구)</v>
      </c>
      <c r="J352" s="9" t="str">
        <f>IFERROR(__xludf.DUMMYFUNCTION("GOOGLETRANSLATE($A352,""en"",""pt-BR"")"),"Shkodër (distrito)")</f>
        <v>Shkodër (distrito)</v>
      </c>
    </row>
    <row r="353">
      <c r="A353" s="9" t="str">
        <f>IFERROR(__xludf.DUMMYFUNCTION("""COMPUTED_VALUE"""),"Sarandë")</f>
        <v>Sarandë</v>
      </c>
      <c r="B353" s="9" t="str">
        <f>IFERROR(__xludf.DUMMYFUNCTION("""COMPUTED_VALUE"""),"al-sr")</f>
        <v>al-sr</v>
      </c>
      <c r="C353" s="9" t="str">
        <f>IFERROR(__xludf.DUMMYFUNCTION("GOOGLETRANSLATE($A353,""en"",""de"")"),"Saranda")</f>
        <v>Saranda</v>
      </c>
      <c r="D353" s="9" t="str">
        <f>IFERROR(__xludf.DUMMYFUNCTION("GOOGLETRANSLATE($A353,""en"",""fr"")"),"Saranda")</f>
        <v>Saranda</v>
      </c>
      <c r="E353" s="9" t="str">
        <f>IFERROR(__xludf.DUMMYFUNCTION("GOOGLETRANSLATE($A353,""en"",""es"")"),"Sarandë")</f>
        <v>Sarandë</v>
      </c>
      <c r="F353" s="9" t="str">
        <f>IFERROR(__xludf.DUMMYFUNCTION("GOOGLETRANSLATE($A353,""en"",""it"")"),"Saranda")</f>
        <v>Saranda</v>
      </c>
      <c r="G353" s="9" t="str">
        <f>IFERROR(__xludf.DUMMYFUNCTION("GOOGLETRANSLATE($A353,""en"",""zh-cn"")"),"萨兰达")</f>
        <v>萨兰达</v>
      </c>
      <c r="H353" s="9" t="str">
        <f>IFERROR(__xludf.DUMMYFUNCTION("GOOGLETRANSLATE($A353,""en"",""ja"")"),"サランダ")</f>
        <v>サランダ</v>
      </c>
      <c r="I353" s="9" t="str">
        <f>IFERROR(__xludf.DUMMYFUNCTION("GOOGLETRANSLATE($A353,""en"",""ko"")"),"사란데")</f>
        <v>사란데</v>
      </c>
      <c r="J353" s="9" t="str">
        <f>IFERROR(__xludf.DUMMYFUNCTION("GOOGLETRANSLATE($A353,""en"",""pt-BR"")"),"Sarandë")</f>
        <v>Sarandë</v>
      </c>
    </row>
    <row r="354">
      <c r="A354" s="9" t="str">
        <f>IFERROR(__xludf.DUMMYFUNCTION("""COMPUTED_VALUE"""),"Durrës (District)")</f>
        <v>Durrës (District)</v>
      </c>
      <c r="B354" s="9" t="str">
        <f>IFERROR(__xludf.DUMMYFUNCTION("""COMPUTED_VALUE"""),"al-dr")</f>
        <v>al-dr</v>
      </c>
      <c r="C354" s="9" t="str">
        <f>IFERROR(__xludf.DUMMYFUNCTION("GOOGLETRANSLATE($A354,""en"",""de"")"),"Durrës (Bezirk)")</f>
        <v>Durrës (Bezirk)</v>
      </c>
      <c r="D354" s="9" t="str">
        <f>IFERROR(__xludf.DUMMYFUNCTION("GOOGLETRANSLATE($A354,""en"",""fr"")"),"Durrës (district)")</f>
        <v>Durrës (district)</v>
      </c>
      <c r="E354" s="9" t="str">
        <f>IFERROR(__xludf.DUMMYFUNCTION("GOOGLETRANSLATE($A354,""en"",""es"")"),"Durrës (distrito)")</f>
        <v>Durrës (distrito)</v>
      </c>
      <c r="F354" s="9" t="str">
        <f>IFERROR(__xludf.DUMMYFUNCTION("GOOGLETRANSLATE($A354,""en"",""it"")"),"Durazzo (Distretto)")</f>
        <v>Durazzo (Distretto)</v>
      </c>
      <c r="G354" s="9" t="str">
        <f>IFERROR(__xludf.DUMMYFUNCTION("GOOGLETRANSLATE($A354,""en"",""zh-cn"")"),"都拉斯（区）")</f>
        <v>都拉斯（区）</v>
      </c>
      <c r="H354" s="9" t="str">
        <f>IFERROR(__xludf.DUMMYFUNCTION("GOOGLETRANSLATE($A354,""en"",""ja"")"),"ドゥラス (地区)")</f>
        <v>ドゥラス (地区)</v>
      </c>
      <c r="I354" s="9" t="str">
        <f>IFERROR(__xludf.DUMMYFUNCTION("GOOGLETRANSLATE($A354,""en"",""ko"")"),"두러스(지구)")</f>
        <v>두러스(지구)</v>
      </c>
      <c r="J354" s="9" t="str">
        <f>IFERROR(__xludf.DUMMYFUNCTION("GOOGLETRANSLATE($A354,""en"",""pt-BR"")"),"Durrës (Distrito)")</f>
        <v>Durrës (Distrito)</v>
      </c>
    </row>
    <row r="355">
      <c r="A355" s="9" t="str">
        <f>IFERROR(__xludf.DUMMYFUNCTION("""COMPUTED_VALUE"""),"Gjirokastër (District)")</f>
        <v>Gjirokastër (District)</v>
      </c>
      <c r="B355" s="9" t="str">
        <f>IFERROR(__xludf.DUMMYFUNCTION("""COMPUTED_VALUE"""),"al-gj")</f>
        <v>al-gj</v>
      </c>
      <c r="C355" s="9" t="str">
        <f>IFERROR(__xludf.DUMMYFUNCTION("GOOGLETRANSLATE($A355,""en"",""de"")"),"Gjirokastra (Bezirk)")</f>
        <v>Gjirokastra (Bezirk)</v>
      </c>
      <c r="D355" s="9" t="str">
        <f>IFERROR(__xludf.DUMMYFUNCTION("GOOGLETRANSLATE($A355,""en"",""fr"")"),"Gjirokastër (district)")</f>
        <v>Gjirokastër (district)</v>
      </c>
      <c r="E355" s="9" t="str">
        <f>IFERROR(__xludf.DUMMYFUNCTION("GOOGLETRANSLATE($A355,""en"",""es"")"),"Gjirokastra (distrito)")</f>
        <v>Gjirokastra (distrito)</v>
      </c>
      <c r="F355" s="9" t="str">
        <f>IFERROR(__xludf.DUMMYFUNCTION("GOOGLETRANSLATE($A355,""en"",""it"")"),"Argirocastro (Distretto)")</f>
        <v>Argirocastro (Distretto)</v>
      </c>
      <c r="G355" s="9" t="str">
        <f>IFERROR(__xludf.DUMMYFUNCTION("GOOGLETRANSLATE($A355,""en"",""zh-cn"")"),"吉诺卡斯特（区）")</f>
        <v>吉诺卡斯特（区）</v>
      </c>
      <c r="H355" s="9" t="str">
        <f>IFERROR(__xludf.DUMMYFUNCTION("GOOGLETRANSLATE($A355,""en"",""ja"")"),"ジロカストラ (地区)")</f>
        <v>ジロカストラ (地区)</v>
      </c>
      <c r="I355" s="9" t="str">
        <f>IFERROR(__xludf.DUMMYFUNCTION("GOOGLETRANSLATE($A355,""en"",""ko"")"),"지로카스터(지구)")</f>
        <v>지로카스터(지구)</v>
      </c>
      <c r="J355" s="9" t="str">
        <f>IFERROR(__xludf.DUMMYFUNCTION("GOOGLETRANSLATE($A355,""en"",""pt-BR"")"),"Gjirokastër (distrito)")</f>
        <v>Gjirokastër (distrito)</v>
      </c>
    </row>
    <row r="356">
      <c r="A356" s="9" t="str">
        <f>IFERROR(__xludf.DUMMYFUNCTION("""COMPUTED_VALUE"""),"Lezhë (District)")</f>
        <v>Lezhë (District)</v>
      </c>
      <c r="B356" s="9" t="str">
        <f>IFERROR(__xludf.DUMMYFUNCTION("""COMPUTED_VALUE"""),"al-le")</f>
        <v>al-le</v>
      </c>
      <c r="C356" s="9" t="str">
        <f>IFERROR(__xludf.DUMMYFUNCTION("GOOGLETRANSLATE($A356,""en"",""de"")"),"Lezha (Bezirk)")</f>
        <v>Lezha (Bezirk)</v>
      </c>
      <c r="D356" s="9" t="str">
        <f>IFERROR(__xludf.DUMMYFUNCTION("GOOGLETRANSLATE($A356,""en"",""fr"")"),"Lezhë (district)")</f>
        <v>Lezhë (district)</v>
      </c>
      <c r="E356" s="9" t="str">
        <f>IFERROR(__xludf.DUMMYFUNCTION("GOOGLETRANSLATE($A356,""en"",""es"")"),"Lezhë (distrito)")</f>
        <v>Lezhë (distrito)</v>
      </c>
      <c r="F356" s="9" t="str">
        <f>IFERROR(__xludf.DUMMYFUNCTION("GOOGLETRANSLATE($A356,""en"",""it"")"),"Alessio (Distretto)")</f>
        <v>Alessio (Distretto)</v>
      </c>
      <c r="G356" s="9" t="str">
        <f>IFERROR(__xludf.DUMMYFUNCTION("GOOGLETRANSLATE($A356,""en"",""zh-cn"")"),"莱日（区）")</f>
        <v>莱日（区）</v>
      </c>
      <c r="H356" s="9" t="str">
        <f>IFERROR(__xludf.DUMMYFUNCTION("GOOGLETRANSLATE($A356,""en"",""ja"")"),"レジー（地区）")</f>
        <v>レジー（地区）</v>
      </c>
      <c r="I356" s="9" t="str">
        <f>IFERROR(__xludf.DUMMYFUNCTION("GOOGLETRANSLATE($A356,""en"",""ko"")"),"레제(지구)")</f>
        <v>레제(지구)</v>
      </c>
      <c r="J356" s="9" t="str">
        <f>IFERROR(__xludf.DUMMYFUNCTION("GOOGLETRANSLATE($A356,""en"",""pt-BR"")"),"Lezhë (distrito)")</f>
        <v>Lezhë (distrito)</v>
      </c>
    </row>
    <row r="357">
      <c r="A357" s="9" t="str">
        <f>IFERROR(__xludf.DUMMYFUNCTION("""COMPUTED_VALUE"""),"Tiranë (District)")</f>
        <v>Tiranë (District)</v>
      </c>
      <c r="B357" s="9" t="str">
        <f>IFERROR(__xludf.DUMMYFUNCTION("""COMPUTED_VALUE"""),"al-tr")</f>
        <v>al-tr</v>
      </c>
      <c r="C357" s="9" t="str">
        <f>IFERROR(__xludf.DUMMYFUNCTION("GOOGLETRANSLATE($A357,""en"",""de"")"),"Tirana (Bezirk)")</f>
        <v>Tirana (Bezirk)</v>
      </c>
      <c r="D357" s="9" t="str">
        <f>IFERROR(__xludf.DUMMYFUNCTION("GOOGLETRANSLATE($A357,""en"",""fr"")"),"Tirana (district)")</f>
        <v>Tirana (district)</v>
      </c>
      <c r="E357" s="9" t="str">
        <f>IFERROR(__xludf.DUMMYFUNCTION("GOOGLETRANSLATE($A357,""en"",""es"")"),"Tirana (Distrito)")</f>
        <v>Tirana (Distrito)</v>
      </c>
      <c r="F357" s="9" t="str">
        <f>IFERROR(__xludf.DUMMYFUNCTION("GOOGLETRANSLATE($A357,""en"",""it"")"),"Tirana (Distretto)")</f>
        <v>Tirana (Distretto)</v>
      </c>
      <c r="G357" s="9" t="str">
        <f>IFERROR(__xludf.DUMMYFUNCTION("GOOGLETRANSLATE($A357,""en"",""zh-cn"")"),"地拉那（区）")</f>
        <v>地拉那（区）</v>
      </c>
      <c r="H357" s="9" t="str">
        <f>IFERROR(__xludf.DUMMYFUNCTION("GOOGLETRANSLATE($A357,""en"",""ja"")"),"ティラナ (地区)")</f>
        <v>ティラナ (地区)</v>
      </c>
      <c r="I357" s="9" t="str">
        <f>IFERROR(__xludf.DUMMYFUNCTION("GOOGLETRANSLATE($A357,""en"",""ko"")"),"티라나(지구)")</f>
        <v>티라나(지구)</v>
      </c>
      <c r="J357" s="9" t="str">
        <f>IFERROR(__xludf.DUMMYFUNCTION("GOOGLETRANSLATE($A357,""en"",""pt-BR"")"),"Tirana (distrito)")</f>
        <v>Tirana (distrito)</v>
      </c>
    </row>
    <row r="358">
      <c r="A358" s="9" t="str">
        <f>IFERROR(__xludf.DUMMYFUNCTION("""COMPUTED_VALUE"""),"Dibër")</f>
        <v>Dibër</v>
      </c>
      <c r="B358" s="9" t="str">
        <f>IFERROR(__xludf.DUMMYFUNCTION("""COMPUTED_VALUE"""),"al-09")</f>
        <v>al-09</v>
      </c>
      <c r="C358" s="9" t="str">
        <f>IFERROR(__xludf.DUMMYFUNCTION("GOOGLETRANSLATE($A358,""en"",""de"")"),"Diber")</f>
        <v>Diber</v>
      </c>
      <c r="D358" s="9" t="str">
        <f>IFERROR(__xludf.DUMMYFUNCTION("GOOGLETRANSLATE($A358,""en"",""fr"")"),"Diber")</f>
        <v>Diber</v>
      </c>
      <c r="E358" s="9" t="str">
        <f>IFERROR(__xludf.DUMMYFUNCTION("GOOGLETRANSLATE($A358,""en"",""es"")"),"Diber")</f>
        <v>Diber</v>
      </c>
      <c r="F358" s="9" t="str">
        <f>IFERROR(__xludf.DUMMYFUNCTION("GOOGLETRANSLATE($A358,""en"",""it"")"),"Diber")</f>
        <v>Diber</v>
      </c>
      <c r="G358" s="9" t="str">
        <f>IFERROR(__xludf.DUMMYFUNCTION("GOOGLETRANSLATE($A358,""en"",""zh-cn"")"),"迪贝尔")</f>
        <v>迪贝尔</v>
      </c>
      <c r="H358" s="9" t="str">
        <f>IFERROR(__xludf.DUMMYFUNCTION("GOOGLETRANSLATE($A358,""en"",""ja"")"),"ディベール")</f>
        <v>ディベール</v>
      </c>
      <c r="I358" s="9" t="str">
        <f>IFERROR(__xludf.DUMMYFUNCTION("GOOGLETRANSLATE($A358,""en"",""ko"")"),"디베르")</f>
        <v>디베르</v>
      </c>
      <c r="J358" s="9" t="str">
        <f>IFERROR(__xludf.DUMMYFUNCTION("GOOGLETRANSLATE($A358,""en"",""pt-BR"")"),"Diber")</f>
        <v>Diber</v>
      </c>
    </row>
    <row r="359">
      <c r="A359" s="9" t="str">
        <f>IFERROR(__xludf.DUMMYFUNCTION("""COMPUTED_VALUE"""),"Lushnjë")</f>
        <v>Lushnjë</v>
      </c>
      <c r="B359" s="9" t="str">
        <f>IFERROR(__xludf.DUMMYFUNCTION("""COMPUTED_VALUE"""),"al-lu")</f>
        <v>al-lu</v>
      </c>
      <c r="C359" s="9" t="str">
        <f>IFERROR(__xludf.DUMMYFUNCTION("GOOGLETRANSLATE($A359,""en"",""de"")"),"Lushnja")</f>
        <v>Lushnja</v>
      </c>
      <c r="D359" s="9" t="str">
        <f>IFERROR(__xludf.DUMMYFUNCTION("GOOGLETRANSLATE($A359,""en"",""fr"")"),"Lushnje")</f>
        <v>Lushnje</v>
      </c>
      <c r="E359" s="9" t="str">
        <f>IFERROR(__xludf.DUMMYFUNCTION("GOOGLETRANSLATE($A359,""en"",""es"")"),"Lushnjë")</f>
        <v>Lushnjë</v>
      </c>
      <c r="F359" s="9" t="str">
        <f>IFERROR(__xludf.DUMMYFUNCTION("GOOGLETRANSLATE($A359,""en"",""it"")"),"Lushnjë")</f>
        <v>Lushnjë</v>
      </c>
      <c r="G359" s="9" t="str">
        <f>IFERROR(__xludf.DUMMYFUNCTION("GOOGLETRANSLATE($A359,""en"",""zh-cn"")"),"卢什尼")</f>
        <v>卢什尼</v>
      </c>
      <c r="H359" s="9" t="str">
        <f>IFERROR(__xludf.DUMMYFUNCTION("GOOGLETRANSLATE($A359,""en"",""ja"")"),"ルシュニエ")</f>
        <v>ルシュニエ</v>
      </c>
      <c r="I359" s="9" t="str">
        <f>IFERROR(__xludf.DUMMYFUNCTION("GOOGLETRANSLATE($A359,""en"",""ko"")"),"루슈니에")</f>
        <v>루슈니에</v>
      </c>
      <c r="J359" s="9" t="str">
        <f>IFERROR(__xludf.DUMMYFUNCTION("GOOGLETRANSLATE($A359,""en"",""pt-BR"")"),"Lushnjë")</f>
        <v>Lushnjë</v>
      </c>
    </row>
    <row r="360">
      <c r="A360" s="9" t="str">
        <f>IFERROR(__xludf.DUMMYFUNCTION("""COMPUTED_VALUE"""),"Elbasan (District)")</f>
        <v>Elbasan (District)</v>
      </c>
      <c r="B360" s="9" t="str">
        <f>IFERROR(__xludf.DUMMYFUNCTION("""COMPUTED_VALUE"""),"al-el")</f>
        <v>al-el</v>
      </c>
      <c r="C360" s="9" t="str">
        <f>IFERROR(__xludf.DUMMYFUNCTION("GOOGLETRANSLATE($A360,""en"",""de"")"),"Elbasan (Bezirk)")</f>
        <v>Elbasan (Bezirk)</v>
      </c>
      <c r="D360" s="9" t="str">
        <f>IFERROR(__xludf.DUMMYFUNCTION("GOOGLETRANSLATE($A360,""en"",""fr"")"),"Elbasan (district)")</f>
        <v>Elbasan (district)</v>
      </c>
      <c r="E360" s="9" t="str">
        <f>IFERROR(__xludf.DUMMYFUNCTION("GOOGLETRANSLATE($A360,""en"",""es"")"),"Elbasan (distrito)")</f>
        <v>Elbasan (distrito)</v>
      </c>
      <c r="F360" s="9" t="str">
        <f>IFERROR(__xludf.DUMMYFUNCTION("GOOGLETRANSLATE($A360,""en"",""it"")"),"Elbasan (Distretto)")</f>
        <v>Elbasan (Distretto)</v>
      </c>
      <c r="G360" s="9" t="str">
        <f>IFERROR(__xludf.DUMMYFUNCTION("GOOGLETRANSLATE($A360,""en"",""zh-cn"")"),"爱尔巴桑（区）")</f>
        <v>爱尔巴桑（区）</v>
      </c>
      <c r="H360" s="9" t="str">
        <f>IFERROR(__xludf.DUMMYFUNCTION("GOOGLETRANSLATE($A360,""en"",""ja"")"),"エルバサン (地区)")</f>
        <v>エルバサン (地区)</v>
      </c>
      <c r="I360" s="9" t="str">
        <f>IFERROR(__xludf.DUMMYFUNCTION("GOOGLETRANSLATE($A360,""en"",""ko"")"),"엘바산(지구)")</f>
        <v>엘바산(지구)</v>
      </c>
      <c r="J360" s="9" t="str">
        <f>IFERROR(__xludf.DUMMYFUNCTION("GOOGLETRANSLATE($A360,""en"",""pt-BR"")"),"Elbasã (distrito)")</f>
        <v>Elbasã (distrito)</v>
      </c>
    </row>
    <row r="361">
      <c r="A361" s="9" t="str">
        <f>IFERROR(__xludf.DUMMYFUNCTION("""COMPUTED_VALUE"""),"Gjirokastër")</f>
        <v>Gjirokastër</v>
      </c>
      <c r="B361" s="9" t="str">
        <f>IFERROR(__xludf.DUMMYFUNCTION("""COMPUTED_VALUE"""),"al-05")</f>
        <v>al-05</v>
      </c>
      <c r="C361" s="9" t="str">
        <f>IFERROR(__xludf.DUMMYFUNCTION("GOOGLETRANSLATE($A361,""en"",""de"")"),"Gjirokastra")</f>
        <v>Gjirokastra</v>
      </c>
      <c r="D361" s="9" t="str">
        <f>IFERROR(__xludf.DUMMYFUNCTION("GOOGLETRANSLATE($A361,""en"",""fr"")"),"Gjirokastër")</f>
        <v>Gjirokastër</v>
      </c>
      <c r="E361" s="9" t="str">
        <f>IFERROR(__xludf.DUMMYFUNCTION("GOOGLETRANSLATE($A361,""en"",""es"")"),"Gjirokastra")</f>
        <v>Gjirokastra</v>
      </c>
      <c r="F361" s="9" t="str">
        <f>IFERROR(__xludf.DUMMYFUNCTION("GOOGLETRANSLATE($A361,""en"",""it"")"),"Argirocastro")</f>
        <v>Argirocastro</v>
      </c>
      <c r="G361" s="9" t="str">
        <f>IFERROR(__xludf.DUMMYFUNCTION("GOOGLETRANSLATE($A361,""en"",""zh-cn"")"),"吉诺卡斯特")</f>
        <v>吉诺卡斯特</v>
      </c>
      <c r="H361" s="9" t="str">
        <f>IFERROR(__xludf.DUMMYFUNCTION("GOOGLETRANSLATE($A361,""en"",""ja"")"),"ジロカストラ")</f>
        <v>ジロカストラ</v>
      </c>
      <c r="I361" s="9" t="str">
        <f>IFERROR(__xludf.DUMMYFUNCTION("GOOGLETRANSLATE($A361,""en"",""ko"")"),"지로카스터르")</f>
        <v>지로카스터르</v>
      </c>
      <c r="J361" s="9" t="str">
        <f>IFERROR(__xludf.DUMMYFUNCTION("GOOGLETRANSLATE($A361,""en"",""pt-BR"")"),"Gjirokastër")</f>
        <v>Gjirokastër</v>
      </c>
    </row>
    <row r="362">
      <c r="A362" s="9" t="str">
        <f>IFERROR(__xludf.DUMMYFUNCTION("""COMPUTED_VALUE"""),"Malësi e Madhe")</f>
        <v>Malësi e Madhe</v>
      </c>
      <c r="B362" s="9" t="str">
        <f>IFERROR(__xludf.DUMMYFUNCTION("""COMPUTED_VALUE"""),"al-mm")</f>
        <v>al-mm</v>
      </c>
      <c r="C362" s="9" t="str">
        <f>IFERROR(__xludf.DUMMYFUNCTION("GOOGLETRANSLATE($A362,""en"",""de"")"),"Malesi und Madhe")</f>
        <v>Malesi und Madhe</v>
      </c>
      <c r="D362" s="9" t="str">
        <f>IFERROR(__xludf.DUMMYFUNCTION("GOOGLETRANSLATE($A362,""en"",""fr"")"),"Malësi et Madhe")</f>
        <v>Malësi et Madhe</v>
      </c>
      <c r="E362" s="9" t="str">
        <f>IFERROR(__xludf.DUMMYFUNCTION("GOOGLETRANSLATE($A362,""en"",""es"")"),"Malësi y Madhe")</f>
        <v>Malësi y Madhe</v>
      </c>
      <c r="F362" s="9" t="str">
        <f>IFERROR(__xludf.DUMMYFUNCTION("GOOGLETRANSLATE($A362,""en"",""it"")"),"Malesi e Madhe")</f>
        <v>Malesi e Madhe</v>
      </c>
      <c r="G362" s="9" t="str">
        <f>IFERROR(__xludf.DUMMYFUNCTION("GOOGLETRANSLATE($A362,""en"",""zh-cn"")"),"马拉西·马德")</f>
        <v>马拉西·马德</v>
      </c>
      <c r="H362" s="9" t="str">
        <f>IFERROR(__xludf.DUMMYFUNCTION("GOOGLETRANSLATE($A362,""en"",""ja"")"),"マリシ エ マデ")</f>
        <v>マリシ エ マデ</v>
      </c>
      <c r="I362" s="9" t="str">
        <f>IFERROR(__xludf.DUMMYFUNCTION("GOOGLETRANSLATE($A362,""en"",""ko"")"),"말레시 에 마데")</f>
        <v>말레시 에 마데</v>
      </c>
      <c r="J362" s="9" t="str">
        <f>IFERROR(__xludf.DUMMYFUNCTION("GOOGLETRANSLATE($A362,""en"",""pt-BR"")"),"Malësi e Madhe")</f>
        <v>Malësi e Madhe</v>
      </c>
    </row>
    <row r="363">
      <c r="A363" s="9" t="str">
        <f>IFERROR(__xludf.DUMMYFUNCTION("""COMPUTED_VALUE"""),"Durrës")</f>
        <v>Durrës</v>
      </c>
      <c r="B363" s="9" t="str">
        <f>IFERROR(__xludf.DUMMYFUNCTION("""COMPUTED_VALUE"""),"al-02")</f>
        <v>al-02</v>
      </c>
      <c r="C363" s="9" t="str">
        <f>IFERROR(__xludf.DUMMYFUNCTION("GOOGLETRANSLATE($A363,""en"",""de"")"),"Durrës")</f>
        <v>Durrës</v>
      </c>
      <c r="D363" s="9" t="str">
        <f>IFERROR(__xludf.DUMMYFUNCTION("GOOGLETRANSLATE($A363,""en"",""fr"")"),"Durrës")</f>
        <v>Durrës</v>
      </c>
      <c r="E363" s="9" t="str">
        <f>IFERROR(__xludf.DUMMYFUNCTION("GOOGLETRANSLATE($A363,""en"",""es"")"),"Durrës")</f>
        <v>Durrës</v>
      </c>
      <c r="F363" s="9" t="str">
        <f>IFERROR(__xludf.DUMMYFUNCTION("GOOGLETRANSLATE($A363,""en"",""it"")"),"Durazzo")</f>
        <v>Durazzo</v>
      </c>
      <c r="G363" s="9" t="str">
        <f>IFERROR(__xludf.DUMMYFUNCTION("GOOGLETRANSLATE($A363,""en"",""zh-cn"")"),"都拉斯")</f>
        <v>都拉斯</v>
      </c>
      <c r="H363" s="9" t="str">
        <f>IFERROR(__xludf.DUMMYFUNCTION("GOOGLETRANSLATE($A363,""en"",""ja"")"),"ドゥラス")</f>
        <v>ドゥラス</v>
      </c>
      <c r="I363" s="9" t="str">
        <f>IFERROR(__xludf.DUMMYFUNCTION("GOOGLETRANSLATE($A363,""en"",""ko"")"),"두러스")</f>
        <v>두러스</v>
      </c>
      <c r="J363" s="9" t="str">
        <f>IFERROR(__xludf.DUMMYFUNCTION("GOOGLETRANSLATE($A363,""en"",""pt-BR"")"),"Durrës")</f>
        <v>Durrës</v>
      </c>
    </row>
    <row r="364">
      <c r="A364" s="9" t="str">
        <f>IFERROR(__xludf.DUMMYFUNCTION("""COMPUTED_VALUE"""),"Fier")</f>
        <v>Fier</v>
      </c>
      <c r="B364" s="9" t="str">
        <f>IFERROR(__xludf.DUMMYFUNCTION("""COMPUTED_VALUE"""),"al-04")</f>
        <v>al-04</v>
      </c>
      <c r="C364" s="9" t="str">
        <f>IFERROR(__xludf.DUMMYFUNCTION("GOOGLETRANSLATE($A364,""en"",""de"")"),"Fier")</f>
        <v>Fier</v>
      </c>
      <c r="D364" s="9" t="str">
        <f>IFERROR(__xludf.DUMMYFUNCTION("GOOGLETRANSLATE($A364,""en"",""fr"")"),"Fier")</f>
        <v>Fier</v>
      </c>
      <c r="E364" s="9" t="str">
        <f>IFERROR(__xludf.DUMMYFUNCTION("GOOGLETRANSLATE($A364,""en"",""es"")"),"fuego")</f>
        <v>fuego</v>
      </c>
      <c r="F364" s="9" t="str">
        <f>IFERROR(__xludf.DUMMYFUNCTION("GOOGLETRANSLATE($A364,""en"",""it"")"),"Fiero")</f>
        <v>Fiero</v>
      </c>
      <c r="G364" s="9" t="str">
        <f>IFERROR(__xludf.DUMMYFUNCTION("GOOGLETRANSLATE($A364,""en"",""zh-cn"")"),"菲尔")</f>
        <v>菲尔</v>
      </c>
      <c r="H364" s="9" t="str">
        <f>IFERROR(__xludf.DUMMYFUNCTION("GOOGLETRANSLATE($A364,""en"",""ja"")"),"フィエル")</f>
        <v>フィエル</v>
      </c>
      <c r="I364" s="9" t="str">
        <f>IFERROR(__xludf.DUMMYFUNCTION("GOOGLETRANSLATE($A364,""en"",""ko"")"),"Fier")</f>
        <v>Fier</v>
      </c>
      <c r="J364" s="9" t="str">
        <f>IFERROR(__xludf.DUMMYFUNCTION("GOOGLETRANSLATE($A364,""en"",""pt-BR"")"),"Fier")</f>
        <v>Fier</v>
      </c>
    </row>
    <row r="365">
      <c r="A365" s="9" t="str">
        <f>IFERROR(__xludf.DUMMYFUNCTION("""COMPUTED_VALUE"""),"Korçë")</f>
        <v>Korçë</v>
      </c>
      <c r="B365" s="9" t="str">
        <f>IFERROR(__xludf.DUMMYFUNCTION("""COMPUTED_VALUE"""),"al-06")</f>
        <v>al-06</v>
      </c>
      <c r="C365" s="9" t="str">
        <f>IFERROR(__xludf.DUMMYFUNCTION("GOOGLETRANSLATE($A365,""en"",""de"")"),"Korça")</f>
        <v>Korça</v>
      </c>
      <c r="D365" s="9" t="str">
        <f>IFERROR(__xludf.DUMMYFUNCTION("GOOGLETRANSLATE($A365,""en"",""fr"")"),"Korçë")</f>
        <v>Korçë</v>
      </c>
      <c r="E365" s="9" t="str">
        <f>IFERROR(__xludf.DUMMYFUNCTION("GOOGLETRANSLATE($A365,""en"",""es"")"),"Korçë")</f>
        <v>Korçë</v>
      </c>
      <c r="F365" s="9" t="str">
        <f>IFERROR(__xludf.DUMMYFUNCTION("GOOGLETRANSLATE($A365,""en"",""it"")"),"Coriza")</f>
        <v>Coriza</v>
      </c>
      <c r="G365" s="9" t="str">
        <f>IFERROR(__xludf.DUMMYFUNCTION("GOOGLETRANSLATE($A365,""en"",""zh-cn"")"),"科尔察")</f>
        <v>科尔察</v>
      </c>
      <c r="H365" s="9" t="str">
        <f>IFERROR(__xludf.DUMMYFUNCTION("GOOGLETRANSLATE($A365,""en"",""ja"")"),"コルチャ")</f>
        <v>コルチャ</v>
      </c>
      <c r="I365" s="9" t="str">
        <f>IFERROR(__xludf.DUMMYFUNCTION("GOOGLETRANSLATE($A365,""en"",""ko"")"),"코르체")</f>
        <v>코르체</v>
      </c>
      <c r="J365" s="9" t="str">
        <f>IFERROR(__xludf.DUMMYFUNCTION("GOOGLETRANSLATE($A365,""en"",""pt-BR"")"),"Korçë")</f>
        <v>Korçë</v>
      </c>
    </row>
    <row r="366">
      <c r="A366" s="9" t="str">
        <f>IFERROR(__xludf.DUMMYFUNCTION("""COMPUTED_VALUE"""),"Tepelenë")</f>
        <v>Tepelenë</v>
      </c>
      <c r="B366" s="9" t="str">
        <f>IFERROR(__xludf.DUMMYFUNCTION("""COMPUTED_VALUE"""),"al-te")</f>
        <v>al-te</v>
      </c>
      <c r="C366" s="9" t="str">
        <f>IFERROR(__xludf.DUMMYFUNCTION("GOOGLETRANSLATE($A366,""en"",""de"")"),"Tepelena")</f>
        <v>Tepelena</v>
      </c>
      <c r="D366" s="9" t="str">
        <f>IFERROR(__xludf.DUMMYFUNCTION("GOOGLETRANSLATE($A366,""en"",""fr"")"),"Tepelenë")</f>
        <v>Tepelenë</v>
      </c>
      <c r="E366" s="9" t="str">
        <f>IFERROR(__xludf.DUMMYFUNCTION("GOOGLETRANSLATE($A366,""en"",""es"")"),"Tepelenë")</f>
        <v>Tepelenë</v>
      </c>
      <c r="F366" s="9" t="str">
        <f>IFERROR(__xludf.DUMMYFUNCTION("GOOGLETRANSLATE($A366,""en"",""it"")"),"Tepelenë")</f>
        <v>Tepelenë</v>
      </c>
      <c r="G366" s="9" t="str">
        <f>IFERROR(__xludf.DUMMYFUNCTION("GOOGLETRANSLATE($A366,""en"",""zh-cn"")"),"特佩莱内")</f>
        <v>特佩莱内</v>
      </c>
      <c r="H366" s="9" t="str">
        <f>IFERROR(__xludf.DUMMYFUNCTION("GOOGLETRANSLATE($A366,""en"",""ja"")"),"テペレナ")</f>
        <v>テペレナ</v>
      </c>
      <c r="I366" s="9" t="str">
        <f>IFERROR(__xludf.DUMMYFUNCTION("GOOGLETRANSLATE($A366,""en"",""ko"")"),"테펠레나")</f>
        <v>테펠레나</v>
      </c>
      <c r="J366" s="9" t="str">
        <f>IFERROR(__xludf.DUMMYFUNCTION("GOOGLETRANSLATE($A366,""en"",""pt-BR"")"),"Tepelenë")</f>
        <v>Tepelenë</v>
      </c>
    </row>
    <row r="367">
      <c r="A367" s="9" t="str">
        <f>IFERROR(__xludf.DUMMYFUNCTION("""COMPUTED_VALUE"""),"Shkodër")</f>
        <v>Shkodër</v>
      </c>
      <c r="B367" s="9" t="str">
        <f>IFERROR(__xludf.DUMMYFUNCTION("""COMPUTED_VALUE"""),"al-10")</f>
        <v>al-10</v>
      </c>
      <c r="C367" s="9" t="str">
        <f>IFERROR(__xludf.DUMMYFUNCTION("GOOGLETRANSLATE($A367,""en"",""de"")"),"Shkodër")</f>
        <v>Shkodër</v>
      </c>
      <c r="D367" s="9" t="str">
        <f>IFERROR(__xludf.DUMMYFUNCTION("GOOGLETRANSLATE($A367,""en"",""fr"")"),"Shkoder")</f>
        <v>Shkoder</v>
      </c>
      <c r="E367" s="9" t="str">
        <f>IFERROR(__xludf.DUMMYFUNCTION("GOOGLETRANSLATE($A367,""en"",""es"")"),"Shkoder")</f>
        <v>Shkoder</v>
      </c>
      <c r="F367" s="9" t="str">
        <f>IFERROR(__xludf.DUMMYFUNCTION("GOOGLETRANSLATE($A367,""en"",""it"")"),"Scutari")</f>
        <v>Scutari</v>
      </c>
      <c r="G367" s="9" t="str">
        <f>IFERROR(__xludf.DUMMYFUNCTION("GOOGLETRANSLATE($A367,""en"",""zh-cn"")"),"斯库台")</f>
        <v>斯库台</v>
      </c>
      <c r="H367" s="9" t="str">
        <f>IFERROR(__xludf.DUMMYFUNCTION("GOOGLETRANSLATE($A367,""en"",""ja"")"),"シュコダル")</f>
        <v>シュコダル</v>
      </c>
      <c r="I367" s="9" t="str">
        <f>IFERROR(__xludf.DUMMYFUNCTION("GOOGLETRANSLATE($A367,""en"",""ko"")"),"슈코더르")</f>
        <v>슈코더르</v>
      </c>
      <c r="J367" s="9" t="str">
        <f>IFERROR(__xludf.DUMMYFUNCTION("GOOGLETRANSLATE($A367,""en"",""pt-BR"")"),"Escodra")</f>
        <v>Escodra</v>
      </c>
    </row>
    <row r="368">
      <c r="A368" s="9" t="str">
        <f>IFERROR(__xludf.DUMMYFUNCTION("""COMPUTED_VALUE"""),"Lezhë")</f>
        <v>Lezhë</v>
      </c>
      <c r="B368" s="9" t="str">
        <f>IFERROR(__xludf.DUMMYFUNCTION("""COMPUTED_VALUE"""),"al-08")</f>
        <v>al-08</v>
      </c>
      <c r="C368" s="9" t="str">
        <f>IFERROR(__xludf.DUMMYFUNCTION("GOOGLETRANSLATE($A368,""en"",""de"")"),"Lezha")</f>
        <v>Lezha</v>
      </c>
      <c r="D368" s="9" t="str">
        <f>IFERROR(__xludf.DUMMYFUNCTION("GOOGLETRANSLATE($A368,""en"",""fr"")"),"Lezhë")</f>
        <v>Lezhë</v>
      </c>
      <c r="E368" s="9" t="str">
        <f>IFERROR(__xludf.DUMMYFUNCTION("GOOGLETRANSLATE($A368,""en"",""es"")"),"Lezhë")</f>
        <v>Lezhë</v>
      </c>
      <c r="F368" s="9" t="str">
        <f>IFERROR(__xludf.DUMMYFUNCTION("GOOGLETRANSLATE($A368,""en"",""it"")"),"Lezhë")</f>
        <v>Lezhë</v>
      </c>
      <c r="G368" s="9" t="str">
        <f>IFERROR(__xludf.DUMMYFUNCTION("GOOGLETRANSLATE($A368,""en"",""zh-cn"")"),"莱日")</f>
        <v>莱日</v>
      </c>
      <c r="H368" s="9" t="str">
        <f>IFERROR(__xludf.DUMMYFUNCTION("GOOGLETRANSLATE($A368,""en"",""ja"")"),"レジー")</f>
        <v>レジー</v>
      </c>
      <c r="I368" s="9" t="str">
        <f>IFERROR(__xludf.DUMMYFUNCTION("GOOGLETRANSLATE($A368,""en"",""ko"")"),"레제")</f>
        <v>레제</v>
      </c>
      <c r="J368" s="9" t="str">
        <f>IFERROR(__xludf.DUMMYFUNCTION("GOOGLETRANSLATE($A368,""en"",""pt-BR"")"),"Lezhë")</f>
        <v>Lezhë</v>
      </c>
    </row>
    <row r="369">
      <c r="A369" s="9" t="str">
        <f>IFERROR(__xludf.DUMMYFUNCTION("""COMPUTED_VALUE"""),"Skrapar")</f>
        <v>Skrapar</v>
      </c>
      <c r="B369" s="9" t="str">
        <f>IFERROR(__xludf.DUMMYFUNCTION("""COMPUTED_VALUE"""),"al-sk")</f>
        <v>al-sk</v>
      </c>
      <c r="C369" s="9" t="str">
        <f>IFERROR(__xludf.DUMMYFUNCTION("GOOGLETRANSLATE($A369,""en"",""de"")"),"Skrapar")</f>
        <v>Skrapar</v>
      </c>
      <c r="D369" s="9" t="str">
        <f>IFERROR(__xludf.DUMMYFUNCTION("GOOGLETRANSLATE($A369,""en"",""fr"")"),"Skrapar")</f>
        <v>Skrapar</v>
      </c>
      <c r="E369" s="9" t="str">
        <f>IFERROR(__xludf.DUMMYFUNCTION("GOOGLETRANSLATE($A369,""en"",""es"")"),"Skrapar")</f>
        <v>Skrapar</v>
      </c>
      <c r="F369" s="9" t="str">
        <f>IFERROR(__xludf.DUMMYFUNCTION("GOOGLETRANSLATE($A369,""en"",""it"")"),"Skrapar")</f>
        <v>Skrapar</v>
      </c>
      <c r="G369" s="9" t="str">
        <f>IFERROR(__xludf.DUMMYFUNCTION("GOOGLETRANSLATE($A369,""en"",""zh-cn"")"),"斯克拉帕尔")</f>
        <v>斯克拉帕尔</v>
      </c>
      <c r="H369" s="9" t="str">
        <f>IFERROR(__xludf.DUMMYFUNCTION("GOOGLETRANSLATE($A369,""en"",""ja"")"),"スクラパー")</f>
        <v>スクラパー</v>
      </c>
      <c r="I369" s="9" t="str">
        <f>IFERROR(__xludf.DUMMYFUNCTION("GOOGLETRANSLATE($A369,""en"",""ko"")"),"스크라파르")</f>
        <v>스크라파르</v>
      </c>
      <c r="J369" s="9" t="str">
        <f>IFERROR(__xludf.DUMMYFUNCTION("GOOGLETRANSLATE($A369,""en"",""pt-BR"")"),"Skrapar")</f>
        <v>Skrapar</v>
      </c>
    </row>
    <row r="370">
      <c r="A370" s="9" t="str">
        <f>IFERROR(__xludf.DUMMYFUNCTION("""COMPUTED_VALUE"""),"Mat")</f>
        <v>Mat</v>
      </c>
      <c r="B370" s="9" t="str">
        <f>IFERROR(__xludf.DUMMYFUNCTION("""COMPUTED_VALUE"""),"al-mt")</f>
        <v>al-mt</v>
      </c>
      <c r="C370" s="9" t="str">
        <f>IFERROR(__xludf.DUMMYFUNCTION("GOOGLETRANSLATE($A370,""en"",""de"")"),"Matte")</f>
        <v>Matte</v>
      </c>
      <c r="D370" s="9" t="str">
        <f>IFERROR(__xludf.DUMMYFUNCTION("GOOGLETRANSLATE($A370,""en"",""fr"")"),"Tapis")</f>
        <v>Tapis</v>
      </c>
      <c r="E370" s="9" t="str">
        <f>IFERROR(__xludf.DUMMYFUNCTION("GOOGLETRANSLATE($A370,""en"",""es"")"),"Estera")</f>
        <v>Estera</v>
      </c>
      <c r="F370" s="9" t="str">
        <f>IFERROR(__xludf.DUMMYFUNCTION("GOOGLETRANSLATE($A370,""en"",""it"")"),"Stuoia")</f>
        <v>Stuoia</v>
      </c>
      <c r="G370" s="9" t="str">
        <f>IFERROR(__xludf.DUMMYFUNCTION("GOOGLETRANSLATE($A370,""en"",""zh-cn"")"),"垫")</f>
        <v>垫</v>
      </c>
      <c r="H370" s="9" t="str">
        <f>IFERROR(__xludf.DUMMYFUNCTION("GOOGLETRANSLATE($A370,""en"",""ja"")"),"マット")</f>
        <v>マット</v>
      </c>
      <c r="I370" s="9" t="str">
        <f>IFERROR(__xludf.DUMMYFUNCTION("GOOGLETRANSLATE($A370,""en"",""ko"")"),"매트")</f>
        <v>매트</v>
      </c>
      <c r="J370" s="9" t="str">
        <f>IFERROR(__xludf.DUMMYFUNCTION("GOOGLETRANSLATE($A370,""en"",""pt-BR"")"),"Esteira")</f>
        <v>Esteira</v>
      </c>
    </row>
    <row r="371">
      <c r="A371" s="9" t="str">
        <f>IFERROR(__xludf.DUMMYFUNCTION("""COMPUTED_VALUE"""),"Krujë")</f>
        <v>Krujë</v>
      </c>
      <c r="B371" s="9" t="str">
        <f>IFERROR(__xludf.DUMMYFUNCTION("""COMPUTED_VALUE"""),"al-kr")</f>
        <v>al-kr</v>
      </c>
      <c r="C371" s="9" t="str">
        <f>IFERROR(__xludf.DUMMYFUNCTION("GOOGLETRANSLATE($A371,""en"",""de"")"),"Kruja")</f>
        <v>Kruja</v>
      </c>
      <c r="D371" s="9" t="str">
        <f>IFERROR(__xludf.DUMMYFUNCTION("GOOGLETRANSLATE($A371,""en"",""fr"")"),"Kruje")</f>
        <v>Kruje</v>
      </c>
      <c r="E371" s="9" t="str">
        <f>IFERROR(__xludf.DUMMYFUNCTION("GOOGLETRANSLATE($A371,""en"",""es"")"),"Kruje")</f>
        <v>Kruje</v>
      </c>
      <c r="F371" s="9" t="str">
        <f>IFERROR(__xludf.DUMMYFUNCTION("GOOGLETRANSLATE($A371,""en"",""it"")"),"Kruja")</f>
        <v>Kruja</v>
      </c>
      <c r="G371" s="9" t="str">
        <f>IFERROR(__xludf.DUMMYFUNCTION("GOOGLETRANSLATE($A371,""en"",""zh-cn"")"),"克鲁耶")</f>
        <v>克鲁耶</v>
      </c>
      <c r="H371" s="9" t="str">
        <f>IFERROR(__xludf.DUMMYFUNCTION("GOOGLETRANSLATE($A371,""en"",""ja"")"),"クルーヤ")</f>
        <v>クルーヤ</v>
      </c>
      <c r="I371" s="9" t="str">
        <f>IFERROR(__xludf.DUMMYFUNCTION("GOOGLETRANSLATE($A371,""en"",""ko"")"),"크루예")</f>
        <v>크루예</v>
      </c>
      <c r="J371" s="9" t="str">
        <f>IFERROR(__xludf.DUMMYFUNCTION("GOOGLETRANSLATE($A371,""en"",""pt-BR"")"),"Krujë")</f>
        <v>Krujë</v>
      </c>
    </row>
    <row r="372">
      <c r="A372" s="9" t="str">
        <f>IFERROR(__xludf.DUMMYFUNCTION("""COMPUTED_VALUE"""),"Vlorë (District)")</f>
        <v>Vlorë (District)</v>
      </c>
      <c r="B372" s="9" t="str">
        <f>IFERROR(__xludf.DUMMYFUNCTION("""COMPUTED_VALUE"""),"al-vl")</f>
        <v>al-vl</v>
      </c>
      <c r="C372" s="9" t="str">
        <f>IFERROR(__xludf.DUMMYFUNCTION("GOOGLETRANSLATE($A372,""en"",""de"")"),"Vlora (Bezirk)")</f>
        <v>Vlora (Bezirk)</v>
      </c>
      <c r="D372" s="9" t="str">
        <f>IFERROR(__xludf.DUMMYFUNCTION("GOOGLETRANSLATE($A372,""en"",""fr"")"),"Vlora (district)")</f>
        <v>Vlora (district)</v>
      </c>
      <c r="E372" s="9" t="str">
        <f>IFERROR(__xludf.DUMMYFUNCTION("GOOGLETRANSLATE($A372,""en"",""es"")"),"Vlorë (Distrito)")</f>
        <v>Vlorë (Distrito)</v>
      </c>
      <c r="F372" s="9" t="str">
        <f>IFERROR(__xludf.DUMMYFUNCTION("GOOGLETRANSLATE($A372,""en"",""it"")"),"Valona (Distretto)")</f>
        <v>Valona (Distretto)</v>
      </c>
      <c r="G372" s="9" t="str">
        <f>IFERROR(__xludf.DUMMYFUNCTION("GOOGLETRANSLATE($A372,""en"",""zh-cn"")"),"发罗拉（区）")</f>
        <v>发罗拉（区）</v>
      </c>
      <c r="H372" s="9" t="str">
        <f>IFERROR(__xludf.DUMMYFUNCTION("GOOGLETRANSLATE($A372,""en"",""ja"")"),"ヴロラ (地区)")</f>
        <v>ヴロラ (地区)</v>
      </c>
      <c r="I372" s="9" t="str">
        <f>IFERROR(__xludf.DUMMYFUNCTION("GOOGLETRANSLATE($A372,""en"",""ko"")"),"블로러(지구)")</f>
        <v>블로러(지구)</v>
      </c>
      <c r="J372" s="9" t="str">
        <f>IFERROR(__xludf.DUMMYFUNCTION("GOOGLETRANSLATE($A372,""en"",""pt-BR"")"),"Vlorë (distrito)")</f>
        <v>Vlorë (distrito)</v>
      </c>
    </row>
    <row r="373">
      <c r="A373" s="9" t="str">
        <f>IFERROR(__xludf.DUMMYFUNCTION("""COMPUTED_VALUE"""),"Vlorë")</f>
        <v>Vlorë</v>
      </c>
      <c r="B373" s="9" t="str">
        <f>IFERROR(__xludf.DUMMYFUNCTION("""COMPUTED_VALUE"""),"al-12")</f>
        <v>al-12</v>
      </c>
      <c r="C373" s="9" t="str">
        <f>IFERROR(__xludf.DUMMYFUNCTION("GOOGLETRANSLATE($A373,""en"",""de"")"),"Vlora")</f>
        <v>Vlora</v>
      </c>
      <c r="D373" s="9" t="str">
        <f>IFERROR(__xludf.DUMMYFUNCTION("GOOGLETRANSLATE($A373,""en"",""fr"")"),"Vlora")</f>
        <v>Vlora</v>
      </c>
      <c r="E373" s="9" t="str">
        <f>IFERROR(__xludf.DUMMYFUNCTION("GOOGLETRANSLATE($A373,""en"",""es"")"),"Vlorë")</f>
        <v>Vlorë</v>
      </c>
      <c r="F373" s="9" t="str">
        <f>IFERROR(__xludf.DUMMYFUNCTION("GOOGLETRANSLATE($A373,""en"",""it"")"),"Valona")</f>
        <v>Valona</v>
      </c>
      <c r="G373" s="9" t="str">
        <f>IFERROR(__xludf.DUMMYFUNCTION("GOOGLETRANSLATE($A373,""en"",""zh-cn"")"),"发罗拉")</f>
        <v>发罗拉</v>
      </c>
      <c r="H373" s="9" t="str">
        <f>IFERROR(__xludf.DUMMYFUNCTION("GOOGLETRANSLATE($A373,""en"",""ja"")"),"ヴロラ")</f>
        <v>ヴロラ</v>
      </c>
      <c r="I373" s="9" t="str">
        <f>IFERROR(__xludf.DUMMYFUNCTION("GOOGLETRANSLATE($A373,""en"",""ko"")"),"블로러")</f>
        <v>블로러</v>
      </c>
      <c r="J373" s="9" t="str">
        <f>IFERROR(__xludf.DUMMYFUNCTION("GOOGLETRANSLATE($A373,""en"",""pt-BR"")"),"Vlorë")</f>
        <v>Vlorë</v>
      </c>
    </row>
    <row r="374">
      <c r="A374" s="9" t="str">
        <f>IFERROR(__xludf.DUMMYFUNCTION("""COMPUTED_VALUE"""),"Berat (District)")</f>
        <v>Berat (District)</v>
      </c>
      <c r="B374" s="9" t="str">
        <f>IFERROR(__xludf.DUMMYFUNCTION("""COMPUTED_VALUE"""),"al-br")</f>
        <v>al-br</v>
      </c>
      <c r="C374" s="9" t="str">
        <f>IFERROR(__xludf.DUMMYFUNCTION("GOOGLETRANSLATE($A374,""en"",""de"")"),"Berat (Bezirk)")</f>
        <v>Berat (Bezirk)</v>
      </c>
      <c r="D374" s="9" t="str">
        <f>IFERROR(__xludf.DUMMYFUNCTION("GOOGLETRANSLATE($A374,""en"",""fr"")"),"Berat (district)")</f>
        <v>Berat (district)</v>
      </c>
      <c r="E374" s="9" t="str">
        <f>IFERROR(__xludf.DUMMYFUNCTION("GOOGLETRANSLATE($A374,""en"",""es"")"),"Berat (Distrito)")</f>
        <v>Berat (Distrito)</v>
      </c>
      <c r="F374" s="9" t="str">
        <f>IFERROR(__xludf.DUMMYFUNCTION("GOOGLETRANSLATE($A374,""en"",""it"")"),"Berat (Distretto)")</f>
        <v>Berat (Distretto)</v>
      </c>
      <c r="G374" s="9" t="str">
        <f>IFERROR(__xludf.DUMMYFUNCTION("GOOGLETRANSLATE($A374,""en"",""zh-cn"")"),"培拉特（区）")</f>
        <v>培拉特（区）</v>
      </c>
      <c r="H374" s="9" t="str">
        <f>IFERROR(__xludf.DUMMYFUNCTION("GOOGLETRANSLATE($A374,""en"",""ja"")"),"ベラト (地区)")</f>
        <v>ベラト (地区)</v>
      </c>
      <c r="I374" s="9" t="str">
        <f>IFERROR(__xludf.DUMMYFUNCTION("GOOGLETRANSLATE($A374,""en"",""ko"")"),"베라트(지구)")</f>
        <v>베라트(지구)</v>
      </c>
      <c r="J374" s="9" t="str">
        <f>IFERROR(__xludf.DUMMYFUNCTION("GOOGLETRANSLATE($A374,""en"",""pt-BR"")"),"Berat (distrito)")</f>
        <v>Berat (distrito)</v>
      </c>
    </row>
    <row r="375">
      <c r="A375" s="9" t="str">
        <f>IFERROR(__xludf.DUMMYFUNCTION("""COMPUTED_VALUE"""),"Has")</f>
        <v>Has</v>
      </c>
      <c r="B375" s="9" t="str">
        <f>IFERROR(__xludf.DUMMYFUNCTION("""COMPUTED_VALUE"""),"al-ha")</f>
        <v>al-ha</v>
      </c>
      <c r="C375" s="9" t="str">
        <f>IFERROR(__xludf.DUMMYFUNCTION("GOOGLETRANSLATE($A375,""en"",""de"")"),"Hat")</f>
        <v>Hat</v>
      </c>
      <c r="D375" s="9" t="str">
        <f>IFERROR(__xludf.DUMMYFUNCTION("GOOGLETRANSLATE($A375,""en"",""fr"")"),"A")</f>
        <v>A</v>
      </c>
      <c r="E375" s="9" t="str">
        <f>IFERROR(__xludf.DUMMYFUNCTION("GOOGLETRANSLATE($A375,""en"",""es"")"),"Tiene")</f>
        <v>Tiene</v>
      </c>
      <c r="F375" s="9" t="str">
        <f>IFERROR(__xludf.DUMMYFUNCTION("GOOGLETRANSLATE($A375,""en"",""it"")"),"Ha")</f>
        <v>Ha</v>
      </c>
      <c r="G375" s="9" t="str">
        <f>IFERROR(__xludf.DUMMYFUNCTION("GOOGLETRANSLATE($A375,""en"",""zh-cn"")"),"有")</f>
        <v>有</v>
      </c>
      <c r="H375" s="9" t="str">
        <f>IFERROR(__xludf.DUMMYFUNCTION("GOOGLETRANSLATE($A375,""en"",""ja"")"),"もっている")</f>
        <v>もっている</v>
      </c>
      <c r="I375" s="9" t="str">
        <f>IFERROR(__xludf.DUMMYFUNCTION("GOOGLETRANSLATE($A375,""en"",""ko"")"),"가지다")</f>
        <v>가지다</v>
      </c>
      <c r="J375" s="9" t="str">
        <f>IFERROR(__xludf.DUMMYFUNCTION("GOOGLETRANSLATE($A375,""en"",""pt-BR"")"),"Tem")</f>
        <v>Tem</v>
      </c>
    </row>
    <row r="376">
      <c r="A376" s="9" t="str">
        <f>IFERROR(__xludf.DUMMYFUNCTION("""COMPUTED_VALUE"""),"Gramsh")</f>
        <v>Gramsh</v>
      </c>
      <c r="B376" s="9" t="str">
        <f>IFERROR(__xludf.DUMMYFUNCTION("""COMPUTED_VALUE"""),"al-gr")</f>
        <v>al-gr</v>
      </c>
      <c r="C376" s="9" t="str">
        <f>IFERROR(__xludf.DUMMYFUNCTION("GOOGLETRANSLATE($A376,""en"",""de"")"),"Gramsh")</f>
        <v>Gramsh</v>
      </c>
      <c r="D376" s="9" t="str">
        <f>IFERROR(__xludf.DUMMYFUNCTION("GOOGLETRANSLATE($A376,""en"",""fr"")"),"Gramsh")</f>
        <v>Gramsh</v>
      </c>
      <c r="E376" s="9" t="str">
        <f>IFERROR(__xludf.DUMMYFUNCTION("GOOGLETRANSLATE($A376,""en"",""es"")"),"abuela")</f>
        <v>abuela</v>
      </c>
      <c r="F376" s="9" t="str">
        <f>IFERROR(__xludf.DUMMYFUNCTION("GOOGLETRANSLATE($A376,""en"",""it"")"),"Gramsh")</f>
        <v>Gramsh</v>
      </c>
      <c r="G376" s="9" t="str">
        <f>IFERROR(__xludf.DUMMYFUNCTION("GOOGLETRANSLATE($A376,""en"",""zh-cn"")"),"格拉姆什")</f>
        <v>格拉姆什</v>
      </c>
      <c r="H376" s="9" t="str">
        <f>IFERROR(__xludf.DUMMYFUNCTION("GOOGLETRANSLATE($A376,""en"",""ja"")"),"グラムシュ")</f>
        <v>グラムシュ</v>
      </c>
      <c r="I376" s="9" t="str">
        <f>IFERROR(__xludf.DUMMYFUNCTION("GOOGLETRANSLATE($A376,""en"",""ko"")"),"그람쉬")</f>
        <v>그람쉬</v>
      </c>
      <c r="J376" s="9" t="str">
        <f>IFERROR(__xludf.DUMMYFUNCTION("GOOGLETRANSLATE($A376,""en"",""pt-BR"")"),"Gramsh")</f>
        <v>Gramsh</v>
      </c>
    </row>
    <row r="377">
      <c r="A377" s="9" t="str">
        <f>IFERROR(__xludf.DUMMYFUNCTION("""COMPUTED_VALUE"""),"Peqin")</f>
        <v>Peqin</v>
      </c>
      <c r="B377" s="9" t="str">
        <f>IFERROR(__xludf.DUMMYFUNCTION("""COMPUTED_VALUE"""),"al-pq")</f>
        <v>al-pq</v>
      </c>
      <c r="C377" s="9" t="str">
        <f>IFERROR(__xludf.DUMMYFUNCTION("GOOGLETRANSLATE($A377,""en"",""de"")"),"Peqin")</f>
        <v>Peqin</v>
      </c>
      <c r="D377" s="9" t="str">
        <f>IFERROR(__xludf.DUMMYFUNCTION("GOOGLETRANSLATE($A377,""en"",""fr"")"),"Péqin")</f>
        <v>Péqin</v>
      </c>
      <c r="E377" s="9" t="str">
        <f>IFERROR(__xludf.DUMMYFUNCTION("GOOGLETRANSLATE($A377,""en"",""es"")"),"pequin")</f>
        <v>pequin</v>
      </c>
      <c r="F377" s="9" t="str">
        <f>IFERROR(__xludf.DUMMYFUNCTION("GOOGLETRANSLATE($A377,""en"",""it"")"),"Pechino")</f>
        <v>Pechino</v>
      </c>
      <c r="G377" s="9" t="str">
        <f>IFERROR(__xludf.DUMMYFUNCTION("GOOGLETRANSLATE($A377,""en"",""zh-cn"")"),"佩钦")</f>
        <v>佩钦</v>
      </c>
      <c r="H377" s="9" t="str">
        <f>IFERROR(__xludf.DUMMYFUNCTION("GOOGLETRANSLATE($A377,""en"",""ja"")"),"北京語")</f>
        <v>北京語</v>
      </c>
      <c r="I377" s="9" t="str">
        <f>IFERROR(__xludf.DUMMYFUNCTION("GOOGLETRANSLATE($A377,""en"",""ko"")"),"페친")</f>
        <v>페친</v>
      </c>
      <c r="J377" s="9" t="str">
        <f>IFERROR(__xludf.DUMMYFUNCTION("GOOGLETRANSLATE($A377,""en"",""pt-BR"")"),"Pequin")</f>
        <v>Pequin</v>
      </c>
    </row>
    <row r="378">
      <c r="A378" s="9" t="str">
        <f>IFERROR(__xludf.DUMMYFUNCTION("""COMPUTED_VALUE"""),"Bulqizë")</f>
        <v>Bulqizë</v>
      </c>
      <c r="B378" s="9" t="str">
        <f>IFERROR(__xludf.DUMMYFUNCTION("""COMPUTED_VALUE"""),"al-bu")</f>
        <v>al-bu</v>
      </c>
      <c r="C378" s="9" t="str">
        <f>IFERROR(__xludf.DUMMYFUNCTION("GOOGLETRANSLATE($A378,""en"",""de"")"),"Bulqiza")</f>
        <v>Bulqiza</v>
      </c>
      <c r="D378" s="9" t="str">
        <f>IFERROR(__xludf.DUMMYFUNCTION("GOOGLETRANSLATE($A378,""en"",""fr"")"),"Bulqizé")</f>
        <v>Bulqizé</v>
      </c>
      <c r="E378" s="9" t="str">
        <f>IFERROR(__xludf.DUMMYFUNCTION("GOOGLETRANSLATE($A378,""en"",""es"")"),"Bulqizë")</f>
        <v>Bulqizë</v>
      </c>
      <c r="F378" s="9" t="str">
        <f>IFERROR(__xludf.DUMMYFUNCTION("GOOGLETRANSLATE($A378,""en"",""it"")"),"Bulqizë")</f>
        <v>Bulqizë</v>
      </c>
      <c r="G378" s="9" t="str">
        <f>IFERROR(__xludf.DUMMYFUNCTION("GOOGLETRANSLATE($A378,""en"",""zh-cn"")"),"布尔吉则")</f>
        <v>布尔吉则</v>
      </c>
      <c r="H378" s="9" t="str">
        <f>IFERROR(__xludf.DUMMYFUNCTION("GOOGLETRANSLATE($A378,""en"",""ja"")"),"ブルキゼ")</f>
        <v>ブルキゼ</v>
      </c>
      <c r="I378" s="9" t="str">
        <f>IFERROR(__xludf.DUMMYFUNCTION("GOOGLETRANSLATE($A378,""en"",""ko"")"),"불키제")</f>
        <v>불키제</v>
      </c>
      <c r="J378" s="9" t="str">
        <f>IFERROR(__xludf.DUMMYFUNCTION("GOOGLETRANSLATE($A378,""en"",""pt-BR"")"),"Bulqizë")</f>
        <v>Bulqizë</v>
      </c>
    </row>
    <row r="379">
      <c r="A379" s="9" t="str">
        <f>IFERROR(__xludf.DUMMYFUNCTION("""COMPUTED_VALUE"""),"Përmet")</f>
        <v>Përmet</v>
      </c>
      <c r="B379" s="9" t="str">
        <f>IFERROR(__xludf.DUMMYFUNCTION("""COMPUTED_VALUE"""),"al-pr")</f>
        <v>al-pr</v>
      </c>
      <c r="C379" s="9" t="str">
        <f>IFERROR(__xludf.DUMMYFUNCTION("GOOGLETRANSLATE($A379,""en"",""de"")"),"Përmet")</f>
        <v>Përmet</v>
      </c>
      <c r="D379" s="9" t="str">
        <f>IFERROR(__xludf.DUMMYFUNCTION("GOOGLETRANSLATE($A379,""en"",""fr"")"),"Permet")</f>
        <v>Permet</v>
      </c>
      <c r="E379" s="9" t="str">
        <f>IFERROR(__xludf.DUMMYFUNCTION("GOOGLETRANSLATE($A379,""en"",""es"")"),"Permet")</f>
        <v>Permet</v>
      </c>
      <c r="F379" s="9" t="str">
        <f>IFERROR(__xludf.DUMMYFUNCTION("GOOGLETRANSLATE($A379,""en"",""it"")"),"Permet")</f>
        <v>Permet</v>
      </c>
      <c r="G379" s="9" t="str">
        <f>IFERROR(__xludf.DUMMYFUNCTION("GOOGLETRANSLATE($A379,""en"",""zh-cn"")"),"佩尔梅特")</f>
        <v>佩尔梅特</v>
      </c>
      <c r="H379" s="9" t="str">
        <f>IFERROR(__xludf.DUMMYFUNCTION("GOOGLETRANSLATE($A379,""en"",""ja"")"),"ペルメット")</f>
        <v>ペルメット</v>
      </c>
      <c r="I379" s="9" t="str">
        <f>IFERROR(__xludf.DUMMYFUNCTION("GOOGLETRANSLATE($A379,""en"",""ko"")"),"페르메")</f>
        <v>페르메</v>
      </c>
      <c r="J379" s="9" t="str">
        <f>IFERROR(__xludf.DUMMYFUNCTION("GOOGLETRANSLATE($A379,""en"",""pt-BR"")"),"Përmet")</f>
        <v>Përmet</v>
      </c>
    </row>
    <row r="380">
      <c r="A380" s="9" t="str">
        <f>IFERROR(__xludf.DUMMYFUNCTION("""COMPUTED_VALUE"""),"Tiranë")</f>
        <v>Tiranë</v>
      </c>
      <c r="B380" s="9" t="str">
        <f>IFERROR(__xludf.DUMMYFUNCTION("""COMPUTED_VALUE"""),"al-11")</f>
        <v>al-11</v>
      </c>
      <c r="C380" s="9" t="str">
        <f>IFERROR(__xludf.DUMMYFUNCTION("GOOGLETRANSLATE($A380,""en"",""de"")"),"Tirana")</f>
        <v>Tirana</v>
      </c>
      <c r="D380" s="9" t="str">
        <f>IFERROR(__xludf.DUMMYFUNCTION("GOOGLETRANSLATE($A380,""en"",""fr"")"),"Tirane")</f>
        <v>Tirane</v>
      </c>
      <c r="E380" s="9" t="str">
        <f>IFERROR(__xludf.DUMMYFUNCTION("GOOGLETRANSLATE($A380,""en"",""es"")"),"Tirana")</f>
        <v>Tirana</v>
      </c>
      <c r="F380" s="9" t="str">
        <f>IFERROR(__xludf.DUMMYFUNCTION("GOOGLETRANSLATE($A380,""en"",""it"")"),"Tirana")</f>
        <v>Tirana</v>
      </c>
      <c r="G380" s="9" t="str">
        <f>IFERROR(__xludf.DUMMYFUNCTION("GOOGLETRANSLATE($A380,""en"",""zh-cn"")"),"地拉那")</f>
        <v>地拉那</v>
      </c>
      <c r="H380" s="9" t="str">
        <f>IFERROR(__xludf.DUMMYFUNCTION("GOOGLETRANSLATE($A380,""en"",""ja"")"),"ティラナ")</f>
        <v>ティラナ</v>
      </c>
      <c r="I380" s="9" t="str">
        <f>IFERROR(__xludf.DUMMYFUNCTION("GOOGLETRANSLATE($A380,""en"",""ko"")"),"티라나")</f>
        <v>티라나</v>
      </c>
      <c r="J380" s="9" t="str">
        <f>IFERROR(__xludf.DUMMYFUNCTION("GOOGLETRANSLATE($A380,""en"",""pt-BR"")"),"Tirana")</f>
        <v>Tirana</v>
      </c>
    </row>
    <row r="381">
      <c r="A381" s="9" t="str">
        <f>IFERROR(__xludf.DUMMYFUNCTION("""COMPUTED_VALUE"""),"Delvinë")</f>
        <v>Delvinë</v>
      </c>
      <c r="B381" s="9" t="str">
        <f>IFERROR(__xludf.DUMMYFUNCTION("""COMPUTED_VALUE"""),"al-dl")</f>
        <v>al-dl</v>
      </c>
      <c r="C381" s="9" t="str">
        <f>IFERROR(__xludf.DUMMYFUNCTION("GOOGLETRANSLATE($A381,""en"",""de"")"),"Delvinë")</f>
        <v>Delvinë</v>
      </c>
      <c r="D381" s="9" t="str">
        <f>IFERROR(__xludf.DUMMYFUNCTION("GOOGLETRANSLATE($A381,""en"",""fr"")"),"Delvinë")</f>
        <v>Delvinë</v>
      </c>
      <c r="E381" s="9" t="str">
        <f>IFERROR(__xludf.DUMMYFUNCTION("GOOGLETRANSLATE($A381,""en"",""es"")"),"Delvinë")</f>
        <v>Delvinë</v>
      </c>
      <c r="F381" s="9" t="str">
        <f>IFERROR(__xludf.DUMMYFUNCTION("GOOGLETRANSLATE($A381,""en"",""it"")"),"Delvinë")</f>
        <v>Delvinë</v>
      </c>
      <c r="G381" s="9" t="str">
        <f>IFERROR(__xludf.DUMMYFUNCTION("GOOGLETRANSLATE($A381,""en"",""zh-cn"")"),"德尔维尼")</f>
        <v>德尔维尼</v>
      </c>
      <c r="H381" s="9" t="str">
        <f>IFERROR(__xludf.DUMMYFUNCTION("GOOGLETRANSLATE($A381,""en"",""ja"")"),"デルヴィナ")</f>
        <v>デルヴィナ</v>
      </c>
      <c r="I381" s="9" t="str">
        <f>IFERROR(__xludf.DUMMYFUNCTION("GOOGLETRANSLATE($A381,""en"",""ko"")"),"델비네")</f>
        <v>델비네</v>
      </c>
      <c r="J381" s="9" t="str">
        <f>IFERROR(__xludf.DUMMYFUNCTION("GOOGLETRANSLATE($A381,""en"",""pt-BR"")"),"Delvinë")</f>
        <v>Delvinë</v>
      </c>
    </row>
    <row r="382">
      <c r="A382" s="9" t="str">
        <f>IFERROR(__xludf.DUMMYFUNCTION("""COMPUTED_VALUE"""),"Korçë (District)")</f>
        <v>Korçë (District)</v>
      </c>
      <c r="B382" s="9" t="str">
        <f>IFERROR(__xludf.DUMMYFUNCTION("""COMPUTED_VALUE"""),"al-ko")</f>
        <v>al-ko</v>
      </c>
      <c r="C382" s="9" t="str">
        <f>IFERROR(__xludf.DUMMYFUNCTION("GOOGLETRANSLATE($A382,""en"",""de"")"),"Korça (Bezirk)")</f>
        <v>Korça (Bezirk)</v>
      </c>
      <c r="D382" s="9" t="str">
        <f>IFERROR(__xludf.DUMMYFUNCTION("GOOGLETRANSLATE($A382,""en"",""fr"")"),"Korçë (district)")</f>
        <v>Korçë (district)</v>
      </c>
      <c r="E382" s="9" t="str">
        <f>IFERROR(__xludf.DUMMYFUNCTION("GOOGLETRANSLATE($A382,""en"",""es"")"),"Korçë (distrito)")</f>
        <v>Korçë (distrito)</v>
      </c>
      <c r="F382" s="9" t="str">
        <f>IFERROR(__xludf.DUMMYFUNCTION("GOOGLETRANSLATE($A382,""en"",""it"")"),"Korçë (Distretto)")</f>
        <v>Korçë (Distretto)</v>
      </c>
      <c r="G382" s="9" t="str">
        <f>IFERROR(__xludf.DUMMYFUNCTION("GOOGLETRANSLATE($A382,""en"",""zh-cn"")"),"科尔察（区）")</f>
        <v>科尔察（区）</v>
      </c>
      <c r="H382" s="9" t="str">
        <f>IFERROR(__xludf.DUMMYFUNCTION("GOOGLETRANSLATE($A382,""en"",""ja"")"),"コルチャ (地区)")</f>
        <v>コルチャ (地区)</v>
      </c>
      <c r="I382" s="9" t="str">
        <f>IFERROR(__xludf.DUMMYFUNCTION("GOOGLETRANSLATE($A382,""en"",""ko"")"),"코르처(지구)")</f>
        <v>코르처(지구)</v>
      </c>
      <c r="J382" s="9" t="str">
        <f>IFERROR(__xludf.DUMMYFUNCTION("GOOGLETRANSLATE($A382,""en"",""pt-BR"")"),"Korçë (distrito)")</f>
        <v>Korçë (distrito)</v>
      </c>
    </row>
    <row r="383">
      <c r="A383" s="9" t="str">
        <f>IFERROR(__xludf.DUMMYFUNCTION("""COMPUTED_VALUE"""),"Librazhd")</f>
        <v>Librazhd</v>
      </c>
      <c r="B383" s="9" t="str">
        <f>IFERROR(__xludf.DUMMYFUNCTION("""COMPUTED_VALUE"""),"al-lb")</f>
        <v>al-lb</v>
      </c>
      <c r="C383" s="9" t="str">
        <f>IFERROR(__xludf.DUMMYFUNCTION("GOOGLETRANSLATE($A383,""en"",""de"")"),"Librazhd")</f>
        <v>Librazhd</v>
      </c>
      <c r="D383" s="9" t="str">
        <f>IFERROR(__xludf.DUMMYFUNCTION("GOOGLETRANSLATE($A383,""en"",""fr"")"),"Librazhd")</f>
        <v>Librazhd</v>
      </c>
      <c r="E383" s="9" t="str">
        <f>IFERROR(__xludf.DUMMYFUNCTION("GOOGLETRANSLATE($A383,""en"",""es"")"),"Librazhd")</f>
        <v>Librazhd</v>
      </c>
      <c r="F383" s="9" t="str">
        <f>IFERROR(__xludf.DUMMYFUNCTION("GOOGLETRANSLATE($A383,""en"",""it"")"),"Librazhd")</f>
        <v>Librazhd</v>
      </c>
      <c r="G383" s="9" t="str">
        <f>IFERROR(__xludf.DUMMYFUNCTION("GOOGLETRANSLATE($A383,""en"",""zh-cn"")"),"图书馆")</f>
        <v>图书馆</v>
      </c>
      <c r="H383" s="9" t="str">
        <f>IFERROR(__xludf.DUMMYFUNCTION("GOOGLETRANSLATE($A383,""en"",""ja"")"),"リブラジド")</f>
        <v>リブラジド</v>
      </c>
      <c r="I383" s="9" t="str">
        <f>IFERROR(__xludf.DUMMYFUNCTION("GOOGLETRANSLATE($A383,""en"",""ko"")"),"리브라즈드")</f>
        <v>리브라즈드</v>
      </c>
      <c r="J383" s="9" t="str">
        <f>IFERROR(__xludf.DUMMYFUNCTION("GOOGLETRANSLATE($A383,""en"",""pt-BR"")"),"Librazhd")</f>
        <v>Librazhd</v>
      </c>
    </row>
    <row r="384">
      <c r="A384" s="9" t="str">
        <f>IFERROR(__xludf.DUMMYFUNCTION("""COMPUTED_VALUE"""),"Tropojë")</f>
        <v>Tropojë</v>
      </c>
      <c r="B384" s="9" t="str">
        <f>IFERROR(__xludf.DUMMYFUNCTION("""COMPUTED_VALUE"""),"al-tp")</f>
        <v>al-tp</v>
      </c>
      <c r="C384" s="9" t="str">
        <f>IFERROR(__xludf.DUMMYFUNCTION("GOOGLETRANSLATE($A384,""en"",""de"")"),"Tropojë")</f>
        <v>Tropojë</v>
      </c>
      <c r="D384" s="9" t="str">
        <f>IFERROR(__xludf.DUMMYFUNCTION("GOOGLETRANSLATE($A384,""en"",""fr"")"),"Tropoje")</f>
        <v>Tropoje</v>
      </c>
      <c r="E384" s="9" t="str">
        <f>IFERROR(__xludf.DUMMYFUNCTION("GOOGLETRANSLATE($A384,""en"",""es"")"),"Tropojë")</f>
        <v>Tropojë</v>
      </c>
      <c r="F384" s="9" t="str">
        <f>IFERROR(__xludf.DUMMYFUNCTION("GOOGLETRANSLATE($A384,""en"",""it"")"),"Tropoje")</f>
        <v>Tropoje</v>
      </c>
      <c r="G384" s="9" t="str">
        <f>IFERROR(__xludf.DUMMYFUNCTION("GOOGLETRANSLATE($A384,""en"",""zh-cn"")"),"特罗波耶")</f>
        <v>特罗波耶</v>
      </c>
      <c r="H384" s="9" t="str">
        <f>IFERROR(__xludf.DUMMYFUNCTION("GOOGLETRANSLATE($A384,""en"",""ja"")"),"トロポジェ")</f>
        <v>トロポジェ</v>
      </c>
      <c r="I384" s="9" t="str">
        <f>IFERROR(__xludf.DUMMYFUNCTION("GOOGLETRANSLATE($A384,""en"",""ko"")"),"트로피예")</f>
        <v>트로피예</v>
      </c>
      <c r="J384" s="9" t="str">
        <f>IFERROR(__xludf.DUMMYFUNCTION("GOOGLETRANSLATE($A384,""en"",""pt-BR"")"),"Tropoja")</f>
        <v>Tropoja</v>
      </c>
    </row>
    <row r="385">
      <c r="A385" s="9" t="str">
        <f>IFERROR(__xludf.DUMMYFUNCTION("""COMPUTED_VALUE"""),"Pukë")</f>
        <v>Pukë</v>
      </c>
      <c r="B385" s="9" t="str">
        <f>IFERROR(__xludf.DUMMYFUNCTION("""COMPUTED_VALUE"""),"al-pu")</f>
        <v>al-pu</v>
      </c>
      <c r="C385" s="9" t="str">
        <f>IFERROR(__xludf.DUMMYFUNCTION("GOOGLETRANSLATE($A385,""en"",""de"")"),"Kotzen")</f>
        <v>Kotzen</v>
      </c>
      <c r="D385" s="9" t="str">
        <f>IFERROR(__xludf.DUMMYFUNCTION("GOOGLETRANSLATE($A385,""en"",""fr"")"),"Dégueuler")</f>
        <v>Dégueuler</v>
      </c>
      <c r="E385" s="9" t="str">
        <f>IFERROR(__xludf.DUMMYFUNCTION("GOOGLETRANSLATE($A385,""en"",""es"")"),"Vómito")</f>
        <v>Vómito</v>
      </c>
      <c r="F385" s="9" t="str">
        <f>IFERROR(__xludf.DUMMYFUNCTION("GOOGLETRANSLATE($A385,""en"",""it"")"),"Vomito")</f>
        <v>Vomito</v>
      </c>
      <c r="G385" s="9" t="str">
        <f>IFERROR(__xludf.DUMMYFUNCTION("GOOGLETRANSLATE($A385,""en"",""zh-cn"")"),"普克")</f>
        <v>普克</v>
      </c>
      <c r="H385" s="9" t="str">
        <f>IFERROR(__xludf.DUMMYFUNCTION("GOOGLETRANSLATE($A385,""en"",""ja"")"),"プケ")</f>
        <v>プケ</v>
      </c>
      <c r="I385" s="9" t="str">
        <f>IFERROR(__xludf.DUMMYFUNCTION("GOOGLETRANSLATE($A385,""en"",""ko"")"),"구토")</f>
        <v>구토</v>
      </c>
      <c r="J385" s="9" t="str">
        <f>IFERROR(__xludf.DUMMYFUNCTION("GOOGLETRANSLATE($A385,""en"",""pt-BR"")"),"Vomitar")</f>
        <v>Vomitar</v>
      </c>
    </row>
    <row r="386">
      <c r="A386" s="9" t="str">
        <f>IFERROR(__xludf.DUMMYFUNCTION("""COMPUTED_VALUE"""),"Fier (District)")</f>
        <v>Fier (District)</v>
      </c>
      <c r="B386" s="9" t="str">
        <f>IFERROR(__xludf.DUMMYFUNCTION("""COMPUTED_VALUE"""),"al-fr")</f>
        <v>al-fr</v>
      </c>
      <c r="C386" s="9" t="str">
        <f>IFERROR(__xludf.DUMMYFUNCTION("GOOGLETRANSLATE($A386,""en"",""de"")"),"Fier (Bezirk)")</f>
        <v>Fier (Bezirk)</v>
      </c>
      <c r="D386" s="9" t="str">
        <f>IFERROR(__xludf.DUMMYFUNCTION("GOOGLETRANSLATE($A386,""en"",""fr"")"),"Fier (Quartier)")</f>
        <v>Fier (Quartier)</v>
      </c>
      <c r="E386" s="9" t="str">
        <f>IFERROR(__xludf.DUMMYFUNCTION("GOOGLETRANSLATE($A386,""en"",""es"")"),"Fier (Distrito)")</f>
        <v>Fier (Distrito)</v>
      </c>
      <c r="F386" s="9" t="str">
        <f>IFERROR(__xludf.DUMMYFUNCTION("GOOGLETRANSLATE($A386,""en"",""it"")"),"Fier (Distretto)")</f>
        <v>Fier (Distretto)</v>
      </c>
      <c r="G386" s="9" t="str">
        <f>IFERROR(__xludf.DUMMYFUNCTION("GOOGLETRANSLATE($A386,""en"",""zh-cn"")"),"菲尔（区）")</f>
        <v>菲尔（区）</v>
      </c>
      <c r="H386" s="9" t="str">
        <f>IFERROR(__xludf.DUMMYFUNCTION("GOOGLETRANSLATE($A386,""en"",""ja"")"),"フィエル (地区)")</f>
        <v>フィエル (地区)</v>
      </c>
      <c r="I386" s="9" t="str">
        <f>IFERROR(__xludf.DUMMYFUNCTION("GOOGLETRANSLATE($A386,""en"",""ko"")"),"Fier(지구)")</f>
        <v>Fier(지구)</v>
      </c>
      <c r="J386" s="9" t="str">
        <f>IFERROR(__xludf.DUMMYFUNCTION("GOOGLETRANSLATE($A386,""en"",""pt-BR"")"),"Fier (distrito)")</f>
        <v>Fier (distrito)</v>
      </c>
    </row>
    <row r="387">
      <c r="A387" s="9" t="str">
        <f>IFERROR(__xludf.DUMMYFUNCTION("""COMPUTED_VALUE"""),"Pogradec")</f>
        <v>Pogradec</v>
      </c>
      <c r="B387" s="9" t="str">
        <f>IFERROR(__xludf.DUMMYFUNCTION("""COMPUTED_VALUE"""),"al-pg")</f>
        <v>al-pg</v>
      </c>
      <c r="C387" s="9" t="str">
        <f>IFERROR(__xludf.DUMMYFUNCTION("GOOGLETRANSLATE($A387,""en"",""de"")"),"Pogradec")</f>
        <v>Pogradec</v>
      </c>
      <c r="D387" s="9" t="str">
        <f>IFERROR(__xludf.DUMMYFUNCTION("GOOGLETRANSLATE($A387,""en"",""fr"")"),"Pogradec")</f>
        <v>Pogradec</v>
      </c>
      <c r="E387" s="9" t="str">
        <f>IFERROR(__xludf.DUMMYFUNCTION("GOOGLETRANSLATE($A387,""en"",""es"")"),"Pogradec")</f>
        <v>Pogradec</v>
      </c>
      <c r="F387" s="9" t="str">
        <f>IFERROR(__xludf.DUMMYFUNCTION("GOOGLETRANSLATE($A387,""en"",""it"")"),"Pogradec")</f>
        <v>Pogradec</v>
      </c>
      <c r="G387" s="9" t="str">
        <f>IFERROR(__xludf.DUMMYFUNCTION("GOOGLETRANSLATE($A387,""en"",""zh-cn"")"),"波格拉德茨")</f>
        <v>波格拉德茨</v>
      </c>
      <c r="H387" s="9" t="str">
        <f>IFERROR(__xludf.DUMMYFUNCTION("GOOGLETRANSLATE($A387,""en"",""ja"")"),"ポグラデツ")</f>
        <v>ポグラデツ</v>
      </c>
      <c r="I387" s="9" t="str">
        <f>IFERROR(__xludf.DUMMYFUNCTION("GOOGLETRANSLATE($A387,""en"",""ko"")"),"포그라데츠")</f>
        <v>포그라데츠</v>
      </c>
      <c r="J387" s="9" t="str">
        <f>IFERROR(__xludf.DUMMYFUNCTION("GOOGLETRANSLATE($A387,""en"",""pt-BR"")"),"Pogradec")</f>
        <v>Pogradec</v>
      </c>
    </row>
    <row r="388">
      <c r="A388" s="9" t="str">
        <f>IFERROR(__xludf.DUMMYFUNCTION("""COMPUTED_VALUE"""),"Devoll")</f>
        <v>Devoll</v>
      </c>
      <c r="B388" s="9" t="str">
        <f>IFERROR(__xludf.DUMMYFUNCTION("""COMPUTED_VALUE"""),"al-dv")</f>
        <v>al-dv</v>
      </c>
      <c r="C388" s="9" t="str">
        <f>IFERROR(__xludf.DUMMYFUNCTION("GOOGLETRANSLATE($A388,""en"",""de"")"),"Devoll")</f>
        <v>Devoll</v>
      </c>
      <c r="D388" s="9" t="str">
        <f>IFERROR(__xludf.DUMMYFUNCTION("GOOGLETRANSLATE($A388,""en"",""fr"")"),"Devoll")</f>
        <v>Devoll</v>
      </c>
      <c r="E388" s="9" t="str">
        <f>IFERROR(__xludf.DUMMYFUNCTION("GOOGLETRANSLATE($A388,""en"",""es"")"),"devoll")</f>
        <v>devoll</v>
      </c>
      <c r="F388" s="9" t="str">
        <f>IFERROR(__xludf.DUMMYFUNCTION("GOOGLETRANSLATE($A388,""en"",""it"")"),"Devoll")</f>
        <v>Devoll</v>
      </c>
      <c r="G388" s="9" t="str">
        <f>IFERROR(__xludf.DUMMYFUNCTION("GOOGLETRANSLATE($A388,""en"",""zh-cn"")"),"德沃尔")</f>
        <v>德沃尔</v>
      </c>
      <c r="H388" s="9" t="str">
        <f>IFERROR(__xludf.DUMMYFUNCTION("GOOGLETRANSLATE($A388,""en"",""ja"")"),"デボル")</f>
        <v>デボル</v>
      </c>
      <c r="I388" s="9" t="str">
        <f>IFERROR(__xludf.DUMMYFUNCTION("GOOGLETRANSLATE($A388,""en"",""ko"")"),"데볼")</f>
        <v>데볼</v>
      </c>
      <c r="J388" s="9" t="str">
        <f>IFERROR(__xludf.DUMMYFUNCTION("GOOGLETRANSLATE($A388,""en"",""pt-BR"")"),"Devolver")</f>
        <v>Devolver</v>
      </c>
    </row>
    <row r="389">
      <c r="A389" s="9" t="str">
        <f>IFERROR(__xludf.DUMMYFUNCTION("""COMPUTED_VALUE"""),"Kuçovë")</f>
        <v>Kuçovë</v>
      </c>
      <c r="B389" s="9" t="str">
        <f>IFERROR(__xludf.DUMMYFUNCTION("""COMPUTED_VALUE"""),"al-kc")</f>
        <v>al-kc</v>
      </c>
      <c r="C389" s="9" t="str">
        <f>IFERROR(__xludf.DUMMYFUNCTION("GOOGLETRANSLATE($A389,""en"",""de"")"),"Kuçovë")</f>
        <v>Kuçovë</v>
      </c>
      <c r="D389" s="9" t="str">
        <f>IFERROR(__xludf.DUMMYFUNCTION("GOOGLETRANSLATE($A389,""en"",""fr"")"),"Kuçovë")</f>
        <v>Kuçovë</v>
      </c>
      <c r="E389" s="9" t="str">
        <f>IFERROR(__xludf.DUMMYFUNCTION("GOOGLETRANSLATE($A389,""en"",""es"")"),"Kuçovë")</f>
        <v>Kuçovë</v>
      </c>
      <c r="F389" s="9" t="str">
        <f>IFERROR(__xludf.DUMMYFUNCTION("GOOGLETRANSLATE($A389,""en"",""it"")"),"Kuçovë")</f>
        <v>Kuçovë</v>
      </c>
      <c r="G389" s="9" t="str">
        <f>IFERROR(__xludf.DUMMYFUNCTION("GOOGLETRANSLATE($A389,""en"",""zh-cn"")"),"库乔维")</f>
        <v>库乔维</v>
      </c>
      <c r="H389" s="9" t="str">
        <f>IFERROR(__xludf.DUMMYFUNCTION("GOOGLETRANSLATE($A389,""en"",""ja"")"),"クチョヴェ")</f>
        <v>クチョヴェ</v>
      </c>
      <c r="I389" s="9" t="str">
        <f>IFERROR(__xludf.DUMMYFUNCTION("GOOGLETRANSLATE($A389,""en"",""ko"")"),"쿠초브")</f>
        <v>쿠초브</v>
      </c>
      <c r="J389" s="9" t="str">
        <f>IFERROR(__xludf.DUMMYFUNCTION("GOOGLETRANSLATE($A389,""en"",""pt-BR"")"),"Kuçovë")</f>
        <v>Kuçovë</v>
      </c>
    </row>
    <row r="390">
      <c r="A390" s="9" t="str">
        <f>IFERROR(__xludf.DUMMYFUNCTION("""COMPUTED_VALUE"""),"Dibër (District)")</f>
        <v>Dibër (District)</v>
      </c>
      <c r="B390" s="9" t="str">
        <f>IFERROR(__xludf.DUMMYFUNCTION("""COMPUTED_VALUE"""),"al-di")</f>
        <v>al-di</v>
      </c>
      <c r="C390" s="9" t="str">
        <f>IFERROR(__xludf.DUMMYFUNCTION("GOOGLETRANSLATE($A390,""en"",""de"")"),"Dibër (Bezirk)")</f>
        <v>Dibër (Bezirk)</v>
      </c>
      <c r="D390" s="9" t="str">
        <f>IFERROR(__xludf.DUMMYFUNCTION("GOOGLETRANSLATE($A390,""en"",""fr"")"),"Diber (district)")</f>
        <v>Diber (district)</v>
      </c>
      <c r="E390" s="9" t="str">
        <f>IFERROR(__xludf.DUMMYFUNCTION("GOOGLETRANSLATE($A390,""en"",""es"")"),"Dibër (distrito)")</f>
        <v>Dibër (distrito)</v>
      </c>
      <c r="F390" s="9" t="str">
        <f>IFERROR(__xludf.DUMMYFUNCTION("GOOGLETRANSLATE($A390,""en"",""it"")"),"Dibër (Distretto)")</f>
        <v>Dibër (Distretto)</v>
      </c>
      <c r="G390" s="9" t="str">
        <f>IFERROR(__xludf.DUMMYFUNCTION("GOOGLETRANSLATE($A390,""en"",""zh-cn"")"),"迪贝尔（区）")</f>
        <v>迪贝尔（区）</v>
      </c>
      <c r="H390" s="9" t="str">
        <f>IFERROR(__xludf.DUMMYFUNCTION("GOOGLETRANSLATE($A390,""en"",""ja"")"),"ディベール (地区)")</f>
        <v>ディベール (地区)</v>
      </c>
      <c r="I390" s="9" t="str">
        <f>IFERROR(__xludf.DUMMYFUNCTION("GOOGLETRANSLATE($A390,""en"",""ko"")"),"디버(지구)")</f>
        <v>디버(지구)</v>
      </c>
      <c r="J390" s="9" t="str">
        <f>IFERROR(__xludf.DUMMYFUNCTION("GOOGLETRANSLATE($A390,""en"",""pt-BR"")"),"Diber (Distrito)")</f>
        <v>Diber (Distrito)</v>
      </c>
    </row>
    <row r="391">
      <c r="A391" s="9" t="str">
        <f>IFERROR(__xludf.DUMMYFUNCTION("""COMPUTED_VALUE"""),"Kukës (District)")</f>
        <v>Kukës (District)</v>
      </c>
      <c r="B391" s="9" t="str">
        <f>IFERROR(__xludf.DUMMYFUNCTION("""COMPUTED_VALUE"""),"al-ku")</f>
        <v>al-ku</v>
      </c>
      <c r="C391" s="9" t="str">
        <f>IFERROR(__xludf.DUMMYFUNCTION("GOOGLETRANSLATE($A391,""en"",""de"")"),"Kukës (Bezirk)")</f>
        <v>Kukës (Bezirk)</v>
      </c>
      <c r="D391" s="9" t="str">
        <f>IFERROR(__xludf.DUMMYFUNCTION("GOOGLETRANSLATE($A391,""en"",""fr"")"),"Kukes (district)")</f>
        <v>Kukes (district)</v>
      </c>
      <c r="E391" s="9" t="str">
        <f>IFERROR(__xludf.DUMMYFUNCTION("GOOGLETRANSLATE($A391,""en"",""es"")"),"Kukës (distrito)")</f>
        <v>Kukës (distrito)</v>
      </c>
      <c r="F391" s="9" t="str">
        <f>IFERROR(__xludf.DUMMYFUNCTION("GOOGLETRANSLATE($A391,""en"",""it"")"),"Kukës (Distretto)")</f>
        <v>Kukës (Distretto)</v>
      </c>
      <c r="G391" s="9" t="str">
        <f>IFERROR(__xludf.DUMMYFUNCTION("GOOGLETRANSLATE($A391,""en"",""zh-cn"")"),"库克斯（区）")</f>
        <v>库克斯（区）</v>
      </c>
      <c r="H391" s="9" t="str">
        <f>IFERROR(__xludf.DUMMYFUNCTION("GOOGLETRANSLATE($A391,""en"",""ja"")"),"クカス (地区)")</f>
        <v>クカス (地区)</v>
      </c>
      <c r="I391" s="9" t="str">
        <f>IFERROR(__xludf.DUMMYFUNCTION("GOOGLETRANSLATE($A391,""en"",""ko"")"),"Kukës(지구)")</f>
        <v>Kukës(지구)</v>
      </c>
      <c r="J391" s="9" t="str">
        <f>IFERROR(__xludf.DUMMYFUNCTION("GOOGLETRANSLATE($A391,""en"",""pt-BR"")"),"Kukës (distrito)")</f>
        <v>Kukës (distrito)</v>
      </c>
    </row>
    <row r="392">
      <c r="A392" s="9" t="str">
        <f>IFERROR(__xludf.DUMMYFUNCTION("""COMPUTED_VALUE"""),"Mallakastër")</f>
        <v>Mallakastër</v>
      </c>
      <c r="B392" s="9" t="str">
        <f>IFERROR(__xludf.DUMMYFUNCTION("""COMPUTED_VALUE"""),"al-mk")</f>
        <v>al-mk</v>
      </c>
      <c r="C392" s="9" t="str">
        <f>IFERROR(__xludf.DUMMYFUNCTION("GOOGLETRANSLATE($A392,""en"",""de"")"),"Mallakastra")</f>
        <v>Mallakastra</v>
      </c>
      <c r="D392" s="9" t="str">
        <f>IFERROR(__xludf.DUMMYFUNCTION("GOOGLETRANSLATE($A392,""en"",""fr"")"),"Mallakaster")</f>
        <v>Mallakaster</v>
      </c>
      <c r="E392" s="9" t="str">
        <f>IFERROR(__xludf.DUMMYFUNCTION("GOOGLETRANSLATE($A392,""en"",""es"")"),"Mallakaster")</f>
        <v>Mallakaster</v>
      </c>
      <c r="F392" s="9" t="str">
        <f>IFERROR(__xludf.DUMMYFUNCTION("GOOGLETRANSLATE($A392,""en"",""it"")"),"Mallakastër")</f>
        <v>Mallakastër</v>
      </c>
      <c r="G392" s="9" t="str">
        <f>IFERROR(__xludf.DUMMYFUNCTION("GOOGLETRANSLATE($A392,""en"",""zh-cn"")"),"马拉卡斯特")</f>
        <v>马拉卡斯特</v>
      </c>
      <c r="H392" s="9" t="str">
        <f>IFERROR(__xludf.DUMMYFUNCTION("GOOGLETRANSLATE($A392,""en"",""ja"")"),"マラカステル")</f>
        <v>マラカステル</v>
      </c>
      <c r="I392" s="9" t="str">
        <f>IFERROR(__xludf.DUMMYFUNCTION("GOOGLETRANSLATE($A392,""en"",""ko"")"),"말라카스터르")</f>
        <v>말라카스터르</v>
      </c>
      <c r="J392" s="9" t="str">
        <f>IFERROR(__xludf.DUMMYFUNCTION("GOOGLETRANSLATE($A392,""en"",""pt-BR"")"),"Mallakastër")</f>
        <v>Mallakastër</v>
      </c>
    </row>
    <row r="393">
      <c r="A393" s="9" t="str">
        <f>IFERROR(__xludf.DUMMYFUNCTION("""COMPUTED_VALUE"""),"El Oued")</f>
        <v>El Oued</v>
      </c>
      <c r="B393" s="9" t="str">
        <f>IFERROR(__xludf.DUMMYFUNCTION("""COMPUTED_VALUE"""),"dz-39")</f>
        <v>dz-39</v>
      </c>
      <c r="C393" s="9" t="str">
        <f>IFERROR(__xludf.DUMMYFUNCTION("GOOGLETRANSLATE($A393,""en"",""de"")"),"El Oued")</f>
        <v>El Oued</v>
      </c>
      <c r="D393" s="9" t="str">
        <f>IFERROR(__xludf.DUMMYFUNCTION("GOOGLETRANSLATE($A393,""en"",""fr"")"),"Oued")</f>
        <v>Oued</v>
      </c>
      <c r="E393" s="9" t="str">
        <f>IFERROR(__xludf.DUMMYFUNCTION("GOOGLETRANSLATE($A393,""en"",""es"")"),"El Oued")</f>
        <v>El Oued</v>
      </c>
      <c r="F393" s="9" t="str">
        <f>IFERROR(__xludf.DUMMYFUNCTION("GOOGLETRANSLATE($A393,""en"",""it"")"),"El Oued")</f>
        <v>El Oued</v>
      </c>
      <c r="G393" s="9" t="str">
        <f>IFERROR(__xludf.DUMMYFUNCTION("GOOGLETRANSLATE($A393,""en"",""zh-cn"")"),"瓦德")</f>
        <v>瓦德</v>
      </c>
      <c r="H393" s="9" t="str">
        <f>IFERROR(__xludf.DUMMYFUNCTION("GOOGLETRANSLATE($A393,""en"",""ja"")"),"エル・ウェド")</f>
        <v>エル・ウェド</v>
      </c>
      <c r="I393" s="9" t="str">
        <f>IFERROR(__xludf.DUMMYFUNCTION("GOOGLETRANSLATE($A393,""en"",""ko"")"),"엘 우에드")</f>
        <v>엘 우에드</v>
      </c>
      <c r="J393" s="9" t="str">
        <f>IFERROR(__xludf.DUMMYFUNCTION("GOOGLETRANSLATE($A393,""en"",""pt-BR"")"),"El Oued")</f>
        <v>El Oued</v>
      </c>
    </row>
    <row r="394">
      <c r="A394" s="9" t="str">
        <f>IFERROR(__xludf.DUMMYFUNCTION("""COMPUTED_VALUE"""),"Bouira")</f>
        <v>Bouira</v>
      </c>
      <c r="B394" s="9" t="str">
        <f>IFERROR(__xludf.DUMMYFUNCTION("""COMPUTED_VALUE"""),"dz-10")</f>
        <v>dz-10</v>
      </c>
      <c r="C394" s="9" t="str">
        <f>IFERROR(__xludf.DUMMYFUNCTION("GOOGLETRANSLATE($A394,""en"",""de"")"),"Bouira")</f>
        <v>Bouira</v>
      </c>
      <c r="D394" s="9" t="str">
        <f>IFERROR(__xludf.DUMMYFUNCTION("GOOGLETRANSLATE($A394,""en"",""fr"")"),"Bouira")</f>
        <v>Bouira</v>
      </c>
      <c r="E394" s="9" t="str">
        <f>IFERROR(__xludf.DUMMYFUNCTION("GOOGLETRANSLATE($A394,""en"",""es"")"),"Bouira")</f>
        <v>Bouira</v>
      </c>
      <c r="F394" s="9" t="str">
        <f>IFERROR(__xludf.DUMMYFUNCTION("GOOGLETRANSLATE($A394,""en"",""it"")"),"Bouira")</f>
        <v>Bouira</v>
      </c>
      <c r="G394" s="9" t="str">
        <f>IFERROR(__xludf.DUMMYFUNCTION("GOOGLETRANSLATE($A394,""en"",""zh-cn"")"),"布伊拉")</f>
        <v>布伊拉</v>
      </c>
      <c r="H394" s="9" t="str">
        <f>IFERROR(__xludf.DUMMYFUNCTION("GOOGLETRANSLATE($A394,""en"",""ja"")"),"ブイラ")</f>
        <v>ブイラ</v>
      </c>
      <c r="I394" s="9" t="str">
        <f>IFERROR(__xludf.DUMMYFUNCTION("GOOGLETRANSLATE($A394,""en"",""ko"")"),"부이라")</f>
        <v>부이라</v>
      </c>
      <c r="J394" s="9" t="str">
        <f>IFERROR(__xludf.DUMMYFUNCTION("GOOGLETRANSLATE($A394,""en"",""pt-BR"")"),"Bouira")</f>
        <v>Bouira</v>
      </c>
    </row>
    <row r="395">
      <c r="A395" s="9" t="str">
        <f>IFERROR(__xludf.DUMMYFUNCTION("""COMPUTED_VALUE"""),"Béjaïa")</f>
        <v>Béjaïa</v>
      </c>
      <c r="B395" s="9" t="str">
        <f>IFERROR(__xludf.DUMMYFUNCTION("""COMPUTED_VALUE"""),"dz-06")</f>
        <v>dz-06</v>
      </c>
      <c r="C395" s="9" t="str">
        <f>IFERROR(__xludf.DUMMYFUNCTION("GOOGLETRANSLATE($A395,""en"",""de"")"),"Bejaia")</f>
        <v>Bejaia</v>
      </c>
      <c r="D395" s="9" t="str">
        <f>IFERROR(__xludf.DUMMYFUNCTION("GOOGLETRANSLATE($A395,""en"",""fr"")"),"Béjaïa")</f>
        <v>Béjaïa</v>
      </c>
      <c r="E395" s="9" t="str">
        <f>IFERROR(__xludf.DUMMYFUNCTION("GOOGLETRANSLATE($A395,""en"",""es"")"),"Bugía")</f>
        <v>Bugía</v>
      </c>
      <c r="F395" s="9" t="str">
        <f>IFERROR(__xludf.DUMMYFUNCTION("GOOGLETRANSLATE($A395,""en"",""it"")"),"Béjaïa")</f>
        <v>Béjaïa</v>
      </c>
      <c r="G395" s="9" t="str">
        <f>IFERROR(__xludf.DUMMYFUNCTION("GOOGLETRANSLATE($A395,""en"",""zh-cn"")"),"贝贾亚")</f>
        <v>贝贾亚</v>
      </c>
      <c r="H395" s="9" t="str">
        <f>IFERROR(__xludf.DUMMYFUNCTION("GOOGLETRANSLATE($A395,""en"",""ja"")"),"ベジャイア")</f>
        <v>ベジャイア</v>
      </c>
      <c r="I395" s="9" t="str">
        <f>IFERROR(__xludf.DUMMYFUNCTION("GOOGLETRANSLATE($A395,""en"",""ko"")"),"베자이아")</f>
        <v>베자이아</v>
      </c>
      <c r="J395" s="9" t="str">
        <f>IFERROR(__xludf.DUMMYFUNCTION("GOOGLETRANSLATE($A395,""en"",""pt-BR"")"),"Bugia")</f>
        <v>Bugia</v>
      </c>
    </row>
    <row r="396">
      <c r="A396" s="9" t="str">
        <f>IFERROR(__xludf.DUMMYFUNCTION("""COMPUTED_VALUE"""),"Batna")</f>
        <v>Batna</v>
      </c>
      <c r="B396" s="9" t="str">
        <f>IFERROR(__xludf.DUMMYFUNCTION("""COMPUTED_VALUE"""),"dz-05")</f>
        <v>dz-05</v>
      </c>
      <c r="C396" s="9" t="str">
        <f>IFERROR(__xludf.DUMMYFUNCTION("GOOGLETRANSLATE($A396,""en"",""de"")"),"Batna")</f>
        <v>Batna</v>
      </c>
      <c r="D396" s="9" t="str">
        <f>IFERROR(__xludf.DUMMYFUNCTION("GOOGLETRANSLATE($A396,""en"",""fr"")"),"Batna")</f>
        <v>Batna</v>
      </c>
      <c r="E396" s="9" t="str">
        <f>IFERROR(__xludf.DUMMYFUNCTION("GOOGLETRANSLATE($A396,""en"",""es"")"),"batna")</f>
        <v>batna</v>
      </c>
      <c r="F396" s="9" t="str">
        <f>IFERROR(__xludf.DUMMYFUNCTION("GOOGLETRANSLATE($A396,""en"",""it"")"),"Batna")</f>
        <v>Batna</v>
      </c>
      <c r="G396" s="9" t="str">
        <f>IFERROR(__xludf.DUMMYFUNCTION("GOOGLETRANSLATE($A396,""en"",""zh-cn"")"),"巴特纳")</f>
        <v>巴特纳</v>
      </c>
      <c r="H396" s="9" t="str">
        <f>IFERROR(__xludf.DUMMYFUNCTION("GOOGLETRANSLATE($A396,""en"",""ja"")"),"バトナ")</f>
        <v>バトナ</v>
      </c>
      <c r="I396" s="9" t="str">
        <f>IFERROR(__xludf.DUMMYFUNCTION("GOOGLETRANSLATE($A396,""en"",""ko"")"),"바트나")</f>
        <v>바트나</v>
      </c>
      <c r="J396" s="9" t="str">
        <f>IFERROR(__xludf.DUMMYFUNCTION("GOOGLETRANSLATE($A396,""en"",""pt-BR"")"),"Batna")</f>
        <v>Batna</v>
      </c>
    </row>
    <row r="397">
      <c r="A397" s="9" t="str">
        <f>IFERROR(__xludf.DUMMYFUNCTION("""COMPUTED_VALUE"""),"Illizi")</f>
        <v>Illizi</v>
      </c>
      <c r="B397" s="9" t="str">
        <f>IFERROR(__xludf.DUMMYFUNCTION("""COMPUTED_VALUE"""),"dz-33")</f>
        <v>dz-33</v>
      </c>
      <c r="C397" s="9" t="str">
        <f>IFERROR(__xludf.DUMMYFUNCTION("GOOGLETRANSLATE($A397,""en"",""de"")"),"Illizi")</f>
        <v>Illizi</v>
      </c>
      <c r="D397" s="9" t="str">
        <f>IFERROR(__xludf.DUMMYFUNCTION("GOOGLETRANSLATE($A397,""en"",""fr"")"),"Illizi")</f>
        <v>Illizi</v>
      </c>
      <c r="E397" s="9" t="str">
        <f>IFERROR(__xludf.DUMMYFUNCTION("GOOGLETRANSLATE($A397,""en"",""es"")"),"Illizi")</f>
        <v>Illizi</v>
      </c>
      <c r="F397" s="9" t="str">
        <f>IFERROR(__xludf.DUMMYFUNCTION("GOOGLETRANSLATE($A397,""en"",""it"")"),"Illizi")</f>
        <v>Illizi</v>
      </c>
      <c r="G397" s="9" t="str">
        <f>IFERROR(__xludf.DUMMYFUNCTION("GOOGLETRANSLATE($A397,""en"",""zh-cn"")"),"伊利齐")</f>
        <v>伊利齐</v>
      </c>
      <c r="H397" s="9" t="str">
        <f>IFERROR(__xludf.DUMMYFUNCTION("GOOGLETRANSLATE($A397,""en"",""ja"")"),"イリジ")</f>
        <v>イリジ</v>
      </c>
      <c r="I397" s="9" t="str">
        <f>IFERROR(__xludf.DUMMYFUNCTION("GOOGLETRANSLATE($A397,""en"",""ko"")"),"일리지")</f>
        <v>일리지</v>
      </c>
      <c r="J397" s="9" t="str">
        <f>IFERROR(__xludf.DUMMYFUNCTION("GOOGLETRANSLATE($A397,""en"",""pt-BR"")"),"Illizi")</f>
        <v>Illizi</v>
      </c>
    </row>
    <row r="398">
      <c r="A398" s="9" t="str">
        <f>IFERROR(__xludf.DUMMYFUNCTION("""COMPUTED_VALUE"""),"Mascara")</f>
        <v>Mascara</v>
      </c>
      <c r="B398" s="9" t="str">
        <f>IFERROR(__xludf.DUMMYFUNCTION("""COMPUTED_VALUE"""),"dz-29")</f>
        <v>dz-29</v>
      </c>
      <c r="C398" s="9" t="str">
        <f>IFERROR(__xludf.DUMMYFUNCTION("GOOGLETRANSLATE($A398,""en"",""de"")"),"Wimperntusche")</f>
        <v>Wimperntusche</v>
      </c>
      <c r="D398" s="9" t="str">
        <f>IFERROR(__xludf.DUMMYFUNCTION("GOOGLETRANSLATE($A398,""en"",""fr"")"),"Mascara")</f>
        <v>Mascara</v>
      </c>
      <c r="E398" s="9" t="str">
        <f>IFERROR(__xludf.DUMMYFUNCTION("GOOGLETRANSLATE($A398,""en"",""es"")"),"Máscara")</f>
        <v>Máscara</v>
      </c>
      <c r="F398" s="9" t="str">
        <f>IFERROR(__xludf.DUMMYFUNCTION("GOOGLETRANSLATE($A398,""en"",""it"")"),"Mascara")</f>
        <v>Mascara</v>
      </c>
      <c r="G398" s="9" t="str">
        <f>IFERROR(__xludf.DUMMYFUNCTION("GOOGLETRANSLATE($A398,""en"",""zh-cn"")"),"睫毛膏")</f>
        <v>睫毛膏</v>
      </c>
      <c r="H398" s="9" t="str">
        <f>IFERROR(__xludf.DUMMYFUNCTION("GOOGLETRANSLATE($A398,""en"",""ja"")"),"マスカラ")</f>
        <v>マスカラ</v>
      </c>
      <c r="I398" s="9" t="str">
        <f>IFERROR(__xludf.DUMMYFUNCTION("GOOGLETRANSLATE($A398,""en"",""ko"")"),"마스카라")</f>
        <v>마스카라</v>
      </c>
      <c r="J398" s="9" t="str">
        <f>IFERROR(__xludf.DUMMYFUNCTION("GOOGLETRANSLATE($A398,""en"",""pt-BR"")"),"Rímel")</f>
        <v>Rímel</v>
      </c>
    </row>
    <row r="399">
      <c r="A399" s="9" t="str">
        <f>IFERROR(__xludf.DUMMYFUNCTION("""COMPUTED_VALUE"""),"Djelfa")</f>
        <v>Djelfa</v>
      </c>
      <c r="B399" s="9" t="str">
        <f>IFERROR(__xludf.DUMMYFUNCTION("""COMPUTED_VALUE"""),"dz-17")</f>
        <v>dz-17</v>
      </c>
      <c r="C399" s="9" t="str">
        <f>IFERROR(__xludf.DUMMYFUNCTION("GOOGLETRANSLATE($A399,""en"",""de"")"),"Djelfa")</f>
        <v>Djelfa</v>
      </c>
      <c r="D399" s="9" t="str">
        <f>IFERROR(__xludf.DUMMYFUNCTION("GOOGLETRANSLATE($A399,""en"",""fr"")"),"Djelfa")</f>
        <v>Djelfa</v>
      </c>
      <c r="E399" s="9" t="str">
        <f>IFERROR(__xludf.DUMMYFUNCTION("GOOGLETRANSLATE($A399,""en"",""es"")"),"Djelfa")</f>
        <v>Djelfa</v>
      </c>
      <c r="F399" s="9" t="str">
        <f>IFERROR(__xludf.DUMMYFUNCTION("GOOGLETRANSLATE($A399,""en"",""it"")"),"Djelfa")</f>
        <v>Djelfa</v>
      </c>
      <c r="G399" s="9" t="str">
        <f>IFERROR(__xludf.DUMMYFUNCTION("GOOGLETRANSLATE($A399,""en"",""zh-cn"")"),"杰尔法")</f>
        <v>杰尔法</v>
      </c>
      <c r="H399" s="9" t="str">
        <f>IFERROR(__xludf.DUMMYFUNCTION("GOOGLETRANSLATE($A399,""en"",""ja"")"),"ジェルファ")</f>
        <v>ジェルファ</v>
      </c>
      <c r="I399" s="9" t="str">
        <f>IFERROR(__xludf.DUMMYFUNCTION("GOOGLETRANSLATE($A399,""en"",""ko"")"),"젤파")</f>
        <v>젤파</v>
      </c>
      <c r="J399" s="9" t="str">
        <f>IFERROR(__xludf.DUMMYFUNCTION("GOOGLETRANSLATE($A399,""en"",""pt-BR"")"),"Djelfa")</f>
        <v>Djelfa</v>
      </c>
    </row>
    <row r="400">
      <c r="A400" s="9" t="str">
        <f>IFERROR(__xludf.DUMMYFUNCTION("""COMPUTED_VALUE"""),"Annaba")</f>
        <v>Annaba</v>
      </c>
      <c r="B400" s="9" t="str">
        <f>IFERROR(__xludf.DUMMYFUNCTION("""COMPUTED_VALUE"""),"dz-23")</f>
        <v>dz-23</v>
      </c>
      <c r="C400" s="9" t="str">
        <f>IFERROR(__xludf.DUMMYFUNCTION("GOOGLETRANSLATE($A400,""en"",""de"")"),"Annaba")</f>
        <v>Annaba</v>
      </c>
      <c r="D400" s="9" t="str">
        <f>IFERROR(__xludf.DUMMYFUNCTION("GOOGLETRANSLATE($A400,""en"",""fr"")"),"Annaba")</f>
        <v>Annaba</v>
      </c>
      <c r="E400" s="9" t="str">
        <f>IFERROR(__xludf.DUMMYFUNCTION("GOOGLETRANSLATE($A400,""en"",""es"")"),"Annaba")</f>
        <v>Annaba</v>
      </c>
      <c r="F400" s="9" t="str">
        <f>IFERROR(__xludf.DUMMYFUNCTION("GOOGLETRANSLATE($A400,""en"",""it"")"),"Annaba")</f>
        <v>Annaba</v>
      </c>
      <c r="G400" s="9" t="str">
        <f>IFERROR(__xludf.DUMMYFUNCTION("GOOGLETRANSLATE($A400,""en"",""zh-cn"")"),"安纳巴")</f>
        <v>安纳巴</v>
      </c>
      <c r="H400" s="9" t="str">
        <f>IFERROR(__xludf.DUMMYFUNCTION("GOOGLETRANSLATE($A400,""en"",""ja"")"),"アンナバ")</f>
        <v>アンナバ</v>
      </c>
      <c r="I400" s="9" t="str">
        <f>IFERROR(__xludf.DUMMYFUNCTION("GOOGLETRANSLATE($A400,""en"",""ko"")"),"안나바")</f>
        <v>안나바</v>
      </c>
      <c r="J400" s="9" t="str">
        <f>IFERROR(__xludf.DUMMYFUNCTION("GOOGLETRANSLATE($A400,""en"",""pt-BR"")"),"Annaba")</f>
        <v>Annaba</v>
      </c>
    </row>
    <row r="401">
      <c r="A401" s="9" t="str">
        <f>IFERROR(__xludf.DUMMYFUNCTION("""COMPUTED_VALUE"""),"El Tarf")</f>
        <v>El Tarf</v>
      </c>
      <c r="B401" s="9" t="str">
        <f>IFERROR(__xludf.DUMMYFUNCTION("""COMPUTED_VALUE"""),"dz-36")</f>
        <v>dz-36</v>
      </c>
      <c r="C401" s="9" t="str">
        <f>IFERROR(__xludf.DUMMYFUNCTION("GOOGLETRANSLATE($A401,""en"",""de"")"),"El Tarf")</f>
        <v>El Tarf</v>
      </c>
      <c r="D401" s="9" t="str">
        <f>IFERROR(__xludf.DUMMYFUNCTION("GOOGLETRANSLATE($A401,""en"",""fr"")"),"El Tarf")</f>
        <v>El Tarf</v>
      </c>
      <c r="E401" s="9" t="str">
        <f>IFERROR(__xludf.DUMMYFUNCTION("GOOGLETRANSLATE($A401,""en"",""es"")"),"El Tarf")</f>
        <v>El Tarf</v>
      </c>
      <c r="F401" s="9" t="str">
        <f>IFERROR(__xludf.DUMMYFUNCTION("GOOGLETRANSLATE($A401,""en"",""it"")"),"El Tarf")</f>
        <v>El Tarf</v>
      </c>
      <c r="G401" s="9" t="str">
        <f>IFERROR(__xludf.DUMMYFUNCTION("GOOGLETRANSLATE($A401,""en"",""zh-cn"")"),"埃尔塔夫")</f>
        <v>埃尔塔夫</v>
      </c>
      <c r="H401" s="9" t="str">
        <f>IFERROR(__xludf.DUMMYFUNCTION("GOOGLETRANSLATE($A401,""en"",""ja"")"),"エル・タルフ")</f>
        <v>エル・タルフ</v>
      </c>
      <c r="I401" s="9" t="str">
        <f>IFERROR(__xludf.DUMMYFUNCTION("GOOGLETRANSLATE($A401,""en"",""ko"")"),"엘 타르프")</f>
        <v>엘 타르프</v>
      </c>
      <c r="J401" s="9" t="str">
        <f>IFERROR(__xludf.DUMMYFUNCTION("GOOGLETRANSLATE($A401,""en"",""pt-BR"")"),"El Tarf")</f>
        <v>El Tarf</v>
      </c>
    </row>
    <row r="402">
      <c r="A402" s="9" t="str">
        <f>IFERROR(__xludf.DUMMYFUNCTION("""COMPUTED_VALUE"""),"Relizane")</f>
        <v>Relizane</v>
      </c>
      <c r="B402" s="9" t="str">
        <f>IFERROR(__xludf.DUMMYFUNCTION("""COMPUTED_VALUE"""),"dz-48")</f>
        <v>dz-48</v>
      </c>
      <c r="C402" s="9" t="str">
        <f>IFERROR(__xludf.DUMMYFUNCTION("GOOGLETRANSLATE($A402,""en"",""de"")"),"Relizane")</f>
        <v>Relizane</v>
      </c>
      <c r="D402" s="9" t="str">
        <f>IFERROR(__xludf.DUMMYFUNCTION("GOOGLETRANSLATE($A402,""en"",""fr"")"),"Relizane")</f>
        <v>Relizane</v>
      </c>
      <c r="E402" s="9" t="str">
        <f>IFERROR(__xludf.DUMMYFUNCTION("GOOGLETRANSLATE($A402,""en"",""es"")"),"Relizane")</f>
        <v>Relizane</v>
      </c>
      <c r="F402" s="9" t="str">
        <f>IFERROR(__xludf.DUMMYFUNCTION("GOOGLETRANSLATE($A402,""en"",""it"")"),"Relizane")</f>
        <v>Relizane</v>
      </c>
      <c r="G402" s="9" t="str">
        <f>IFERROR(__xludf.DUMMYFUNCTION("GOOGLETRANSLATE($A402,""en"",""zh-cn"")"),"雷利赞")</f>
        <v>雷利赞</v>
      </c>
      <c r="H402" s="9" t="str">
        <f>IFERROR(__xludf.DUMMYFUNCTION("GOOGLETRANSLATE($A402,""en"",""ja"")"),"リザイン")</f>
        <v>リザイン</v>
      </c>
      <c r="I402" s="9" t="str">
        <f>IFERROR(__xludf.DUMMYFUNCTION("GOOGLETRANSLATE($A402,""en"",""ko"")"),"렐리자네")</f>
        <v>렐리자네</v>
      </c>
      <c r="J402" s="9" t="str">
        <f>IFERROR(__xludf.DUMMYFUNCTION("GOOGLETRANSLATE($A402,""en"",""pt-BR"")"),"Relizane")</f>
        <v>Relizane</v>
      </c>
    </row>
    <row r="403">
      <c r="A403" s="9" t="str">
        <f>IFERROR(__xludf.DUMMYFUNCTION("""COMPUTED_VALUE"""),"Ouargla")</f>
        <v>Ouargla</v>
      </c>
      <c r="B403" s="9" t="str">
        <f>IFERROR(__xludf.DUMMYFUNCTION("""COMPUTED_VALUE"""),"dz-30")</f>
        <v>dz-30</v>
      </c>
      <c r="C403" s="9" t="str">
        <f>IFERROR(__xludf.DUMMYFUNCTION("GOOGLETRANSLATE($A403,""en"",""de"")"),"Ouargla")</f>
        <v>Ouargla</v>
      </c>
      <c r="D403" s="9" t="str">
        <f>IFERROR(__xludf.DUMMYFUNCTION("GOOGLETRANSLATE($A403,""en"",""fr"")"),"Ouargla")</f>
        <v>Ouargla</v>
      </c>
      <c r="E403" s="9" t="str">
        <f>IFERROR(__xludf.DUMMYFUNCTION("GOOGLETRANSLATE($A403,""en"",""es"")"),"Uargla")</f>
        <v>Uargla</v>
      </c>
      <c r="F403" s="9" t="str">
        <f>IFERROR(__xludf.DUMMYFUNCTION("GOOGLETRANSLATE($A403,""en"",""it"")"),"Ouargla")</f>
        <v>Ouargla</v>
      </c>
      <c r="G403" s="9" t="str">
        <f>IFERROR(__xludf.DUMMYFUNCTION("GOOGLETRANSLATE($A403,""en"",""zh-cn"")"),"瓦尔格拉")</f>
        <v>瓦尔格拉</v>
      </c>
      <c r="H403" s="9" t="str">
        <f>IFERROR(__xludf.DUMMYFUNCTION("GOOGLETRANSLATE($A403,""en"",""ja"")"),"ワルグラ")</f>
        <v>ワルグラ</v>
      </c>
      <c r="I403" s="9" t="str">
        <f>IFERROR(__xludf.DUMMYFUNCTION("GOOGLETRANSLATE($A403,""en"",""ko"")"),"우아르글라")</f>
        <v>우아르글라</v>
      </c>
      <c r="J403" s="9" t="str">
        <f>IFERROR(__xludf.DUMMYFUNCTION("GOOGLETRANSLATE($A403,""en"",""pt-BR"")"),"Uargla")</f>
        <v>Uargla</v>
      </c>
    </row>
    <row r="404">
      <c r="A404" s="9" t="str">
        <f>IFERROR(__xludf.DUMMYFUNCTION("""COMPUTED_VALUE"""),"Tébessa")</f>
        <v>Tébessa</v>
      </c>
      <c r="B404" s="9" t="str">
        <f>IFERROR(__xludf.DUMMYFUNCTION("""COMPUTED_VALUE"""),"dz-12")</f>
        <v>dz-12</v>
      </c>
      <c r="C404" s="9" t="str">
        <f>IFERROR(__xludf.DUMMYFUNCTION("GOOGLETRANSLATE($A404,""en"",""de"")"),"Tebessa")</f>
        <v>Tebessa</v>
      </c>
      <c r="D404" s="9" t="str">
        <f>IFERROR(__xludf.DUMMYFUNCTION("GOOGLETRANSLATE($A404,""en"",""fr"")"),"Tébessa")</f>
        <v>Tébessa</v>
      </c>
      <c r="E404" s="9" t="str">
        <f>IFERROR(__xludf.DUMMYFUNCTION("GOOGLETRANSLATE($A404,""en"",""es"")"),"Tébessa")</f>
        <v>Tébessa</v>
      </c>
      <c r="F404" s="9" t="str">
        <f>IFERROR(__xludf.DUMMYFUNCTION("GOOGLETRANSLATE($A404,""en"",""it"")"),"Tebessa")</f>
        <v>Tebessa</v>
      </c>
      <c r="G404" s="9" t="str">
        <f>IFERROR(__xludf.DUMMYFUNCTION("GOOGLETRANSLATE($A404,""en"",""zh-cn"")"),"泰贝萨")</f>
        <v>泰贝萨</v>
      </c>
      <c r="H404" s="9" t="str">
        <f>IFERROR(__xludf.DUMMYFUNCTION("GOOGLETRANSLATE($A404,""en"",""ja"")"),"テベッサ")</f>
        <v>テベッサ</v>
      </c>
      <c r="I404" s="9" t="str">
        <f>IFERROR(__xludf.DUMMYFUNCTION("GOOGLETRANSLATE($A404,""en"",""ko"")"),"테베사")</f>
        <v>테베사</v>
      </c>
      <c r="J404" s="9" t="str">
        <f>IFERROR(__xludf.DUMMYFUNCTION("GOOGLETRANSLATE($A404,""en"",""pt-BR"")"),"Tébessa")</f>
        <v>Tébessa</v>
      </c>
    </row>
    <row r="405">
      <c r="A405" s="9" t="str">
        <f>IFERROR(__xludf.DUMMYFUNCTION("""COMPUTED_VALUE"""),"Msila")</f>
        <v>Msila</v>
      </c>
      <c r="B405" s="9" t="str">
        <f>IFERROR(__xludf.DUMMYFUNCTION("""COMPUTED_VALUE"""),"dz-28")</f>
        <v>dz-28</v>
      </c>
      <c r="C405" s="9" t="str">
        <f>IFERROR(__xludf.DUMMYFUNCTION("GOOGLETRANSLATE($A405,""en"",""de"")"),"Msila")</f>
        <v>Msila</v>
      </c>
      <c r="D405" s="9" t="str">
        <f>IFERROR(__xludf.DUMMYFUNCTION("GOOGLETRANSLATE($A405,""en"",""fr"")"),"Msila")</f>
        <v>Msila</v>
      </c>
      <c r="E405" s="9" t="str">
        <f>IFERROR(__xludf.DUMMYFUNCTION("GOOGLETRANSLATE($A405,""en"",""es"")"),"Msilá")</f>
        <v>Msilá</v>
      </c>
      <c r="F405" s="9" t="str">
        <f>IFERROR(__xludf.DUMMYFUNCTION("GOOGLETRANSLATE($A405,""en"",""it"")"),"Msila")</f>
        <v>Msila</v>
      </c>
      <c r="G405" s="9" t="str">
        <f>IFERROR(__xludf.DUMMYFUNCTION("GOOGLETRANSLATE($A405,""en"",""zh-cn"")"),"姆西拉")</f>
        <v>姆西拉</v>
      </c>
      <c r="H405" s="9" t="str">
        <f>IFERROR(__xludf.DUMMYFUNCTION("GOOGLETRANSLATE($A405,""en"",""ja"")"),"ムシラ")</f>
        <v>ムシラ</v>
      </c>
      <c r="I405" s="9" t="str">
        <f>IFERROR(__xludf.DUMMYFUNCTION("GOOGLETRANSLATE($A405,""en"",""ko"")"),"음실라")</f>
        <v>음실라</v>
      </c>
      <c r="J405" s="9" t="str">
        <f>IFERROR(__xludf.DUMMYFUNCTION("GOOGLETRANSLATE($A405,""en"",""pt-BR"")"),"Msila")</f>
        <v>Msila</v>
      </c>
    </row>
    <row r="406">
      <c r="A406" s="9" t="str">
        <f>IFERROR(__xludf.DUMMYFUNCTION("""COMPUTED_VALUE"""),"Tipaza")</f>
        <v>Tipaza</v>
      </c>
      <c r="B406" s="9" t="str">
        <f>IFERROR(__xludf.DUMMYFUNCTION("""COMPUTED_VALUE"""),"dz-42")</f>
        <v>dz-42</v>
      </c>
      <c r="C406" s="9" t="str">
        <f>IFERROR(__xludf.DUMMYFUNCTION("GOOGLETRANSLATE($A406,""en"",""de"")"),"Tipaza")</f>
        <v>Tipaza</v>
      </c>
      <c r="D406" s="9" t="str">
        <f>IFERROR(__xludf.DUMMYFUNCTION("GOOGLETRANSLATE($A406,""en"",""fr"")"),"Tipaza")</f>
        <v>Tipaza</v>
      </c>
      <c r="E406" s="9" t="str">
        <f>IFERROR(__xludf.DUMMYFUNCTION("GOOGLETRANSLATE($A406,""en"",""es"")"),"tipasa")</f>
        <v>tipasa</v>
      </c>
      <c r="F406" s="9" t="str">
        <f>IFERROR(__xludf.DUMMYFUNCTION("GOOGLETRANSLATE($A406,""en"",""it"")"),"Tipaza")</f>
        <v>Tipaza</v>
      </c>
      <c r="G406" s="9" t="str">
        <f>IFERROR(__xludf.DUMMYFUNCTION("GOOGLETRANSLATE($A406,""en"",""zh-cn"")"),"提帕萨")</f>
        <v>提帕萨</v>
      </c>
      <c r="H406" s="9" t="str">
        <f>IFERROR(__xludf.DUMMYFUNCTION("GOOGLETRANSLATE($A406,""en"",""ja"")"),"ティパサ")</f>
        <v>ティパサ</v>
      </c>
      <c r="I406" s="9" t="str">
        <f>IFERROR(__xludf.DUMMYFUNCTION("GOOGLETRANSLATE($A406,""en"",""ko"")"),"티파자")</f>
        <v>티파자</v>
      </c>
      <c r="J406" s="9" t="str">
        <f>IFERROR(__xludf.DUMMYFUNCTION("GOOGLETRANSLATE($A406,""en"",""pt-BR"")"),"Tipaza")</f>
        <v>Tipaza</v>
      </c>
    </row>
    <row r="407">
      <c r="A407" s="9" t="str">
        <f>IFERROR(__xludf.DUMMYFUNCTION("""COMPUTED_VALUE"""),"Souk Ahras")</f>
        <v>Souk Ahras</v>
      </c>
      <c r="B407" s="9" t="str">
        <f>IFERROR(__xludf.DUMMYFUNCTION("""COMPUTED_VALUE"""),"dz-41")</f>
        <v>dz-41</v>
      </c>
      <c r="C407" s="9" t="str">
        <f>IFERROR(__xludf.DUMMYFUNCTION("GOOGLETRANSLATE($A407,""en"",""de"")"),"Souk Ahras")</f>
        <v>Souk Ahras</v>
      </c>
      <c r="D407" s="9" t="str">
        <f>IFERROR(__xludf.DUMMYFUNCTION("GOOGLETRANSLATE($A407,""en"",""fr"")"),"Souk-Ahras")</f>
        <v>Souk-Ahras</v>
      </c>
      <c r="E407" s="9" t="str">
        <f>IFERROR(__xludf.DUMMYFUNCTION("GOOGLETRANSLATE($A407,""en"",""es"")"),"Zoco Ahras")</f>
        <v>Zoco Ahras</v>
      </c>
      <c r="F407" s="9" t="str">
        <f>IFERROR(__xludf.DUMMYFUNCTION("GOOGLETRANSLATE($A407,""en"",""it"")"),"Souk Ahras")</f>
        <v>Souk Ahras</v>
      </c>
      <c r="G407" s="9" t="str">
        <f>IFERROR(__xludf.DUMMYFUNCTION("GOOGLETRANSLATE($A407,""en"",""zh-cn"")"),"阿拉斯露天市场")</f>
        <v>阿拉斯露天市场</v>
      </c>
      <c r="H407" s="9" t="str">
        <f>IFERROR(__xludf.DUMMYFUNCTION("GOOGLETRANSLATE($A407,""en"",""ja"")"),"スーク アフラス")</f>
        <v>スーク アフラス</v>
      </c>
      <c r="I407" s="9" t="str">
        <f>IFERROR(__xludf.DUMMYFUNCTION("GOOGLETRANSLATE($A407,""en"",""ko"")"),"수크 아라스")</f>
        <v>수크 아라스</v>
      </c>
      <c r="J407" s="9" t="str">
        <f>IFERROR(__xludf.DUMMYFUNCTION("GOOGLETRANSLATE($A407,""en"",""pt-BR"")"),"Souk Ahras")</f>
        <v>Souk Ahras</v>
      </c>
    </row>
    <row r="408">
      <c r="A408" s="9" t="str">
        <f>IFERROR(__xludf.DUMMYFUNCTION("""COMPUTED_VALUE"""),"Tindouf")</f>
        <v>Tindouf</v>
      </c>
      <c r="B408" s="9" t="str">
        <f>IFERROR(__xludf.DUMMYFUNCTION("""COMPUTED_VALUE"""),"dz-37")</f>
        <v>dz-37</v>
      </c>
      <c r="C408" s="9" t="str">
        <f>IFERROR(__xludf.DUMMYFUNCTION("GOOGLETRANSLATE($A408,""en"",""de"")"),"Tindouf")</f>
        <v>Tindouf</v>
      </c>
      <c r="D408" s="9" t="str">
        <f>IFERROR(__xludf.DUMMYFUNCTION("GOOGLETRANSLATE($A408,""en"",""fr"")"),"Tindouf")</f>
        <v>Tindouf</v>
      </c>
      <c r="E408" s="9" t="str">
        <f>IFERROR(__xludf.DUMMYFUNCTION("GOOGLETRANSLATE($A408,""en"",""es"")"),"Tinduf")</f>
        <v>Tinduf</v>
      </c>
      <c r="F408" s="9" t="str">
        <f>IFERROR(__xludf.DUMMYFUNCTION("GOOGLETRANSLATE($A408,""en"",""it"")"),"Tindouf")</f>
        <v>Tindouf</v>
      </c>
      <c r="G408" s="9" t="str">
        <f>IFERROR(__xludf.DUMMYFUNCTION("GOOGLETRANSLATE($A408,""en"",""zh-cn"")"),"廷杜夫")</f>
        <v>廷杜夫</v>
      </c>
      <c r="H408" s="9" t="str">
        <f>IFERROR(__xludf.DUMMYFUNCTION("GOOGLETRANSLATE($A408,""en"",""ja"")"),"ティンドゥフ")</f>
        <v>ティンドゥフ</v>
      </c>
      <c r="I408" s="9" t="str">
        <f>IFERROR(__xludf.DUMMYFUNCTION("GOOGLETRANSLATE($A408,""en"",""ko"")"),"틴두프")</f>
        <v>틴두프</v>
      </c>
      <c r="J408" s="9" t="str">
        <f>IFERROR(__xludf.DUMMYFUNCTION("GOOGLETRANSLATE($A408,""en"",""pt-BR"")"),"Tindouf")</f>
        <v>Tindouf</v>
      </c>
    </row>
    <row r="409">
      <c r="A409" s="9" t="str">
        <f>IFERROR(__xludf.DUMMYFUNCTION("""COMPUTED_VALUE"""),"Tlemcen")</f>
        <v>Tlemcen</v>
      </c>
      <c r="B409" s="9" t="str">
        <f>IFERROR(__xludf.DUMMYFUNCTION("""COMPUTED_VALUE"""),"dz-13")</f>
        <v>dz-13</v>
      </c>
      <c r="C409" s="9" t="str">
        <f>IFERROR(__xludf.DUMMYFUNCTION("GOOGLETRANSLATE($A409,""en"",""de"")"),"Tlemcen")</f>
        <v>Tlemcen</v>
      </c>
      <c r="D409" s="9" t="str">
        <f>IFERROR(__xludf.DUMMYFUNCTION("GOOGLETRANSLATE($A409,""en"",""fr"")"),"Tlemcen")</f>
        <v>Tlemcen</v>
      </c>
      <c r="E409" s="9" t="str">
        <f>IFERROR(__xludf.DUMMYFUNCTION("GOOGLETRANSLATE($A409,""en"",""es"")"),"Tlemcen")</f>
        <v>Tlemcen</v>
      </c>
      <c r="F409" s="9" t="str">
        <f>IFERROR(__xludf.DUMMYFUNCTION("GOOGLETRANSLATE($A409,""en"",""it"")"),"Tlemcen")</f>
        <v>Tlemcen</v>
      </c>
      <c r="G409" s="9" t="str">
        <f>IFERROR(__xludf.DUMMYFUNCTION("GOOGLETRANSLATE($A409,""en"",""zh-cn"")"),"特莱姆森")</f>
        <v>特莱姆森</v>
      </c>
      <c r="H409" s="9" t="str">
        <f>IFERROR(__xludf.DUMMYFUNCTION("GOOGLETRANSLATE($A409,""en"",""ja"")"),"トレムセン")</f>
        <v>トレムセン</v>
      </c>
      <c r="I409" s="9" t="str">
        <f>IFERROR(__xludf.DUMMYFUNCTION("GOOGLETRANSLATE($A409,""en"",""ko"")"),"틀렘센")</f>
        <v>틀렘센</v>
      </c>
      <c r="J409" s="9" t="str">
        <f>IFERROR(__xludf.DUMMYFUNCTION("GOOGLETRANSLATE($A409,""en"",""pt-BR"")"),"Tlemcen")</f>
        <v>Tlemcen</v>
      </c>
    </row>
    <row r="410">
      <c r="A410" s="9" t="str">
        <f>IFERROR(__xludf.DUMMYFUNCTION("""COMPUTED_VALUE"""),"Mila")</f>
        <v>Mila</v>
      </c>
      <c r="B410" s="9" t="str">
        <f>IFERROR(__xludf.DUMMYFUNCTION("""COMPUTED_VALUE"""),"dz-43")</f>
        <v>dz-43</v>
      </c>
      <c r="C410" s="9" t="str">
        <f>IFERROR(__xludf.DUMMYFUNCTION("GOOGLETRANSLATE($A410,""en"",""de"")"),"Mila")</f>
        <v>Mila</v>
      </c>
      <c r="D410" s="9" t="str">
        <f>IFERROR(__xludf.DUMMYFUNCTION("GOOGLETRANSLATE($A410,""en"",""fr"")"),"Mila")</f>
        <v>Mila</v>
      </c>
      <c r="E410" s="9" t="str">
        <f>IFERROR(__xludf.DUMMYFUNCTION("GOOGLETRANSLATE($A410,""en"",""es"")"),"milá")</f>
        <v>milá</v>
      </c>
      <c r="F410" s="9" t="str">
        <f>IFERROR(__xludf.DUMMYFUNCTION("GOOGLETRANSLATE($A410,""en"",""it"")"),"Mila")</f>
        <v>Mila</v>
      </c>
      <c r="G410" s="9" t="str">
        <f>IFERROR(__xludf.DUMMYFUNCTION("GOOGLETRANSLATE($A410,""en"",""zh-cn"")"),"米拉")</f>
        <v>米拉</v>
      </c>
      <c r="H410" s="9" t="str">
        <f>IFERROR(__xludf.DUMMYFUNCTION("GOOGLETRANSLATE($A410,""en"",""ja"")"),"ミラ")</f>
        <v>ミラ</v>
      </c>
      <c r="I410" s="9" t="str">
        <f>IFERROR(__xludf.DUMMYFUNCTION("GOOGLETRANSLATE($A410,""en"",""ko"")"),"밀라")</f>
        <v>밀라</v>
      </c>
      <c r="J410" s="9" t="str">
        <f>IFERROR(__xludf.DUMMYFUNCTION("GOOGLETRANSLATE($A410,""en"",""pt-BR"")"),"Mila")</f>
        <v>Mila</v>
      </c>
    </row>
    <row r="411">
      <c r="A411" s="9" t="str">
        <f>IFERROR(__xludf.DUMMYFUNCTION("""COMPUTED_VALUE"""),"Alger")</f>
        <v>Alger</v>
      </c>
      <c r="B411" s="9" t="str">
        <f>IFERROR(__xludf.DUMMYFUNCTION("""COMPUTED_VALUE"""),"dz-16")</f>
        <v>dz-16</v>
      </c>
      <c r="C411" s="9" t="str">
        <f>IFERROR(__xludf.DUMMYFUNCTION("GOOGLETRANSLATE($A411,""en"",""de"")"),"Alger")</f>
        <v>Alger</v>
      </c>
      <c r="D411" s="9" t="str">
        <f>IFERROR(__xludf.DUMMYFUNCTION("GOOGLETRANSLATE($A411,""en"",""fr"")"),"Alger")</f>
        <v>Alger</v>
      </c>
      <c r="E411" s="9" t="str">
        <f>IFERROR(__xludf.DUMMYFUNCTION("GOOGLETRANSLATE($A411,""en"",""es"")"),"Argel")</f>
        <v>Argel</v>
      </c>
      <c r="F411" s="9" t="str">
        <f>IFERROR(__xludf.DUMMYFUNCTION("GOOGLETRANSLATE($A411,""en"",""it"")"),"Algeria")</f>
        <v>Algeria</v>
      </c>
      <c r="G411" s="9" t="str">
        <f>IFERROR(__xludf.DUMMYFUNCTION("GOOGLETRANSLATE($A411,""en"",""zh-cn"")"),"阿尔及尔")</f>
        <v>阿尔及尔</v>
      </c>
      <c r="H411" s="9" t="str">
        <f>IFERROR(__xludf.DUMMYFUNCTION("GOOGLETRANSLATE($A411,""en"",""ja"")"),"アルジェ")</f>
        <v>アルジェ</v>
      </c>
      <c r="I411" s="9" t="str">
        <f>IFERROR(__xludf.DUMMYFUNCTION("GOOGLETRANSLATE($A411,""en"",""ko"")"),"알제")</f>
        <v>알제</v>
      </c>
      <c r="J411" s="9" t="str">
        <f>IFERROR(__xludf.DUMMYFUNCTION("GOOGLETRANSLATE($A411,""en"",""pt-BR"")"),"Argel")</f>
        <v>Argel</v>
      </c>
    </row>
    <row r="412">
      <c r="A412" s="9" t="str">
        <f>IFERROR(__xludf.DUMMYFUNCTION("""COMPUTED_VALUE"""),"Médéa")</f>
        <v>Médéa</v>
      </c>
      <c r="B412" s="9" t="str">
        <f>IFERROR(__xludf.DUMMYFUNCTION("""COMPUTED_VALUE"""),"dz-26")</f>
        <v>dz-26</v>
      </c>
      <c r="C412" s="9" t="str">
        <f>IFERROR(__xludf.DUMMYFUNCTION("GOOGLETRANSLATE($A412,""en"",""de"")"),"Médéa")</f>
        <v>Médéa</v>
      </c>
      <c r="D412" s="9" t="str">
        <f>IFERROR(__xludf.DUMMYFUNCTION("GOOGLETRANSLATE($A412,""en"",""fr"")"),"Médéa")</f>
        <v>Médéa</v>
      </c>
      <c r="E412" s="9" t="str">
        <f>IFERROR(__xludf.DUMMYFUNCTION("GOOGLETRANSLATE($A412,""en"",""es"")"),"Médea")</f>
        <v>Médea</v>
      </c>
      <c r="F412" s="9" t="str">
        <f>IFERROR(__xludf.DUMMYFUNCTION("GOOGLETRANSLATE($A412,""en"",""it"")"),"Medea")</f>
        <v>Medea</v>
      </c>
      <c r="G412" s="9" t="str">
        <f>IFERROR(__xludf.DUMMYFUNCTION("GOOGLETRANSLATE($A412,""en"",""zh-cn"")"),"美狄亚")</f>
        <v>美狄亚</v>
      </c>
      <c r="H412" s="9" t="str">
        <f>IFERROR(__xludf.DUMMYFUNCTION("GOOGLETRANSLATE($A412,""en"",""ja"")"),"メデア")</f>
        <v>メデア</v>
      </c>
      <c r="I412" s="9" t="str">
        <f>IFERROR(__xludf.DUMMYFUNCTION("GOOGLETRANSLATE($A412,""en"",""ko"")"),"메데아")</f>
        <v>메데아</v>
      </c>
      <c r="J412" s="9" t="str">
        <f>IFERROR(__xludf.DUMMYFUNCTION("GOOGLETRANSLATE($A412,""en"",""pt-BR"")"),"Médéa")</f>
        <v>Médéa</v>
      </c>
    </row>
    <row r="413">
      <c r="A413" s="9" t="str">
        <f>IFERROR(__xludf.DUMMYFUNCTION("""COMPUTED_VALUE"""),"Sidi Bel Abbès")</f>
        <v>Sidi Bel Abbès</v>
      </c>
      <c r="B413" s="9" t="str">
        <f>IFERROR(__xludf.DUMMYFUNCTION("""COMPUTED_VALUE"""),"dz-22")</f>
        <v>dz-22</v>
      </c>
      <c r="C413" s="9" t="str">
        <f>IFERROR(__xludf.DUMMYFUNCTION("GOOGLETRANSLATE($A413,""en"",""de"")"),"Sidi Bel Abbès")</f>
        <v>Sidi Bel Abbès</v>
      </c>
      <c r="D413" s="9" t="str">
        <f>IFERROR(__xludf.DUMMYFUNCTION("GOOGLETRANSLATE($A413,""en"",""fr"")"),"Sidi Bel Abbès")</f>
        <v>Sidi Bel Abbès</v>
      </c>
      <c r="E413" s="9" t="str">
        <f>IFERROR(__xludf.DUMMYFUNCTION("GOOGLETRANSLATE($A413,""en"",""es"")"),"Sidi Bel Abbes")</f>
        <v>Sidi Bel Abbes</v>
      </c>
      <c r="F413" s="9" t="str">
        <f>IFERROR(__xludf.DUMMYFUNCTION("GOOGLETRANSLATE($A413,""en"",""it"")"),"Sidi Bel Abbès")</f>
        <v>Sidi Bel Abbès</v>
      </c>
      <c r="G413" s="9" t="str">
        <f>IFERROR(__xludf.DUMMYFUNCTION("GOOGLETRANSLATE($A413,""en"",""zh-cn"")"),"西迪贝尔阿巴斯")</f>
        <v>西迪贝尔阿巴斯</v>
      </c>
      <c r="H413" s="9" t="str">
        <f>IFERROR(__xludf.DUMMYFUNCTION("GOOGLETRANSLATE($A413,""en"",""ja"")"),"シディ ベル アッベス")</f>
        <v>シディ ベル アッベス</v>
      </c>
      <c r="I413" s="9" t="str">
        <f>IFERROR(__xludf.DUMMYFUNCTION("GOOGLETRANSLATE($A413,""en"",""ko"")"),"시디 벨 아베스")</f>
        <v>시디 벨 아베스</v>
      </c>
      <c r="J413" s="9" t="str">
        <f>IFERROR(__xludf.DUMMYFUNCTION("GOOGLETRANSLATE($A413,""en"",""pt-BR"")"),"Sidi Bel Abbès")</f>
        <v>Sidi Bel Abbès</v>
      </c>
    </row>
    <row r="414">
      <c r="A414" s="9" t="str">
        <f>IFERROR(__xludf.DUMMYFUNCTION("""COMPUTED_VALUE"""),"Aïn Témouchent")</f>
        <v>Aïn Témouchent</v>
      </c>
      <c r="B414" s="9" t="str">
        <f>IFERROR(__xludf.DUMMYFUNCTION("""COMPUTED_VALUE"""),"dz-46")</f>
        <v>dz-46</v>
      </c>
      <c r="C414" s="9" t="str">
        <f>IFERROR(__xludf.DUMMYFUNCTION("GOOGLETRANSLATE($A414,""en"",""de"")"),"Aïn Témouchent")</f>
        <v>Aïn Témouchent</v>
      </c>
      <c r="D414" s="9" t="str">
        <f>IFERROR(__xludf.DUMMYFUNCTION("GOOGLETRANSLATE($A414,""en"",""fr"")"),"Aïn Témouchent")</f>
        <v>Aïn Témouchent</v>
      </c>
      <c r="E414" s="9" t="str">
        <f>IFERROR(__xludf.DUMMYFUNCTION("GOOGLETRANSLATE($A414,""en"",""es"")"),"Aïn Temouchent")</f>
        <v>Aïn Temouchent</v>
      </c>
      <c r="F414" s="9" t="str">
        <f>IFERROR(__xludf.DUMMYFUNCTION("GOOGLETRANSLATE($A414,""en"",""it"")"),"Ain Témouchent")</f>
        <v>Ain Témouchent</v>
      </c>
      <c r="G414" s="9" t="str">
        <f>IFERROR(__xludf.DUMMYFUNCTION("GOOGLETRANSLATE($A414,""en"",""zh-cn"")"),"艾因·特穆尚")</f>
        <v>艾因·特穆尚</v>
      </c>
      <c r="H414" s="9" t="str">
        <f>IFERROR(__xludf.DUMMYFUNCTION("GOOGLETRANSLATE($A414,""en"",""ja"")"),"アイン・テムーセント")</f>
        <v>アイン・テムーセント</v>
      </c>
      <c r="I414" s="9" t="str">
        <f>IFERROR(__xludf.DUMMYFUNCTION("GOOGLETRANSLATE($A414,""en"",""ko"")"),"아인 테무상(Ain Témouchent)")</f>
        <v>아인 테무상(Ain Témouchent)</v>
      </c>
      <c r="J414" s="9" t="str">
        <f>IFERROR(__xludf.DUMMYFUNCTION("GOOGLETRANSLATE($A414,""en"",""pt-BR"")"),"Aïn Témouchent")</f>
        <v>Aïn Témouchent</v>
      </c>
    </row>
    <row r="415">
      <c r="A415" s="9" t="str">
        <f>IFERROR(__xludf.DUMMYFUNCTION("""COMPUTED_VALUE"""),"Laghouat")</f>
        <v>Laghouat</v>
      </c>
      <c r="B415" s="9" t="str">
        <f>IFERROR(__xludf.DUMMYFUNCTION("""COMPUTED_VALUE"""),"dz-03")</f>
        <v>dz-03</v>
      </c>
      <c r="C415" s="9" t="str">
        <f>IFERROR(__xludf.DUMMYFUNCTION("GOOGLETRANSLATE($A415,""en"",""de"")"),"Laghouat")</f>
        <v>Laghouat</v>
      </c>
      <c r="D415" s="9" t="str">
        <f>IFERROR(__xludf.DUMMYFUNCTION("GOOGLETRANSLATE($A415,""en"",""fr"")"),"Laghouat")</f>
        <v>Laghouat</v>
      </c>
      <c r="E415" s="9" t="str">
        <f>IFERROR(__xludf.DUMMYFUNCTION("GOOGLETRANSLATE($A415,""en"",""es"")"),"Laghouat")</f>
        <v>Laghouat</v>
      </c>
      <c r="F415" s="9" t="str">
        <f>IFERROR(__xludf.DUMMYFUNCTION("GOOGLETRANSLATE($A415,""en"",""it"")"),"Laghouat")</f>
        <v>Laghouat</v>
      </c>
      <c r="G415" s="9" t="str">
        <f>IFERROR(__xludf.DUMMYFUNCTION("GOOGLETRANSLATE($A415,""en"",""zh-cn"")"),"拉古阿特")</f>
        <v>拉古阿特</v>
      </c>
      <c r="H415" s="9" t="str">
        <f>IFERROR(__xludf.DUMMYFUNCTION("GOOGLETRANSLATE($A415,""en"",""ja"")"),"ラグーア")</f>
        <v>ラグーア</v>
      </c>
      <c r="I415" s="9" t="str">
        <f>IFERROR(__xludf.DUMMYFUNCTION("GOOGLETRANSLATE($A415,""en"",""ko"")"),"라구아트")</f>
        <v>라구아트</v>
      </c>
      <c r="J415" s="9" t="str">
        <f>IFERROR(__xludf.DUMMYFUNCTION("GOOGLETRANSLATE($A415,""en"",""pt-BR"")"),"Laghouat")</f>
        <v>Laghouat</v>
      </c>
    </row>
    <row r="416">
      <c r="A416" s="9" t="str">
        <f>IFERROR(__xludf.DUMMYFUNCTION("""COMPUTED_VALUE"""),"El Bayadh")</f>
        <v>El Bayadh</v>
      </c>
      <c r="B416" s="9" t="str">
        <f>IFERROR(__xludf.DUMMYFUNCTION("""COMPUTED_VALUE"""),"dz-32")</f>
        <v>dz-32</v>
      </c>
      <c r="C416" s="9" t="str">
        <f>IFERROR(__xludf.DUMMYFUNCTION("GOOGLETRANSLATE($A416,""en"",""de"")"),"El Bayadh")</f>
        <v>El Bayadh</v>
      </c>
      <c r="D416" s="9" t="str">
        <f>IFERROR(__xludf.DUMMYFUNCTION("GOOGLETRANSLATE($A416,""en"",""fr"")"),"El-Bayadh")</f>
        <v>El-Bayadh</v>
      </c>
      <c r="E416" s="9" t="str">
        <f>IFERROR(__xludf.DUMMYFUNCTION("GOOGLETRANSLATE($A416,""en"",""es"")"),"El Bayadh")</f>
        <v>El Bayadh</v>
      </c>
      <c r="F416" s="9" t="str">
        <f>IFERROR(__xludf.DUMMYFUNCTION("GOOGLETRANSLATE($A416,""en"",""it"")"),"El Bayadh")</f>
        <v>El Bayadh</v>
      </c>
      <c r="G416" s="9" t="str">
        <f>IFERROR(__xludf.DUMMYFUNCTION("GOOGLETRANSLATE($A416,""en"",""zh-cn"")"),"埃尔巴亚兹")</f>
        <v>埃尔巴亚兹</v>
      </c>
      <c r="H416" s="9" t="str">
        <f>IFERROR(__xludf.DUMMYFUNCTION("GOOGLETRANSLATE($A416,""en"",""ja"")"),"エル・バヤド")</f>
        <v>エル・バヤド</v>
      </c>
      <c r="I416" s="9" t="str">
        <f>IFERROR(__xludf.DUMMYFUNCTION("GOOGLETRANSLATE($A416,""en"",""ko"")"),"엘 바야드")</f>
        <v>엘 바야드</v>
      </c>
      <c r="J416" s="9" t="str">
        <f>IFERROR(__xludf.DUMMYFUNCTION("GOOGLETRANSLATE($A416,""en"",""pt-BR"")"),"El Bayadh")</f>
        <v>El Bayadh</v>
      </c>
    </row>
    <row r="417">
      <c r="A417" s="9" t="str">
        <f>IFERROR(__xludf.DUMMYFUNCTION("""COMPUTED_VALUE"""),"Blida")</f>
        <v>Blida</v>
      </c>
      <c r="B417" s="9" t="str">
        <f>IFERROR(__xludf.DUMMYFUNCTION("""COMPUTED_VALUE"""),"dz-09")</f>
        <v>dz-09</v>
      </c>
      <c r="C417" s="9" t="str">
        <f>IFERROR(__xludf.DUMMYFUNCTION("GOOGLETRANSLATE($A417,""en"",""de"")"),"Blida")</f>
        <v>Blida</v>
      </c>
      <c r="D417" s="9" t="str">
        <f>IFERROR(__xludf.DUMMYFUNCTION("GOOGLETRANSLATE($A417,""en"",""fr"")"),"Blida")</f>
        <v>Blida</v>
      </c>
      <c r="E417" s="9" t="str">
        <f>IFERROR(__xludf.DUMMYFUNCTION("GOOGLETRANSLATE($A417,""en"",""es"")"),"Blida")</f>
        <v>Blida</v>
      </c>
      <c r="F417" s="9" t="str">
        <f>IFERROR(__xludf.DUMMYFUNCTION("GOOGLETRANSLATE($A417,""en"",""it"")"),"Blida")</f>
        <v>Blida</v>
      </c>
      <c r="G417" s="9" t="str">
        <f>IFERROR(__xludf.DUMMYFUNCTION("GOOGLETRANSLATE($A417,""en"",""zh-cn"")"),"布利达")</f>
        <v>布利达</v>
      </c>
      <c r="H417" s="9" t="str">
        <f>IFERROR(__xludf.DUMMYFUNCTION("GOOGLETRANSLATE($A417,""en"",""ja"")"),"ブリダ")</f>
        <v>ブリダ</v>
      </c>
      <c r="I417" s="9" t="str">
        <f>IFERROR(__xludf.DUMMYFUNCTION("GOOGLETRANSLATE($A417,""en"",""ko"")"),"블리다")</f>
        <v>블리다</v>
      </c>
      <c r="J417" s="9" t="str">
        <f>IFERROR(__xludf.DUMMYFUNCTION("GOOGLETRANSLATE($A417,""en"",""pt-BR"")"),"Blida")</f>
        <v>Blida</v>
      </c>
    </row>
    <row r="418">
      <c r="A418" s="9" t="str">
        <f>IFERROR(__xludf.DUMMYFUNCTION("""COMPUTED_VALUE"""),"Tissemsilt")</f>
        <v>Tissemsilt</v>
      </c>
      <c r="B418" s="9" t="str">
        <f>IFERROR(__xludf.DUMMYFUNCTION("""COMPUTED_VALUE"""),"dz-38")</f>
        <v>dz-38</v>
      </c>
      <c r="C418" s="9" t="str">
        <f>IFERROR(__xludf.DUMMYFUNCTION("GOOGLETRANSLATE($A418,""en"",""de"")"),"Tissemsilt")</f>
        <v>Tissemsilt</v>
      </c>
      <c r="D418" s="9" t="str">
        <f>IFERROR(__xludf.DUMMYFUNCTION("GOOGLETRANSLATE($A418,""en"",""fr"")"),"Tissemsilt")</f>
        <v>Tissemsilt</v>
      </c>
      <c r="E418" s="9" t="str">
        <f>IFERROR(__xludf.DUMMYFUNCTION("GOOGLETRANSLATE($A418,""en"",""es"")"),"tissemsilto")</f>
        <v>tissemsilto</v>
      </c>
      <c r="F418" s="9" t="str">
        <f>IFERROR(__xludf.DUMMYFUNCTION("GOOGLETRANSLATE($A418,""en"",""it"")"),"Tissemsilt")</f>
        <v>Tissemsilt</v>
      </c>
      <c r="G418" s="9" t="str">
        <f>IFERROR(__xludf.DUMMYFUNCTION("GOOGLETRANSLATE($A418,""en"",""zh-cn"")"),"蒂塞姆西尔特")</f>
        <v>蒂塞姆西尔特</v>
      </c>
      <c r="H418" s="9" t="str">
        <f>IFERROR(__xludf.DUMMYFUNCTION("GOOGLETRANSLATE($A418,""en"",""ja"")"),"ティセムシルト")</f>
        <v>ティセムシルト</v>
      </c>
      <c r="I418" s="9" t="str">
        <f>IFERROR(__xludf.DUMMYFUNCTION("GOOGLETRANSLATE($A418,""en"",""ko"")"),"티셈실트")</f>
        <v>티셈실트</v>
      </c>
      <c r="J418" s="9" t="str">
        <f>IFERROR(__xludf.DUMMYFUNCTION("GOOGLETRANSLATE($A418,""en"",""pt-BR"")"),"Tissemsilt")</f>
        <v>Tissemsilt</v>
      </c>
    </row>
    <row r="419">
      <c r="A419" s="9" t="str">
        <f>IFERROR(__xludf.DUMMYFUNCTION("""COMPUTED_VALUE"""),"Sétif")</f>
        <v>Sétif</v>
      </c>
      <c r="B419" s="9" t="str">
        <f>IFERROR(__xludf.DUMMYFUNCTION("""COMPUTED_VALUE"""),"dz-19")</f>
        <v>dz-19</v>
      </c>
      <c r="C419" s="9" t="str">
        <f>IFERROR(__xludf.DUMMYFUNCTION("GOOGLETRANSLATE($A419,""en"",""de"")"),"Sétif")</f>
        <v>Sétif</v>
      </c>
      <c r="D419" s="9" t="str">
        <f>IFERROR(__xludf.DUMMYFUNCTION("GOOGLETRANSLATE($A419,""en"",""fr"")"),"Sétif")</f>
        <v>Sétif</v>
      </c>
      <c r="E419" s="9" t="str">
        <f>IFERROR(__xludf.DUMMYFUNCTION("GOOGLETRANSLATE($A419,""en"",""es"")"),"Sétif")</f>
        <v>Sétif</v>
      </c>
      <c r="F419" s="9" t="str">
        <f>IFERROR(__xludf.DUMMYFUNCTION("GOOGLETRANSLATE($A419,""en"",""it"")"),"Setif")</f>
        <v>Setif</v>
      </c>
      <c r="G419" s="9" t="str">
        <f>IFERROR(__xludf.DUMMYFUNCTION("GOOGLETRANSLATE($A419,""en"",""zh-cn"")"),"塞蒂夫")</f>
        <v>塞蒂夫</v>
      </c>
      <c r="H419" s="9" t="str">
        <f>IFERROR(__xludf.DUMMYFUNCTION("GOOGLETRANSLATE($A419,""en"",""ja"")"),"セティフ")</f>
        <v>セティフ</v>
      </c>
      <c r="I419" s="9" t="str">
        <f>IFERROR(__xludf.DUMMYFUNCTION("GOOGLETRANSLATE($A419,""en"",""ko"")"),"세티프")</f>
        <v>세티프</v>
      </c>
      <c r="J419" s="9" t="str">
        <f>IFERROR(__xludf.DUMMYFUNCTION("GOOGLETRANSLATE($A419,""en"",""pt-BR"")"),"Sétif")</f>
        <v>Sétif</v>
      </c>
    </row>
    <row r="420">
      <c r="A420" s="9" t="str">
        <f>IFERROR(__xludf.DUMMYFUNCTION("""COMPUTED_VALUE"""),"Aïn Defla")</f>
        <v>Aïn Defla</v>
      </c>
      <c r="B420" s="9" t="str">
        <f>IFERROR(__xludf.DUMMYFUNCTION("""COMPUTED_VALUE"""),"dz-44")</f>
        <v>dz-44</v>
      </c>
      <c r="C420" s="9" t="str">
        <f>IFERROR(__xludf.DUMMYFUNCTION("GOOGLETRANSLATE($A420,""en"",""de"")"),"Aïn Defla")</f>
        <v>Aïn Defla</v>
      </c>
      <c r="D420" s="9" t="str">
        <f>IFERROR(__xludf.DUMMYFUNCTION("GOOGLETRANSLATE($A420,""en"",""fr"")"),"Aïn Defla")</f>
        <v>Aïn Defla</v>
      </c>
      <c r="E420" s="9" t="str">
        <f>IFERROR(__xludf.DUMMYFUNCTION("GOOGLETRANSLATE($A420,""en"",""es"")"),"Aïn Defla")</f>
        <v>Aïn Defla</v>
      </c>
      <c r="F420" s="9" t="str">
        <f>IFERROR(__xludf.DUMMYFUNCTION("GOOGLETRANSLATE($A420,""en"",""it"")"),"Ain Defla")</f>
        <v>Ain Defla</v>
      </c>
      <c r="G420" s="9" t="str">
        <f>IFERROR(__xludf.DUMMYFUNCTION("GOOGLETRANSLATE($A420,""en"",""zh-cn"")"),"艾因·德夫拉")</f>
        <v>艾因·德夫拉</v>
      </c>
      <c r="H420" s="9" t="str">
        <f>IFERROR(__xludf.DUMMYFUNCTION("GOOGLETRANSLATE($A420,""en"",""ja"")"),"アイン・デフラ")</f>
        <v>アイン・デフラ</v>
      </c>
      <c r="I420" s="9" t="str">
        <f>IFERROR(__xludf.DUMMYFUNCTION("GOOGLETRANSLATE($A420,""en"",""ko"")"),"아인 데플라")</f>
        <v>아인 데플라</v>
      </c>
      <c r="J420" s="9" t="str">
        <f>IFERROR(__xludf.DUMMYFUNCTION("GOOGLETRANSLATE($A420,""en"",""pt-BR"")"),"Aïn Defla")</f>
        <v>Aïn Defla</v>
      </c>
    </row>
    <row r="421">
      <c r="A421" s="9" t="str">
        <f>IFERROR(__xludf.DUMMYFUNCTION("""COMPUTED_VALUE"""),"Ghardaïa")</f>
        <v>Ghardaïa</v>
      </c>
      <c r="B421" s="9" t="str">
        <f>IFERROR(__xludf.DUMMYFUNCTION("""COMPUTED_VALUE"""),"dz-47")</f>
        <v>dz-47</v>
      </c>
      <c r="C421" s="9" t="str">
        <f>IFERROR(__xludf.DUMMYFUNCTION("GOOGLETRANSLATE($A421,""en"",""de"")"),"Ghardaia")</f>
        <v>Ghardaia</v>
      </c>
      <c r="D421" s="9" t="str">
        <f>IFERROR(__xludf.DUMMYFUNCTION("GOOGLETRANSLATE($A421,""en"",""fr"")"),"Ghardaïa")</f>
        <v>Ghardaïa</v>
      </c>
      <c r="E421" s="9" t="str">
        <f>IFERROR(__xludf.DUMMYFUNCTION("GOOGLETRANSLATE($A421,""en"",""es"")"),"Gardaya")</f>
        <v>Gardaya</v>
      </c>
      <c r="F421" s="9" t="str">
        <f>IFERROR(__xludf.DUMMYFUNCTION("GOOGLETRANSLATE($A421,""en"",""it"")"),"Ghardaïa")</f>
        <v>Ghardaïa</v>
      </c>
      <c r="G421" s="9" t="str">
        <f>IFERROR(__xludf.DUMMYFUNCTION("GOOGLETRANSLATE($A421,""en"",""zh-cn"")"),"加尔达亚")</f>
        <v>加尔达亚</v>
      </c>
      <c r="H421" s="9" t="str">
        <f>IFERROR(__xludf.DUMMYFUNCTION("GOOGLETRANSLATE($A421,""en"",""ja"")"),"ガルダイア")</f>
        <v>ガルダイア</v>
      </c>
      <c r="I421" s="9" t="str">
        <f>IFERROR(__xludf.DUMMYFUNCTION("GOOGLETRANSLATE($A421,""en"",""ko"")"),"가르다이아")</f>
        <v>가르다이아</v>
      </c>
      <c r="J421" s="9" t="str">
        <f>IFERROR(__xludf.DUMMYFUNCTION("GOOGLETRANSLATE($A421,""en"",""pt-BR"")"),"Ghardaia")</f>
        <v>Ghardaia</v>
      </c>
    </row>
    <row r="422">
      <c r="A422" s="9" t="str">
        <f>IFERROR(__xludf.DUMMYFUNCTION("""COMPUTED_VALUE"""),"Oum el Bouaghi")</f>
        <v>Oum el Bouaghi</v>
      </c>
      <c r="B422" s="9" t="str">
        <f>IFERROR(__xludf.DUMMYFUNCTION("""COMPUTED_VALUE"""),"dz-04")</f>
        <v>dz-04</v>
      </c>
      <c r="C422" s="9" t="str">
        <f>IFERROR(__xludf.DUMMYFUNCTION("GOOGLETRANSLATE($A422,""en"",""de"")"),"Oum el Bouaghi")</f>
        <v>Oum el Bouaghi</v>
      </c>
      <c r="D422" s="9" t="str">
        <f>IFERROR(__xludf.DUMMYFUNCTION("GOOGLETRANSLATE($A422,""en"",""fr"")"),"Oum El Bouaghi")</f>
        <v>Oum El Bouaghi</v>
      </c>
      <c r="E422" s="9" t="str">
        <f>IFERROR(__xludf.DUMMYFUNCTION("GOOGLETRANSLATE($A422,""en"",""es"")"),"Oum el Bouaghi")</f>
        <v>Oum el Bouaghi</v>
      </c>
      <c r="F422" s="9" t="str">
        <f>IFERROR(__xludf.DUMMYFUNCTION("GOOGLETRANSLATE($A422,""en"",""it"")"),"Oum el Bouaghi")</f>
        <v>Oum el Bouaghi</v>
      </c>
      <c r="G422" s="9" t="str">
        <f>IFERROR(__xludf.DUMMYFUNCTION("GOOGLETRANSLATE($A422,""en"",""zh-cn"")"),"乌姆·布阿吉")</f>
        <v>乌姆·布阿吉</v>
      </c>
      <c r="H422" s="9" t="str">
        <f>IFERROR(__xludf.DUMMYFUNCTION("GOOGLETRANSLATE($A422,""en"",""ja"")"),"オウム・エル・ブアジ")</f>
        <v>オウム・エル・ブアジ</v>
      </c>
      <c r="I422" s="9" t="str">
        <f>IFERROR(__xludf.DUMMYFUNCTION("GOOGLETRANSLATE($A422,""en"",""ko"")"),"움 엘 부아기")</f>
        <v>움 엘 부아기</v>
      </c>
      <c r="J422" s="9" t="str">
        <f>IFERROR(__xludf.DUMMYFUNCTION("GOOGLETRANSLATE($A422,""en"",""pt-BR"")"),"Oum el Bouaghi")</f>
        <v>Oum el Bouaghi</v>
      </c>
    </row>
    <row r="423">
      <c r="A423" s="9" t="str">
        <f>IFERROR(__xludf.DUMMYFUNCTION("""COMPUTED_VALUE"""),"Guelma")</f>
        <v>Guelma</v>
      </c>
      <c r="B423" s="9" t="str">
        <f>IFERROR(__xludf.DUMMYFUNCTION("""COMPUTED_VALUE"""),"dz-24")</f>
        <v>dz-24</v>
      </c>
      <c r="C423" s="9" t="str">
        <f>IFERROR(__xludf.DUMMYFUNCTION("GOOGLETRANSLATE($A423,""en"",""de"")"),"Guelma")</f>
        <v>Guelma</v>
      </c>
      <c r="D423" s="9" t="str">
        <f>IFERROR(__xludf.DUMMYFUNCTION("GOOGLETRANSLATE($A423,""en"",""fr"")"),"Guelma")</f>
        <v>Guelma</v>
      </c>
      <c r="E423" s="9" t="str">
        <f>IFERROR(__xludf.DUMMYFUNCTION("GOOGLETRANSLATE($A423,""en"",""es"")"),"guelma")</f>
        <v>guelma</v>
      </c>
      <c r="F423" s="9" t="str">
        <f>IFERROR(__xludf.DUMMYFUNCTION("GOOGLETRANSLATE($A423,""en"",""it"")"),"Guelma")</f>
        <v>Guelma</v>
      </c>
      <c r="G423" s="9" t="str">
        <f>IFERROR(__xludf.DUMMYFUNCTION("GOOGLETRANSLATE($A423,""en"",""zh-cn"")"),"盖尔马")</f>
        <v>盖尔马</v>
      </c>
      <c r="H423" s="9" t="str">
        <f>IFERROR(__xludf.DUMMYFUNCTION("GOOGLETRANSLATE($A423,""en"",""ja"")"),"ゲルマ")</f>
        <v>ゲルマ</v>
      </c>
      <c r="I423" s="9" t="str">
        <f>IFERROR(__xludf.DUMMYFUNCTION("GOOGLETRANSLATE($A423,""en"",""ko"")"),"구엘마")</f>
        <v>구엘마</v>
      </c>
      <c r="J423" s="9" t="str">
        <f>IFERROR(__xludf.DUMMYFUNCTION("GOOGLETRANSLATE($A423,""en"",""pt-BR"")"),"Guelma")</f>
        <v>Guelma</v>
      </c>
    </row>
    <row r="424">
      <c r="A424" s="9" t="str">
        <f>IFERROR(__xludf.DUMMYFUNCTION("""COMPUTED_VALUE"""),"Béchar")</f>
        <v>Béchar</v>
      </c>
      <c r="B424" s="9" t="str">
        <f>IFERROR(__xludf.DUMMYFUNCTION("""COMPUTED_VALUE"""),"dz-08")</f>
        <v>dz-08</v>
      </c>
      <c r="C424" s="9" t="str">
        <f>IFERROR(__xludf.DUMMYFUNCTION("GOOGLETRANSLATE($A424,""en"",""de"")"),"Bechar")</f>
        <v>Bechar</v>
      </c>
      <c r="D424" s="9" t="str">
        <f>IFERROR(__xludf.DUMMYFUNCTION("GOOGLETRANSLATE($A424,""en"",""fr"")"),"Béchar")</f>
        <v>Béchar</v>
      </c>
      <c r="E424" s="9" t="str">
        <f>IFERROR(__xludf.DUMMYFUNCTION("GOOGLETRANSLATE($A424,""en"",""es"")"),"Béchar")</f>
        <v>Béchar</v>
      </c>
      <c r="F424" s="9" t="str">
        <f>IFERROR(__xludf.DUMMYFUNCTION("GOOGLETRANSLATE($A424,""en"",""it"")"),"Bechar")</f>
        <v>Bechar</v>
      </c>
      <c r="G424" s="9" t="str">
        <f>IFERROR(__xludf.DUMMYFUNCTION("GOOGLETRANSLATE($A424,""en"",""zh-cn"")"),"贝沙尔")</f>
        <v>贝沙尔</v>
      </c>
      <c r="H424" s="9" t="str">
        <f>IFERROR(__xludf.DUMMYFUNCTION("GOOGLETRANSLATE($A424,""en"",""ja"")"),"ベシャール")</f>
        <v>ベシャール</v>
      </c>
      <c r="I424" s="9" t="str">
        <f>IFERROR(__xludf.DUMMYFUNCTION("GOOGLETRANSLATE($A424,""en"",""ko"")"),"베샤르")</f>
        <v>베샤르</v>
      </c>
      <c r="J424" s="9" t="str">
        <f>IFERROR(__xludf.DUMMYFUNCTION("GOOGLETRANSLATE($A424,""en"",""pt-BR"")"),"Béchar")</f>
        <v>Béchar</v>
      </c>
    </row>
    <row r="425">
      <c r="A425" s="9" t="str">
        <f>IFERROR(__xludf.DUMMYFUNCTION("""COMPUTED_VALUE"""),"Mostaganem")</f>
        <v>Mostaganem</v>
      </c>
      <c r="B425" s="9" t="str">
        <f>IFERROR(__xludf.DUMMYFUNCTION("""COMPUTED_VALUE"""),"dz-27")</f>
        <v>dz-27</v>
      </c>
      <c r="C425" s="9" t="str">
        <f>IFERROR(__xludf.DUMMYFUNCTION("GOOGLETRANSLATE($A425,""en"",""de"")"),"Mostaganem")</f>
        <v>Mostaganem</v>
      </c>
      <c r="D425" s="9" t="str">
        <f>IFERROR(__xludf.DUMMYFUNCTION("GOOGLETRANSLATE($A425,""en"",""fr"")"),"Mostaganem")</f>
        <v>Mostaganem</v>
      </c>
      <c r="E425" s="9" t="str">
        <f>IFERROR(__xludf.DUMMYFUNCTION("GOOGLETRANSLATE($A425,""en"",""es"")"),"Mostaganem")</f>
        <v>Mostaganem</v>
      </c>
      <c r="F425" s="9" t="str">
        <f>IFERROR(__xludf.DUMMYFUNCTION("GOOGLETRANSLATE($A425,""en"",""it"")"),"Mostaganem")</f>
        <v>Mostaganem</v>
      </c>
      <c r="G425" s="9" t="str">
        <f>IFERROR(__xludf.DUMMYFUNCTION("GOOGLETRANSLATE($A425,""en"",""zh-cn"")"),"穆斯塔加奈姆")</f>
        <v>穆斯塔加奈姆</v>
      </c>
      <c r="H425" s="9" t="str">
        <f>IFERROR(__xludf.DUMMYFUNCTION("GOOGLETRANSLATE($A425,""en"",""ja"")"),"モスタガネム")</f>
        <v>モスタガネム</v>
      </c>
      <c r="I425" s="9" t="str">
        <f>IFERROR(__xludf.DUMMYFUNCTION("GOOGLETRANSLATE($A425,""en"",""ko"")"),"모스타가넴")</f>
        <v>모스타가넴</v>
      </c>
      <c r="J425" s="9" t="str">
        <f>IFERROR(__xludf.DUMMYFUNCTION("GOOGLETRANSLATE($A425,""en"",""pt-BR"")"),"Mostaganem")</f>
        <v>Mostaganem</v>
      </c>
    </row>
    <row r="426">
      <c r="A426" s="9" t="str">
        <f>IFERROR(__xludf.DUMMYFUNCTION("""COMPUTED_VALUE"""),"Tamanghasset")</f>
        <v>Tamanghasset</v>
      </c>
      <c r="B426" s="9" t="str">
        <f>IFERROR(__xludf.DUMMYFUNCTION("""COMPUTED_VALUE"""),"dz-11")</f>
        <v>dz-11</v>
      </c>
      <c r="C426" s="9" t="str">
        <f>IFERROR(__xludf.DUMMYFUNCTION("GOOGLETRANSLATE($A426,""en"",""de"")"),"Tamanghasset")</f>
        <v>Tamanghasset</v>
      </c>
      <c r="D426" s="9" t="str">
        <f>IFERROR(__xludf.DUMMYFUNCTION("GOOGLETRANSLATE($A426,""en"",""fr"")"),"Tamanghasset")</f>
        <v>Tamanghasset</v>
      </c>
      <c r="E426" s="9" t="str">
        <f>IFERROR(__xludf.DUMMYFUNCTION("GOOGLETRANSLATE($A426,""en"",""es"")"),"Tamanghasset")</f>
        <v>Tamanghasset</v>
      </c>
      <c r="F426" s="9" t="str">
        <f>IFERROR(__xludf.DUMMYFUNCTION("GOOGLETRANSLATE($A426,""en"",""it"")"),"Tamanghasset")</f>
        <v>Tamanghasset</v>
      </c>
      <c r="G426" s="9" t="str">
        <f>IFERROR(__xludf.DUMMYFUNCTION("GOOGLETRANSLATE($A426,""en"",""zh-cn"")"),"塔曼哈塞特")</f>
        <v>塔曼哈塞特</v>
      </c>
      <c r="H426" s="9" t="str">
        <f>IFERROR(__xludf.DUMMYFUNCTION("GOOGLETRANSLATE($A426,""en"",""ja"")"),"タマンガセット")</f>
        <v>タマンガセット</v>
      </c>
      <c r="I426" s="9" t="str">
        <f>IFERROR(__xludf.DUMMYFUNCTION("GOOGLETRANSLATE($A426,""en"",""ko"")"),"타만가세트")</f>
        <v>타만가세트</v>
      </c>
      <c r="J426" s="9" t="str">
        <f>IFERROR(__xludf.DUMMYFUNCTION("GOOGLETRANSLATE($A426,""en"",""pt-BR"")"),"Tamanghasset")</f>
        <v>Tamanghasset</v>
      </c>
    </row>
    <row r="427">
      <c r="A427" s="9" t="str">
        <f>IFERROR(__xludf.DUMMYFUNCTION("""COMPUTED_VALUE"""),"Jijel")</f>
        <v>Jijel</v>
      </c>
      <c r="B427" s="9" t="str">
        <f>IFERROR(__xludf.DUMMYFUNCTION("""COMPUTED_VALUE"""),"dz-18")</f>
        <v>dz-18</v>
      </c>
      <c r="C427" s="9" t="str">
        <f>IFERROR(__xludf.DUMMYFUNCTION("GOOGLETRANSLATE($A427,""en"",""de"")"),"Jijel")</f>
        <v>Jijel</v>
      </c>
      <c r="D427" s="9" t="str">
        <f>IFERROR(__xludf.DUMMYFUNCTION("GOOGLETRANSLATE($A427,""en"",""fr"")"),"Jijel")</f>
        <v>Jijel</v>
      </c>
      <c r="E427" s="9" t="str">
        <f>IFERROR(__xludf.DUMMYFUNCTION("GOOGLETRANSLATE($A427,""en"",""es"")"),"Jijel")</f>
        <v>Jijel</v>
      </c>
      <c r="F427" s="9" t="str">
        <f>IFERROR(__xludf.DUMMYFUNCTION("GOOGLETRANSLATE($A427,""en"",""it"")"),"Jijel")</f>
        <v>Jijel</v>
      </c>
      <c r="G427" s="9" t="str">
        <f>IFERROR(__xludf.DUMMYFUNCTION("GOOGLETRANSLATE($A427,""en"",""zh-cn"")"),"吉杰尔")</f>
        <v>吉杰尔</v>
      </c>
      <c r="H427" s="9" t="str">
        <f>IFERROR(__xludf.DUMMYFUNCTION("GOOGLETRANSLATE($A427,""en"",""ja"")"),"ジジェル")</f>
        <v>ジジェル</v>
      </c>
      <c r="I427" s="9" t="str">
        <f>IFERROR(__xludf.DUMMYFUNCTION("GOOGLETRANSLATE($A427,""en"",""ko"")"),"지젤")</f>
        <v>지젤</v>
      </c>
      <c r="J427" s="9" t="str">
        <f>IFERROR(__xludf.DUMMYFUNCTION("GOOGLETRANSLATE($A427,""en"",""pt-BR"")"),"Jijel")</f>
        <v>Jijel</v>
      </c>
    </row>
    <row r="428">
      <c r="A428" s="9" t="str">
        <f>IFERROR(__xludf.DUMMYFUNCTION("""COMPUTED_VALUE"""),"Boumerdès")</f>
        <v>Boumerdès</v>
      </c>
      <c r="B428" s="9" t="str">
        <f>IFERROR(__xludf.DUMMYFUNCTION("""COMPUTED_VALUE"""),"dz-35")</f>
        <v>dz-35</v>
      </c>
      <c r="C428" s="9" t="str">
        <f>IFERROR(__xludf.DUMMYFUNCTION("GOOGLETRANSLATE($A428,""en"",""de"")"),"Boumerdes")</f>
        <v>Boumerdes</v>
      </c>
      <c r="D428" s="9" t="str">
        <f>IFERROR(__xludf.DUMMYFUNCTION("GOOGLETRANSLATE($A428,""en"",""fr"")"),"Boumerdès")</f>
        <v>Boumerdès</v>
      </c>
      <c r="E428" s="9" t="str">
        <f>IFERROR(__xludf.DUMMYFUNCTION("GOOGLETRANSLATE($A428,""en"",""es"")"),"Boumerdés")</f>
        <v>Boumerdés</v>
      </c>
      <c r="F428" s="9" t="str">
        <f>IFERROR(__xludf.DUMMYFUNCTION("GOOGLETRANSLATE($A428,""en"",""it"")"),"Boumerdès")</f>
        <v>Boumerdès</v>
      </c>
      <c r="G428" s="9" t="str">
        <f>IFERROR(__xludf.DUMMYFUNCTION("GOOGLETRANSLATE($A428,""en"",""zh-cn"")"),"布梅尔德斯")</f>
        <v>布梅尔德斯</v>
      </c>
      <c r="H428" s="9" t="str">
        <f>IFERROR(__xludf.DUMMYFUNCTION("GOOGLETRANSLATE($A428,""en"",""ja"")"),"ブーメルデス")</f>
        <v>ブーメルデス</v>
      </c>
      <c r="I428" s="9" t="str">
        <f>IFERROR(__xludf.DUMMYFUNCTION("GOOGLETRANSLATE($A428,""en"",""ko"")"),"부메르데스")</f>
        <v>부메르데스</v>
      </c>
      <c r="J428" s="9" t="str">
        <f>IFERROR(__xludf.DUMMYFUNCTION("GOOGLETRANSLATE($A428,""en"",""pt-BR"")"),"Boumerdes")</f>
        <v>Boumerdes</v>
      </c>
    </row>
    <row r="429">
      <c r="A429" s="9" t="str">
        <f>IFERROR(__xludf.DUMMYFUNCTION("""COMPUTED_VALUE"""),"Tiaret")</f>
        <v>Tiaret</v>
      </c>
      <c r="B429" s="9" t="str">
        <f>IFERROR(__xludf.DUMMYFUNCTION("""COMPUTED_VALUE"""),"dz-14")</f>
        <v>dz-14</v>
      </c>
      <c r="C429" s="9" t="str">
        <f>IFERROR(__xludf.DUMMYFUNCTION("GOOGLETRANSLATE($A429,""en"",""de"")"),"Tiaret")</f>
        <v>Tiaret</v>
      </c>
      <c r="D429" s="9" t="str">
        <f>IFERROR(__xludf.DUMMYFUNCTION("GOOGLETRANSLATE($A429,""en"",""fr"")"),"Tiaret")</f>
        <v>Tiaret</v>
      </c>
      <c r="E429" s="9" t="str">
        <f>IFERROR(__xludf.DUMMYFUNCTION("GOOGLETRANSLATE($A429,""en"",""es"")"),"Tiaret")</f>
        <v>Tiaret</v>
      </c>
      <c r="F429" s="9" t="str">
        <f>IFERROR(__xludf.DUMMYFUNCTION("GOOGLETRANSLATE($A429,""en"",""it"")"),"Tiaret")</f>
        <v>Tiaret</v>
      </c>
      <c r="G429" s="9" t="str">
        <f>IFERROR(__xludf.DUMMYFUNCTION("GOOGLETRANSLATE($A429,""en"",""zh-cn"")"),"提亚雷特")</f>
        <v>提亚雷特</v>
      </c>
      <c r="H429" s="9" t="str">
        <f>IFERROR(__xludf.DUMMYFUNCTION("GOOGLETRANSLATE($A429,""en"",""ja"")"),"ティアレット")</f>
        <v>ティアレット</v>
      </c>
      <c r="I429" s="9" t="str">
        <f>IFERROR(__xludf.DUMMYFUNCTION("GOOGLETRANSLATE($A429,""en"",""ko"")"),"티아레")</f>
        <v>티아레</v>
      </c>
      <c r="J429" s="9" t="str">
        <f>IFERROR(__xludf.DUMMYFUNCTION("GOOGLETRANSLATE($A429,""en"",""pt-BR"")"),"Tiaret")</f>
        <v>Tiaret</v>
      </c>
    </row>
    <row r="430">
      <c r="A430" s="9" t="str">
        <f>IFERROR(__xludf.DUMMYFUNCTION("""COMPUTED_VALUE"""),"Bordj Bou Arréridj")</f>
        <v>Bordj Bou Arréridj</v>
      </c>
      <c r="B430" s="9" t="str">
        <f>IFERROR(__xludf.DUMMYFUNCTION("""COMPUTED_VALUE"""),"dz-34")</f>
        <v>dz-34</v>
      </c>
      <c r="C430" s="9" t="str">
        <f>IFERROR(__xludf.DUMMYFUNCTION("GOOGLETRANSLATE($A430,""en"",""de"")"),"Bordj Bou Arréridj")</f>
        <v>Bordj Bou Arréridj</v>
      </c>
      <c r="D430" s="9" t="str">
        <f>IFERROR(__xludf.DUMMYFUNCTION("GOOGLETRANSLATE($A430,""en"",""fr"")"),"Bordj Bou Arreridj")</f>
        <v>Bordj Bou Arreridj</v>
      </c>
      <c r="E430" s="9" t="str">
        <f>IFERROR(__xludf.DUMMYFUNCTION("GOOGLETRANSLATE($A430,""en"",""es"")"),"Bordj Bou Arréridj")</f>
        <v>Bordj Bou Arréridj</v>
      </c>
      <c r="F430" s="9" t="str">
        <f>IFERROR(__xludf.DUMMYFUNCTION("GOOGLETRANSLATE($A430,""en"",""it"")"),"Bordj Bou Arreridj")</f>
        <v>Bordj Bou Arreridj</v>
      </c>
      <c r="G430" s="9" t="str">
        <f>IFERROR(__xludf.DUMMYFUNCTION("GOOGLETRANSLATE($A430,""en"",""zh-cn"")"),"布阿雷里吉堡")</f>
        <v>布阿雷里吉堡</v>
      </c>
      <c r="H430" s="9" t="str">
        <f>IFERROR(__xludf.DUMMYFUNCTION("GOOGLETRANSLATE($A430,""en"",""ja"")"),"ボルジ・ボウ・アレリジ")</f>
        <v>ボルジ・ボウ・アレリジ</v>
      </c>
      <c r="I430" s="9" t="str">
        <f>IFERROR(__xludf.DUMMYFUNCTION("GOOGLETRANSLATE($A430,""en"",""ko"")"),"보르지 부 아레리지")</f>
        <v>보르지 부 아레리지</v>
      </c>
      <c r="J430" s="9" t="str">
        <f>IFERROR(__xludf.DUMMYFUNCTION("GOOGLETRANSLATE($A430,""en"",""pt-BR"")"),"Bordj Bou Arreridj")</f>
        <v>Bordj Bou Arreridj</v>
      </c>
    </row>
    <row r="431">
      <c r="A431" s="9" t="str">
        <f>IFERROR(__xludf.DUMMYFUNCTION("""COMPUTED_VALUE"""),"Tizi Ouzou")</f>
        <v>Tizi Ouzou</v>
      </c>
      <c r="B431" s="9" t="str">
        <f>IFERROR(__xludf.DUMMYFUNCTION("""COMPUTED_VALUE"""),"dz-15")</f>
        <v>dz-15</v>
      </c>
      <c r="C431" s="9" t="str">
        <f>IFERROR(__xludf.DUMMYFUNCTION("GOOGLETRANSLATE($A431,""en"",""de"")"),"Tizi Ouzou")</f>
        <v>Tizi Ouzou</v>
      </c>
      <c r="D431" s="9" t="str">
        <f>IFERROR(__xludf.DUMMYFUNCTION("GOOGLETRANSLATE($A431,""en"",""fr"")"),"Tizi-Ouzou")</f>
        <v>Tizi-Ouzou</v>
      </c>
      <c r="E431" s="9" t="str">
        <f>IFERROR(__xludf.DUMMYFUNCTION("GOOGLETRANSLATE($A431,""en"",""es"")"),"Tizi Ouzou")</f>
        <v>Tizi Ouzou</v>
      </c>
      <c r="F431" s="9" t="str">
        <f>IFERROR(__xludf.DUMMYFUNCTION("GOOGLETRANSLATE($A431,""en"",""it"")"),"Tizi Ouzou")</f>
        <v>Tizi Ouzou</v>
      </c>
      <c r="G431" s="9" t="str">
        <f>IFERROR(__xludf.DUMMYFUNCTION("GOOGLETRANSLATE($A431,""en"",""zh-cn"")"),"蒂兹·乌祖")</f>
        <v>蒂兹·乌祖</v>
      </c>
      <c r="H431" s="9" t="str">
        <f>IFERROR(__xludf.DUMMYFUNCTION("GOOGLETRANSLATE($A431,""en"",""ja"")"),"ティジ・オウゾウ")</f>
        <v>ティジ・オウゾウ</v>
      </c>
      <c r="I431" s="9" t="str">
        <f>IFERROR(__xludf.DUMMYFUNCTION("GOOGLETRANSLATE($A431,""en"",""ko"")"),"티지 오우조우")</f>
        <v>티지 오우조우</v>
      </c>
      <c r="J431" s="9" t="str">
        <f>IFERROR(__xludf.DUMMYFUNCTION("GOOGLETRANSLATE($A431,""en"",""pt-BR"")"),"Tizi Ouzou")</f>
        <v>Tizi Ouzou</v>
      </c>
    </row>
    <row r="432">
      <c r="A432" s="9" t="str">
        <f>IFERROR(__xludf.DUMMYFUNCTION("""COMPUTED_VALUE"""),"Constantine")</f>
        <v>Constantine</v>
      </c>
      <c r="B432" s="9" t="str">
        <f>IFERROR(__xludf.DUMMYFUNCTION("""COMPUTED_VALUE"""),"dz-25")</f>
        <v>dz-25</v>
      </c>
      <c r="C432" s="9" t="str">
        <f>IFERROR(__xludf.DUMMYFUNCTION("GOOGLETRANSLATE($A432,""en"",""de"")"),"Konstantin")</f>
        <v>Konstantin</v>
      </c>
      <c r="D432" s="9" t="str">
        <f>IFERROR(__xludf.DUMMYFUNCTION("GOOGLETRANSLATE($A432,""en"",""fr"")"),"Constantin")</f>
        <v>Constantin</v>
      </c>
      <c r="E432" s="9" t="str">
        <f>IFERROR(__xludf.DUMMYFUNCTION("GOOGLETRANSLATE($A432,""en"",""es"")"),"Constantino")</f>
        <v>Constantino</v>
      </c>
      <c r="F432" s="9" t="str">
        <f>IFERROR(__xludf.DUMMYFUNCTION("GOOGLETRANSLATE($A432,""en"",""it"")"),"Costantino")</f>
        <v>Costantino</v>
      </c>
      <c r="G432" s="9" t="str">
        <f>IFERROR(__xludf.DUMMYFUNCTION("GOOGLETRANSLATE($A432,""en"",""zh-cn"")"),"康斯坦丁")</f>
        <v>康斯坦丁</v>
      </c>
      <c r="H432" s="9" t="str">
        <f>IFERROR(__xludf.DUMMYFUNCTION("GOOGLETRANSLATE($A432,""en"",""ja"")"),"コンスタンティン")</f>
        <v>コンスタンティン</v>
      </c>
      <c r="I432" s="9" t="str">
        <f>IFERROR(__xludf.DUMMYFUNCTION("GOOGLETRANSLATE($A432,""en"",""ko"")"),"콘스탄틴")</f>
        <v>콘스탄틴</v>
      </c>
      <c r="J432" s="9" t="str">
        <f>IFERROR(__xludf.DUMMYFUNCTION("GOOGLETRANSLATE($A432,""en"",""pt-BR"")"),"Constantino")</f>
        <v>Constantino</v>
      </c>
    </row>
    <row r="433">
      <c r="A433" s="9" t="str">
        <f>IFERROR(__xludf.DUMMYFUNCTION("""COMPUTED_VALUE"""),"Oran")</f>
        <v>Oran</v>
      </c>
      <c r="B433" s="9" t="str">
        <f>IFERROR(__xludf.DUMMYFUNCTION("""COMPUTED_VALUE"""),"dz-31")</f>
        <v>dz-31</v>
      </c>
      <c r="C433" s="9" t="str">
        <f>IFERROR(__xludf.DUMMYFUNCTION("GOOGLETRANSLATE($A433,""en"",""de"")"),"Oran")</f>
        <v>Oran</v>
      </c>
      <c r="D433" s="9" t="str">
        <f>IFERROR(__xludf.DUMMYFUNCTION("GOOGLETRANSLATE($A433,""en"",""fr"")"),"Oran")</f>
        <v>Oran</v>
      </c>
      <c r="E433" s="9" t="str">
        <f>IFERROR(__xludf.DUMMYFUNCTION("GOOGLETRANSLATE($A433,""en"",""es"")"),"Orán")</f>
        <v>Orán</v>
      </c>
      <c r="F433" s="9" t="str">
        <f>IFERROR(__xludf.DUMMYFUNCTION("GOOGLETRANSLATE($A433,""en"",""it"")"),"Orano")</f>
        <v>Orano</v>
      </c>
      <c r="G433" s="9" t="str">
        <f>IFERROR(__xludf.DUMMYFUNCTION("GOOGLETRANSLATE($A433,""en"",""zh-cn"")"),"奥兰")</f>
        <v>奥兰</v>
      </c>
      <c r="H433" s="9" t="str">
        <f>IFERROR(__xludf.DUMMYFUNCTION("GOOGLETRANSLATE($A433,""en"",""ja"")"),"オラン")</f>
        <v>オラン</v>
      </c>
      <c r="I433" s="9" t="str">
        <f>IFERROR(__xludf.DUMMYFUNCTION("GOOGLETRANSLATE($A433,""en"",""ko"")"),"오랑")</f>
        <v>오랑</v>
      </c>
      <c r="J433" s="9" t="str">
        <f>IFERROR(__xludf.DUMMYFUNCTION("GOOGLETRANSLATE($A433,""en"",""pt-BR"")"),"Orã")</f>
        <v>Orã</v>
      </c>
    </row>
    <row r="434">
      <c r="A434" s="9" t="str">
        <f>IFERROR(__xludf.DUMMYFUNCTION("""COMPUTED_VALUE"""),"Khenchela")</f>
        <v>Khenchela</v>
      </c>
      <c r="B434" s="9" t="str">
        <f>IFERROR(__xludf.DUMMYFUNCTION("""COMPUTED_VALUE"""),"dz-40")</f>
        <v>dz-40</v>
      </c>
      <c r="C434" s="9" t="str">
        <f>IFERROR(__xludf.DUMMYFUNCTION("GOOGLETRANSLATE($A434,""en"",""de"")"),"Khenchela")</f>
        <v>Khenchela</v>
      </c>
      <c r="D434" s="9" t="str">
        <f>IFERROR(__xludf.DUMMYFUNCTION("GOOGLETRANSLATE($A434,""en"",""fr"")"),"Khenchela")</f>
        <v>Khenchela</v>
      </c>
      <c r="E434" s="9" t="str">
        <f>IFERROR(__xludf.DUMMYFUNCTION("GOOGLETRANSLATE($A434,""en"",""es"")"),"Jenchela")</f>
        <v>Jenchela</v>
      </c>
      <c r="F434" s="9" t="str">
        <f>IFERROR(__xludf.DUMMYFUNCTION("GOOGLETRANSLATE($A434,""en"",""it"")"),"Khenchela")</f>
        <v>Khenchela</v>
      </c>
      <c r="G434" s="9" t="str">
        <f>IFERROR(__xludf.DUMMYFUNCTION("GOOGLETRANSLATE($A434,""en"",""zh-cn"")"),"肯切拉")</f>
        <v>肯切拉</v>
      </c>
      <c r="H434" s="9" t="str">
        <f>IFERROR(__xludf.DUMMYFUNCTION("GOOGLETRANSLATE($A434,""en"",""ja"")"),"ケンチェラ")</f>
        <v>ケンチェラ</v>
      </c>
      <c r="I434" s="9" t="str">
        <f>IFERROR(__xludf.DUMMYFUNCTION("GOOGLETRANSLATE($A434,""en"",""ko"")"),"켄첼라")</f>
        <v>켄첼라</v>
      </c>
      <c r="J434" s="9" t="str">
        <f>IFERROR(__xludf.DUMMYFUNCTION("GOOGLETRANSLATE($A434,""en"",""pt-BR"")"),"Khenchela")</f>
        <v>Khenchela</v>
      </c>
    </row>
    <row r="435">
      <c r="A435" s="9" t="str">
        <f>IFERROR(__xludf.DUMMYFUNCTION("""COMPUTED_VALUE"""),"Naama")</f>
        <v>Naama</v>
      </c>
      <c r="B435" s="9" t="str">
        <f>IFERROR(__xludf.DUMMYFUNCTION("""COMPUTED_VALUE"""),"dz-45")</f>
        <v>dz-45</v>
      </c>
      <c r="C435" s="9" t="str">
        <f>IFERROR(__xludf.DUMMYFUNCTION("GOOGLETRANSLATE($A435,""en"",""de"")"),"Naama")</f>
        <v>Naama</v>
      </c>
      <c r="D435" s="9" t="str">
        <f>IFERROR(__xludf.DUMMYFUNCTION("GOOGLETRANSLATE($A435,""en"",""fr"")"),"Naama")</f>
        <v>Naama</v>
      </c>
      <c r="E435" s="9" t="str">
        <f>IFERROR(__xludf.DUMMYFUNCTION("GOOGLETRANSLATE($A435,""en"",""es"")"),"Naama")</f>
        <v>Naama</v>
      </c>
      <c r="F435" s="9" t="str">
        <f>IFERROR(__xludf.DUMMYFUNCTION("GOOGLETRANSLATE($A435,""en"",""it"")"),"Naama")</f>
        <v>Naama</v>
      </c>
      <c r="G435" s="9" t="str">
        <f>IFERROR(__xludf.DUMMYFUNCTION("GOOGLETRANSLATE($A435,""en"",""zh-cn"")"),"纳马")</f>
        <v>纳马</v>
      </c>
      <c r="H435" s="9" t="str">
        <f>IFERROR(__xludf.DUMMYFUNCTION("GOOGLETRANSLATE($A435,""en"",""ja"")"),"ナーマ")</f>
        <v>ナーマ</v>
      </c>
      <c r="I435" s="9" t="str">
        <f>IFERROR(__xludf.DUMMYFUNCTION("GOOGLETRANSLATE($A435,""en"",""ko"")"),"나아마")</f>
        <v>나아마</v>
      </c>
      <c r="J435" s="9" t="str">
        <f>IFERROR(__xludf.DUMMYFUNCTION("GOOGLETRANSLATE($A435,""en"",""pt-BR"")"),"Naama")</f>
        <v>Naama</v>
      </c>
    </row>
    <row r="436">
      <c r="A436" s="9" t="str">
        <f>IFERROR(__xludf.DUMMYFUNCTION("""COMPUTED_VALUE"""),"Skikda")</f>
        <v>Skikda</v>
      </c>
      <c r="B436" s="9" t="str">
        <f>IFERROR(__xludf.DUMMYFUNCTION("""COMPUTED_VALUE"""),"dz-21")</f>
        <v>dz-21</v>
      </c>
      <c r="C436" s="9" t="str">
        <f>IFERROR(__xludf.DUMMYFUNCTION("GOOGLETRANSLATE($A436,""en"",""de"")"),"Skikda")</f>
        <v>Skikda</v>
      </c>
      <c r="D436" s="9" t="str">
        <f>IFERROR(__xludf.DUMMYFUNCTION("GOOGLETRANSLATE($A436,""en"",""fr"")"),"Skikda")</f>
        <v>Skikda</v>
      </c>
      <c r="E436" s="9" t="str">
        <f>IFERROR(__xludf.DUMMYFUNCTION("GOOGLETRANSLATE($A436,""en"",""es"")"),"Skikda")</f>
        <v>Skikda</v>
      </c>
      <c r="F436" s="9" t="str">
        <f>IFERROR(__xludf.DUMMYFUNCTION("GOOGLETRANSLATE($A436,""en"",""it"")"),"Skikda")</f>
        <v>Skikda</v>
      </c>
      <c r="G436" s="9" t="str">
        <f>IFERROR(__xludf.DUMMYFUNCTION("GOOGLETRANSLATE($A436,""en"",""zh-cn"")"),"斯基克达")</f>
        <v>斯基克达</v>
      </c>
      <c r="H436" s="9" t="str">
        <f>IFERROR(__xludf.DUMMYFUNCTION("GOOGLETRANSLATE($A436,""en"",""ja"")"),"スキクダ")</f>
        <v>スキクダ</v>
      </c>
      <c r="I436" s="9" t="str">
        <f>IFERROR(__xludf.DUMMYFUNCTION("GOOGLETRANSLATE($A436,""en"",""ko"")"),"스키크다")</f>
        <v>스키크다</v>
      </c>
      <c r="J436" s="9" t="str">
        <f>IFERROR(__xludf.DUMMYFUNCTION("GOOGLETRANSLATE($A436,""en"",""pt-BR"")"),"Skikda")</f>
        <v>Skikda</v>
      </c>
    </row>
    <row r="437">
      <c r="A437" s="9" t="str">
        <f>IFERROR(__xludf.DUMMYFUNCTION("""COMPUTED_VALUE"""),"Biskra")</f>
        <v>Biskra</v>
      </c>
      <c r="B437" s="9" t="str">
        <f>IFERROR(__xludf.DUMMYFUNCTION("""COMPUTED_VALUE"""),"dz-07")</f>
        <v>dz-07</v>
      </c>
      <c r="C437" s="9" t="str">
        <f>IFERROR(__xludf.DUMMYFUNCTION("GOOGLETRANSLATE($A437,""en"",""de"")"),"Biskra")</f>
        <v>Biskra</v>
      </c>
      <c r="D437" s="9" t="str">
        <f>IFERROR(__xludf.DUMMYFUNCTION("GOOGLETRANSLATE($A437,""en"",""fr"")"),"Biskra")</f>
        <v>Biskra</v>
      </c>
      <c r="E437" s="9" t="str">
        <f>IFERROR(__xludf.DUMMYFUNCTION("GOOGLETRANSLATE($A437,""en"",""es"")"),"biskra")</f>
        <v>biskra</v>
      </c>
      <c r="F437" s="9" t="str">
        <f>IFERROR(__xludf.DUMMYFUNCTION("GOOGLETRANSLATE($A437,""en"",""it"")"),"Biskra")</f>
        <v>Biskra</v>
      </c>
      <c r="G437" s="9" t="str">
        <f>IFERROR(__xludf.DUMMYFUNCTION("GOOGLETRANSLATE($A437,""en"",""zh-cn"")"),"比斯克拉")</f>
        <v>比斯克拉</v>
      </c>
      <c r="H437" s="9" t="str">
        <f>IFERROR(__xludf.DUMMYFUNCTION("GOOGLETRANSLATE($A437,""en"",""ja"")"),"ビスクラ")</f>
        <v>ビスクラ</v>
      </c>
      <c r="I437" s="9" t="str">
        <f>IFERROR(__xludf.DUMMYFUNCTION("GOOGLETRANSLATE($A437,""en"",""ko"")"),"비스크라")</f>
        <v>비스크라</v>
      </c>
      <c r="J437" s="9" t="str">
        <f>IFERROR(__xludf.DUMMYFUNCTION("GOOGLETRANSLATE($A437,""en"",""pt-BR"")"),"Biskra")</f>
        <v>Biskra</v>
      </c>
    </row>
    <row r="438">
      <c r="A438" s="9" t="str">
        <f>IFERROR(__xludf.DUMMYFUNCTION("""COMPUTED_VALUE"""),"Saïda")</f>
        <v>Saïda</v>
      </c>
      <c r="B438" s="9" t="str">
        <f>IFERROR(__xludf.DUMMYFUNCTION("""COMPUTED_VALUE"""),"dz-20")</f>
        <v>dz-20</v>
      </c>
      <c r="C438" s="9" t="str">
        <f>IFERROR(__xludf.DUMMYFUNCTION("GOOGLETRANSLATE($A438,""en"",""de"")"),"Saida")</f>
        <v>Saida</v>
      </c>
      <c r="D438" s="9" t="str">
        <f>IFERROR(__xludf.DUMMYFUNCTION("GOOGLETRANSLATE($A438,""en"",""fr"")"),"Saïda")</f>
        <v>Saïda</v>
      </c>
      <c r="E438" s="9" t="str">
        <f>IFERROR(__xludf.DUMMYFUNCTION("GOOGLETRANSLATE($A438,""en"",""es"")"),"Saïda")</f>
        <v>Saïda</v>
      </c>
      <c r="F438" s="9" t="str">
        <f>IFERROR(__xludf.DUMMYFUNCTION("GOOGLETRANSLATE($A438,""en"",""it"")"),"Saida")</f>
        <v>Saida</v>
      </c>
      <c r="G438" s="9" t="str">
        <f>IFERROR(__xludf.DUMMYFUNCTION("GOOGLETRANSLATE($A438,""en"",""zh-cn"")"),"萨伊达")</f>
        <v>萨伊达</v>
      </c>
      <c r="H438" s="9" t="str">
        <f>IFERROR(__xludf.DUMMYFUNCTION("GOOGLETRANSLATE($A438,""en"",""ja"")"),"サイーダ")</f>
        <v>サイーダ</v>
      </c>
      <c r="I438" s="9" t="str">
        <f>IFERROR(__xludf.DUMMYFUNCTION("GOOGLETRANSLATE($A438,""en"",""ko"")"),"사이다")</f>
        <v>사이다</v>
      </c>
      <c r="J438" s="9" t="str">
        <f>IFERROR(__xludf.DUMMYFUNCTION("GOOGLETRANSLATE($A438,""en"",""pt-BR"")"),"Saida")</f>
        <v>Saida</v>
      </c>
    </row>
    <row r="439">
      <c r="A439" s="9" t="str">
        <f>IFERROR(__xludf.DUMMYFUNCTION("""COMPUTED_VALUE"""),"Adrar (DZ)")</f>
        <v>Adrar (DZ)</v>
      </c>
      <c r="B439" s="9" t="str">
        <f>IFERROR(__xludf.DUMMYFUNCTION("""COMPUTED_VALUE"""),"dz-01")</f>
        <v>dz-01</v>
      </c>
      <c r="C439" s="9" t="str">
        <f>IFERROR(__xludf.DUMMYFUNCTION("GOOGLETRANSLATE($A439,""en"",""de"")"),"Adrar (DZ)")</f>
        <v>Adrar (DZ)</v>
      </c>
      <c r="D439" s="9" t="str">
        <f>IFERROR(__xludf.DUMMYFUNCTION("GOOGLETRANSLATE($A439,""en"",""fr"")"),"Adrar (DZ)")</f>
        <v>Adrar (DZ)</v>
      </c>
      <c r="E439" s="9" t="str">
        <f>IFERROR(__xludf.DUMMYFUNCTION("GOOGLETRANSLATE($A439,""en"",""es"")"),"Adrar (DZ)")</f>
        <v>Adrar (DZ)</v>
      </c>
      <c r="F439" s="9" t="str">
        <f>IFERROR(__xludf.DUMMYFUNCTION("GOOGLETRANSLATE($A439,""en"",""it"")"),"Adrar (DZ)")</f>
        <v>Adrar (DZ)</v>
      </c>
      <c r="G439" s="9" t="str">
        <f>IFERROR(__xludf.DUMMYFUNCTION("GOOGLETRANSLATE($A439,""en"",""zh-cn"")"),"阿德拉尔 (DZ)")</f>
        <v>阿德拉尔 (DZ)</v>
      </c>
      <c r="H439" s="9" t="str">
        <f>IFERROR(__xludf.DUMMYFUNCTION("GOOGLETRANSLATE($A439,""en"",""ja"")"),"アドラル (DZ)")</f>
        <v>アドラル (DZ)</v>
      </c>
      <c r="I439" s="9" t="str">
        <f>IFERROR(__xludf.DUMMYFUNCTION("GOOGLETRANSLATE($A439,""en"",""ko"")"),"아드라르(DZ)")</f>
        <v>아드라르(DZ)</v>
      </c>
      <c r="J439" s="9" t="str">
        <f>IFERROR(__xludf.DUMMYFUNCTION("GOOGLETRANSLATE($A439,""en"",""pt-BR"")"),"Adrar (DZ)")</f>
        <v>Adrar (DZ)</v>
      </c>
    </row>
    <row r="440">
      <c r="A440" s="9" t="str">
        <f>IFERROR(__xludf.DUMMYFUNCTION("""COMPUTED_VALUE"""),"Chlef")</f>
        <v>Chlef</v>
      </c>
      <c r="B440" s="9" t="str">
        <f>IFERROR(__xludf.DUMMYFUNCTION("""COMPUTED_VALUE"""),"dz-02")</f>
        <v>dz-02</v>
      </c>
      <c r="C440" s="9" t="str">
        <f>IFERROR(__xludf.DUMMYFUNCTION("GOOGLETRANSLATE($A440,""en"",""de"")"),"Chlef")</f>
        <v>Chlef</v>
      </c>
      <c r="D440" s="9" t="str">
        <f>IFERROR(__xludf.DUMMYFUNCTION("GOOGLETRANSLATE($A440,""en"",""fr"")"),"Chlef")</f>
        <v>Chlef</v>
      </c>
      <c r="E440" s="9" t="str">
        <f>IFERROR(__xludf.DUMMYFUNCTION("GOOGLETRANSLATE($A440,""en"",""es"")"),"Chlef")</f>
        <v>Chlef</v>
      </c>
      <c r="F440" s="9" t="str">
        <f>IFERROR(__xludf.DUMMYFUNCTION("GOOGLETRANSLATE($A440,""en"",""it"")"),"Chlef")</f>
        <v>Chlef</v>
      </c>
      <c r="G440" s="9" t="str">
        <f>IFERROR(__xludf.DUMMYFUNCTION("GOOGLETRANSLATE($A440,""en"",""zh-cn"")"),"切尔夫")</f>
        <v>切尔夫</v>
      </c>
      <c r="H440" s="9" t="str">
        <f>IFERROR(__xludf.DUMMYFUNCTION("GOOGLETRANSLATE($A440,""en"",""ja"")"),"シュレフ")</f>
        <v>シュレフ</v>
      </c>
      <c r="I440" s="9" t="str">
        <f>IFERROR(__xludf.DUMMYFUNCTION("GOOGLETRANSLATE($A440,""en"",""ko"")"),"츨레프")</f>
        <v>츨레프</v>
      </c>
      <c r="J440" s="9" t="str">
        <f>IFERROR(__xludf.DUMMYFUNCTION("GOOGLETRANSLATE($A440,""en"",""pt-BR"")"),"Chlef")</f>
        <v>Chlef</v>
      </c>
    </row>
    <row r="441">
      <c r="A441" s="9" t="str">
        <f>IFERROR(__xludf.DUMMYFUNCTION("""COMPUTED_VALUE"""),"Canillo")</f>
        <v>Canillo</v>
      </c>
      <c r="B441" s="9" t="str">
        <f>IFERROR(__xludf.DUMMYFUNCTION("""COMPUTED_VALUE"""),"ad-02")</f>
        <v>ad-02</v>
      </c>
      <c r="C441" s="9" t="str">
        <f>IFERROR(__xludf.DUMMYFUNCTION("GOOGLETRANSLATE($A441,""en"",""de"")"),"Canillo")</f>
        <v>Canillo</v>
      </c>
      <c r="D441" s="9" t="str">
        <f>IFERROR(__xludf.DUMMYFUNCTION("GOOGLETRANSLATE($A441,""en"",""fr"")"),"Canillo")</f>
        <v>Canillo</v>
      </c>
      <c r="E441" s="9" t="str">
        <f>IFERROR(__xludf.DUMMYFUNCTION("GOOGLETRANSLATE($A441,""en"",""es"")"),"Canillo")</f>
        <v>Canillo</v>
      </c>
      <c r="F441" s="9" t="str">
        <f>IFERROR(__xludf.DUMMYFUNCTION("GOOGLETRANSLATE($A441,""en"",""it"")"),"Canillo")</f>
        <v>Canillo</v>
      </c>
      <c r="G441" s="9" t="str">
        <f>IFERROR(__xludf.DUMMYFUNCTION("GOOGLETRANSLATE($A441,""en"",""zh-cn"")"),"卡尼略")</f>
        <v>卡尼略</v>
      </c>
      <c r="H441" s="9" t="str">
        <f>IFERROR(__xludf.DUMMYFUNCTION("GOOGLETRANSLATE($A441,""en"",""ja"")"),"カニーリョ")</f>
        <v>カニーリョ</v>
      </c>
      <c r="I441" s="9" t="str">
        <f>IFERROR(__xludf.DUMMYFUNCTION("GOOGLETRANSLATE($A441,""en"",""ko"")"),"카니요")</f>
        <v>카니요</v>
      </c>
      <c r="J441" s="9" t="str">
        <f>IFERROR(__xludf.DUMMYFUNCTION("GOOGLETRANSLATE($A441,""en"",""pt-BR"")"),"Canillo")</f>
        <v>Canillo</v>
      </c>
    </row>
    <row r="442">
      <c r="A442" s="9" t="str">
        <f>IFERROR(__xludf.DUMMYFUNCTION("""COMPUTED_VALUE"""),"Encamp")</f>
        <v>Encamp</v>
      </c>
      <c r="B442" s="9" t="str">
        <f>IFERROR(__xludf.DUMMYFUNCTION("""COMPUTED_VALUE"""),"ad-03")</f>
        <v>ad-03</v>
      </c>
      <c r="C442" s="9" t="str">
        <f>IFERROR(__xludf.DUMMYFUNCTION("GOOGLETRANSLATE($A442,""en"",""de"")"),"Lager")</f>
        <v>Lager</v>
      </c>
      <c r="D442" s="9" t="str">
        <f>IFERROR(__xludf.DUMMYFUNCTION("GOOGLETRANSLATE($A442,""en"",""fr"")"),"Camper")</f>
        <v>Camper</v>
      </c>
      <c r="E442" s="9" t="str">
        <f>IFERROR(__xludf.DUMMYFUNCTION("GOOGLETRANSLATE($A442,""en"",""es"")"),"Acamparse")</f>
        <v>Acamparse</v>
      </c>
      <c r="F442" s="9" t="str">
        <f>IFERROR(__xludf.DUMMYFUNCTION("GOOGLETRANSLATE($A442,""en"",""it"")"),"Accamparsi")</f>
        <v>Accamparsi</v>
      </c>
      <c r="G442" s="9" t="str">
        <f>IFERROR(__xludf.DUMMYFUNCTION("GOOGLETRANSLATE($A442,""en"",""zh-cn"")"),"扎营")</f>
        <v>扎营</v>
      </c>
      <c r="H442" s="9" t="str">
        <f>IFERROR(__xludf.DUMMYFUNCTION("GOOGLETRANSLATE($A442,""en"",""ja"")"),"野営地")</f>
        <v>野営地</v>
      </c>
      <c r="I442" s="9" t="str">
        <f>IFERROR(__xludf.DUMMYFUNCTION("GOOGLETRANSLATE($A442,""en"",""ko"")"),"엔캠프")</f>
        <v>엔캠프</v>
      </c>
      <c r="J442" s="9" t="str">
        <f>IFERROR(__xludf.DUMMYFUNCTION("GOOGLETRANSLATE($A442,""en"",""pt-BR"")"),"Acampar")</f>
        <v>Acampar</v>
      </c>
    </row>
    <row r="443">
      <c r="A443" s="9" t="str">
        <f>IFERROR(__xludf.DUMMYFUNCTION("""COMPUTED_VALUE"""),"Andorra la Vella")</f>
        <v>Andorra la Vella</v>
      </c>
      <c r="B443" s="9" t="str">
        <f>IFERROR(__xludf.DUMMYFUNCTION("""COMPUTED_VALUE"""),"ad-07")</f>
        <v>ad-07</v>
      </c>
      <c r="C443" s="9" t="str">
        <f>IFERROR(__xludf.DUMMYFUNCTION("GOOGLETRANSLATE($A443,""en"",""de"")"),"Andorra la Vella")</f>
        <v>Andorra la Vella</v>
      </c>
      <c r="D443" s="9" t="str">
        <f>IFERROR(__xludf.DUMMYFUNCTION("GOOGLETRANSLATE($A443,""en"",""fr"")"),"Andorre-la-Vieille")</f>
        <v>Andorre-la-Vieille</v>
      </c>
      <c r="E443" s="9" t="str">
        <f>IFERROR(__xludf.DUMMYFUNCTION("GOOGLETRANSLATE($A443,""en"",""es"")"),"Andorra la Vieja")</f>
        <v>Andorra la Vieja</v>
      </c>
      <c r="F443" s="9" t="str">
        <f>IFERROR(__xludf.DUMMYFUNCTION("GOOGLETRANSLATE($A443,""en"",""it"")"),"Andorra la Vella")</f>
        <v>Andorra la Vella</v>
      </c>
      <c r="G443" s="9" t="str">
        <f>IFERROR(__xludf.DUMMYFUNCTION("GOOGLETRANSLATE($A443,""en"",""zh-cn"")"),"安道尔城")</f>
        <v>安道尔城</v>
      </c>
      <c r="H443" s="9" t="str">
        <f>IFERROR(__xludf.DUMMYFUNCTION("GOOGLETRANSLATE($A443,""en"",""ja"")"),"アンドラ ラ ベリャ")</f>
        <v>アンドラ ラ ベリャ</v>
      </c>
      <c r="I443" s="9" t="str">
        <f>IFERROR(__xludf.DUMMYFUNCTION("GOOGLETRANSLATE($A443,""en"",""ko"")"),"안도라라베야")</f>
        <v>안도라라베야</v>
      </c>
      <c r="J443" s="9" t="str">
        <f>IFERROR(__xludf.DUMMYFUNCTION("GOOGLETRANSLATE($A443,""en"",""pt-BR"")"),"Andorra a Velha")</f>
        <v>Andorra a Velha</v>
      </c>
    </row>
    <row r="444">
      <c r="A444" s="9" t="str">
        <f>IFERROR(__xludf.DUMMYFUNCTION("""COMPUTED_VALUE"""),"Escaldes-Engordany")</f>
        <v>Escaldes-Engordany</v>
      </c>
      <c r="B444" s="9" t="str">
        <f>IFERROR(__xludf.DUMMYFUNCTION("""COMPUTED_VALUE"""),"ad-08")</f>
        <v>ad-08</v>
      </c>
      <c r="C444" s="9" t="str">
        <f>IFERROR(__xludf.DUMMYFUNCTION("GOOGLETRANSLATE($A444,""en"",""de"")"),"Escaldes-Engordany")</f>
        <v>Escaldes-Engordany</v>
      </c>
      <c r="D444" s="9" t="str">
        <f>IFERROR(__xludf.DUMMYFUNCTION("GOOGLETRANSLATE($A444,""en"",""fr"")"),"Escaldes-Engordany")</f>
        <v>Escaldes-Engordany</v>
      </c>
      <c r="E444" s="9" t="str">
        <f>IFERROR(__xludf.DUMMYFUNCTION("GOOGLETRANSLATE($A444,""en"",""es"")"),"Escaldes-Engordany")</f>
        <v>Escaldes-Engordany</v>
      </c>
      <c r="F444" s="9" t="str">
        <f>IFERROR(__xludf.DUMMYFUNCTION("GOOGLETRANSLATE($A444,""en"",""it"")"),"Escaldes-Engordany")</f>
        <v>Escaldes-Engordany</v>
      </c>
      <c r="G444" s="9" t="str">
        <f>IFERROR(__xludf.DUMMYFUNCTION("GOOGLETRANSLATE($A444,""en"",""zh-cn"")"),"埃斯卡尔德-恩戈尔达")</f>
        <v>埃斯卡尔德-恩戈尔达</v>
      </c>
      <c r="H444" s="9" t="str">
        <f>IFERROR(__xludf.DUMMYFUNCTION("GOOGLETRANSLATE($A444,""en"",""ja"")"),"エスカルデス＝エンゴルダニ")</f>
        <v>エスカルデス＝エンゴルダニ</v>
      </c>
      <c r="I444" s="9" t="str">
        <f>IFERROR(__xludf.DUMMYFUNCTION("GOOGLETRANSLATE($A444,""en"",""ko"")"),"에스칼데스-엥고르다니")</f>
        <v>에스칼데스-엥고르다니</v>
      </c>
      <c r="J444" s="9" t="str">
        <f>IFERROR(__xludf.DUMMYFUNCTION("GOOGLETRANSLATE($A444,""en"",""pt-BR"")"),"Escaldes-Engordany")</f>
        <v>Escaldes-Engordany</v>
      </c>
    </row>
    <row r="445">
      <c r="A445" s="9" t="str">
        <f>IFERROR(__xludf.DUMMYFUNCTION("""COMPUTED_VALUE"""),"La Massana")</f>
        <v>La Massana</v>
      </c>
      <c r="B445" s="9" t="str">
        <f>IFERROR(__xludf.DUMMYFUNCTION("""COMPUTED_VALUE"""),"ad-04")</f>
        <v>ad-04</v>
      </c>
      <c r="C445" s="9" t="str">
        <f>IFERROR(__xludf.DUMMYFUNCTION("GOOGLETRANSLATE($A445,""en"",""de"")"),"La Massana")</f>
        <v>La Massana</v>
      </c>
      <c r="D445" s="9" t="str">
        <f>IFERROR(__xludf.DUMMYFUNCTION("GOOGLETRANSLATE($A445,""en"",""fr"")"),"La Massana")</f>
        <v>La Massana</v>
      </c>
      <c r="E445" s="9" t="str">
        <f>IFERROR(__xludf.DUMMYFUNCTION("GOOGLETRANSLATE($A445,""en"",""es"")"),"La Massana")</f>
        <v>La Massana</v>
      </c>
      <c r="F445" s="9" t="str">
        <f>IFERROR(__xludf.DUMMYFUNCTION("GOOGLETRANSLATE($A445,""en"",""it"")"),"La Massana")</f>
        <v>La Massana</v>
      </c>
      <c r="G445" s="9" t="str">
        <f>IFERROR(__xludf.DUMMYFUNCTION("GOOGLETRANSLATE($A445,""en"",""zh-cn"")"),"拉马萨纳")</f>
        <v>拉马萨纳</v>
      </c>
      <c r="H445" s="9" t="str">
        <f>IFERROR(__xludf.DUMMYFUNCTION("GOOGLETRANSLATE($A445,""en"",""ja"")"),"ラ・マサナ")</f>
        <v>ラ・マサナ</v>
      </c>
      <c r="I445" s="9" t="str">
        <f>IFERROR(__xludf.DUMMYFUNCTION("GOOGLETRANSLATE($A445,""en"",""ko"")"),"라마사나")</f>
        <v>라마사나</v>
      </c>
      <c r="J445" s="9" t="str">
        <f>IFERROR(__xludf.DUMMYFUNCTION("GOOGLETRANSLATE($A445,""en"",""pt-BR"")"),"La Massana")</f>
        <v>La Massana</v>
      </c>
    </row>
    <row r="446">
      <c r="A446" s="9" t="str">
        <f>IFERROR(__xludf.DUMMYFUNCTION("""COMPUTED_VALUE"""),"Sant Julià de Lòria")</f>
        <v>Sant Julià de Lòria</v>
      </c>
      <c r="B446" s="9" t="str">
        <f>IFERROR(__xludf.DUMMYFUNCTION("""COMPUTED_VALUE"""),"ad-06")</f>
        <v>ad-06</v>
      </c>
      <c r="C446" s="9" t="str">
        <f>IFERROR(__xludf.DUMMYFUNCTION("GOOGLETRANSLATE($A446,""en"",""de"")"),"Sant Julià de Lòria")</f>
        <v>Sant Julià de Lòria</v>
      </c>
      <c r="D446" s="9" t="str">
        <f>IFERROR(__xludf.DUMMYFUNCTION("GOOGLETRANSLATE($A446,""en"",""fr"")"),"Sant Julià de Lòria")</f>
        <v>Sant Julià de Lòria</v>
      </c>
      <c r="E446" s="9" t="str">
        <f>IFERROR(__xludf.DUMMYFUNCTION("GOOGLETRANSLATE($A446,""en"",""es"")"),"Sant Juliá de Lòria")</f>
        <v>Sant Juliá de Lòria</v>
      </c>
      <c r="F446" s="9" t="str">
        <f>IFERROR(__xludf.DUMMYFUNCTION("GOOGLETRANSLATE($A446,""en"",""it"")"),"Sant Julià de Lòria")</f>
        <v>Sant Julià de Lòria</v>
      </c>
      <c r="G446" s="9" t="str">
        <f>IFERROR(__xludf.DUMMYFUNCTION("GOOGLETRANSLATE($A446,""en"",""zh-cn"")"),"圣朱利亚德洛里亚")</f>
        <v>圣朱利亚德洛里亚</v>
      </c>
      <c r="H446" s="9" t="str">
        <f>IFERROR(__xludf.DUMMYFUNCTION("GOOGLETRANSLATE($A446,""en"",""ja"")"),"サン・フリア・デ・ロリア")</f>
        <v>サン・フリア・デ・ロリア</v>
      </c>
      <c r="I446" s="9" t="str">
        <f>IFERROR(__xludf.DUMMYFUNCTION("GOOGLETRANSLATE($A446,""en"",""ko"")"),"산트 훌리아 데 로리아")</f>
        <v>산트 훌리아 데 로리아</v>
      </c>
      <c r="J446" s="9" t="str">
        <f>IFERROR(__xludf.DUMMYFUNCTION("GOOGLETRANSLATE($A446,""en"",""pt-BR"")"),"Sant Julià de Lòria")</f>
        <v>Sant Julià de Lòria</v>
      </c>
    </row>
    <row r="447">
      <c r="A447" s="9" t="str">
        <f>IFERROR(__xludf.DUMMYFUNCTION("""COMPUTED_VALUE"""),"Ordino")</f>
        <v>Ordino</v>
      </c>
      <c r="B447" s="9" t="str">
        <f>IFERROR(__xludf.DUMMYFUNCTION("""COMPUTED_VALUE"""),"ad-05")</f>
        <v>ad-05</v>
      </c>
      <c r="C447" s="9" t="str">
        <f>IFERROR(__xludf.DUMMYFUNCTION("GOOGLETRANSLATE($A447,""en"",""de"")"),"Ordino")</f>
        <v>Ordino</v>
      </c>
      <c r="D447" s="9" t="str">
        <f>IFERROR(__xludf.DUMMYFUNCTION("GOOGLETRANSLATE($A447,""en"",""fr"")"),"Ordino")</f>
        <v>Ordino</v>
      </c>
      <c r="E447" s="9" t="str">
        <f>IFERROR(__xludf.DUMMYFUNCTION("GOOGLETRANSLATE($A447,""en"",""es"")"),"ordino")</f>
        <v>ordino</v>
      </c>
      <c r="F447" s="9" t="str">
        <f>IFERROR(__xludf.DUMMYFUNCTION("GOOGLETRANSLATE($A447,""en"",""it"")"),"Ordino")</f>
        <v>Ordino</v>
      </c>
      <c r="G447" s="9" t="str">
        <f>IFERROR(__xludf.DUMMYFUNCTION("GOOGLETRANSLATE($A447,""en"",""zh-cn"")"),"奥尔迪诺")</f>
        <v>奥尔迪诺</v>
      </c>
      <c r="H447" s="9" t="str">
        <f>IFERROR(__xludf.DUMMYFUNCTION("GOOGLETRANSLATE($A447,""en"",""ja"")"),"オルディノ")</f>
        <v>オルディノ</v>
      </c>
      <c r="I447" s="9" t="str">
        <f>IFERROR(__xludf.DUMMYFUNCTION("GOOGLETRANSLATE($A447,""en"",""ko"")"),"오르디노")</f>
        <v>오르디노</v>
      </c>
      <c r="J447" s="9" t="str">
        <f>IFERROR(__xludf.DUMMYFUNCTION("GOOGLETRANSLATE($A447,""en"",""pt-BR"")"),"Ordino")</f>
        <v>Ordino</v>
      </c>
    </row>
    <row r="448">
      <c r="A448" s="9" t="str">
        <f>IFERROR(__xludf.DUMMYFUNCTION("""COMPUTED_VALUE"""),"Huíla")</f>
        <v>Huíla</v>
      </c>
      <c r="B448" s="9" t="str">
        <f>IFERROR(__xludf.DUMMYFUNCTION("""COMPUTED_VALUE"""),"ao-hui")</f>
        <v>ao-hui</v>
      </c>
      <c r="C448" s="9" t="str">
        <f>IFERROR(__xludf.DUMMYFUNCTION("GOOGLETRANSLATE($A448,""en"",""de"")"),"Huíla")</f>
        <v>Huíla</v>
      </c>
      <c r="D448" s="9" t="str">
        <f>IFERROR(__xludf.DUMMYFUNCTION("GOOGLETRANSLATE($A448,""en"",""fr"")"),"Huila")</f>
        <v>Huila</v>
      </c>
      <c r="E448" s="9" t="str">
        <f>IFERROR(__xludf.DUMMYFUNCTION("GOOGLETRANSLATE($A448,""en"",""es"")"),"Huila")</f>
        <v>Huila</v>
      </c>
      <c r="F448" s="9" t="str">
        <f>IFERROR(__xludf.DUMMYFUNCTION("GOOGLETRANSLATE($A448,""en"",""it"")"),"Huilla")</f>
        <v>Huilla</v>
      </c>
      <c r="G448" s="9" t="str">
        <f>IFERROR(__xludf.DUMMYFUNCTION("GOOGLETRANSLATE($A448,""en"",""zh-cn"")"),"威拉")</f>
        <v>威拉</v>
      </c>
      <c r="H448" s="9" t="str">
        <f>IFERROR(__xludf.DUMMYFUNCTION("GOOGLETRANSLATE($A448,""en"",""ja"")"),"ウイラ")</f>
        <v>ウイラ</v>
      </c>
      <c r="I448" s="9" t="str">
        <f>IFERROR(__xludf.DUMMYFUNCTION("GOOGLETRANSLATE($A448,""en"",""ko"")"),"우일라")</f>
        <v>우일라</v>
      </c>
      <c r="J448" s="9" t="str">
        <f>IFERROR(__xludf.DUMMYFUNCTION("GOOGLETRANSLATE($A448,""en"",""pt-BR"")"),"Huíla")</f>
        <v>Huíla</v>
      </c>
    </row>
    <row r="449">
      <c r="A449" s="9" t="str">
        <f>IFERROR(__xludf.DUMMYFUNCTION("""COMPUTED_VALUE"""),"Huambo")</f>
        <v>Huambo</v>
      </c>
      <c r="B449" s="9" t="str">
        <f>IFERROR(__xludf.DUMMYFUNCTION("""COMPUTED_VALUE"""),"ao-hua")</f>
        <v>ao-hua</v>
      </c>
      <c r="C449" s="9" t="str">
        <f>IFERROR(__xludf.DUMMYFUNCTION("GOOGLETRANSLATE($A449,""en"",""de"")"),"Huambo")</f>
        <v>Huambo</v>
      </c>
      <c r="D449" s="9" t="str">
        <f>IFERROR(__xludf.DUMMYFUNCTION("GOOGLETRANSLATE($A449,""en"",""fr"")"),"Huambo")</f>
        <v>Huambo</v>
      </c>
      <c r="E449" s="9" t="str">
        <f>IFERROR(__xludf.DUMMYFUNCTION("GOOGLETRANSLATE($A449,""en"",""es"")"),"Huambo")</f>
        <v>Huambo</v>
      </c>
      <c r="F449" s="9" t="str">
        <f>IFERROR(__xludf.DUMMYFUNCTION("GOOGLETRANSLATE($A449,""en"",""it"")"),"Huambo")</f>
        <v>Huambo</v>
      </c>
      <c r="G449" s="9" t="str">
        <f>IFERROR(__xludf.DUMMYFUNCTION("GOOGLETRANSLATE($A449,""en"",""zh-cn"")"),"万博")</f>
        <v>万博</v>
      </c>
      <c r="H449" s="9" t="str">
        <f>IFERROR(__xludf.DUMMYFUNCTION("GOOGLETRANSLATE($A449,""en"",""ja"")"),"ウアンボ")</f>
        <v>ウアンボ</v>
      </c>
      <c r="I449" s="9" t="str">
        <f>IFERROR(__xludf.DUMMYFUNCTION("GOOGLETRANSLATE($A449,""en"",""ko"")"),"휴보")</f>
        <v>휴보</v>
      </c>
      <c r="J449" s="9" t="str">
        <f>IFERROR(__xludf.DUMMYFUNCTION("GOOGLETRANSLATE($A449,""en"",""pt-BR"")"),"Huambo")</f>
        <v>Huambo</v>
      </c>
    </row>
    <row r="450">
      <c r="A450" s="9" t="str">
        <f>IFERROR(__xludf.DUMMYFUNCTION("""COMPUTED_VALUE"""),"Cabinda")</f>
        <v>Cabinda</v>
      </c>
      <c r="B450" s="9" t="str">
        <f>IFERROR(__xludf.DUMMYFUNCTION("""COMPUTED_VALUE"""),"ao-cab")</f>
        <v>ao-cab</v>
      </c>
      <c r="C450" s="9" t="str">
        <f>IFERROR(__xludf.DUMMYFUNCTION("GOOGLETRANSLATE($A450,""en"",""de"")"),"Cabinda")</f>
        <v>Cabinda</v>
      </c>
      <c r="D450" s="9" t="str">
        <f>IFERROR(__xludf.DUMMYFUNCTION("GOOGLETRANSLATE($A450,""en"",""fr"")"),"Cabinda")</f>
        <v>Cabinda</v>
      </c>
      <c r="E450" s="9" t="str">
        <f>IFERROR(__xludf.DUMMYFUNCTION("GOOGLETRANSLATE($A450,""en"",""es"")"),"Cabinda")</f>
        <v>Cabinda</v>
      </c>
      <c r="F450" s="9" t="str">
        <f>IFERROR(__xludf.DUMMYFUNCTION("GOOGLETRANSLATE($A450,""en"",""it"")"),"Cabinda")</f>
        <v>Cabinda</v>
      </c>
      <c r="G450" s="9" t="str">
        <f>IFERROR(__xludf.DUMMYFUNCTION("GOOGLETRANSLATE($A450,""en"",""zh-cn"")"),"卡宾达")</f>
        <v>卡宾达</v>
      </c>
      <c r="H450" s="9" t="str">
        <f>IFERROR(__xludf.DUMMYFUNCTION("GOOGLETRANSLATE($A450,""en"",""ja"")"),"カビンダ")</f>
        <v>カビンダ</v>
      </c>
      <c r="I450" s="9" t="str">
        <f>IFERROR(__xludf.DUMMYFUNCTION("GOOGLETRANSLATE($A450,""en"",""ko"")"),"카빈다")</f>
        <v>카빈다</v>
      </c>
      <c r="J450" s="9" t="str">
        <f>IFERROR(__xludf.DUMMYFUNCTION("GOOGLETRANSLATE($A450,""en"",""pt-BR"")"),"Cabinda")</f>
        <v>Cabinda</v>
      </c>
    </row>
    <row r="451">
      <c r="A451" s="9" t="str">
        <f>IFERROR(__xludf.DUMMYFUNCTION("""COMPUTED_VALUE"""),"Cuanza Sul")</f>
        <v>Cuanza Sul</v>
      </c>
      <c r="B451" s="9" t="str">
        <f>IFERROR(__xludf.DUMMYFUNCTION("""COMPUTED_VALUE"""),"ao-cus")</f>
        <v>ao-cus</v>
      </c>
      <c r="C451" s="9" t="str">
        <f>IFERROR(__xludf.DUMMYFUNCTION("GOOGLETRANSLATE($A451,""en"",""de"")"),"Cuanza Sul")</f>
        <v>Cuanza Sul</v>
      </c>
      <c r="D451" s="9" t="str">
        <f>IFERROR(__xludf.DUMMYFUNCTION("GOOGLETRANSLATE($A451,""en"",""fr"")"),"Cuanza Sul")</f>
        <v>Cuanza Sul</v>
      </c>
      <c r="E451" s="9" t="str">
        <f>IFERROR(__xludf.DUMMYFUNCTION("GOOGLETRANSLATE($A451,""en"",""es"")"),"Cuanza Sur")</f>
        <v>Cuanza Sur</v>
      </c>
      <c r="F451" s="9" t="str">
        <f>IFERROR(__xludf.DUMMYFUNCTION("GOOGLETRANSLATE($A451,""en"",""it"")"),"Cuanza Sul")</f>
        <v>Cuanza Sul</v>
      </c>
      <c r="G451" s="9" t="str">
        <f>IFERROR(__xludf.DUMMYFUNCTION("GOOGLETRANSLATE($A451,""en"",""zh-cn"")"),"南宽扎")</f>
        <v>南宽扎</v>
      </c>
      <c r="H451" s="9" t="str">
        <f>IFERROR(__xludf.DUMMYFUNCTION("GOOGLETRANSLATE($A451,""en"",""ja"")"),"クアンサ・スル")</f>
        <v>クアンサ・スル</v>
      </c>
      <c r="I451" s="9" t="str">
        <f>IFERROR(__xludf.DUMMYFUNCTION("GOOGLETRANSLATE($A451,""en"",""ko"")"),"쿠안자 술")</f>
        <v>쿠안자 술</v>
      </c>
      <c r="J451" s="9" t="str">
        <f>IFERROR(__xludf.DUMMYFUNCTION("GOOGLETRANSLATE($A451,""en"",""pt-BR"")"),"Cuanza Sul")</f>
        <v>Cuanza Sul</v>
      </c>
    </row>
    <row r="452">
      <c r="A452" s="9" t="str">
        <f>IFERROR(__xludf.DUMMYFUNCTION("""COMPUTED_VALUE"""),"Lunda Sul")</f>
        <v>Lunda Sul</v>
      </c>
      <c r="B452" s="9" t="str">
        <f>IFERROR(__xludf.DUMMYFUNCTION("""COMPUTED_VALUE"""),"ao-lsu")</f>
        <v>ao-lsu</v>
      </c>
      <c r="C452" s="9" t="str">
        <f>IFERROR(__xludf.DUMMYFUNCTION("GOOGLETRANSLATE($A452,""en"",""de"")"),"Lunda Sul")</f>
        <v>Lunda Sul</v>
      </c>
      <c r="D452" s="9" t="str">
        <f>IFERROR(__xludf.DUMMYFUNCTION("GOOGLETRANSLATE($A452,""en"",""fr"")"),"Lunda Sul")</f>
        <v>Lunda Sul</v>
      </c>
      <c r="E452" s="9" t="str">
        <f>IFERROR(__xludf.DUMMYFUNCTION("GOOGLETRANSLATE($A452,""en"",""es"")"),"Lunda Sur")</f>
        <v>Lunda Sur</v>
      </c>
      <c r="F452" s="9" t="str">
        <f>IFERROR(__xludf.DUMMYFUNCTION("GOOGLETRANSLATE($A452,""en"",""it"")"),"Lunda Sul")</f>
        <v>Lunda Sul</v>
      </c>
      <c r="G452" s="9" t="str">
        <f>IFERROR(__xludf.DUMMYFUNCTION("GOOGLETRANSLATE($A452,""en"",""zh-cn"")"),"南隆达")</f>
        <v>南隆达</v>
      </c>
      <c r="H452" s="9" t="str">
        <f>IFERROR(__xludf.DUMMYFUNCTION("GOOGLETRANSLATE($A452,""en"",""ja"")"),"ルンダ・スル")</f>
        <v>ルンダ・スル</v>
      </c>
      <c r="I452" s="9" t="str">
        <f>IFERROR(__xludf.DUMMYFUNCTION("GOOGLETRANSLATE($A452,""en"",""ko"")"),"룬다 술")</f>
        <v>룬다 술</v>
      </c>
      <c r="J452" s="9" t="str">
        <f>IFERROR(__xludf.DUMMYFUNCTION("GOOGLETRANSLATE($A452,""en"",""pt-BR"")"),"Lunda-Sul")</f>
        <v>Lunda-Sul</v>
      </c>
    </row>
    <row r="453">
      <c r="A453" s="9" t="str">
        <f>IFERROR(__xludf.DUMMYFUNCTION("""COMPUTED_VALUE"""),"Lunda Norte")</f>
        <v>Lunda Norte</v>
      </c>
      <c r="B453" s="9" t="str">
        <f>IFERROR(__xludf.DUMMYFUNCTION("""COMPUTED_VALUE"""),"ao-lno")</f>
        <v>ao-lno</v>
      </c>
      <c r="C453" s="9" t="str">
        <f>IFERROR(__xludf.DUMMYFUNCTION("GOOGLETRANSLATE($A453,""en"",""de"")"),"Lunda Norte")</f>
        <v>Lunda Norte</v>
      </c>
      <c r="D453" s="9" t="str">
        <f>IFERROR(__xludf.DUMMYFUNCTION("GOOGLETRANSLATE($A453,""en"",""fr"")"),"Lunda Nord")</f>
        <v>Lunda Nord</v>
      </c>
      <c r="E453" s="9" t="str">
        <f>IFERROR(__xludf.DUMMYFUNCTION("GOOGLETRANSLATE($A453,""en"",""es"")"),"Lunda Norte")</f>
        <v>Lunda Norte</v>
      </c>
      <c r="F453" s="9" t="str">
        <f>IFERROR(__xludf.DUMMYFUNCTION("GOOGLETRANSLATE($A453,""en"",""it"")"),"Lunda Norte")</f>
        <v>Lunda Norte</v>
      </c>
      <c r="G453" s="9" t="str">
        <f>IFERROR(__xludf.DUMMYFUNCTION("GOOGLETRANSLATE($A453,""en"",""zh-cn"")"),"北隆达")</f>
        <v>北隆达</v>
      </c>
      <c r="H453" s="9" t="str">
        <f>IFERROR(__xludf.DUMMYFUNCTION("GOOGLETRANSLATE($A453,""en"",""ja"")"),"ルンダ・ノルテ")</f>
        <v>ルンダ・ノルテ</v>
      </c>
      <c r="I453" s="9" t="str">
        <f>IFERROR(__xludf.DUMMYFUNCTION("GOOGLETRANSLATE($A453,""en"",""ko"")"),"룬다 노르테")</f>
        <v>룬다 노르테</v>
      </c>
      <c r="J453" s="9" t="str">
        <f>IFERROR(__xludf.DUMMYFUNCTION("GOOGLETRANSLATE($A453,""en"",""pt-BR"")"),"Lunda Norte")</f>
        <v>Lunda Norte</v>
      </c>
    </row>
    <row r="454">
      <c r="A454" s="9" t="str">
        <f>IFERROR(__xludf.DUMMYFUNCTION("""COMPUTED_VALUE"""),"Moxico")</f>
        <v>Moxico</v>
      </c>
      <c r="B454" s="9" t="str">
        <f>IFERROR(__xludf.DUMMYFUNCTION("""COMPUTED_VALUE"""),"ao-mox")</f>
        <v>ao-mox</v>
      </c>
      <c r="C454" s="9" t="str">
        <f>IFERROR(__xludf.DUMMYFUNCTION("GOOGLETRANSLATE($A454,""en"",""de"")"),"Moxiko")</f>
        <v>Moxiko</v>
      </c>
      <c r="D454" s="9" t="str">
        <f>IFERROR(__xludf.DUMMYFUNCTION("GOOGLETRANSLATE($A454,""en"",""fr"")"),"Moxique")</f>
        <v>Moxique</v>
      </c>
      <c r="E454" s="9" t="str">
        <f>IFERROR(__xludf.DUMMYFUNCTION("GOOGLETRANSLATE($A454,""en"",""es"")"),"Moxico")</f>
        <v>Moxico</v>
      </c>
      <c r="F454" s="9" t="str">
        <f>IFERROR(__xludf.DUMMYFUNCTION("GOOGLETRANSLATE($A454,""en"",""it"")"),"Moxico")</f>
        <v>Moxico</v>
      </c>
      <c r="G454" s="9" t="str">
        <f>IFERROR(__xludf.DUMMYFUNCTION("GOOGLETRANSLATE($A454,""en"",""zh-cn"")"),"莫希科")</f>
        <v>莫希科</v>
      </c>
      <c r="H454" s="9" t="str">
        <f>IFERROR(__xludf.DUMMYFUNCTION("GOOGLETRANSLATE($A454,""en"",""ja"")"),"モヒコ")</f>
        <v>モヒコ</v>
      </c>
      <c r="I454" s="9" t="str">
        <f>IFERROR(__xludf.DUMMYFUNCTION("GOOGLETRANSLATE($A454,""en"",""ko"")"),"목시코")</f>
        <v>목시코</v>
      </c>
      <c r="J454" s="9" t="str">
        <f>IFERROR(__xludf.DUMMYFUNCTION("GOOGLETRANSLATE($A454,""en"",""pt-BR"")"),"Moxico")</f>
        <v>Moxico</v>
      </c>
    </row>
    <row r="455">
      <c r="A455" s="9" t="str">
        <f>IFERROR(__xludf.DUMMYFUNCTION("""COMPUTED_VALUE"""),"Cuando Cubango")</f>
        <v>Cuando Cubango</v>
      </c>
      <c r="B455" s="9" t="str">
        <f>IFERROR(__xludf.DUMMYFUNCTION("""COMPUTED_VALUE"""),"ao-ccu")</f>
        <v>ao-ccu</v>
      </c>
      <c r="C455" s="9" t="str">
        <f>IFERROR(__xludf.DUMMYFUNCTION("GOOGLETRANSLATE($A455,""en"",""de"")"),"Cuando Cubango")</f>
        <v>Cuando Cubango</v>
      </c>
      <c r="D455" s="9" t="str">
        <f>IFERROR(__xludf.DUMMYFUNCTION("GOOGLETRANSLATE($A455,""en"",""fr"")"),"Cuando Cubango")</f>
        <v>Cuando Cubango</v>
      </c>
      <c r="E455" s="9" t="str">
        <f>IFERROR(__xludf.DUMMYFUNCTION("GOOGLETRANSLATE($A455,""en"",""es"")"),"Cuando Cubango")</f>
        <v>Cuando Cubango</v>
      </c>
      <c r="F455" s="9" t="str">
        <f>IFERROR(__xludf.DUMMYFUNCTION("GOOGLETRANSLATE($A455,""en"",""it"")"),"Cuando Cubango")</f>
        <v>Cuando Cubango</v>
      </c>
      <c r="G455" s="9" t="str">
        <f>IFERROR(__xludf.DUMMYFUNCTION("GOOGLETRANSLATE($A455,""en"",""zh-cn"")"),"宽多·库班戈")</f>
        <v>宽多·库班戈</v>
      </c>
      <c r="H455" s="9" t="str">
        <f>IFERROR(__xludf.DUMMYFUNCTION("GOOGLETRANSLATE($A455,""en"",""ja"")"),"クアンド・クバンゴ")</f>
        <v>クアンド・クバンゴ</v>
      </c>
      <c r="I455" s="9" t="str">
        <f>IFERROR(__xludf.DUMMYFUNCTION("GOOGLETRANSLATE($A455,""en"",""ko"")"),"쿠안도 쿠방고")</f>
        <v>쿠안도 쿠방고</v>
      </c>
      <c r="J455" s="9" t="str">
        <f>IFERROR(__xludf.DUMMYFUNCTION("GOOGLETRANSLATE($A455,""en"",""pt-BR"")"),"Cuando Cubango")</f>
        <v>Cuando Cubango</v>
      </c>
    </row>
    <row r="456">
      <c r="A456" s="9" t="str">
        <f>IFERROR(__xludf.DUMMYFUNCTION("""COMPUTED_VALUE"""),"Luanda")</f>
        <v>Luanda</v>
      </c>
      <c r="B456" s="9" t="str">
        <f>IFERROR(__xludf.DUMMYFUNCTION("""COMPUTED_VALUE"""),"ao-lua")</f>
        <v>ao-lua</v>
      </c>
      <c r="C456" s="9" t="str">
        <f>IFERROR(__xludf.DUMMYFUNCTION("GOOGLETRANSLATE($A456,""en"",""de"")"),"Luanda")</f>
        <v>Luanda</v>
      </c>
      <c r="D456" s="9" t="str">
        <f>IFERROR(__xludf.DUMMYFUNCTION("GOOGLETRANSLATE($A456,""en"",""fr"")"),"Luanda")</f>
        <v>Luanda</v>
      </c>
      <c r="E456" s="9" t="str">
        <f>IFERROR(__xludf.DUMMYFUNCTION("GOOGLETRANSLATE($A456,""en"",""es"")"),"Luanda")</f>
        <v>Luanda</v>
      </c>
      <c r="F456" s="9" t="str">
        <f>IFERROR(__xludf.DUMMYFUNCTION("GOOGLETRANSLATE($A456,""en"",""it"")"),"Luanda")</f>
        <v>Luanda</v>
      </c>
      <c r="G456" s="9" t="str">
        <f>IFERROR(__xludf.DUMMYFUNCTION("GOOGLETRANSLATE($A456,""en"",""zh-cn"")"),"罗安达")</f>
        <v>罗安达</v>
      </c>
      <c r="H456" s="9" t="str">
        <f>IFERROR(__xludf.DUMMYFUNCTION("GOOGLETRANSLATE($A456,""en"",""ja"")"),"ルアンダ")</f>
        <v>ルアンダ</v>
      </c>
      <c r="I456" s="9" t="str">
        <f>IFERROR(__xludf.DUMMYFUNCTION("GOOGLETRANSLATE($A456,""en"",""ko"")"),"루안다")</f>
        <v>루안다</v>
      </c>
      <c r="J456" s="9" t="str">
        <f>IFERROR(__xludf.DUMMYFUNCTION("GOOGLETRANSLATE($A456,""en"",""pt-BR"")"),"Luanda")</f>
        <v>Luanda</v>
      </c>
    </row>
    <row r="457">
      <c r="A457" s="9" t="str">
        <f>IFERROR(__xludf.DUMMYFUNCTION("""COMPUTED_VALUE"""),"Cuanza Norte")</f>
        <v>Cuanza Norte</v>
      </c>
      <c r="B457" s="9" t="str">
        <f>IFERROR(__xludf.DUMMYFUNCTION("""COMPUTED_VALUE"""),"ao-cno")</f>
        <v>ao-cno</v>
      </c>
      <c r="C457" s="9" t="str">
        <f>IFERROR(__xludf.DUMMYFUNCTION("GOOGLETRANSLATE($A457,""en"",""de"")"),"Cuanza Norte")</f>
        <v>Cuanza Norte</v>
      </c>
      <c r="D457" s="9" t="str">
        <f>IFERROR(__xludf.DUMMYFUNCTION("GOOGLETRANSLATE($A457,""en"",""fr"")"),"Cuanza Nord")</f>
        <v>Cuanza Nord</v>
      </c>
      <c r="E457" s="9" t="str">
        <f>IFERROR(__xludf.DUMMYFUNCTION("GOOGLETRANSLATE($A457,""en"",""es"")"),"Cuanza Norte")</f>
        <v>Cuanza Norte</v>
      </c>
      <c r="F457" s="9" t="str">
        <f>IFERROR(__xludf.DUMMYFUNCTION("GOOGLETRANSLATE($A457,""en"",""it"")"),"Cuanza Norte")</f>
        <v>Cuanza Norte</v>
      </c>
      <c r="G457" s="9" t="str">
        <f>IFERROR(__xludf.DUMMYFUNCTION("GOOGLETRANSLATE($A457,""en"",""zh-cn"")"),"北宽扎")</f>
        <v>北宽扎</v>
      </c>
      <c r="H457" s="9" t="str">
        <f>IFERROR(__xludf.DUMMYFUNCTION("GOOGLETRANSLATE($A457,""en"",""ja"")"),"クアンサ・ノルテ")</f>
        <v>クアンサ・ノルテ</v>
      </c>
      <c r="I457" s="9" t="str">
        <f>IFERROR(__xludf.DUMMYFUNCTION("GOOGLETRANSLATE($A457,""en"",""ko"")"),"쿠안자 노르테")</f>
        <v>쿠안자 노르테</v>
      </c>
      <c r="J457" s="9" t="str">
        <f>IFERROR(__xludf.DUMMYFUNCTION("GOOGLETRANSLATE($A457,""en"",""pt-BR"")"),"Cuanza Norte")</f>
        <v>Cuanza Norte</v>
      </c>
    </row>
    <row r="458">
      <c r="A458" s="9" t="str">
        <f>IFERROR(__xludf.DUMMYFUNCTION("""COMPUTED_VALUE"""),"Cunene")</f>
        <v>Cunene</v>
      </c>
      <c r="B458" s="9" t="str">
        <f>IFERROR(__xludf.DUMMYFUNCTION("""COMPUTED_VALUE"""),"ao-cnn")</f>
        <v>ao-cnn</v>
      </c>
      <c r="C458" s="9" t="str">
        <f>IFERROR(__xludf.DUMMYFUNCTION("GOOGLETRANSLATE($A458,""en"",""de"")"),"Cunene")</f>
        <v>Cunene</v>
      </c>
      <c r="D458" s="9" t="str">
        <f>IFERROR(__xludf.DUMMYFUNCTION("GOOGLETRANSLATE($A458,""en"",""fr"")"),"Cunené")</f>
        <v>Cunené</v>
      </c>
      <c r="E458" s="9" t="str">
        <f>IFERROR(__xludf.DUMMYFUNCTION("GOOGLETRANSLATE($A458,""en"",""es"")"),"Cunene")</f>
        <v>Cunene</v>
      </c>
      <c r="F458" s="9" t="str">
        <f>IFERROR(__xludf.DUMMYFUNCTION("GOOGLETRANSLATE($A458,""en"",""it"")"),"Cunene")</f>
        <v>Cunene</v>
      </c>
      <c r="G458" s="9" t="str">
        <f>IFERROR(__xludf.DUMMYFUNCTION("GOOGLETRANSLATE($A458,""en"",""zh-cn"")"),"库内内")</f>
        <v>库内内</v>
      </c>
      <c r="H458" s="9" t="str">
        <f>IFERROR(__xludf.DUMMYFUNCTION("GOOGLETRANSLATE($A458,""en"",""ja"")"),"クネネ")</f>
        <v>クネネ</v>
      </c>
      <c r="I458" s="9" t="str">
        <f>IFERROR(__xludf.DUMMYFUNCTION("GOOGLETRANSLATE($A458,""en"",""ko"")"),"쿠네네")</f>
        <v>쿠네네</v>
      </c>
      <c r="J458" s="9" t="str">
        <f>IFERROR(__xludf.DUMMYFUNCTION("GOOGLETRANSLATE($A458,""en"",""pt-BR"")"),"Cunene")</f>
        <v>Cunene</v>
      </c>
    </row>
    <row r="459">
      <c r="A459" s="9" t="str">
        <f>IFERROR(__xludf.DUMMYFUNCTION("""COMPUTED_VALUE"""),"Uíge")</f>
        <v>Uíge</v>
      </c>
      <c r="B459" s="9" t="str">
        <f>IFERROR(__xludf.DUMMYFUNCTION("""COMPUTED_VALUE"""),"ao-uig")</f>
        <v>ao-uig</v>
      </c>
      <c r="C459" s="9" t="str">
        <f>IFERROR(__xludf.DUMMYFUNCTION("GOOGLETRANSLATE($A459,""en"",""de"")"),"Uíge")</f>
        <v>Uíge</v>
      </c>
      <c r="D459" s="9" t="str">
        <f>IFERROR(__xludf.DUMMYFUNCTION("GOOGLETRANSLATE($A459,""en"",""fr"")"),"Uige")</f>
        <v>Uige</v>
      </c>
      <c r="E459" s="9" t="str">
        <f>IFERROR(__xludf.DUMMYFUNCTION("GOOGLETRANSLATE($A459,""en"",""es"")"),"Uige")</f>
        <v>Uige</v>
      </c>
      <c r="F459" s="9" t="str">
        <f>IFERROR(__xludf.DUMMYFUNCTION("GOOGLETRANSLATE($A459,""en"",""it"")"),"Uíge")</f>
        <v>Uíge</v>
      </c>
      <c r="G459" s="9" t="str">
        <f>IFERROR(__xludf.DUMMYFUNCTION("GOOGLETRANSLATE($A459,""en"",""zh-cn"")"),"威热")</f>
        <v>威热</v>
      </c>
      <c r="H459" s="9" t="str">
        <f>IFERROR(__xludf.DUMMYFUNCTION("GOOGLETRANSLATE($A459,""en"",""ja"")"),"ウイゲ州")</f>
        <v>ウイゲ州</v>
      </c>
      <c r="I459" s="9" t="str">
        <f>IFERROR(__xludf.DUMMYFUNCTION("GOOGLETRANSLATE($A459,""en"",""ko"")"),"우이게")</f>
        <v>우이게</v>
      </c>
      <c r="J459" s="9" t="str">
        <f>IFERROR(__xludf.DUMMYFUNCTION("GOOGLETRANSLATE($A459,""en"",""pt-BR"")"),"Uíge")</f>
        <v>Uíge</v>
      </c>
    </row>
    <row r="460">
      <c r="A460" s="9" t="str">
        <f>IFERROR(__xludf.DUMMYFUNCTION("""COMPUTED_VALUE"""),"Malange")</f>
        <v>Malange</v>
      </c>
      <c r="B460" s="9" t="str">
        <f>IFERROR(__xludf.DUMMYFUNCTION("""COMPUTED_VALUE"""),"ao-mal")</f>
        <v>ao-mal</v>
      </c>
      <c r="C460" s="9" t="str">
        <f>IFERROR(__xludf.DUMMYFUNCTION("GOOGLETRANSLATE($A460,""en"",""de"")"),"Malange")</f>
        <v>Malange</v>
      </c>
      <c r="D460" s="9" t="str">
        <f>IFERROR(__xludf.DUMMYFUNCTION("GOOGLETRANSLATE($A460,""en"",""fr"")"),"Malange")</f>
        <v>Malange</v>
      </c>
      <c r="E460" s="9" t="str">
        <f>IFERROR(__xludf.DUMMYFUNCTION("GOOGLETRANSLATE($A460,""en"",""es"")"),"malange")</f>
        <v>malange</v>
      </c>
      <c r="F460" s="9" t="str">
        <f>IFERROR(__xludf.DUMMYFUNCTION("GOOGLETRANSLATE($A460,""en"",""it"")"),"Malange")</f>
        <v>Malange</v>
      </c>
      <c r="G460" s="9" t="str">
        <f>IFERROR(__xludf.DUMMYFUNCTION("GOOGLETRANSLATE($A460,""en"",""zh-cn"")"),"马兰热")</f>
        <v>马兰热</v>
      </c>
      <c r="H460" s="9" t="str">
        <f>IFERROR(__xludf.DUMMYFUNCTION("GOOGLETRANSLATE($A460,""en"",""ja"")"),"マランゲ")</f>
        <v>マランゲ</v>
      </c>
      <c r="I460" s="9" t="str">
        <f>IFERROR(__xludf.DUMMYFUNCTION("GOOGLETRANSLATE($A460,""en"",""ko"")"),"말란지")</f>
        <v>말란지</v>
      </c>
      <c r="J460" s="9" t="str">
        <f>IFERROR(__xludf.DUMMYFUNCTION("GOOGLETRANSLATE($A460,""en"",""pt-BR"")"),"Malanje")</f>
        <v>Malanje</v>
      </c>
    </row>
    <row r="461">
      <c r="A461" s="9" t="str">
        <f>IFERROR(__xludf.DUMMYFUNCTION("""COMPUTED_VALUE"""),"Namibe")</f>
        <v>Namibe</v>
      </c>
      <c r="B461" s="9" t="str">
        <f>IFERROR(__xludf.DUMMYFUNCTION("""COMPUTED_VALUE"""),"ao-nam")</f>
        <v>ao-nam</v>
      </c>
      <c r="C461" s="9" t="str">
        <f>IFERROR(__xludf.DUMMYFUNCTION("GOOGLETRANSLATE($A461,""en"",""de"")"),"Namibe")</f>
        <v>Namibe</v>
      </c>
      <c r="D461" s="9" t="str">
        <f>IFERROR(__xludf.DUMMYFUNCTION("GOOGLETRANSLATE($A461,""en"",""fr"")"),"Namibé")</f>
        <v>Namibé</v>
      </c>
      <c r="E461" s="9" t="str">
        <f>IFERROR(__xludf.DUMMYFUNCTION("GOOGLETRANSLATE($A461,""en"",""es"")"),"Namibe")</f>
        <v>Namibe</v>
      </c>
      <c r="F461" s="9" t="str">
        <f>IFERROR(__xludf.DUMMYFUNCTION("GOOGLETRANSLATE($A461,""en"",""it"")"),"Namibe")</f>
        <v>Namibe</v>
      </c>
      <c r="G461" s="9" t="str">
        <f>IFERROR(__xludf.DUMMYFUNCTION("GOOGLETRANSLATE($A461,""en"",""zh-cn"")"),"纳米贝")</f>
        <v>纳米贝</v>
      </c>
      <c r="H461" s="9" t="str">
        <f>IFERROR(__xludf.DUMMYFUNCTION("GOOGLETRANSLATE($A461,""en"",""ja"")"),"ナミベ")</f>
        <v>ナミベ</v>
      </c>
      <c r="I461" s="9" t="str">
        <f>IFERROR(__xludf.DUMMYFUNCTION("GOOGLETRANSLATE($A461,""en"",""ko"")"),"나미브")</f>
        <v>나미브</v>
      </c>
      <c r="J461" s="9" t="str">
        <f>IFERROR(__xludf.DUMMYFUNCTION("GOOGLETRANSLATE($A461,""en"",""pt-BR"")"),"Namibe")</f>
        <v>Namibe</v>
      </c>
    </row>
    <row r="462">
      <c r="A462" s="9" t="str">
        <f>IFERROR(__xludf.DUMMYFUNCTION("""COMPUTED_VALUE"""),"Bengo")</f>
        <v>Bengo</v>
      </c>
      <c r="B462" s="9" t="str">
        <f>IFERROR(__xludf.DUMMYFUNCTION("""COMPUTED_VALUE"""),"ao-bgo")</f>
        <v>ao-bgo</v>
      </c>
      <c r="C462" s="9" t="str">
        <f>IFERROR(__xludf.DUMMYFUNCTION("GOOGLETRANSLATE($A462,""en"",""de"")"),"Bengo")</f>
        <v>Bengo</v>
      </c>
      <c r="D462" s="9" t="str">
        <f>IFERROR(__xludf.DUMMYFUNCTION("GOOGLETRANSLATE($A462,""en"",""fr"")"),"Bengo")</f>
        <v>Bengo</v>
      </c>
      <c r="E462" s="9" t="str">
        <f>IFERROR(__xludf.DUMMYFUNCTION("GOOGLETRANSLATE($A462,""en"",""es"")"),"Bengo")</f>
        <v>Bengo</v>
      </c>
      <c r="F462" s="9" t="str">
        <f>IFERROR(__xludf.DUMMYFUNCTION("GOOGLETRANSLATE($A462,""en"",""it"")"),"Bengo")</f>
        <v>Bengo</v>
      </c>
      <c r="G462" s="9" t="str">
        <f>IFERROR(__xludf.DUMMYFUNCTION("GOOGLETRANSLATE($A462,""en"",""zh-cn"")"),"本戈")</f>
        <v>本戈</v>
      </c>
      <c r="H462" s="9" t="str">
        <f>IFERROR(__xludf.DUMMYFUNCTION("GOOGLETRANSLATE($A462,""en"",""ja"")"),"ベンゴ")</f>
        <v>ベンゴ</v>
      </c>
      <c r="I462" s="9" t="str">
        <f>IFERROR(__xludf.DUMMYFUNCTION("GOOGLETRANSLATE($A462,""en"",""ko"")"),"벤고")</f>
        <v>벤고</v>
      </c>
      <c r="J462" s="9" t="str">
        <f>IFERROR(__xludf.DUMMYFUNCTION("GOOGLETRANSLATE($A462,""en"",""pt-BR"")"),"Bengo")</f>
        <v>Bengo</v>
      </c>
    </row>
    <row r="463">
      <c r="A463" s="9" t="str">
        <f>IFERROR(__xludf.DUMMYFUNCTION("""COMPUTED_VALUE"""),"Benguela")</f>
        <v>Benguela</v>
      </c>
      <c r="B463" s="9" t="str">
        <f>IFERROR(__xludf.DUMMYFUNCTION("""COMPUTED_VALUE"""),"ao-bgu")</f>
        <v>ao-bgu</v>
      </c>
      <c r="C463" s="9" t="str">
        <f>IFERROR(__xludf.DUMMYFUNCTION("GOOGLETRANSLATE($A463,""en"",""de"")"),"Benguela")</f>
        <v>Benguela</v>
      </c>
      <c r="D463" s="9" t="str">
        <f>IFERROR(__xludf.DUMMYFUNCTION("GOOGLETRANSLATE($A463,""en"",""fr"")"),"Benguéla")</f>
        <v>Benguéla</v>
      </c>
      <c r="E463" s="9" t="str">
        <f>IFERROR(__xludf.DUMMYFUNCTION("GOOGLETRANSLATE($A463,""en"",""es"")"),"benguela")</f>
        <v>benguela</v>
      </c>
      <c r="F463" s="9" t="str">
        <f>IFERROR(__xludf.DUMMYFUNCTION("GOOGLETRANSLATE($A463,""en"",""it"")"),"Benguela")</f>
        <v>Benguela</v>
      </c>
      <c r="G463" s="9" t="str">
        <f>IFERROR(__xludf.DUMMYFUNCTION("GOOGLETRANSLATE($A463,""en"",""zh-cn"")"),"本格拉")</f>
        <v>本格拉</v>
      </c>
      <c r="H463" s="9" t="str">
        <f>IFERROR(__xludf.DUMMYFUNCTION("GOOGLETRANSLATE($A463,""en"",""ja"")"),"ベンゲラ")</f>
        <v>ベンゲラ</v>
      </c>
      <c r="I463" s="9" t="str">
        <f>IFERROR(__xludf.DUMMYFUNCTION("GOOGLETRANSLATE($A463,""en"",""ko"")"),"벵겔라")</f>
        <v>벵겔라</v>
      </c>
      <c r="J463" s="9" t="str">
        <f>IFERROR(__xludf.DUMMYFUNCTION("GOOGLETRANSLATE($A463,""en"",""pt-BR"")"),"Benguela")</f>
        <v>Benguela</v>
      </c>
    </row>
    <row r="464">
      <c r="A464" s="9" t="str">
        <f>IFERROR(__xludf.DUMMYFUNCTION("""COMPUTED_VALUE"""),"Bié")</f>
        <v>Bié</v>
      </c>
      <c r="B464" s="9" t="str">
        <f>IFERROR(__xludf.DUMMYFUNCTION("""COMPUTED_VALUE"""),"ao-bie")</f>
        <v>ao-bie</v>
      </c>
      <c r="C464" s="9" t="str">
        <f>IFERROR(__xludf.DUMMYFUNCTION("GOOGLETRANSLATE($A464,""en"",""de"")"),"Bié")</f>
        <v>Bié</v>
      </c>
      <c r="D464" s="9" t="str">
        <f>IFERROR(__xludf.DUMMYFUNCTION("GOOGLETRANSLATE($A464,""en"",""fr"")"),"Bié")</f>
        <v>Bié</v>
      </c>
      <c r="E464" s="9" t="str">
        <f>IFERROR(__xludf.DUMMYFUNCTION("GOOGLETRANSLATE($A464,""en"",""es"")"),"Bié")</f>
        <v>Bié</v>
      </c>
      <c r="F464" s="9" t="str">
        <f>IFERROR(__xludf.DUMMYFUNCTION("GOOGLETRANSLATE($A464,""en"",""it"")"),"Bié")</f>
        <v>Bié</v>
      </c>
      <c r="G464" s="9" t="str">
        <f>IFERROR(__xludf.DUMMYFUNCTION("GOOGLETRANSLATE($A464,""en"",""zh-cn"")"),"比埃")</f>
        <v>比埃</v>
      </c>
      <c r="H464" s="9" t="str">
        <f>IFERROR(__xludf.DUMMYFUNCTION("GOOGLETRANSLATE($A464,""en"",""ja"")"),"ビエ")</f>
        <v>ビエ</v>
      </c>
      <c r="I464" s="9" t="str">
        <f>IFERROR(__xludf.DUMMYFUNCTION("GOOGLETRANSLATE($A464,""en"",""ko"")"),"비에")</f>
        <v>비에</v>
      </c>
      <c r="J464" s="9" t="str">
        <f>IFERROR(__xludf.DUMMYFUNCTION("GOOGLETRANSLATE($A464,""en"",""pt-BR"")"),"Bié")</f>
        <v>Bié</v>
      </c>
    </row>
    <row r="465">
      <c r="A465" s="9" t="str">
        <f>IFERROR(__xludf.DUMMYFUNCTION("""COMPUTED_VALUE"""),"Zaire")</f>
        <v>Zaire</v>
      </c>
      <c r="B465" s="9" t="str">
        <f>IFERROR(__xludf.DUMMYFUNCTION("""COMPUTED_VALUE"""),"ao-zai")</f>
        <v>ao-zai</v>
      </c>
      <c r="C465" s="9" t="str">
        <f>IFERROR(__xludf.DUMMYFUNCTION("GOOGLETRANSLATE($A465,""en"",""de"")"),"Zaire")</f>
        <v>Zaire</v>
      </c>
      <c r="D465" s="9" t="str">
        <f>IFERROR(__xludf.DUMMYFUNCTION("GOOGLETRANSLATE($A465,""en"",""fr"")"),"Zaïre")</f>
        <v>Zaïre</v>
      </c>
      <c r="E465" s="9" t="str">
        <f>IFERROR(__xludf.DUMMYFUNCTION("GOOGLETRANSLATE($A465,""en"",""es"")"),"Zaire")</f>
        <v>Zaire</v>
      </c>
      <c r="F465" s="9" t="str">
        <f>IFERROR(__xludf.DUMMYFUNCTION("GOOGLETRANSLATE($A465,""en"",""it"")"),"Zaire")</f>
        <v>Zaire</v>
      </c>
      <c r="G465" s="9" t="str">
        <f>IFERROR(__xludf.DUMMYFUNCTION("GOOGLETRANSLATE($A465,""en"",""zh-cn"")"),"扎伊尔")</f>
        <v>扎伊尔</v>
      </c>
      <c r="H465" s="9" t="str">
        <f>IFERROR(__xludf.DUMMYFUNCTION("GOOGLETRANSLATE($A465,""en"",""ja"")"),"ザイール")</f>
        <v>ザイール</v>
      </c>
      <c r="I465" s="9" t="str">
        <f>IFERROR(__xludf.DUMMYFUNCTION("GOOGLETRANSLATE($A465,""en"",""ko"")"),"자이르")</f>
        <v>자이르</v>
      </c>
      <c r="J465" s="9" t="str">
        <f>IFERROR(__xludf.DUMMYFUNCTION("GOOGLETRANSLATE($A465,""en"",""pt-BR"")"),"Zaire")</f>
        <v>Zaire</v>
      </c>
    </row>
    <row r="466">
      <c r="A466" s="9" t="str">
        <f>IFERROR(__xludf.DUMMYFUNCTION("""COMPUTED_VALUE"""),"Saint Mary (AG)")</f>
        <v>Saint Mary (AG)</v>
      </c>
      <c r="B466" s="9" t="str">
        <f>IFERROR(__xludf.DUMMYFUNCTION("""COMPUTED_VALUE"""),"ag-05")</f>
        <v>ag-05</v>
      </c>
      <c r="C466" s="9" t="str">
        <f>IFERROR(__xludf.DUMMYFUNCTION("GOOGLETRANSLATE($A466,""en"",""de"")"),"Heilige Maria (AG)")</f>
        <v>Heilige Maria (AG)</v>
      </c>
      <c r="D466" s="9" t="str">
        <f>IFERROR(__xludf.DUMMYFUNCTION("GOOGLETRANSLATE($A466,""en"",""fr"")"),"Sainte-Marie (AG)")</f>
        <v>Sainte-Marie (AG)</v>
      </c>
      <c r="E466" s="9" t="str">
        <f>IFERROR(__xludf.DUMMYFUNCTION("GOOGLETRANSLATE($A466,""en"",""es"")"),"Santa María (AG)")</f>
        <v>Santa María (AG)</v>
      </c>
      <c r="F466" s="9" t="str">
        <f>IFERROR(__xludf.DUMMYFUNCTION("GOOGLETRANSLATE($A466,""en"",""it"")"),"Santa Maria (AG)")</f>
        <v>Santa Maria (AG)</v>
      </c>
      <c r="G466" s="9" t="str">
        <f>IFERROR(__xludf.DUMMYFUNCTION("GOOGLETRANSLATE($A466,""en"",""zh-cn"")"),"圣玛丽 (AG)")</f>
        <v>圣玛丽 (AG)</v>
      </c>
      <c r="H466" s="9" t="str">
        <f>IFERROR(__xludf.DUMMYFUNCTION("GOOGLETRANSLATE($A466,""en"",""ja"")"),"セントメアリー (AG)")</f>
        <v>セントメアリー (AG)</v>
      </c>
      <c r="I466" s="9" t="str">
        <f>IFERROR(__xludf.DUMMYFUNCTION("GOOGLETRANSLATE($A466,""en"",""ko"")"),"세인트 메리(AG)")</f>
        <v>세인트 메리(AG)</v>
      </c>
      <c r="J466" s="9" t="str">
        <f>IFERROR(__xludf.DUMMYFUNCTION("GOOGLETRANSLATE($A466,""en"",""pt-BR"")"),"Santa Maria (AG)")</f>
        <v>Santa Maria (AG)</v>
      </c>
    </row>
    <row r="467">
      <c r="A467" s="9" t="str">
        <f>IFERROR(__xludf.DUMMYFUNCTION("""COMPUTED_VALUE"""),"Saint George (AG)")</f>
        <v>Saint George (AG)</v>
      </c>
      <c r="B467" s="9" t="str">
        <f>IFERROR(__xludf.DUMMYFUNCTION("""COMPUTED_VALUE"""),"ag-03")</f>
        <v>ag-03</v>
      </c>
      <c r="C467" s="9" t="str">
        <f>IFERROR(__xludf.DUMMYFUNCTION("GOOGLETRANSLATE($A467,""en"",""de"")"),"Saint George (AG)")</f>
        <v>Saint George (AG)</v>
      </c>
      <c r="D467" s="9" t="str">
        <f>IFERROR(__xludf.DUMMYFUNCTION("GOOGLETRANSLATE($A467,""en"",""fr"")"),"Saint-Georges (AG)")</f>
        <v>Saint-Georges (AG)</v>
      </c>
      <c r="E467" s="9" t="str">
        <f>IFERROR(__xludf.DUMMYFUNCTION("GOOGLETRANSLATE($A467,""en"",""es"")"),"San Jorge (AG)")</f>
        <v>San Jorge (AG)</v>
      </c>
      <c r="F467" s="9" t="str">
        <f>IFERROR(__xludf.DUMMYFUNCTION("GOOGLETRANSLATE($A467,""en"",""it"")"),"San Giorgio (AG)")</f>
        <v>San Giorgio (AG)</v>
      </c>
      <c r="G467" s="9" t="str">
        <f>IFERROR(__xludf.DUMMYFUNCTION("GOOGLETRANSLATE($A467,""en"",""zh-cn"")"),"圣乔治 (AG)")</f>
        <v>圣乔治 (AG)</v>
      </c>
      <c r="H467" s="9" t="str">
        <f>IFERROR(__xludf.DUMMYFUNCTION("GOOGLETRANSLATE($A467,""en"",""ja"")"),"セントジョージ (AG)")</f>
        <v>セントジョージ (AG)</v>
      </c>
      <c r="I467" s="9" t="str">
        <f>IFERROR(__xludf.DUMMYFUNCTION("GOOGLETRANSLATE($A467,""en"",""ko"")"),"세인트 조지(AG)")</f>
        <v>세인트 조지(AG)</v>
      </c>
      <c r="J467" s="9" t="str">
        <f>IFERROR(__xludf.DUMMYFUNCTION("GOOGLETRANSLATE($A467,""en"",""pt-BR"")"),"São Jorge (AG)")</f>
        <v>São Jorge (AG)</v>
      </c>
    </row>
    <row r="468">
      <c r="A468" s="9" t="str">
        <f>IFERROR(__xludf.DUMMYFUNCTION("""COMPUTED_VALUE"""),"Saint Peter (AG)")</f>
        <v>Saint Peter (AG)</v>
      </c>
      <c r="B468" s="9" t="str">
        <f>IFERROR(__xludf.DUMMYFUNCTION("""COMPUTED_VALUE"""),"ag-07")</f>
        <v>ag-07</v>
      </c>
      <c r="C468" s="9" t="str">
        <f>IFERROR(__xludf.DUMMYFUNCTION("GOOGLETRANSLATE($A468,""en"",""de"")"),"Sankt Peter (AG)")</f>
        <v>Sankt Peter (AG)</v>
      </c>
      <c r="D468" s="9" t="str">
        <f>IFERROR(__xludf.DUMMYFUNCTION("GOOGLETRANSLATE($A468,""en"",""fr"")"),"Saint-Pierre (AG)")</f>
        <v>Saint-Pierre (AG)</v>
      </c>
      <c r="E468" s="9" t="str">
        <f>IFERROR(__xludf.DUMMYFUNCTION("GOOGLETRANSLATE($A468,""en"",""es"")"),"San Pedro (AG)")</f>
        <v>San Pedro (AG)</v>
      </c>
      <c r="F468" s="9" t="str">
        <f>IFERROR(__xludf.DUMMYFUNCTION("GOOGLETRANSLATE($A468,""en"",""it"")"),"San Pietro (AG)")</f>
        <v>San Pietro (AG)</v>
      </c>
      <c r="G468" s="9" t="str">
        <f>IFERROR(__xludf.DUMMYFUNCTION("GOOGLETRANSLATE($A468,""en"",""zh-cn"")"),"圣彼得 (AG)")</f>
        <v>圣彼得 (AG)</v>
      </c>
      <c r="H468" s="9" t="str">
        <f>IFERROR(__xludf.DUMMYFUNCTION("GOOGLETRANSLATE($A468,""en"",""ja"")"),"セントピーター (AG)")</f>
        <v>セントピーター (AG)</v>
      </c>
      <c r="I468" s="9" t="str">
        <f>IFERROR(__xludf.DUMMYFUNCTION("GOOGLETRANSLATE($A468,""en"",""ko"")"),"세인트 피터(AG)")</f>
        <v>세인트 피터(AG)</v>
      </c>
      <c r="J468" s="9" t="str">
        <f>IFERROR(__xludf.DUMMYFUNCTION("GOOGLETRANSLATE($A468,""en"",""pt-BR"")"),"São Pedro (AG)")</f>
        <v>São Pedro (AG)</v>
      </c>
    </row>
    <row r="469">
      <c r="A469" s="9" t="str">
        <f>IFERROR(__xludf.DUMMYFUNCTION("""COMPUTED_VALUE"""),"Barbuda")</f>
        <v>Barbuda</v>
      </c>
      <c r="B469" s="9" t="str">
        <f>IFERROR(__xludf.DUMMYFUNCTION("""COMPUTED_VALUE"""),"ag-10")</f>
        <v>ag-10</v>
      </c>
      <c r="C469" s="9" t="str">
        <f>IFERROR(__xludf.DUMMYFUNCTION("GOOGLETRANSLATE($A469,""en"",""de"")"),"Barbuda")</f>
        <v>Barbuda</v>
      </c>
      <c r="D469" s="9" t="str">
        <f>IFERROR(__xludf.DUMMYFUNCTION("GOOGLETRANSLATE($A469,""en"",""fr"")"),"Barbuda")</f>
        <v>Barbuda</v>
      </c>
      <c r="E469" s="9" t="str">
        <f>IFERROR(__xludf.DUMMYFUNCTION("GOOGLETRANSLATE($A469,""en"",""es"")"),"Barbuda")</f>
        <v>Barbuda</v>
      </c>
      <c r="F469" s="9" t="str">
        <f>IFERROR(__xludf.DUMMYFUNCTION("GOOGLETRANSLATE($A469,""en"",""it"")"),"Barbuda")</f>
        <v>Barbuda</v>
      </c>
      <c r="G469" s="9" t="str">
        <f>IFERROR(__xludf.DUMMYFUNCTION("GOOGLETRANSLATE($A469,""en"",""zh-cn"")"),"巴布达")</f>
        <v>巴布达</v>
      </c>
      <c r="H469" s="9" t="str">
        <f>IFERROR(__xludf.DUMMYFUNCTION("GOOGLETRANSLATE($A469,""en"",""ja"")"),"バーブーダ島")</f>
        <v>バーブーダ島</v>
      </c>
      <c r="I469" s="9" t="str">
        <f>IFERROR(__xludf.DUMMYFUNCTION("GOOGLETRANSLATE($A469,""en"",""ko"")"),"바부다")</f>
        <v>바부다</v>
      </c>
      <c r="J469" s="9" t="str">
        <f>IFERROR(__xludf.DUMMYFUNCTION("GOOGLETRANSLATE($A469,""en"",""pt-BR"")"),"Barbuda")</f>
        <v>Barbuda</v>
      </c>
    </row>
    <row r="470">
      <c r="A470" s="9" t="str">
        <f>IFERROR(__xludf.DUMMYFUNCTION("""COMPUTED_VALUE"""),"Saint Paul (AG)")</f>
        <v>Saint Paul (AG)</v>
      </c>
      <c r="B470" s="9" t="str">
        <f>IFERROR(__xludf.DUMMYFUNCTION("""COMPUTED_VALUE"""),"ag-06")</f>
        <v>ag-06</v>
      </c>
      <c r="C470" s="9" t="str">
        <f>IFERROR(__xludf.DUMMYFUNCTION("GOOGLETRANSLATE($A470,""en"",""de"")"),"Saint Paul (AG)")</f>
        <v>Saint Paul (AG)</v>
      </c>
      <c r="D470" s="9" t="str">
        <f>IFERROR(__xludf.DUMMYFUNCTION("GOOGLETRANSLATE($A470,""en"",""fr"")"),"Saint-Paul (AG)")</f>
        <v>Saint-Paul (AG)</v>
      </c>
      <c r="E470" s="9" t="str">
        <f>IFERROR(__xludf.DUMMYFUNCTION("GOOGLETRANSLATE($A470,""en"",""es"")"),"San Pablo (AG)")</f>
        <v>San Pablo (AG)</v>
      </c>
      <c r="F470" s="9" t="str">
        <f>IFERROR(__xludf.DUMMYFUNCTION("GOOGLETRANSLATE($A470,""en"",""it"")"),"San Paolo (AG)")</f>
        <v>San Paolo (AG)</v>
      </c>
      <c r="G470" s="9" t="str">
        <f>IFERROR(__xludf.DUMMYFUNCTION("GOOGLETRANSLATE($A470,""en"",""zh-cn"")"),"圣保罗 (AG)")</f>
        <v>圣保罗 (AG)</v>
      </c>
      <c r="H470" s="9" t="str">
        <f>IFERROR(__xludf.DUMMYFUNCTION("GOOGLETRANSLATE($A470,""en"",""ja"")"),"セントポール (AG)")</f>
        <v>セントポール (AG)</v>
      </c>
      <c r="I470" s="9" t="str">
        <f>IFERROR(__xludf.DUMMYFUNCTION("GOOGLETRANSLATE($A470,""en"",""ko"")"),"세인트폴(AG)")</f>
        <v>세인트폴(AG)</v>
      </c>
      <c r="J470" s="9" t="str">
        <f>IFERROR(__xludf.DUMMYFUNCTION("GOOGLETRANSLATE($A470,""en"",""pt-BR"")"),"São Paulo (AG)")</f>
        <v>São Paulo (AG)</v>
      </c>
    </row>
    <row r="471">
      <c r="A471" s="9" t="str">
        <f>IFERROR(__xludf.DUMMYFUNCTION("""COMPUTED_VALUE"""),"Saint John (AG)")</f>
        <v>Saint John (AG)</v>
      </c>
      <c r="B471" s="9" t="str">
        <f>IFERROR(__xludf.DUMMYFUNCTION("""COMPUTED_VALUE"""),"ag-04")</f>
        <v>ag-04</v>
      </c>
      <c r="C471" s="9" t="str">
        <f>IFERROR(__xludf.DUMMYFUNCTION("GOOGLETRANSLATE($A471,""en"",""de"")"),"Saint John (AG)")</f>
        <v>Saint John (AG)</v>
      </c>
      <c r="D471" s="9" t="str">
        <f>IFERROR(__xludf.DUMMYFUNCTION("GOOGLETRANSLATE($A471,""en"",""fr"")"),"Saint-Jean (AG)")</f>
        <v>Saint-Jean (AG)</v>
      </c>
      <c r="E471" s="9" t="str">
        <f>IFERROR(__xludf.DUMMYFUNCTION("GOOGLETRANSLATE($A471,""en"",""es"")"),"San Juan (AG)")</f>
        <v>San Juan (AG)</v>
      </c>
      <c r="F471" s="9" t="str">
        <f>IFERROR(__xludf.DUMMYFUNCTION("GOOGLETRANSLATE($A471,""en"",""it"")"),"San Giovanni (AG)")</f>
        <v>San Giovanni (AG)</v>
      </c>
      <c r="G471" s="9" t="str">
        <f>IFERROR(__xludf.DUMMYFUNCTION("GOOGLETRANSLATE($A471,""en"",""zh-cn"")"),"圣约翰 (AG)")</f>
        <v>圣约翰 (AG)</v>
      </c>
      <c r="H471" s="9" t="str">
        <f>IFERROR(__xludf.DUMMYFUNCTION("GOOGLETRANSLATE($A471,""en"",""ja"")"),"セントジョン (AG)")</f>
        <v>セントジョン (AG)</v>
      </c>
      <c r="I471" s="9" t="str">
        <f>IFERROR(__xludf.DUMMYFUNCTION("GOOGLETRANSLATE($A471,""en"",""ko"")"),"세인트 존(AG)")</f>
        <v>세인트 존(AG)</v>
      </c>
      <c r="J471" s="9" t="str">
        <f>IFERROR(__xludf.DUMMYFUNCTION("GOOGLETRANSLATE($A471,""en"",""pt-BR"")"),"São João (AG)")</f>
        <v>São João (AG)</v>
      </c>
    </row>
    <row r="472">
      <c r="A472" s="9" t="str">
        <f>IFERROR(__xludf.DUMMYFUNCTION("""COMPUTED_VALUE"""),"Saint Philip (AG)")</f>
        <v>Saint Philip (AG)</v>
      </c>
      <c r="B472" s="9" t="str">
        <f>IFERROR(__xludf.DUMMYFUNCTION("""COMPUTED_VALUE"""),"ag-08")</f>
        <v>ag-08</v>
      </c>
      <c r="C472" s="9" t="str">
        <f>IFERROR(__xludf.DUMMYFUNCTION("GOOGLETRANSLATE($A472,""en"",""de"")"),"Heiliger Philipp (AG)")</f>
        <v>Heiliger Philipp (AG)</v>
      </c>
      <c r="D472" s="9" t="str">
        <f>IFERROR(__xludf.DUMMYFUNCTION("GOOGLETRANSLATE($A472,""en"",""fr"")"),"Saint Philippe (AG)")</f>
        <v>Saint Philippe (AG)</v>
      </c>
      <c r="E472" s="9" t="str">
        <f>IFERROR(__xludf.DUMMYFUNCTION("GOOGLETRANSLATE($A472,""en"",""es"")"),"San Felipe (AG)")</f>
        <v>San Felipe (AG)</v>
      </c>
      <c r="F472" s="9" t="str">
        <f>IFERROR(__xludf.DUMMYFUNCTION("GOOGLETRANSLATE($A472,""en"",""it"")"),"San Filippo (AG)")</f>
        <v>San Filippo (AG)</v>
      </c>
      <c r="G472" s="9" t="str">
        <f>IFERROR(__xludf.DUMMYFUNCTION("GOOGLETRANSLATE($A472,""en"",""zh-cn"")"),"圣菲利普 (AG)")</f>
        <v>圣菲利普 (AG)</v>
      </c>
      <c r="H472" s="9" t="str">
        <f>IFERROR(__xludf.DUMMYFUNCTION("GOOGLETRANSLATE($A472,""en"",""ja"")"),"セントフィリップ (AG)")</f>
        <v>セントフィリップ (AG)</v>
      </c>
      <c r="I472" s="9" t="str">
        <f>IFERROR(__xludf.DUMMYFUNCTION("GOOGLETRANSLATE($A472,""en"",""ko"")"),"세인트 필립(AG)")</f>
        <v>세인트 필립(AG)</v>
      </c>
      <c r="J472" s="9" t="str">
        <f>IFERROR(__xludf.DUMMYFUNCTION("GOOGLETRANSLATE($A472,""en"",""pt-BR"")"),"São Filipe (AG)")</f>
        <v>São Filipe (AG)</v>
      </c>
    </row>
    <row r="473">
      <c r="A473" s="9" t="str">
        <f>IFERROR(__xludf.DUMMYFUNCTION("""COMPUTED_VALUE"""),"Redonda")</f>
        <v>Redonda</v>
      </c>
      <c r="B473" s="9" t="str">
        <f>IFERROR(__xludf.DUMMYFUNCTION("""COMPUTED_VALUE"""),"ag-11")</f>
        <v>ag-11</v>
      </c>
      <c r="C473" s="9" t="str">
        <f>IFERROR(__xludf.DUMMYFUNCTION("GOOGLETRANSLATE($A473,""en"",""de"")"),"Redonda")</f>
        <v>Redonda</v>
      </c>
      <c r="D473" s="9" t="str">
        <f>IFERROR(__xludf.DUMMYFUNCTION("GOOGLETRANSLATE($A473,""en"",""fr"")"),"Redonde")</f>
        <v>Redonde</v>
      </c>
      <c r="E473" s="9" t="str">
        <f>IFERROR(__xludf.DUMMYFUNCTION("GOOGLETRANSLATE($A473,""en"",""es"")"),"Redonda")</f>
        <v>Redonda</v>
      </c>
      <c r="F473" s="9" t="str">
        <f>IFERROR(__xludf.DUMMYFUNCTION("GOOGLETRANSLATE($A473,""en"",""it"")"),"Redonda")</f>
        <v>Redonda</v>
      </c>
      <c r="G473" s="9" t="str">
        <f>IFERROR(__xludf.DUMMYFUNCTION("GOOGLETRANSLATE($A473,""en"",""zh-cn"")"),"雷东达")</f>
        <v>雷东达</v>
      </c>
      <c r="H473" s="9" t="str">
        <f>IFERROR(__xludf.DUMMYFUNCTION("GOOGLETRANSLATE($A473,""en"",""ja"")"),"レドンダ")</f>
        <v>レドンダ</v>
      </c>
      <c r="I473" s="9" t="str">
        <f>IFERROR(__xludf.DUMMYFUNCTION("GOOGLETRANSLATE($A473,""en"",""ko"")"),"레돈다")</f>
        <v>레돈다</v>
      </c>
      <c r="J473" s="9" t="str">
        <f>IFERROR(__xludf.DUMMYFUNCTION("GOOGLETRANSLATE($A473,""en"",""pt-BR"")"),"Redonda")</f>
        <v>Redonda</v>
      </c>
    </row>
    <row r="474">
      <c r="A474" s="9" t="str">
        <f>IFERROR(__xludf.DUMMYFUNCTION("""COMPUTED_VALUE"""),"Buenos Aires")</f>
        <v>Buenos Aires</v>
      </c>
      <c r="B474" s="9" t="str">
        <f>IFERROR(__xludf.DUMMYFUNCTION("""COMPUTED_VALUE"""),"ar-b")</f>
        <v>ar-b</v>
      </c>
      <c r="C474" s="9" t="str">
        <f>IFERROR(__xludf.DUMMYFUNCTION("GOOGLETRANSLATE($A474,""en"",""de"")"),"Buenos Aires")</f>
        <v>Buenos Aires</v>
      </c>
      <c r="D474" s="9" t="str">
        <f>IFERROR(__xludf.DUMMYFUNCTION("GOOGLETRANSLATE($A474,""en"",""fr"")"),"Buenos Aires")</f>
        <v>Buenos Aires</v>
      </c>
      <c r="E474" s="9" t="str">
        <f>IFERROR(__xludf.DUMMYFUNCTION("GOOGLETRANSLATE($A474,""en"",""es"")"),"buenos aires")</f>
        <v>buenos aires</v>
      </c>
      <c r="F474" s="9" t="str">
        <f>IFERROR(__xludf.DUMMYFUNCTION("GOOGLETRANSLATE($A474,""en"",""it"")"),"Buenos Aires")</f>
        <v>Buenos Aires</v>
      </c>
      <c r="G474" s="9" t="str">
        <f>IFERROR(__xludf.DUMMYFUNCTION("GOOGLETRANSLATE($A474,""en"",""zh-cn"")"),"布宜诺斯艾利斯")</f>
        <v>布宜诺斯艾利斯</v>
      </c>
      <c r="H474" s="9" t="str">
        <f>IFERROR(__xludf.DUMMYFUNCTION("GOOGLETRANSLATE($A474,""en"",""ja"")"),"ブエノスアイレス")</f>
        <v>ブエノスアイレス</v>
      </c>
      <c r="I474" s="9" t="str">
        <f>IFERROR(__xludf.DUMMYFUNCTION("GOOGLETRANSLATE($A474,""en"",""ko"")"),"부에노스 아이레스")</f>
        <v>부에노스 아이레스</v>
      </c>
      <c r="J474" s="9" t="str">
        <f>IFERROR(__xludf.DUMMYFUNCTION("GOOGLETRANSLATE($A474,""en"",""pt-BR"")"),"Buenos Aires")</f>
        <v>Buenos Aires</v>
      </c>
    </row>
    <row r="475">
      <c r="A475" s="9" t="str">
        <f>IFERROR(__xludf.DUMMYFUNCTION("""COMPUTED_VALUE"""),"La Rioja")</f>
        <v>La Rioja</v>
      </c>
      <c r="B475" s="9" t="str">
        <f>IFERROR(__xludf.DUMMYFUNCTION("""COMPUTED_VALUE"""),"ar-f")</f>
        <v>ar-f</v>
      </c>
      <c r="C475" s="9" t="str">
        <f>IFERROR(__xludf.DUMMYFUNCTION("GOOGLETRANSLATE($A475,""en"",""de"")"),"La Rioja")</f>
        <v>La Rioja</v>
      </c>
      <c r="D475" s="9" t="str">
        <f>IFERROR(__xludf.DUMMYFUNCTION("GOOGLETRANSLATE($A475,""en"",""fr"")"),"La Rioja")</f>
        <v>La Rioja</v>
      </c>
      <c r="E475" s="9" t="str">
        <f>IFERROR(__xludf.DUMMYFUNCTION("GOOGLETRANSLATE($A475,""en"",""es"")"),"Rioja")</f>
        <v>Rioja</v>
      </c>
      <c r="F475" s="9" t="str">
        <f>IFERROR(__xludf.DUMMYFUNCTION("GOOGLETRANSLATE($A475,""en"",""it"")"),"La Rioja")</f>
        <v>La Rioja</v>
      </c>
      <c r="G475" s="9" t="str">
        <f>IFERROR(__xludf.DUMMYFUNCTION("GOOGLETRANSLATE($A475,""en"",""zh-cn"")"),"拉里奥哈")</f>
        <v>拉里奥哈</v>
      </c>
      <c r="H475" s="9" t="str">
        <f>IFERROR(__xludf.DUMMYFUNCTION("GOOGLETRANSLATE($A475,""en"",""ja"")"),"ラ・リオハ")</f>
        <v>ラ・リオハ</v>
      </c>
      <c r="I475" s="9" t="str">
        <f>IFERROR(__xludf.DUMMYFUNCTION("GOOGLETRANSLATE($A475,""en"",""ko"")"),"라리오하")</f>
        <v>라리오하</v>
      </c>
      <c r="J475" s="9" t="str">
        <f>IFERROR(__xludf.DUMMYFUNCTION("GOOGLETRANSLATE($A475,""en"",""pt-BR"")"),"La Rioja")</f>
        <v>La Rioja</v>
      </c>
    </row>
    <row r="476">
      <c r="A476" s="9" t="str">
        <f>IFERROR(__xludf.DUMMYFUNCTION("""COMPUTED_VALUE"""),"Ciudad Autónoma de Buenos Aires")</f>
        <v>Ciudad Autónoma de Buenos Aires</v>
      </c>
      <c r="B476" s="9" t="str">
        <f>IFERROR(__xludf.DUMMYFUNCTION("""COMPUTED_VALUE"""),"ar-c")</f>
        <v>ar-c</v>
      </c>
      <c r="C476" s="9" t="str">
        <f>IFERROR(__xludf.DUMMYFUNCTION("GOOGLETRANSLATE($A476,""en"",""de"")"),"Ciudad Autónoma de Buenos Aires")</f>
        <v>Ciudad Autónoma de Buenos Aires</v>
      </c>
      <c r="D476" s="9" t="str">
        <f>IFERROR(__xludf.DUMMYFUNCTION("GOOGLETRANSLATE($A476,""en"",""fr"")"),"Ville autonome de Buenos Aires")</f>
        <v>Ville autonome de Buenos Aires</v>
      </c>
      <c r="E476" s="9" t="str">
        <f>IFERROR(__xludf.DUMMYFUNCTION("GOOGLETRANSLATE($A476,""en"",""es"")"),"Ciudad Autónoma de Buenos Aires")</f>
        <v>Ciudad Autónoma de Buenos Aires</v>
      </c>
      <c r="F476" s="9" t="str">
        <f>IFERROR(__xludf.DUMMYFUNCTION("GOOGLETRANSLATE($A476,""en"",""it"")"),"Città Autonoma di Buenos Aires")</f>
        <v>Città Autonoma di Buenos Aires</v>
      </c>
      <c r="G476" s="9" t="str">
        <f>IFERROR(__xludf.DUMMYFUNCTION("GOOGLETRANSLATE($A476,""en"",""zh-cn"")"),"布宜诺斯艾利斯自治市")</f>
        <v>布宜诺斯艾利斯自治市</v>
      </c>
      <c r="H476" s="9" t="str">
        <f>IFERROR(__xludf.DUMMYFUNCTION("GOOGLETRANSLATE($A476,""en"",""ja"")"),"シウダード アウトノマ デ ブエノスアイレス")</f>
        <v>シウダード アウトノマ デ ブエノスアイレス</v>
      </c>
      <c r="I476" s="9" t="str">
        <f>IFERROR(__xludf.DUMMYFUNCTION("GOOGLETRANSLATE($A476,""en"",""ko"")"),"시우다드 오토노마 데 부에노스아이레스")</f>
        <v>시우다드 오토노마 데 부에노스아이레스</v>
      </c>
      <c r="J476" s="9" t="str">
        <f>IFERROR(__xludf.DUMMYFUNCTION("GOOGLETRANSLATE($A476,""en"",""pt-BR"")"),"Cidade Autônoma de Buenos Aires")</f>
        <v>Cidade Autônoma de Buenos Aires</v>
      </c>
    </row>
    <row r="477">
      <c r="A477" s="9" t="str">
        <f>IFERROR(__xludf.DUMMYFUNCTION("""COMPUTED_VALUE"""),"Catamarca")</f>
        <v>Catamarca</v>
      </c>
      <c r="B477" s="9" t="str">
        <f>IFERROR(__xludf.DUMMYFUNCTION("""COMPUTED_VALUE"""),"ar-k")</f>
        <v>ar-k</v>
      </c>
      <c r="C477" s="9" t="str">
        <f>IFERROR(__xludf.DUMMYFUNCTION("GOOGLETRANSLATE($A477,""en"",""de"")"),"Katamarca")</f>
        <v>Katamarca</v>
      </c>
      <c r="D477" s="9" t="str">
        <f>IFERROR(__xludf.DUMMYFUNCTION("GOOGLETRANSLATE($A477,""en"",""fr"")"),"Catamarca")</f>
        <v>Catamarca</v>
      </c>
      <c r="E477" s="9" t="str">
        <f>IFERROR(__xludf.DUMMYFUNCTION("GOOGLETRANSLATE($A477,""en"",""es"")"),"Catamarca")</f>
        <v>Catamarca</v>
      </c>
      <c r="F477" s="9" t="str">
        <f>IFERROR(__xludf.DUMMYFUNCTION("GOOGLETRANSLATE($A477,""en"",""it"")"),"Catamarca")</f>
        <v>Catamarca</v>
      </c>
      <c r="G477" s="9" t="str">
        <f>IFERROR(__xludf.DUMMYFUNCTION("GOOGLETRANSLATE($A477,""en"",""zh-cn"")"),"卡塔马卡")</f>
        <v>卡塔马卡</v>
      </c>
      <c r="H477" s="9" t="str">
        <f>IFERROR(__xludf.DUMMYFUNCTION("GOOGLETRANSLATE($A477,""en"",""ja"")"),"カタマルカ")</f>
        <v>カタマルカ</v>
      </c>
      <c r="I477" s="9" t="str">
        <f>IFERROR(__xludf.DUMMYFUNCTION("GOOGLETRANSLATE($A477,""en"",""ko"")"),"카타마르카")</f>
        <v>카타마르카</v>
      </c>
      <c r="J477" s="9" t="str">
        <f>IFERROR(__xludf.DUMMYFUNCTION("GOOGLETRANSLATE($A477,""en"",""pt-BR"")"),"Catamarca")</f>
        <v>Catamarca</v>
      </c>
    </row>
    <row r="478">
      <c r="A478" s="9" t="str">
        <f>IFERROR(__xludf.DUMMYFUNCTION("""COMPUTED_VALUE"""),"Tierra del Fuego")</f>
        <v>Tierra del Fuego</v>
      </c>
      <c r="B478" s="9" t="str">
        <f>IFERROR(__xludf.DUMMYFUNCTION("""COMPUTED_VALUE"""),"ar-v")</f>
        <v>ar-v</v>
      </c>
      <c r="C478" s="9" t="str">
        <f>IFERROR(__xludf.DUMMYFUNCTION("GOOGLETRANSLATE($A478,""en"",""de"")"),"Feuerland")</f>
        <v>Feuerland</v>
      </c>
      <c r="D478" s="9" t="str">
        <f>IFERROR(__xludf.DUMMYFUNCTION("GOOGLETRANSLATE($A478,""en"",""fr"")"),"Terre de Feu")</f>
        <v>Terre de Feu</v>
      </c>
      <c r="E478" s="9" t="str">
        <f>IFERROR(__xludf.DUMMYFUNCTION("GOOGLETRANSLATE($A478,""en"",""es"")"),"Tierra del Fuego")</f>
        <v>Tierra del Fuego</v>
      </c>
      <c r="F478" s="9" t="str">
        <f>IFERROR(__xludf.DUMMYFUNCTION("GOOGLETRANSLATE($A478,""en"",""it"")"),"Terra del Fuoco")</f>
        <v>Terra del Fuoco</v>
      </c>
      <c r="G478" s="9" t="str">
        <f>IFERROR(__xludf.DUMMYFUNCTION("GOOGLETRANSLATE($A478,""en"",""zh-cn"")"),"火地岛")</f>
        <v>火地岛</v>
      </c>
      <c r="H478" s="9" t="str">
        <f>IFERROR(__xludf.DUMMYFUNCTION("GOOGLETRANSLATE($A478,""en"",""ja"")"),"ティエラ デル フエゴ")</f>
        <v>ティエラ デル フエゴ</v>
      </c>
      <c r="I478" s="9" t="str">
        <f>IFERROR(__xludf.DUMMYFUNCTION("GOOGLETRANSLATE($A478,""en"",""ko"")"),"티에라 델 푸에고")</f>
        <v>티에라 델 푸에고</v>
      </c>
      <c r="J478" s="9" t="str">
        <f>IFERROR(__xludf.DUMMYFUNCTION("GOOGLETRANSLATE($A478,""en"",""pt-BR"")"),"Terra do Fogo")</f>
        <v>Terra do Fogo</v>
      </c>
    </row>
    <row r="479">
      <c r="A479" s="9" t="str">
        <f>IFERROR(__xludf.DUMMYFUNCTION("""COMPUTED_VALUE"""),"Entre Ríos")</f>
        <v>Entre Ríos</v>
      </c>
      <c r="B479" s="9" t="str">
        <f>IFERROR(__xludf.DUMMYFUNCTION("""COMPUTED_VALUE"""),"ar-e")</f>
        <v>ar-e</v>
      </c>
      <c r="C479" s="9" t="str">
        <f>IFERROR(__xludf.DUMMYFUNCTION("GOOGLETRANSLATE($A479,""en"",""de"")"),"Entre Ríos")</f>
        <v>Entre Ríos</v>
      </c>
      <c r="D479" s="9" t="str">
        <f>IFERROR(__xludf.DUMMYFUNCTION("GOOGLETRANSLATE($A479,""en"",""fr"")"),"Entre Rios")</f>
        <v>Entre Rios</v>
      </c>
      <c r="E479" s="9" t="str">
        <f>IFERROR(__xludf.DUMMYFUNCTION("GOOGLETRANSLATE($A479,""en"",""es"")"),"Entre Ríos")</f>
        <v>Entre Ríos</v>
      </c>
      <c r="F479" s="9" t="str">
        <f>IFERROR(__xludf.DUMMYFUNCTION("GOOGLETRANSLATE($A479,""en"",""it"")"),"Entre Ríos")</f>
        <v>Entre Ríos</v>
      </c>
      <c r="G479" s="9" t="str">
        <f>IFERROR(__xludf.DUMMYFUNCTION("GOOGLETRANSLATE($A479,""en"",""zh-cn"")"),"恩特雷里奥斯省")</f>
        <v>恩特雷里奥斯省</v>
      </c>
      <c r="H479" s="9" t="str">
        <f>IFERROR(__xludf.DUMMYFUNCTION("GOOGLETRANSLATE($A479,""en"",""ja"")"),"エントレ・リオス")</f>
        <v>エントレ・リオス</v>
      </c>
      <c r="I479" s="9" t="str">
        <f>IFERROR(__xludf.DUMMYFUNCTION("GOOGLETRANSLATE($A479,""en"",""ko"")"),"엔트레리오스")</f>
        <v>엔트레리오스</v>
      </c>
      <c r="J479" s="9" t="str">
        <f>IFERROR(__xludf.DUMMYFUNCTION("GOOGLETRANSLATE($A479,""en"",""pt-BR"")"),"Entre Rios")</f>
        <v>Entre Rios</v>
      </c>
    </row>
    <row r="480">
      <c r="A480" s="9" t="str">
        <f>IFERROR(__xludf.DUMMYFUNCTION("""COMPUTED_VALUE"""),"San Luis")</f>
        <v>San Luis</v>
      </c>
      <c r="B480" s="9" t="str">
        <f>IFERROR(__xludf.DUMMYFUNCTION("""COMPUTED_VALUE"""),"ar-d")</f>
        <v>ar-d</v>
      </c>
      <c r="C480" s="9" t="str">
        <f>IFERROR(__xludf.DUMMYFUNCTION("GOOGLETRANSLATE($A480,""en"",""de"")"),"San Luis")</f>
        <v>San Luis</v>
      </c>
      <c r="D480" s="9" t="str">
        <f>IFERROR(__xludf.DUMMYFUNCTION("GOOGLETRANSLATE($A480,""en"",""fr"")"),"San Luis")</f>
        <v>San Luis</v>
      </c>
      <c r="E480" s="9" t="str">
        <f>IFERROR(__xludf.DUMMYFUNCTION("GOOGLETRANSLATE($A480,""en"",""es"")"),"sanluis")</f>
        <v>sanluis</v>
      </c>
      <c r="F480" s="9" t="str">
        <f>IFERROR(__xludf.DUMMYFUNCTION("GOOGLETRANSLATE($A480,""en"",""it"")"),"San Luis")</f>
        <v>San Luis</v>
      </c>
      <c r="G480" s="9" t="str">
        <f>IFERROR(__xludf.DUMMYFUNCTION("GOOGLETRANSLATE($A480,""en"",""zh-cn"")"),"圣路易斯")</f>
        <v>圣路易斯</v>
      </c>
      <c r="H480" s="9" t="str">
        <f>IFERROR(__xludf.DUMMYFUNCTION("GOOGLETRANSLATE($A480,""en"",""ja"")"),"サンルイス")</f>
        <v>サンルイス</v>
      </c>
      <c r="I480" s="9" t="str">
        <f>IFERROR(__xludf.DUMMYFUNCTION("GOOGLETRANSLATE($A480,""en"",""ko"")"),"산 루이스")</f>
        <v>산 루이스</v>
      </c>
      <c r="J480" s="9" t="str">
        <f>IFERROR(__xludf.DUMMYFUNCTION("GOOGLETRANSLATE($A480,""en"",""pt-BR"")"),"São Luís")</f>
        <v>São Luís</v>
      </c>
    </row>
    <row r="481">
      <c r="A481" s="9" t="str">
        <f>IFERROR(__xludf.DUMMYFUNCTION("""COMPUTED_VALUE"""),"Mendoza")</f>
        <v>Mendoza</v>
      </c>
      <c r="B481" s="9" t="str">
        <f>IFERROR(__xludf.DUMMYFUNCTION("""COMPUTED_VALUE"""),"ar-m")</f>
        <v>ar-m</v>
      </c>
      <c r="C481" s="9" t="str">
        <f>IFERROR(__xludf.DUMMYFUNCTION("GOOGLETRANSLATE($A481,""en"",""de"")"),"Mendoza")</f>
        <v>Mendoza</v>
      </c>
      <c r="D481" s="9" t="str">
        <f>IFERROR(__xludf.DUMMYFUNCTION("GOOGLETRANSLATE($A481,""en"",""fr"")"),"Mendoza")</f>
        <v>Mendoza</v>
      </c>
      <c r="E481" s="9" t="str">
        <f>IFERROR(__xludf.DUMMYFUNCTION("GOOGLETRANSLATE($A481,""en"",""es"")"),"Mendoza")</f>
        <v>Mendoza</v>
      </c>
      <c r="F481" s="9" t="str">
        <f>IFERROR(__xludf.DUMMYFUNCTION("GOOGLETRANSLATE($A481,""en"",""it"")"),"Mendoza")</f>
        <v>Mendoza</v>
      </c>
      <c r="G481" s="9" t="str">
        <f>IFERROR(__xludf.DUMMYFUNCTION("GOOGLETRANSLATE($A481,""en"",""zh-cn"")"),"门多萨")</f>
        <v>门多萨</v>
      </c>
      <c r="H481" s="9" t="str">
        <f>IFERROR(__xludf.DUMMYFUNCTION("GOOGLETRANSLATE($A481,""en"",""ja"")"),"メンドーサ")</f>
        <v>メンドーサ</v>
      </c>
      <c r="I481" s="9" t="str">
        <f>IFERROR(__xludf.DUMMYFUNCTION("GOOGLETRANSLATE($A481,""en"",""ko"")"),"멘도사")</f>
        <v>멘도사</v>
      </c>
      <c r="J481" s="9" t="str">
        <f>IFERROR(__xludf.DUMMYFUNCTION("GOOGLETRANSLATE($A481,""en"",""pt-BR"")"),"Mendoza")</f>
        <v>Mendoza</v>
      </c>
    </row>
    <row r="482">
      <c r="A482" s="9" t="str">
        <f>IFERROR(__xludf.DUMMYFUNCTION("""COMPUTED_VALUE"""),"Córdoba province")</f>
        <v>Córdoba province</v>
      </c>
      <c r="B482" s="9" t="str">
        <f>IFERROR(__xludf.DUMMYFUNCTION("""COMPUTED_VALUE"""),"ar-x")</f>
        <v>ar-x</v>
      </c>
      <c r="C482" s="9" t="str">
        <f>IFERROR(__xludf.DUMMYFUNCTION("GOOGLETRANSLATE($A482,""en"",""de"")"),"Provinz Córdoba")</f>
        <v>Provinz Córdoba</v>
      </c>
      <c r="D482" s="9" t="str">
        <f>IFERROR(__xludf.DUMMYFUNCTION("GOOGLETRANSLATE($A482,""en"",""fr"")"),"Province de Cordoue")</f>
        <v>Province de Cordoue</v>
      </c>
      <c r="E482" s="9" t="str">
        <f>IFERROR(__xludf.DUMMYFUNCTION("GOOGLETRANSLATE($A482,""en"",""es"")"),"provincia de córdoba")</f>
        <v>provincia de córdoba</v>
      </c>
      <c r="F482" s="9" t="str">
        <f>IFERROR(__xludf.DUMMYFUNCTION("GOOGLETRANSLATE($A482,""en"",""it"")"),"Provincia di Cordova")</f>
        <v>Provincia di Cordova</v>
      </c>
      <c r="G482" s="9" t="str">
        <f>IFERROR(__xludf.DUMMYFUNCTION("GOOGLETRANSLATE($A482,""en"",""zh-cn"")"),"科尔多瓦省")</f>
        <v>科尔多瓦省</v>
      </c>
      <c r="H482" s="9" t="str">
        <f>IFERROR(__xludf.DUMMYFUNCTION("GOOGLETRANSLATE($A482,""en"",""ja"")"),"コルドバ州")</f>
        <v>コルドバ州</v>
      </c>
      <c r="I482" s="9" t="str">
        <f>IFERROR(__xludf.DUMMYFUNCTION("GOOGLETRANSLATE($A482,""en"",""ko"")"),"코르도바 지방")</f>
        <v>코르도바 지방</v>
      </c>
      <c r="J482" s="9" t="str">
        <f>IFERROR(__xludf.DUMMYFUNCTION("GOOGLETRANSLATE($A482,""en"",""pt-BR"")"),"Província de Córdoba")</f>
        <v>Província de Córdoba</v>
      </c>
    </row>
    <row r="483">
      <c r="A483" s="9" t="str">
        <f>IFERROR(__xludf.DUMMYFUNCTION("""COMPUTED_VALUE"""),"Tucumán")</f>
        <v>Tucumán</v>
      </c>
      <c r="B483" s="9" t="str">
        <f>IFERROR(__xludf.DUMMYFUNCTION("""COMPUTED_VALUE"""),"ar-t")</f>
        <v>ar-t</v>
      </c>
      <c r="C483" s="9" t="str">
        <f>IFERROR(__xludf.DUMMYFUNCTION("GOOGLETRANSLATE($A483,""en"",""de"")"),"Tucumán")</f>
        <v>Tucumán</v>
      </c>
      <c r="D483" s="9" t="str">
        <f>IFERROR(__xludf.DUMMYFUNCTION("GOOGLETRANSLATE($A483,""en"",""fr"")"),"Tucumán")</f>
        <v>Tucumán</v>
      </c>
      <c r="E483" s="9" t="str">
        <f>IFERROR(__xludf.DUMMYFUNCTION("GOOGLETRANSLATE($A483,""en"",""es"")"),"Tucumán")</f>
        <v>Tucumán</v>
      </c>
      <c r="F483" s="9" t="str">
        <f>IFERROR(__xludf.DUMMYFUNCTION("GOOGLETRANSLATE($A483,""en"",""it"")"),"Tucuman")</f>
        <v>Tucuman</v>
      </c>
      <c r="G483" s="9" t="str">
        <f>IFERROR(__xludf.DUMMYFUNCTION("GOOGLETRANSLATE($A483,""en"",""zh-cn"")"),"图库曼")</f>
        <v>图库曼</v>
      </c>
      <c r="H483" s="9" t="str">
        <f>IFERROR(__xludf.DUMMYFUNCTION("GOOGLETRANSLATE($A483,""en"",""ja"")"),"トゥクマン")</f>
        <v>トゥクマン</v>
      </c>
      <c r="I483" s="9" t="str">
        <f>IFERROR(__xludf.DUMMYFUNCTION("GOOGLETRANSLATE($A483,""en"",""ko"")"),"투쿠만")</f>
        <v>투쿠만</v>
      </c>
      <c r="J483" s="9" t="str">
        <f>IFERROR(__xludf.DUMMYFUNCTION("GOOGLETRANSLATE($A483,""en"",""pt-BR"")"),"Tucumán")</f>
        <v>Tucumán</v>
      </c>
    </row>
    <row r="484">
      <c r="A484" s="9" t="str">
        <f>IFERROR(__xludf.DUMMYFUNCTION("""COMPUTED_VALUE"""),"Corrientes")</f>
        <v>Corrientes</v>
      </c>
      <c r="B484" s="9" t="str">
        <f>IFERROR(__xludf.DUMMYFUNCTION("""COMPUTED_VALUE"""),"ar-w")</f>
        <v>ar-w</v>
      </c>
      <c r="C484" s="9" t="str">
        <f>IFERROR(__xludf.DUMMYFUNCTION("GOOGLETRANSLATE($A484,""en"",""de"")"),"Corrientes")</f>
        <v>Corrientes</v>
      </c>
      <c r="D484" s="9" t="str">
        <f>IFERROR(__xludf.DUMMYFUNCTION("GOOGLETRANSLATE($A484,""en"",""fr"")"),"Corrientes")</f>
        <v>Corrientes</v>
      </c>
      <c r="E484" s="9" t="str">
        <f>IFERROR(__xludf.DUMMYFUNCTION("GOOGLETRANSLATE($A484,""en"",""es"")"),"Corrientes")</f>
        <v>Corrientes</v>
      </c>
      <c r="F484" s="9" t="str">
        <f>IFERROR(__xludf.DUMMYFUNCTION("GOOGLETRANSLATE($A484,""en"",""it"")"),"Corrientes")</f>
        <v>Corrientes</v>
      </c>
      <c r="G484" s="9" t="str">
        <f>IFERROR(__xludf.DUMMYFUNCTION("GOOGLETRANSLATE($A484,""en"",""zh-cn"")"),"科连特斯")</f>
        <v>科连特斯</v>
      </c>
      <c r="H484" s="9" t="str">
        <f>IFERROR(__xludf.DUMMYFUNCTION("GOOGLETRANSLATE($A484,""en"",""ja"")"),"コリエンテス")</f>
        <v>コリエンテス</v>
      </c>
      <c r="I484" s="9" t="str">
        <f>IFERROR(__xludf.DUMMYFUNCTION("GOOGLETRANSLATE($A484,""en"",""ko"")"),"코리엔테스")</f>
        <v>코리엔테스</v>
      </c>
      <c r="J484" s="9" t="str">
        <f>IFERROR(__xludf.DUMMYFUNCTION("GOOGLETRANSLATE($A484,""en"",""pt-BR"")"),"Corrientes")</f>
        <v>Corrientes</v>
      </c>
    </row>
    <row r="485">
      <c r="A485" s="9" t="str">
        <f>IFERROR(__xludf.DUMMYFUNCTION("""COMPUTED_VALUE"""),"San Juan (AR)")</f>
        <v>San Juan (AR)</v>
      </c>
      <c r="B485" s="9" t="str">
        <f>IFERROR(__xludf.DUMMYFUNCTION("""COMPUTED_VALUE"""),"ar-j")</f>
        <v>ar-j</v>
      </c>
      <c r="C485" s="9" t="str">
        <f>IFERROR(__xludf.DUMMYFUNCTION("GOOGLETRANSLATE($A485,""en"",""de"")"),"San Juan (AR)")</f>
        <v>San Juan (AR)</v>
      </c>
      <c r="D485" s="9" t="str">
        <f>IFERROR(__xludf.DUMMYFUNCTION("GOOGLETRANSLATE($A485,""en"",""fr"")"),"San Juan (AR)")</f>
        <v>San Juan (AR)</v>
      </c>
      <c r="E485" s="9" t="str">
        <f>IFERROR(__xludf.DUMMYFUNCTION("GOOGLETRANSLATE($A485,""en"",""es"")"),"San Juan (AR)")</f>
        <v>San Juan (AR)</v>
      </c>
      <c r="F485" s="9" t="str">
        <f>IFERROR(__xludf.DUMMYFUNCTION("GOOGLETRANSLATE($A485,""en"",""it"")"),"San Juan (AR)")</f>
        <v>San Juan (AR)</v>
      </c>
      <c r="G485" s="9" t="str">
        <f>IFERROR(__xludf.DUMMYFUNCTION("GOOGLETRANSLATE($A485,""en"",""zh-cn"")"),"圣胡安 (阿肯色州)")</f>
        <v>圣胡安 (阿肯色州)</v>
      </c>
      <c r="H485" s="9" t="str">
        <f>IFERROR(__xludf.DUMMYFUNCTION("GOOGLETRANSLATE($A485,""en"",""ja"")"),"サンフアン（アーカンソー州）")</f>
        <v>サンフアン（アーカンソー州）</v>
      </c>
      <c r="I485" s="9" t="str">
        <f>IFERROR(__xludf.DUMMYFUNCTION("GOOGLETRANSLATE($A485,""en"",""ko"")"),"산후안(AR)")</f>
        <v>산후안(AR)</v>
      </c>
      <c r="J485" s="9" t="str">
        <f>IFERROR(__xludf.DUMMYFUNCTION("GOOGLETRANSLATE($A485,""en"",""pt-BR"")"),"São João (AR)")</f>
        <v>São João (AR)</v>
      </c>
    </row>
    <row r="486">
      <c r="A486" s="9" t="str">
        <f>IFERROR(__xludf.DUMMYFUNCTION("""COMPUTED_VALUE"""),"Misiones (AR)")</f>
        <v>Misiones (AR)</v>
      </c>
      <c r="B486" s="9" t="str">
        <f>IFERROR(__xludf.DUMMYFUNCTION("""COMPUTED_VALUE"""),"ar-n")</f>
        <v>ar-n</v>
      </c>
      <c r="C486" s="9" t="str">
        <f>IFERROR(__xludf.DUMMYFUNCTION("GOOGLETRANSLATE($A486,""en"",""de"")"),"Missionen (AR)")</f>
        <v>Missionen (AR)</v>
      </c>
      <c r="D486" s="9" t="str">
        <f>IFERROR(__xludf.DUMMYFUNCTION("GOOGLETRANSLATE($A486,""en"",""fr"")"),"Missions (AR)")</f>
        <v>Missions (AR)</v>
      </c>
      <c r="E486" s="9" t="str">
        <f>IFERROR(__xludf.DUMMYFUNCTION("GOOGLETRANSLATE($A486,""en"",""es"")"),"Misiones (AR)")</f>
        <v>Misiones (AR)</v>
      </c>
      <c r="F486" s="9" t="str">
        <f>IFERROR(__xludf.DUMMYFUNCTION("GOOGLETRANSLATE($A486,""en"",""it"")"),"Misiones (AR)")</f>
        <v>Misiones (AR)</v>
      </c>
      <c r="G486" s="9" t="str">
        <f>IFERROR(__xludf.DUMMYFUNCTION("GOOGLETRANSLATE($A486,""en"",""zh-cn"")"),"米西奥内斯 (AR)")</f>
        <v>米西奥内斯 (AR)</v>
      </c>
      <c r="H486" s="9" t="str">
        <f>IFERROR(__xludf.DUMMYFUNCTION("GOOGLETRANSLATE($A486,""en"",""ja"")"),"ミシオネス州 (AR)")</f>
        <v>ミシオネス州 (AR)</v>
      </c>
      <c r="I486" s="9" t="str">
        <f>IFERROR(__xludf.DUMMYFUNCTION("GOOGLETRANSLATE($A486,""en"",""ko"")"),"미시오네스(AR)")</f>
        <v>미시오네스(AR)</v>
      </c>
      <c r="J486" s="9" t="str">
        <f>IFERROR(__xludf.DUMMYFUNCTION("GOOGLETRANSLATE($A486,""en"",""pt-BR"")"),"Missões (AR)")</f>
        <v>Missões (AR)</v>
      </c>
    </row>
    <row r="487">
      <c r="A487" s="9" t="str">
        <f>IFERROR(__xludf.DUMMYFUNCTION("""COMPUTED_VALUE"""),"Río Negro (AR)")</f>
        <v>Río Negro (AR)</v>
      </c>
      <c r="B487" s="9" t="str">
        <f>IFERROR(__xludf.DUMMYFUNCTION("""COMPUTED_VALUE"""),"ar-r")</f>
        <v>ar-r</v>
      </c>
      <c r="C487" s="9" t="str">
        <f>IFERROR(__xludf.DUMMYFUNCTION("GOOGLETRANSLATE($A487,""en"",""de"")"),"Río Negro (AR)")</f>
        <v>Río Negro (AR)</v>
      </c>
      <c r="D487" s="9" t="str">
        <f>IFERROR(__xludf.DUMMYFUNCTION("GOOGLETRANSLATE($A487,""en"",""fr"")"),"Río Negro (AR)")</f>
        <v>Río Negro (AR)</v>
      </c>
      <c r="E487" s="9" t="str">
        <f>IFERROR(__xludf.DUMMYFUNCTION("GOOGLETRANSLATE($A487,""en"",""es"")"),"Río Negro (AR)")</f>
        <v>Río Negro (AR)</v>
      </c>
      <c r="F487" s="9" t="str">
        <f>IFERROR(__xludf.DUMMYFUNCTION("GOOGLETRANSLATE($A487,""en"",""it"")"),"Rio Negro (AR)")</f>
        <v>Rio Negro (AR)</v>
      </c>
      <c r="G487" s="9" t="str">
        <f>IFERROR(__xludf.DUMMYFUNCTION("GOOGLETRANSLATE($A487,""en"",""zh-cn"")"),"里奥内格罗 (AR)")</f>
        <v>里奥内格罗 (AR)</v>
      </c>
      <c r="H487" s="9" t="str">
        <f>IFERROR(__xludf.DUMMYFUNCTION("GOOGLETRANSLATE($A487,""en"",""ja"")"),"リオネグロ（AR）")</f>
        <v>リオネグロ（AR）</v>
      </c>
      <c r="I487" s="9" t="str">
        <f>IFERROR(__xludf.DUMMYFUNCTION("GOOGLETRANSLATE($A487,""en"",""ko"")"),"리오 네그로(AR)")</f>
        <v>리오 네그로(AR)</v>
      </c>
      <c r="J487" s="9" t="str">
        <f>IFERROR(__xludf.DUMMYFUNCTION("GOOGLETRANSLATE($A487,""en"",""pt-BR"")"),"Rio Negro (AR)")</f>
        <v>Rio Negro (AR)</v>
      </c>
    </row>
    <row r="488">
      <c r="A488" s="9" t="str">
        <f>IFERROR(__xludf.DUMMYFUNCTION("""COMPUTED_VALUE"""),"Salta")</f>
        <v>Salta</v>
      </c>
      <c r="B488" s="9" t="str">
        <f>IFERROR(__xludf.DUMMYFUNCTION("""COMPUTED_VALUE"""),"ar-a")</f>
        <v>ar-a</v>
      </c>
      <c r="C488" s="9" t="str">
        <f>IFERROR(__xludf.DUMMYFUNCTION("GOOGLETRANSLATE($A488,""en"",""de"")"),"Salta")</f>
        <v>Salta</v>
      </c>
      <c r="D488" s="9" t="str">
        <f>IFERROR(__xludf.DUMMYFUNCTION("GOOGLETRANSLATE($A488,""en"",""fr"")"),"Salta")</f>
        <v>Salta</v>
      </c>
      <c r="E488" s="9" t="str">
        <f>IFERROR(__xludf.DUMMYFUNCTION("GOOGLETRANSLATE($A488,""en"",""es"")"),"Salta")</f>
        <v>Salta</v>
      </c>
      <c r="F488" s="9" t="str">
        <f>IFERROR(__xludf.DUMMYFUNCTION("GOOGLETRANSLATE($A488,""en"",""it"")"),"Salta")</f>
        <v>Salta</v>
      </c>
      <c r="G488" s="9" t="str">
        <f>IFERROR(__xludf.DUMMYFUNCTION("GOOGLETRANSLATE($A488,""en"",""zh-cn"")"),"萨尔塔")</f>
        <v>萨尔塔</v>
      </c>
      <c r="H488" s="9" t="str">
        <f>IFERROR(__xludf.DUMMYFUNCTION("GOOGLETRANSLATE($A488,""en"",""ja"")"),"サルタ")</f>
        <v>サルタ</v>
      </c>
      <c r="I488" s="9" t="str">
        <f>IFERROR(__xludf.DUMMYFUNCTION("GOOGLETRANSLATE($A488,""en"",""ko"")"),"살타")</f>
        <v>살타</v>
      </c>
      <c r="J488" s="9" t="str">
        <f>IFERROR(__xludf.DUMMYFUNCTION("GOOGLETRANSLATE($A488,""en"",""pt-BR"")"),"Salta")</f>
        <v>Salta</v>
      </c>
    </row>
    <row r="489">
      <c r="A489" s="9" t="str">
        <f>IFERROR(__xludf.DUMMYFUNCTION("""COMPUTED_VALUE"""),"Santa Cruz (AR)")</f>
        <v>Santa Cruz (AR)</v>
      </c>
      <c r="B489" s="9" t="str">
        <f>IFERROR(__xludf.DUMMYFUNCTION("""COMPUTED_VALUE"""),"ar-z")</f>
        <v>ar-z</v>
      </c>
      <c r="C489" s="9" t="str">
        <f>IFERROR(__xludf.DUMMYFUNCTION("GOOGLETRANSLATE($A489,""en"",""de"")"),"Santa Cruz (AR)")</f>
        <v>Santa Cruz (AR)</v>
      </c>
      <c r="D489" s="9" t="str">
        <f>IFERROR(__xludf.DUMMYFUNCTION("GOOGLETRANSLATE($A489,""en"",""fr"")"),"Santa Cruz (AR)")</f>
        <v>Santa Cruz (AR)</v>
      </c>
      <c r="E489" s="9" t="str">
        <f>IFERROR(__xludf.DUMMYFUNCTION("GOOGLETRANSLATE($A489,""en"",""es"")"),"Santa Cruz (AR)")</f>
        <v>Santa Cruz (AR)</v>
      </c>
      <c r="F489" s="9" t="str">
        <f>IFERROR(__xludf.DUMMYFUNCTION("GOOGLETRANSLATE($A489,""en"",""it"")"),"Santa Cruz (AR)")</f>
        <v>Santa Cruz (AR)</v>
      </c>
      <c r="G489" s="9" t="str">
        <f>IFERROR(__xludf.DUMMYFUNCTION("GOOGLETRANSLATE($A489,""en"",""zh-cn"")"),"圣克鲁斯 (AR)")</f>
        <v>圣克鲁斯 (AR)</v>
      </c>
      <c r="H489" s="9" t="str">
        <f>IFERROR(__xludf.DUMMYFUNCTION("GOOGLETRANSLATE($A489,""en"",""ja"")"),"サンタクルーズ（アーカンソー州）")</f>
        <v>サンタクルーズ（アーカンソー州）</v>
      </c>
      <c r="I489" s="9" t="str">
        <f>IFERROR(__xludf.DUMMYFUNCTION("GOOGLETRANSLATE($A489,""en"",""ko"")"),"산타크루즈(AR)")</f>
        <v>산타크루즈(AR)</v>
      </c>
      <c r="J489" s="9" t="str">
        <f>IFERROR(__xludf.DUMMYFUNCTION("GOOGLETRANSLATE($A489,""en"",""pt-BR"")"),"Santa Cruz (AR)")</f>
        <v>Santa Cruz (AR)</v>
      </c>
    </row>
    <row r="490">
      <c r="A490" s="9" t="str">
        <f>IFERROR(__xludf.DUMMYFUNCTION("""COMPUTED_VALUE"""),"Jujuy")</f>
        <v>Jujuy</v>
      </c>
      <c r="B490" s="9" t="str">
        <f>IFERROR(__xludf.DUMMYFUNCTION("""COMPUTED_VALUE"""),"ar-y")</f>
        <v>ar-y</v>
      </c>
      <c r="C490" s="9" t="str">
        <f>IFERROR(__xludf.DUMMYFUNCTION("GOOGLETRANSLATE($A490,""en"",""de"")"),"Jujuy")</f>
        <v>Jujuy</v>
      </c>
      <c r="D490" s="9" t="str">
        <f>IFERROR(__xludf.DUMMYFUNCTION("GOOGLETRANSLATE($A490,""en"",""fr"")"),"Jujuy")</f>
        <v>Jujuy</v>
      </c>
      <c r="E490" s="9" t="str">
        <f>IFERROR(__xludf.DUMMYFUNCTION("GOOGLETRANSLATE($A490,""en"",""es"")"),"Jujuy")</f>
        <v>Jujuy</v>
      </c>
      <c r="F490" s="9" t="str">
        <f>IFERROR(__xludf.DUMMYFUNCTION("GOOGLETRANSLATE($A490,""en"",""it"")"),"Jujuy")</f>
        <v>Jujuy</v>
      </c>
      <c r="G490" s="9" t="str">
        <f>IFERROR(__xludf.DUMMYFUNCTION("GOOGLETRANSLATE($A490,""en"",""zh-cn"")"),"胡胡伊省")</f>
        <v>胡胡伊省</v>
      </c>
      <c r="H490" s="9" t="str">
        <f>IFERROR(__xludf.DUMMYFUNCTION("GOOGLETRANSLATE($A490,""en"",""ja"")"),"フフイ州")</f>
        <v>フフイ州</v>
      </c>
      <c r="I490" s="9" t="str">
        <f>IFERROR(__xludf.DUMMYFUNCTION("GOOGLETRANSLATE($A490,""en"",""ko"")"),"후후이")</f>
        <v>후후이</v>
      </c>
      <c r="J490" s="9" t="str">
        <f>IFERROR(__xludf.DUMMYFUNCTION("GOOGLETRANSLATE($A490,""en"",""pt-BR"")"),"Jujuy")</f>
        <v>Jujuy</v>
      </c>
    </row>
    <row r="491">
      <c r="A491" s="9" t="str">
        <f>IFERROR(__xludf.DUMMYFUNCTION("""COMPUTED_VALUE"""),"Santiago del Estero")</f>
        <v>Santiago del Estero</v>
      </c>
      <c r="B491" s="9" t="str">
        <f>IFERROR(__xludf.DUMMYFUNCTION("""COMPUTED_VALUE"""),"ar-g")</f>
        <v>ar-g</v>
      </c>
      <c r="C491" s="9" t="str">
        <f>IFERROR(__xludf.DUMMYFUNCTION("GOOGLETRANSLATE($A491,""en"",""de"")"),"Santiago del Estero")</f>
        <v>Santiago del Estero</v>
      </c>
      <c r="D491" s="9" t="str">
        <f>IFERROR(__xludf.DUMMYFUNCTION("GOOGLETRANSLATE($A491,""en"",""fr"")"),"Santiago de l'Estero")</f>
        <v>Santiago de l'Estero</v>
      </c>
      <c r="E491" s="9" t="str">
        <f>IFERROR(__xludf.DUMMYFUNCTION("GOOGLETRANSLATE($A491,""en"",""es"")"),"santiago del estero")</f>
        <v>santiago del estero</v>
      </c>
      <c r="F491" s="9" t="str">
        <f>IFERROR(__xludf.DUMMYFUNCTION("GOOGLETRANSLATE($A491,""en"",""it"")"),"Santiago del Estero")</f>
        <v>Santiago del Estero</v>
      </c>
      <c r="G491" s="9" t="str">
        <f>IFERROR(__xludf.DUMMYFUNCTION("GOOGLETRANSLATE($A491,""en"",""zh-cn"")"),"圣地亚哥·德尔·埃斯特罗")</f>
        <v>圣地亚哥·德尔·埃斯特罗</v>
      </c>
      <c r="H491" s="9" t="str">
        <f>IFERROR(__xludf.DUMMYFUNCTION("GOOGLETRANSLATE($A491,""en"",""ja"")"),"サンティアゴ デル エステロ")</f>
        <v>サンティアゴ デル エステロ</v>
      </c>
      <c r="I491" s="9" t="str">
        <f>IFERROR(__xludf.DUMMYFUNCTION("GOOGLETRANSLATE($A491,""en"",""ko"")"),"산티아고 델 에스테로")</f>
        <v>산티아고 델 에스테로</v>
      </c>
      <c r="J491" s="9" t="str">
        <f>IFERROR(__xludf.DUMMYFUNCTION("GOOGLETRANSLATE($A491,""en"",""pt-BR"")"),"Santiago del Estero")</f>
        <v>Santiago del Estero</v>
      </c>
    </row>
    <row r="492">
      <c r="A492" s="9" t="str">
        <f>IFERROR(__xludf.DUMMYFUNCTION("""COMPUTED_VALUE"""),"Formosa")</f>
        <v>Formosa</v>
      </c>
      <c r="B492" s="9" t="str">
        <f>IFERROR(__xludf.DUMMYFUNCTION("""COMPUTED_VALUE"""),"ar-p")</f>
        <v>ar-p</v>
      </c>
      <c r="C492" s="9" t="str">
        <f>IFERROR(__xludf.DUMMYFUNCTION("GOOGLETRANSLATE($A492,""en"",""de"")"),"Formosa")</f>
        <v>Formosa</v>
      </c>
      <c r="D492" s="9" t="str">
        <f>IFERROR(__xludf.DUMMYFUNCTION("GOOGLETRANSLATE($A492,""en"",""fr"")"),"Formose")</f>
        <v>Formose</v>
      </c>
      <c r="E492" s="9" t="str">
        <f>IFERROR(__xludf.DUMMYFUNCTION("GOOGLETRANSLATE($A492,""en"",""es"")"),"Formosa")</f>
        <v>Formosa</v>
      </c>
      <c r="F492" s="9" t="str">
        <f>IFERROR(__xludf.DUMMYFUNCTION("GOOGLETRANSLATE($A492,""en"",""it"")"),"Formosa")</f>
        <v>Formosa</v>
      </c>
      <c r="G492" s="9" t="str">
        <f>IFERROR(__xludf.DUMMYFUNCTION("GOOGLETRANSLATE($A492,""en"",""zh-cn"")"),"福尔摩沙")</f>
        <v>福尔摩沙</v>
      </c>
      <c r="H492" s="9" t="str">
        <f>IFERROR(__xludf.DUMMYFUNCTION("GOOGLETRANSLATE($A492,""en"",""ja"")"),"フォルモサ")</f>
        <v>フォルモサ</v>
      </c>
      <c r="I492" s="9" t="str">
        <f>IFERROR(__xludf.DUMMYFUNCTION("GOOGLETRANSLATE($A492,""en"",""ko"")"),"대만")</f>
        <v>대만</v>
      </c>
      <c r="J492" s="9" t="str">
        <f>IFERROR(__xludf.DUMMYFUNCTION("GOOGLETRANSLATE($A492,""en"",""pt-BR"")"),"Formosa")</f>
        <v>Formosa</v>
      </c>
    </row>
    <row r="493">
      <c r="A493" s="9" t="str">
        <f>IFERROR(__xludf.DUMMYFUNCTION("""COMPUTED_VALUE"""),"Chubut")</f>
        <v>Chubut</v>
      </c>
      <c r="B493" s="9" t="str">
        <f>IFERROR(__xludf.DUMMYFUNCTION("""COMPUTED_VALUE"""),"ar-u")</f>
        <v>ar-u</v>
      </c>
      <c r="C493" s="9" t="str">
        <f>IFERROR(__xludf.DUMMYFUNCTION("GOOGLETRANSLATE($A493,""en"",""de"")"),"Chubut")</f>
        <v>Chubut</v>
      </c>
      <c r="D493" s="9" t="str">
        <f>IFERROR(__xludf.DUMMYFUNCTION("GOOGLETRANSLATE($A493,""en"",""fr"")"),"Chubut")</f>
        <v>Chubut</v>
      </c>
      <c r="E493" s="9" t="str">
        <f>IFERROR(__xludf.DUMMYFUNCTION("GOOGLETRANSLATE($A493,""en"",""es"")"),"Chubut")</f>
        <v>Chubut</v>
      </c>
      <c r="F493" s="9" t="str">
        <f>IFERROR(__xludf.DUMMYFUNCTION("GOOGLETRANSLATE($A493,""en"",""it"")"),"Chubut")</f>
        <v>Chubut</v>
      </c>
      <c r="G493" s="9" t="str">
        <f>IFERROR(__xludf.DUMMYFUNCTION("GOOGLETRANSLATE($A493,""en"",""zh-cn"")"),"丘布特省")</f>
        <v>丘布特省</v>
      </c>
      <c r="H493" s="9" t="str">
        <f>IFERROR(__xludf.DUMMYFUNCTION("GOOGLETRANSLATE($A493,""en"",""ja"")"),"チュブ")</f>
        <v>チュブ</v>
      </c>
      <c r="I493" s="9" t="str">
        <f>IFERROR(__xludf.DUMMYFUNCTION("GOOGLETRANSLATE($A493,""en"",""ko"")"),"추부트")</f>
        <v>추부트</v>
      </c>
      <c r="J493" s="9" t="str">
        <f>IFERROR(__xludf.DUMMYFUNCTION("GOOGLETRANSLATE($A493,""en"",""pt-BR"")"),"Chubut")</f>
        <v>Chubut</v>
      </c>
    </row>
    <row r="494">
      <c r="A494" s="9" t="str">
        <f>IFERROR(__xludf.DUMMYFUNCTION("""COMPUTED_VALUE"""),"La Pampa")</f>
        <v>La Pampa</v>
      </c>
      <c r="B494" s="9" t="str">
        <f>IFERROR(__xludf.DUMMYFUNCTION("""COMPUTED_VALUE"""),"ar-l")</f>
        <v>ar-l</v>
      </c>
      <c r="C494" s="9" t="str">
        <f>IFERROR(__xludf.DUMMYFUNCTION("GOOGLETRANSLATE($A494,""en"",""de"")"),"La Pampa")</f>
        <v>La Pampa</v>
      </c>
      <c r="D494" s="9" t="str">
        <f>IFERROR(__xludf.DUMMYFUNCTION("GOOGLETRANSLATE($A494,""en"",""fr"")"),"La Pampa")</f>
        <v>La Pampa</v>
      </c>
      <c r="E494" s="9" t="str">
        <f>IFERROR(__xludf.DUMMYFUNCTION("GOOGLETRANSLATE($A494,""en"",""es"")"),"La Pampa")</f>
        <v>La Pampa</v>
      </c>
      <c r="F494" s="9" t="str">
        <f>IFERROR(__xludf.DUMMYFUNCTION("GOOGLETRANSLATE($A494,""en"",""it"")"),"La Pampa")</f>
        <v>La Pampa</v>
      </c>
      <c r="G494" s="9" t="str">
        <f>IFERROR(__xludf.DUMMYFUNCTION("GOOGLETRANSLATE($A494,""en"",""zh-cn"")"),"拉潘帕")</f>
        <v>拉潘帕</v>
      </c>
      <c r="H494" s="9" t="str">
        <f>IFERROR(__xludf.DUMMYFUNCTION("GOOGLETRANSLATE($A494,""en"",""ja"")"),"ラ・パンパ")</f>
        <v>ラ・パンパ</v>
      </c>
      <c r="I494" s="9" t="str">
        <f>IFERROR(__xludf.DUMMYFUNCTION("GOOGLETRANSLATE($A494,""en"",""ko"")"),"라 팜파")</f>
        <v>라 팜파</v>
      </c>
      <c r="J494" s="9" t="str">
        <f>IFERROR(__xludf.DUMMYFUNCTION("GOOGLETRANSLATE($A494,""en"",""pt-BR"")"),"La Pampa")</f>
        <v>La Pampa</v>
      </c>
    </row>
    <row r="495">
      <c r="A495" s="9" t="str">
        <f>IFERROR(__xludf.DUMMYFUNCTION("""COMPUTED_VALUE"""),"Neuquén")</f>
        <v>Neuquén</v>
      </c>
      <c r="B495" s="9" t="str">
        <f>IFERROR(__xludf.DUMMYFUNCTION("""COMPUTED_VALUE"""),"ar-q")</f>
        <v>ar-q</v>
      </c>
      <c r="C495" s="9" t="str">
        <f>IFERROR(__xludf.DUMMYFUNCTION("GOOGLETRANSLATE($A495,""en"",""de"")"),"Neuquén")</f>
        <v>Neuquén</v>
      </c>
      <c r="D495" s="9" t="str">
        <f>IFERROR(__xludf.DUMMYFUNCTION("GOOGLETRANSLATE($A495,""en"",""fr"")"),"Neuquén")</f>
        <v>Neuquén</v>
      </c>
      <c r="E495" s="9" t="str">
        <f>IFERROR(__xludf.DUMMYFUNCTION("GOOGLETRANSLATE($A495,""en"",""es"")"),"Neuquén")</f>
        <v>Neuquén</v>
      </c>
      <c r="F495" s="9" t="str">
        <f>IFERROR(__xludf.DUMMYFUNCTION("GOOGLETRANSLATE($A495,""en"",""it"")"),"Neuquén")</f>
        <v>Neuquén</v>
      </c>
      <c r="G495" s="9" t="str">
        <f>IFERROR(__xludf.DUMMYFUNCTION("GOOGLETRANSLATE($A495,""en"",""zh-cn"")"),"内乌肯")</f>
        <v>内乌肯</v>
      </c>
      <c r="H495" s="9" t="str">
        <f>IFERROR(__xludf.DUMMYFUNCTION("GOOGLETRANSLATE($A495,""en"",""ja"")"),"ネウケン")</f>
        <v>ネウケン</v>
      </c>
      <c r="I495" s="9" t="str">
        <f>IFERROR(__xludf.DUMMYFUNCTION("GOOGLETRANSLATE($A495,""en"",""ko"")"),"네우켄")</f>
        <v>네우켄</v>
      </c>
      <c r="J495" s="9" t="str">
        <f>IFERROR(__xludf.DUMMYFUNCTION("GOOGLETRANSLATE($A495,""en"",""pt-BR"")"),"Neuquén")</f>
        <v>Neuquén</v>
      </c>
    </row>
    <row r="496">
      <c r="A496" s="9" t="str">
        <f>IFERROR(__xludf.DUMMYFUNCTION("""COMPUTED_VALUE"""),"Chaco")</f>
        <v>Chaco</v>
      </c>
      <c r="B496" s="9" t="str">
        <f>IFERROR(__xludf.DUMMYFUNCTION("""COMPUTED_VALUE"""),"ar-h")</f>
        <v>ar-h</v>
      </c>
      <c r="C496" s="9" t="str">
        <f>IFERROR(__xludf.DUMMYFUNCTION("GOOGLETRANSLATE($A496,""en"",""de"")"),"Chaco")</f>
        <v>Chaco</v>
      </c>
      <c r="D496" s="9" t="str">
        <f>IFERROR(__xludf.DUMMYFUNCTION("GOOGLETRANSLATE($A496,""en"",""fr"")"),"Chaco")</f>
        <v>Chaco</v>
      </c>
      <c r="E496" s="9" t="str">
        <f>IFERROR(__xludf.DUMMYFUNCTION("GOOGLETRANSLATE($A496,""en"",""es"")"),"Chaco")</f>
        <v>Chaco</v>
      </c>
      <c r="F496" s="9" t="str">
        <f>IFERROR(__xludf.DUMMYFUNCTION("GOOGLETRANSLATE($A496,""en"",""it"")"),"Chaco")</f>
        <v>Chaco</v>
      </c>
      <c r="G496" s="9" t="str">
        <f>IFERROR(__xludf.DUMMYFUNCTION("GOOGLETRANSLATE($A496,""en"",""zh-cn"")"),"查科")</f>
        <v>查科</v>
      </c>
      <c r="H496" s="9" t="str">
        <f>IFERROR(__xludf.DUMMYFUNCTION("GOOGLETRANSLATE($A496,""en"",""ja"")"),"チャコ")</f>
        <v>チャコ</v>
      </c>
      <c r="I496" s="9" t="str">
        <f>IFERROR(__xludf.DUMMYFUNCTION("GOOGLETRANSLATE($A496,""en"",""ko"")"),"차코")</f>
        <v>차코</v>
      </c>
      <c r="J496" s="9" t="str">
        <f>IFERROR(__xludf.DUMMYFUNCTION("GOOGLETRANSLATE($A496,""en"",""pt-BR"")"),"Chaco")</f>
        <v>Chaco</v>
      </c>
    </row>
    <row r="497">
      <c r="A497" s="9" t="str">
        <f>IFERROR(__xludf.DUMMYFUNCTION("""COMPUTED_VALUE"""),"Santa Fe")</f>
        <v>Santa Fe</v>
      </c>
      <c r="B497" s="9" t="str">
        <f>IFERROR(__xludf.DUMMYFUNCTION("""COMPUTED_VALUE"""),"ar-s")</f>
        <v>ar-s</v>
      </c>
      <c r="C497" s="9" t="str">
        <f>IFERROR(__xludf.DUMMYFUNCTION("GOOGLETRANSLATE($A497,""en"",""de"")"),"Santa Fe")</f>
        <v>Santa Fe</v>
      </c>
      <c r="D497" s="9" t="str">
        <f>IFERROR(__xludf.DUMMYFUNCTION("GOOGLETRANSLATE($A497,""en"",""fr"")"),"Santa Fé")</f>
        <v>Santa Fé</v>
      </c>
      <c r="E497" s="9" t="str">
        <f>IFERROR(__xludf.DUMMYFUNCTION("GOOGLETRANSLATE($A497,""en"",""es"")"),"Santa Fé")</f>
        <v>Santa Fé</v>
      </c>
      <c r="F497" s="9" t="str">
        <f>IFERROR(__xludf.DUMMYFUNCTION("GOOGLETRANSLATE($A497,""en"",""it"")"),"Santa Fe")</f>
        <v>Santa Fe</v>
      </c>
      <c r="G497" s="9" t="str">
        <f>IFERROR(__xludf.DUMMYFUNCTION("GOOGLETRANSLATE($A497,""en"",""zh-cn"")"),"圣达菲")</f>
        <v>圣达菲</v>
      </c>
      <c r="H497" s="9" t="str">
        <f>IFERROR(__xludf.DUMMYFUNCTION("GOOGLETRANSLATE($A497,""en"",""ja"")"),"サンタフェ")</f>
        <v>サンタフェ</v>
      </c>
      <c r="I497" s="9" t="str">
        <f>IFERROR(__xludf.DUMMYFUNCTION("GOOGLETRANSLATE($A497,""en"",""ko"")"),"산타페")</f>
        <v>산타페</v>
      </c>
      <c r="J497" s="9" t="str">
        <f>IFERROR(__xludf.DUMMYFUNCTION("GOOGLETRANSLATE($A497,""en"",""pt-BR"")"),"Santa Fé")</f>
        <v>Santa Fé</v>
      </c>
    </row>
    <row r="498">
      <c r="A498" s="9" t="str">
        <f>IFERROR(__xludf.DUMMYFUNCTION("""COMPUTED_VALUE"""),"Kotayk'")</f>
        <v>Kotayk'</v>
      </c>
      <c r="B498" s="9" t="str">
        <f>IFERROR(__xludf.DUMMYFUNCTION("""COMPUTED_VALUE"""),"am-kt")</f>
        <v>am-kt</v>
      </c>
      <c r="C498" s="9" t="str">
        <f>IFERROR(__xludf.DUMMYFUNCTION("GOOGLETRANSLATE($A498,""en"",""de"")"),"Kotayk'")</f>
        <v>Kotayk'</v>
      </c>
      <c r="D498" s="9" t="str">
        <f>IFERROR(__xludf.DUMMYFUNCTION("GOOGLETRANSLATE($A498,""en"",""fr"")"),"Kotaik'")</f>
        <v>Kotaik'</v>
      </c>
      <c r="E498" s="9" t="str">
        <f>IFERROR(__xludf.DUMMYFUNCTION("GOOGLETRANSLATE($A498,""en"",""es"")"),"Kotayk'")</f>
        <v>Kotayk'</v>
      </c>
      <c r="F498" s="9" t="str">
        <f>IFERROR(__xludf.DUMMYFUNCTION("GOOGLETRANSLATE($A498,""en"",""it"")"),"Kotayk'")</f>
        <v>Kotayk'</v>
      </c>
      <c r="G498" s="9" t="str">
        <f>IFERROR(__xludf.DUMMYFUNCTION("GOOGLETRANSLATE($A498,""en"",""zh-cn"")"),"科泰克")</f>
        <v>科泰克</v>
      </c>
      <c r="H498" s="9" t="str">
        <f>IFERROR(__xludf.DUMMYFUNCTION("GOOGLETRANSLATE($A498,""en"",""ja"")"),"コタイク」")</f>
        <v>コタイク」</v>
      </c>
      <c r="I498" s="9" t="str">
        <f>IFERROR(__xludf.DUMMYFUNCTION("GOOGLETRANSLATE($A498,""en"",""ko"")"),"코타이크'")</f>
        <v>코타이크'</v>
      </c>
      <c r="J498" s="9" t="str">
        <f>IFERROR(__xludf.DUMMYFUNCTION("GOOGLETRANSLATE($A498,""en"",""pt-BR"")"),"Kotayk'")</f>
        <v>Kotayk'</v>
      </c>
    </row>
    <row r="499">
      <c r="A499" s="9" t="str">
        <f>IFERROR(__xludf.DUMMYFUNCTION("""COMPUTED_VALUE"""),"Syunik'")</f>
        <v>Syunik'</v>
      </c>
      <c r="B499" s="9" t="str">
        <f>IFERROR(__xludf.DUMMYFUNCTION("""COMPUTED_VALUE"""),"am-su")</f>
        <v>am-su</v>
      </c>
      <c r="C499" s="9" t="str">
        <f>IFERROR(__xludf.DUMMYFUNCTION("GOOGLETRANSLATE($A499,""en"",""de"")"),"Syunik'")</f>
        <v>Syunik'</v>
      </c>
      <c r="D499" s="9" t="str">
        <f>IFERROR(__xludf.DUMMYFUNCTION("GOOGLETRANSLATE($A499,""en"",""fr"")"),"Syounik'")</f>
        <v>Syounik'</v>
      </c>
      <c r="E499" s="9" t="str">
        <f>IFERROR(__xludf.DUMMYFUNCTION("GOOGLETRANSLATE($A499,""en"",""es"")"),"Syunik'")</f>
        <v>Syunik'</v>
      </c>
      <c r="F499" s="9" t="str">
        <f>IFERROR(__xludf.DUMMYFUNCTION("GOOGLETRANSLATE($A499,""en"",""it"")"),"Syunik'")</f>
        <v>Syunik'</v>
      </c>
      <c r="G499" s="9" t="str">
        <f>IFERROR(__xludf.DUMMYFUNCTION("GOOGLETRANSLATE($A499,""en"",""zh-cn"")"),"苏尼克")</f>
        <v>苏尼克</v>
      </c>
      <c r="H499" s="9" t="str">
        <f>IFERROR(__xludf.DUMMYFUNCTION("GOOGLETRANSLATE($A499,""en"",""ja"")"),"シュニク」")</f>
        <v>シュニク」</v>
      </c>
      <c r="I499" s="9" t="str">
        <f>IFERROR(__xludf.DUMMYFUNCTION("GOOGLETRANSLATE($A499,""en"",""ko"")"),"슈닉'")</f>
        <v>슈닉'</v>
      </c>
      <c r="J499" s="9" t="str">
        <f>IFERROR(__xludf.DUMMYFUNCTION("GOOGLETRANSLATE($A499,""en"",""pt-BR"")"),"Syunik'")</f>
        <v>Syunik'</v>
      </c>
    </row>
    <row r="500">
      <c r="A500" s="9" t="str">
        <f>IFERROR(__xludf.DUMMYFUNCTION("""COMPUTED_VALUE"""),"Aragac̣otn")</f>
        <v>Aragac̣otn</v>
      </c>
      <c r="B500" s="9" t="str">
        <f>IFERROR(__xludf.DUMMYFUNCTION("""COMPUTED_VALUE"""),"am-ag")</f>
        <v>am-ag</v>
      </c>
      <c r="C500" s="9" t="str">
        <f>IFERROR(__xludf.DUMMYFUNCTION("GOOGLETRANSLATE($A500,""en"",""de"")"),"Aragac̣otn")</f>
        <v>Aragac̣otn</v>
      </c>
      <c r="D500" s="9" t="str">
        <f>IFERROR(__xludf.DUMMYFUNCTION("GOOGLETRANSLATE($A500,""en"",""fr"")"),"Aragac̣otn")</f>
        <v>Aragac̣otn</v>
      </c>
      <c r="E500" s="9" t="str">
        <f>IFERROR(__xludf.DUMMYFUNCTION("GOOGLETRANSLATE($A500,""en"",""es"")"),"Aragacótn")</f>
        <v>Aragacótn</v>
      </c>
      <c r="F500" s="9" t="str">
        <f>IFERROR(__xludf.DUMMYFUNCTION("GOOGLETRANSLATE($A500,""en"",""it"")"),"Aragaçotn")</f>
        <v>Aragaçotn</v>
      </c>
      <c r="G500" s="9" t="str">
        <f>IFERROR(__xludf.DUMMYFUNCTION("GOOGLETRANSLATE($A500,""en"",""zh-cn"")"),"阿拉加果")</f>
        <v>阿拉加果</v>
      </c>
      <c r="H500" s="9" t="str">
        <f>IFERROR(__xludf.DUMMYFUNCTION("GOOGLETRANSLATE($A500,""en"",""ja"")"),"アラガクオン")</f>
        <v>アラガクオン</v>
      </c>
      <c r="I500" s="9" t="str">
        <f>IFERROR(__xludf.DUMMYFUNCTION("GOOGLETRANSLATE($A500,""en"",""ko"")"),"아라가콧")</f>
        <v>아라가콧</v>
      </c>
      <c r="J500" s="9" t="str">
        <f>IFERROR(__xludf.DUMMYFUNCTION("GOOGLETRANSLATE($A500,""en"",""pt-BR"")"),"Aracatón")</f>
        <v>Aracatón</v>
      </c>
    </row>
    <row r="501">
      <c r="A501" s="9" t="str">
        <f>IFERROR(__xludf.DUMMYFUNCTION("""COMPUTED_VALUE"""),"Geġark'unik'")</f>
        <v>Geġark'unik'</v>
      </c>
      <c r="B501" s="9" t="str">
        <f>IFERROR(__xludf.DUMMYFUNCTION("""COMPUTED_VALUE"""),"am-gr")</f>
        <v>am-gr</v>
      </c>
      <c r="C501" s="9" t="str">
        <f>IFERROR(__xludf.DUMMYFUNCTION("GOOGLETRANSLATE($A501,""en"",""de"")"),"Geġark'unik'")</f>
        <v>Geġark'unik'</v>
      </c>
      <c r="D501" s="9" t="str">
        <f>IFERROR(__xludf.DUMMYFUNCTION("GOOGLETRANSLATE($A501,""en"",""fr"")"),"Geġark'unik'")</f>
        <v>Geġark'unik'</v>
      </c>
      <c r="E501" s="9" t="str">
        <f>IFERROR(__xludf.DUMMYFUNCTION("GOOGLETRANSLATE($A501,""en"",""es"")"),"Geġark'unik'")</f>
        <v>Geġark'unik'</v>
      </c>
      <c r="F501" s="9" t="str">
        <f>IFERROR(__xludf.DUMMYFUNCTION("GOOGLETRANSLATE($A501,""en"",""it"")"),"Geġark'unik'")</f>
        <v>Geġark'unik'</v>
      </c>
      <c r="G501" s="9" t="str">
        <f>IFERROR(__xludf.DUMMYFUNCTION("GOOGLETRANSLATE($A501,""en"",""zh-cn"")"),"盖克'unik'")</f>
        <v>盖克'unik'</v>
      </c>
      <c r="H501" s="9" t="str">
        <f>IFERROR(__xludf.DUMMYFUNCTION("GOOGLETRANSLATE($A501,""en"",""ja"")"),"ゲハルクニク")</f>
        <v>ゲハルクニク</v>
      </c>
      <c r="I501" s="9" t="str">
        <f>IFERROR(__xludf.DUMMYFUNCTION("GOOGLETRANSLATE($A501,""en"",""ko"")"),"Geġark'unik'")</f>
        <v>Geġark'unik'</v>
      </c>
      <c r="J501" s="9" t="str">
        <f>IFERROR(__xludf.DUMMYFUNCTION("GOOGLETRANSLATE($A501,""en"",""pt-BR"")"),"Geġark'unik'")</f>
        <v>Geġark'unik'</v>
      </c>
    </row>
    <row r="502">
      <c r="A502" s="9" t="str">
        <f>IFERROR(__xludf.DUMMYFUNCTION("""COMPUTED_VALUE"""),"Armavir")</f>
        <v>Armavir</v>
      </c>
      <c r="B502" s="9" t="str">
        <f>IFERROR(__xludf.DUMMYFUNCTION("""COMPUTED_VALUE"""),"am-av")</f>
        <v>am-av</v>
      </c>
      <c r="C502" s="9" t="str">
        <f>IFERROR(__xludf.DUMMYFUNCTION("GOOGLETRANSLATE($A502,""en"",""de"")"),"Armawir")</f>
        <v>Armawir</v>
      </c>
      <c r="D502" s="9" t="str">
        <f>IFERROR(__xludf.DUMMYFUNCTION("GOOGLETRANSLATE($A502,""en"",""fr"")"),"Armavir")</f>
        <v>Armavir</v>
      </c>
      <c r="E502" s="9" t="str">
        <f>IFERROR(__xludf.DUMMYFUNCTION("GOOGLETRANSLATE($A502,""en"",""es"")"),"Armavir")</f>
        <v>Armavir</v>
      </c>
      <c r="F502" s="9" t="str">
        <f>IFERROR(__xludf.DUMMYFUNCTION("GOOGLETRANSLATE($A502,""en"",""it"")"),"Armavir")</f>
        <v>Armavir</v>
      </c>
      <c r="G502" s="9" t="str">
        <f>IFERROR(__xludf.DUMMYFUNCTION("GOOGLETRANSLATE($A502,""en"",""zh-cn"")"),"阿尔马维尔")</f>
        <v>阿尔马维尔</v>
      </c>
      <c r="H502" s="9" t="str">
        <f>IFERROR(__xludf.DUMMYFUNCTION("GOOGLETRANSLATE($A502,""en"",""ja"")"),"アルマビル")</f>
        <v>アルマビル</v>
      </c>
      <c r="I502" s="9" t="str">
        <f>IFERROR(__xludf.DUMMYFUNCTION("GOOGLETRANSLATE($A502,""en"",""ko"")"),"아르마비르")</f>
        <v>아르마비르</v>
      </c>
      <c r="J502" s="9" t="str">
        <f>IFERROR(__xludf.DUMMYFUNCTION("GOOGLETRANSLATE($A502,""en"",""pt-BR"")"),"Armavir")</f>
        <v>Armavir</v>
      </c>
    </row>
    <row r="503">
      <c r="A503" s="9" t="str">
        <f>IFERROR(__xludf.DUMMYFUNCTION("""COMPUTED_VALUE"""),"Vayoc Jor")</f>
        <v>Vayoc Jor</v>
      </c>
      <c r="B503" s="9" t="str">
        <f>IFERROR(__xludf.DUMMYFUNCTION("""COMPUTED_VALUE"""),"am-vd")</f>
        <v>am-vd</v>
      </c>
      <c r="C503" s="9" t="str">
        <f>IFERROR(__xludf.DUMMYFUNCTION("GOOGLETRANSLATE($A503,""en"",""de"")"),"Vayoc Jor")</f>
        <v>Vayoc Jor</v>
      </c>
      <c r="D503" s="9" t="str">
        <f>IFERROR(__xludf.DUMMYFUNCTION("GOOGLETRANSLATE($A503,""en"",""fr"")"),"Vayoc Jor")</f>
        <v>Vayoc Jor</v>
      </c>
      <c r="E503" s="9" t="str">
        <f>IFERROR(__xludf.DUMMYFUNCTION("GOOGLETRANSLATE($A503,""en"",""es"")"),"Vayoc Jor")</f>
        <v>Vayoc Jor</v>
      </c>
      <c r="F503" s="9" t="str">
        <f>IFERROR(__xludf.DUMMYFUNCTION("GOOGLETRANSLATE($A503,""en"",""it"")"),"Vayoc Jor")</f>
        <v>Vayoc Jor</v>
      </c>
      <c r="G503" s="9" t="str">
        <f>IFERROR(__xludf.DUMMYFUNCTION("GOOGLETRANSLATE($A503,""en"",""zh-cn"")"),"瓦约克·乔尔")</f>
        <v>瓦约克·乔尔</v>
      </c>
      <c r="H503" s="9" t="str">
        <f>IFERROR(__xludf.DUMMYFUNCTION("GOOGLETRANSLATE($A503,""en"",""ja"")"),"ヴァヨック・ジョール")</f>
        <v>ヴァヨック・ジョール</v>
      </c>
      <c r="I503" s="9" t="str">
        <f>IFERROR(__xludf.DUMMYFUNCTION("GOOGLETRANSLATE($A503,""en"",""ko"")"),"바욕 조르")</f>
        <v>바욕 조르</v>
      </c>
      <c r="J503" s="9" t="str">
        <f>IFERROR(__xludf.DUMMYFUNCTION("GOOGLETRANSLATE($A503,""en"",""pt-BR"")"),"Vayoc Jor")</f>
        <v>Vayoc Jor</v>
      </c>
    </row>
    <row r="504">
      <c r="A504" s="9" t="str">
        <f>IFERROR(__xludf.DUMMYFUNCTION("""COMPUTED_VALUE"""),"Erevan")</f>
        <v>Erevan</v>
      </c>
      <c r="B504" s="9" t="str">
        <f>IFERROR(__xludf.DUMMYFUNCTION("""COMPUTED_VALUE"""),"am-er")</f>
        <v>am-er</v>
      </c>
      <c r="C504" s="9" t="str">
        <f>IFERROR(__xludf.DUMMYFUNCTION("GOOGLETRANSLATE($A504,""en"",""de"")"),"Eriwan")</f>
        <v>Eriwan</v>
      </c>
      <c r="D504" s="9" t="str">
        <f>IFERROR(__xludf.DUMMYFUNCTION("GOOGLETRANSLATE($A504,""en"",""fr"")"),"Erevan")</f>
        <v>Erevan</v>
      </c>
      <c r="E504" s="9" t="str">
        <f>IFERROR(__xludf.DUMMYFUNCTION("GOOGLETRANSLATE($A504,""en"",""es"")"),"Ereván")</f>
        <v>Ereván</v>
      </c>
      <c r="F504" s="9" t="str">
        <f>IFERROR(__xludf.DUMMYFUNCTION("GOOGLETRANSLATE($A504,""en"",""it"")"),"Erevan")</f>
        <v>Erevan</v>
      </c>
      <c r="G504" s="9" t="str">
        <f>IFERROR(__xludf.DUMMYFUNCTION("GOOGLETRANSLATE($A504,""en"",""zh-cn"")"),"埃里温")</f>
        <v>埃里温</v>
      </c>
      <c r="H504" s="9" t="str">
        <f>IFERROR(__xludf.DUMMYFUNCTION("GOOGLETRANSLATE($A504,""en"",""ja"")"),"エレバン")</f>
        <v>エレバン</v>
      </c>
      <c r="I504" s="9" t="str">
        <f>IFERROR(__xludf.DUMMYFUNCTION("GOOGLETRANSLATE($A504,""en"",""ko"")"),"에레반")</f>
        <v>에레반</v>
      </c>
      <c r="J504" s="9" t="str">
        <f>IFERROR(__xludf.DUMMYFUNCTION("GOOGLETRANSLATE($A504,""en"",""pt-BR"")"),"Erevan")</f>
        <v>Erevan</v>
      </c>
    </row>
    <row r="505">
      <c r="A505" s="9" t="str">
        <f>IFERROR(__xludf.DUMMYFUNCTION("""COMPUTED_VALUE"""),"Širak")</f>
        <v>Širak</v>
      </c>
      <c r="B505" s="9" t="str">
        <f>IFERROR(__xludf.DUMMYFUNCTION("""COMPUTED_VALUE"""),"am-sh")</f>
        <v>am-sh</v>
      </c>
      <c r="C505" s="9" t="str">
        <f>IFERROR(__xludf.DUMMYFUNCTION("GOOGLETRANSLATE($A505,""en"",""de"")"),"Širak")</f>
        <v>Širak</v>
      </c>
      <c r="D505" s="9" t="str">
        <f>IFERROR(__xludf.DUMMYFUNCTION("GOOGLETRANSLATE($A505,""en"",""fr"")"),"Sirak")</f>
        <v>Sirak</v>
      </c>
      <c r="E505" s="9" t="str">
        <f>IFERROR(__xludf.DUMMYFUNCTION("GOOGLETRANSLATE($A505,""en"",""es"")"),"Širak")</f>
        <v>Širak</v>
      </c>
      <c r="F505" s="9" t="str">
        <f>IFERROR(__xludf.DUMMYFUNCTION("GOOGLETRANSLATE($A505,""en"",""it"")"),"Širak")</f>
        <v>Širak</v>
      </c>
      <c r="G505" s="9" t="str">
        <f>IFERROR(__xludf.DUMMYFUNCTION("GOOGLETRANSLATE($A505,""en"",""zh-cn"")"),"希拉克")</f>
        <v>希拉克</v>
      </c>
      <c r="H505" s="9" t="str">
        <f>IFERROR(__xludf.DUMMYFUNCTION("GOOGLETRANSLATE($A505,""en"",""ja"")"),"シラク")</f>
        <v>シラク</v>
      </c>
      <c r="I505" s="9" t="str">
        <f>IFERROR(__xludf.DUMMYFUNCTION("GOOGLETRANSLATE($A505,""en"",""ko"")"),"시락")</f>
        <v>시락</v>
      </c>
      <c r="J505" s="9" t="str">
        <f>IFERROR(__xludf.DUMMYFUNCTION("GOOGLETRANSLATE($A505,""en"",""pt-BR"")"),"Širak")</f>
        <v>Širak</v>
      </c>
    </row>
    <row r="506">
      <c r="A506" s="9" t="str">
        <f>IFERROR(__xludf.DUMMYFUNCTION("""COMPUTED_VALUE"""),"Loṙi")</f>
        <v>Loṙi</v>
      </c>
      <c r="B506" s="9" t="str">
        <f>IFERROR(__xludf.DUMMYFUNCTION("""COMPUTED_VALUE"""),"am-lo")</f>
        <v>am-lo</v>
      </c>
      <c r="C506" s="9" t="str">
        <f>IFERROR(__xludf.DUMMYFUNCTION("GOOGLETRANSLATE($A506,""en"",""de"")"),"Loṙi")</f>
        <v>Loṙi</v>
      </c>
      <c r="D506" s="9" t="str">
        <f>IFERROR(__xludf.DUMMYFUNCTION("GOOGLETRANSLATE($A506,""en"",""fr"")"),"Loṙi")</f>
        <v>Loṙi</v>
      </c>
      <c r="E506" s="9" t="str">
        <f>IFERROR(__xludf.DUMMYFUNCTION("GOOGLETRANSLATE($A506,""en"",""es"")"),"Loṙi")</f>
        <v>Loṙi</v>
      </c>
      <c r="F506" s="9" t="str">
        <f>IFERROR(__xludf.DUMMYFUNCTION("GOOGLETRANSLATE($A506,""en"",""it"")"),"Loṙi")</f>
        <v>Loṙi</v>
      </c>
      <c r="G506" s="9" t="str">
        <f>IFERROR(__xludf.DUMMYFUNCTION("GOOGLETRANSLATE($A506,""en"",""zh-cn"")"),"洛伊")</f>
        <v>洛伊</v>
      </c>
      <c r="H506" s="9" t="str">
        <f>IFERROR(__xludf.DUMMYFUNCTION("GOOGLETRANSLATE($A506,""en"",""ja"")"),"ロリ")</f>
        <v>ロリ</v>
      </c>
      <c r="I506" s="9" t="str">
        <f>IFERROR(__xludf.DUMMYFUNCTION("GOOGLETRANSLATE($A506,""en"",""ko"")"),"로니")</f>
        <v>로니</v>
      </c>
      <c r="J506" s="9" t="str">
        <f>IFERROR(__xludf.DUMMYFUNCTION("GOOGLETRANSLATE($A506,""en"",""pt-BR"")"),"Lori")</f>
        <v>Lori</v>
      </c>
    </row>
    <row r="507">
      <c r="A507" s="9" t="str">
        <f>IFERROR(__xludf.DUMMYFUNCTION("""COMPUTED_VALUE"""),"Ararat")</f>
        <v>Ararat</v>
      </c>
      <c r="B507" s="9" t="str">
        <f>IFERROR(__xludf.DUMMYFUNCTION("""COMPUTED_VALUE"""),"am-ar")</f>
        <v>am-ar</v>
      </c>
      <c r="C507" s="9" t="str">
        <f>IFERROR(__xludf.DUMMYFUNCTION("GOOGLETRANSLATE($A507,""en"",""de"")"),"Ararat")</f>
        <v>Ararat</v>
      </c>
      <c r="D507" s="9" t="str">
        <f>IFERROR(__xludf.DUMMYFUNCTION("GOOGLETRANSLATE($A507,""en"",""fr"")"),"Ararat")</f>
        <v>Ararat</v>
      </c>
      <c r="E507" s="9" t="str">
        <f>IFERROR(__xludf.DUMMYFUNCTION("GOOGLETRANSLATE($A507,""en"",""es"")"),"Ararat")</f>
        <v>Ararat</v>
      </c>
      <c r="F507" s="9" t="str">
        <f>IFERROR(__xludf.DUMMYFUNCTION("GOOGLETRANSLATE($A507,""en"",""it"")"),"Ararat")</f>
        <v>Ararat</v>
      </c>
      <c r="G507" s="9" t="str">
        <f>IFERROR(__xludf.DUMMYFUNCTION("GOOGLETRANSLATE($A507,""en"",""zh-cn"")"),"亚拉腊山")</f>
        <v>亚拉腊山</v>
      </c>
      <c r="H507" s="9" t="str">
        <f>IFERROR(__xludf.DUMMYFUNCTION("GOOGLETRANSLATE($A507,""en"",""ja"")"),"アララット")</f>
        <v>アララット</v>
      </c>
      <c r="I507" s="9" t="str">
        <f>IFERROR(__xludf.DUMMYFUNCTION("GOOGLETRANSLATE($A507,""en"",""ko"")"),"아라라트")</f>
        <v>아라라트</v>
      </c>
      <c r="J507" s="9" t="str">
        <f>IFERROR(__xludf.DUMMYFUNCTION("GOOGLETRANSLATE($A507,""en"",""pt-BR"")"),"Ararate")</f>
        <v>Ararate</v>
      </c>
    </row>
    <row r="508">
      <c r="A508" s="9" t="str">
        <f>IFERROR(__xludf.DUMMYFUNCTION("""COMPUTED_VALUE"""),"Tavuš")</f>
        <v>Tavuš</v>
      </c>
      <c r="B508" s="9" t="str">
        <f>IFERROR(__xludf.DUMMYFUNCTION("""COMPUTED_VALUE"""),"am-tv")</f>
        <v>am-tv</v>
      </c>
      <c r="C508" s="9" t="str">
        <f>IFERROR(__xludf.DUMMYFUNCTION("GOOGLETRANSLATE($A508,""en"",""de"")"),"Tavuš")</f>
        <v>Tavuš</v>
      </c>
      <c r="D508" s="9" t="str">
        <f>IFERROR(__xludf.DUMMYFUNCTION("GOOGLETRANSLATE($A508,""en"",""fr"")"),"Tavuš")</f>
        <v>Tavuš</v>
      </c>
      <c r="E508" s="9" t="str">
        <f>IFERROR(__xludf.DUMMYFUNCTION("GOOGLETRANSLATE($A508,""en"",""es"")"),"Tavuš")</f>
        <v>Tavuš</v>
      </c>
      <c r="F508" s="9" t="str">
        <f>IFERROR(__xludf.DUMMYFUNCTION("GOOGLETRANSLATE($A508,""en"",""it"")"),"Tavuš")</f>
        <v>Tavuš</v>
      </c>
      <c r="G508" s="9" t="str">
        <f>IFERROR(__xludf.DUMMYFUNCTION("GOOGLETRANSLATE($A508,""en"",""zh-cn"")"),"塔武什")</f>
        <v>塔武什</v>
      </c>
      <c r="H508" s="9" t="str">
        <f>IFERROR(__xludf.DUMMYFUNCTION("GOOGLETRANSLATE($A508,""en"",""ja"")"),"タブシュ")</f>
        <v>タブシュ</v>
      </c>
      <c r="I508" s="9" t="str">
        <f>IFERROR(__xludf.DUMMYFUNCTION("GOOGLETRANSLATE($A508,""en"",""ko"")"),"타부쉬")</f>
        <v>타부쉬</v>
      </c>
      <c r="J508" s="9" t="str">
        <f>IFERROR(__xludf.DUMMYFUNCTION("GOOGLETRANSLATE($A508,""en"",""pt-BR"")"),"Tavuš")</f>
        <v>Tavuš</v>
      </c>
    </row>
    <row r="509">
      <c r="A509" s="9" t="str">
        <f>IFERROR(__xludf.DUMMYFUNCTION("""COMPUTED_VALUE"""),"Victoria")</f>
        <v>Victoria</v>
      </c>
      <c r="B509" s="9" t="str">
        <f>IFERROR(__xludf.DUMMYFUNCTION("""COMPUTED_VALUE"""),"au-vic")</f>
        <v>au-vic</v>
      </c>
      <c r="C509" s="9" t="str">
        <f>IFERROR(__xludf.DUMMYFUNCTION("GOOGLETRANSLATE($A509,""en"",""de"")"),"Victoria")</f>
        <v>Victoria</v>
      </c>
      <c r="D509" s="9" t="str">
        <f>IFERROR(__xludf.DUMMYFUNCTION("GOOGLETRANSLATE($A509,""en"",""fr"")"),"Victoria")</f>
        <v>Victoria</v>
      </c>
      <c r="E509" s="9" t="str">
        <f>IFERROR(__xludf.DUMMYFUNCTION("GOOGLETRANSLATE($A509,""en"",""es"")"),"Victoria")</f>
        <v>Victoria</v>
      </c>
      <c r="F509" s="9" t="str">
        <f>IFERROR(__xludf.DUMMYFUNCTION("GOOGLETRANSLATE($A509,""en"",""it"")"),"Vittoria")</f>
        <v>Vittoria</v>
      </c>
      <c r="G509" s="9" t="str">
        <f>IFERROR(__xludf.DUMMYFUNCTION("GOOGLETRANSLATE($A509,""en"",""zh-cn"")"),"维多利亚")</f>
        <v>维多利亚</v>
      </c>
      <c r="H509" s="9" t="str">
        <f>IFERROR(__xludf.DUMMYFUNCTION("GOOGLETRANSLATE($A509,""en"",""ja"")"),"ビクトリア")</f>
        <v>ビクトリア</v>
      </c>
      <c r="I509" s="9" t="str">
        <f>IFERROR(__xludf.DUMMYFUNCTION("GOOGLETRANSLATE($A509,""en"",""ko"")"),"빅토리아")</f>
        <v>빅토리아</v>
      </c>
      <c r="J509" s="9" t="str">
        <f>IFERROR(__xludf.DUMMYFUNCTION("GOOGLETRANSLATE($A509,""en"",""pt-BR"")"),"Vitória")</f>
        <v>Vitória</v>
      </c>
    </row>
    <row r="510">
      <c r="A510" s="9" t="str">
        <f>IFERROR(__xludf.DUMMYFUNCTION("""COMPUTED_VALUE"""),"New South Wales")</f>
        <v>New South Wales</v>
      </c>
      <c r="B510" s="9" t="str">
        <f>IFERROR(__xludf.DUMMYFUNCTION("""COMPUTED_VALUE"""),"au-nsw")</f>
        <v>au-nsw</v>
      </c>
      <c r="C510" s="9" t="str">
        <f>IFERROR(__xludf.DUMMYFUNCTION("GOOGLETRANSLATE($A510,""en"",""de"")"),"New South Wales")</f>
        <v>New South Wales</v>
      </c>
      <c r="D510" s="9" t="str">
        <f>IFERROR(__xludf.DUMMYFUNCTION("GOOGLETRANSLATE($A510,""en"",""fr"")"),"Nouvelle-Galles du Sud")</f>
        <v>Nouvelle-Galles du Sud</v>
      </c>
      <c r="E510" s="9" t="str">
        <f>IFERROR(__xludf.DUMMYFUNCTION("GOOGLETRANSLATE($A510,""en"",""es"")"),"Nueva Gales del Sur")</f>
        <v>Nueva Gales del Sur</v>
      </c>
      <c r="F510" s="9" t="str">
        <f>IFERROR(__xludf.DUMMYFUNCTION("GOOGLETRANSLATE($A510,""en"",""it"")"),"Nuovo Galles del Sud")</f>
        <v>Nuovo Galles del Sud</v>
      </c>
      <c r="G510" s="9" t="str">
        <f>IFERROR(__xludf.DUMMYFUNCTION("GOOGLETRANSLATE($A510,""en"",""zh-cn"")"),"新南威尔士州")</f>
        <v>新南威尔士州</v>
      </c>
      <c r="H510" s="9" t="str">
        <f>IFERROR(__xludf.DUMMYFUNCTION("GOOGLETRANSLATE($A510,""en"",""ja"")"),"ニューサウスウェールズ州")</f>
        <v>ニューサウスウェールズ州</v>
      </c>
      <c r="I510" s="9" t="str">
        <f>IFERROR(__xludf.DUMMYFUNCTION("GOOGLETRANSLATE($A510,""en"",""ko"")"),"뉴 사우스 웨일즈")</f>
        <v>뉴 사우스 웨일즈</v>
      </c>
      <c r="J510" s="9" t="str">
        <f>IFERROR(__xludf.DUMMYFUNCTION("GOOGLETRANSLATE($A510,""en"",""pt-BR"")"),"Nova Gales do Sul")</f>
        <v>Nova Gales do Sul</v>
      </c>
    </row>
    <row r="511">
      <c r="A511" s="9" t="str">
        <f>IFERROR(__xludf.DUMMYFUNCTION("""COMPUTED_VALUE"""),"Tasmania")</f>
        <v>Tasmania</v>
      </c>
      <c r="B511" s="9" t="str">
        <f>IFERROR(__xludf.DUMMYFUNCTION("""COMPUTED_VALUE"""),"au-tas")</f>
        <v>au-tas</v>
      </c>
      <c r="C511" s="9" t="str">
        <f>IFERROR(__xludf.DUMMYFUNCTION("GOOGLETRANSLATE($A511,""en"",""de"")"),"Tasmanien")</f>
        <v>Tasmanien</v>
      </c>
      <c r="D511" s="9" t="str">
        <f>IFERROR(__xludf.DUMMYFUNCTION("GOOGLETRANSLATE($A511,""en"",""fr"")"),"Tasmanie")</f>
        <v>Tasmanie</v>
      </c>
      <c r="E511" s="9" t="str">
        <f>IFERROR(__xludf.DUMMYFUNCTION("GOOGLETRANSLATE($A511,""en"",""es"")"),"Tasmania")</f>
        <v>Tasmania</v>
      </c>
      <c r="F511" s="9" t="str">
        <f>IFERROR(__xludf.DUMMYFUNCTION("GOOGLETRANSLATE($A511,""en"",""it"")"),"Tasmania")</f>
        <v>Tasmania</v>
      </c>
      <c r="G511" s="9" t="str">
        <f>IFERROR(__xludf.DUMMYFUNCTION("GOOGLETRANSLATE($A511,""en"",""zh-cn"")"),"塔斯马尼亚")</f>
        <v>塔斯马尼亚</v>
      </c>
      <c r="H511" s="9" t="str">
        <f>IFERROR(__xludf.DUMMYFUNCTION("GOOGLETRANSLATE($A511,""en"",""ja"")"),"タスマニア")</f>
        <v>タスマニア</v>
      </c>
      <c r="I511" s="9" t="str">
        <f>IFERROR(__xludf.DUMMYFUNCTION("GOOGLETRANSLATE($A511,""en"",""ko"")"),"태즈메이니아")</f>
        <v>태즈메이니아</v>
      </c>
      <c r="J511" s="9" t="str">
        <f>IFERROR(__xludf.DUMMYFUNCTION("GOOGLETRANSLATE($A511,""en"",""pt-BR"")"),"Tasmânia")</f>
        <v>Tasmânia</v>
      </c>
    </row>
    <row r="512">
      <c r="A512" s="9" t="str">
        <f>IFERROR(__xludf.DUMMYFUNCTION("""COMPUTED_VALUE"""),"Northern Territory")</f>
        <v>Northern Territory</v>
      </c>
      <c r="B512" s="9" t="str">
        <f>IFERROR(__xludf.DUMMYFUNCTION("""COMPUTED_VALUE"""),"au-nt")</f>
        <v>au-nt</v>
      </c>
      <c r="C512" s="9" t="str">
        <f>IFERROR(__xludf.DUMMYFUNCTION("GOOGLETRANSLATE($A512,""en"",""de"")"),"Northern Territory")</f>
        <v>Northern Territory</v>
      </c>
      <c r="D512" s="9" t="str">
        <f>IFERROR(__xludf.DUMMYFUNCTION("GOOGLETRANSLATE($A512,""en"",""fr"")"),"Territoire du Nord")</f>
        <v>Territoire du Nord</v>
      </c>
      <c r="E512" s="9" t="str">
        <f>IFERROR(__xludf.DUMMYFUNCTION("GOOGLETRANSLATE($A512,""en"",""es"")"),"Territorio del Norte")</f>
        <v>Territorio del Norte</v>
      </c>
      <c r="F512" s="9" t="str">
        <f>IFERROR(__xludf.DUMMYFUNCTION("GOOGLETRANSLATE($A512,""en"",""it"")"),"Territorio del Nord")</f>
        <v>Territorio del Nord</v>
      </c>
      <c r="G512" s="9" t="str">
        <f>IFERROR(__xludf.DUMMYFUNCTION("GOOGLETRANSLATE($A512,""en"",""zh-cn"")"),"北领地")</f>
        <v>北领地</v>
      </c>
      <c r="H512" s="9" t="str">
        <f>IFERROR(__xludf.DUMMYFUNCTION("GOOGLETRANSLATE($A512,""en"",""ja"")"),"ノーザンテリトリー")</f>
        <v>ノーザンテリトリー</v>
      </c>
      <c r="I512" s="9" t="str">
        <f>IFERROR(__xludf.DUMMYFUNCTION("GOOGLETRANSLATE($A512,""en"",""ko"")"),"노던 테리토리")</f>
        <v>노던 테리토리</v>
      </c>
      <c r="J512" s="9" t="str">
        <f>IFERROR(__xludf.DUMMYFUNCTION("GOOGLETRANSLATE($A512,""en"",""pt-BR"")"),"Território do Norte")</f>
        <v>Território do Norte</v>
      </c>
    </row>
    <row r="513">
      <c r="A513" s="9" t="str">
        <f>IFERROR(__xludf.DUMMYFUNCTION("""COMPUTED_VALUE"""),"Western Australia")</f>
        <v>Western Australia</v>
      </c>
      <c r="B513" s="9" t="str">
        <f>IFERROR(__xludf.DUMMYFUNCTION("""COMPUTED_VALUE"""),"au-wa")</f>
        <v>au-wa</v>
      </c>
      <c r="C513" s="9" t="str">
        <f>IFERROR(__xludf.DUMMYFUNCTION("GOOGLETRANSLATE($A513,""en"",""de"")"),"Westaustralien")</f>
        <v>Westaustralien</v>
      </c>
      <c r="D513" s="9" t="str">
        <f>IFERROR(__xludf.DUMMYFUNCTION("GOOGLETRANSLATE($A513,""en"",""fr"")"),"Australie occidentale")</f>
        <v>Australie occidentale</v>
      </c>
      <c r="E513" s="9" t="str">
        <f>IFERROR(__xludf.DUMMYFUNCTION("GOOGLETRANSLATE($A513,""en"",""es"")"),"Australia Occidental")</f>
        <v>Australia Occidental</v>
      </c>
      <c r="F513" s="9" t="str">
        <f>IFERROR(__xludf.DUMMYFUNCTION("GOOGLETRANSLATE($A513,""en"",""it"")"),"Australia occidentale")</f>
        <v>Australia occidentale</v>
      </c>
      <c r="G513" s="9" t="str">
        <f>IFERROR(__xludf.DUMMYFUNCTION("GOOGLETRANSLATE($A513,""en"",""zh-cn"")"),"西澳大利亚州")</f>
        <v>西澳大利亚州</v>
      </c>
      <c r="H513" s="9" t="str">
        <f>IFERROR(__xludf.DUMMYFUNCTION("GOOGLETRANSLATE($A513,""en"",""ja"")"),"西オーストラリア州")</f>
        <v>西オーストラリア州</v>
      </c>
      <c r="I513" s="9" t="str">
        <f>IFERROR(__xludf.DUMMYFUNCTION("GOOGLETRANSLATE($A513,""en"",""ko"")"),"서호주")</f>
        <v>서호주</v>
      </c>
      <c r="J513" s="9" t="str">
        <f>IFERROR(__xludf.DUMMYFUNCTION("GOOGLETRANSLATE($A513,""en"",""pt-BR"")"),"Austrália Ocidental")</f>
        <v>Austrália Ocidental</v>
      </c>
    </row>
    <row r="514">
      <c r="A514" s="9" t="str">
        <f>IFERROR(__xludf.DUMMYFUNCTION("""COMPUTED_VALUE"""),"Australian Capital Territory")</f>
        <v>Australian Capital Territory</v>
      </c>
      <c r="B514" s="9" t="str">
        <f>IFERROR(__xludf.DUMMYFUNCTION("""COMPUTED_VALUE"""),"au-act")</f>
        <v>au-act</v>
      </c>
      <c r="C514" s="9" t="str">
        <f>IFERROR(__xludf.DUMMYFUNCTION("GOOGLETRANSLATE($A514,""en"",""de"")"),"Australisches Hauptstadtterritorium")</f>
        <v>Australisches Hauptstadtterritorium</v>
      </c>
      <c r="D514" s="9" t="str">
        <f>IFERROR(__xludf.DUMMYFUNCTION("GOOGLETRANSLATE($A514,""en"",""fr"")"),"Territoire de la capitale australienne")</f>
        <v>Territoire de la capitale australienne</v>
      </c>
      <c r="E514" s="9" t="str">
        <f>IFERROR(__xludf.DUMMYFUNCTION("GOOGLETRANSLATE($A514,""en"",""es"")"),"Territorio de la Capital Australiana")</f>
        <v>Territorio de la Capital Australiana</v>
      </c>
      <c r="F514" s="9" t="str">
        <f>IFERROR(__xludf.DUMMYFUNCTION("GOOGLETRANSLATE($A514,""en"",""it"")"),"Territorio della capitale australiana")</f>
        <v>Territorio della capitale australiana</v>
      </c>
      <c r="G514" s="9" t="str">
        <f>IFERROR(__xludf.DUMMYFUNCTION("GOOGLETRANSLATE($A514,""en"",""zh-cn"")"),"澳大利亚首都特区")</f>
        <v>澳大利亚首都特区</v>
      </c>
      <c r="H514" s="9" t="str">
        <f>IFERROR(__xludf.DUMMYFUNCTION("GOOGLETRANSLATE($A514,""en"",""ja"")"),"オーストラリア首都特別地域")</f>
        <v>オーストラリア首都特別地域</v>
      </c>
      <c r="I514" s="9" t="str">
        <f>IFERROR(__xludf.DUMMYFUNCTION("GOOGLETRANSLATE($A514,""en"",""ko"")"),"호주 수도 특별구")</f>
        <v>호주 수도 특별구</v>
      </c>
      <c r="J514" s="9" t="str">
        <f>IFERROR(__xludf.DUMMYFUNCTION("GOOGLETRANSLATE($A514,""en"",""pt-BR"")"),"Território da Capital Australiana")</f>
        <v>Território da Capital Australiana</v>
      </c>
    </row>
    <row r="515">
      <c r="A515" s="9" t="str">
        <f>IFERROR(__xludf.DUMMYFUNCTION("""COMPUTED_VALUE"""),"Queensland")</f>
        <v>Queensland</v>
      </c>
      <c r="B515" s="9" t="str">
        <f>IFERROR(__xludf.DUMMYFUNCTION("""COMPUTED_VALUE"""),"au-qld")</f>
        <v>au-qld</v>
      </c>
      <c r="C515" s="9" t="str">
        <f>IFERROR(__xludf.DUMMYFUNCTION("GOOGLETRANSLATE($A515,""en"",""de"")"),"Queensland")</f>
        <v>Queensland</v>
      </c>
      <c r="D515" s="9" t="str">
        <f>IFERROR(__xludf.DUMMYFUNCTION("GOOGLETRANSLATE($A515,""en"",""fr"")"),"Queensland")</f>
        <v>Queensland</v>
      </c>
      <c r="E515" s="9" t="str">
        <f>IFERROR(__xludf.DUMMYFUNCTION("GOOGLETRANSLATE($A515,""en"",""es"")"),"Queensland")</f>
        <v>Queensland</v>
      </c>
      <c r="F515" s="9" t="str">
        <f>IFERROR(__xludf.DUMMYFUNCTION("GOOGLETRANSLATE($A515,""en"",""it"")"),"Queensland")</f>
        <v>Queensland</v>
      </c>
      <c r="G515" s="9" t="str">
        <f>IFERROR(__xludf.DUMMYFUNCTION("GOOGLETRANSLATE($A515,""en"",""zh-cn"")"),"昆士兰州")</f>
        <v>昆士兰州</v>
      </c>
      <c r="H515" s="9" t="str">
        <f>IFERROR(__xludf.DUMMYFUNCTION("GOOGLETRANSLATE($A515,""en"",""ja"")"),"クイーンズランド州")</f>
        <v>クイーンズランド州</v>
      </c>
      <c r="I515" s="9" t="str">
        <f>IFERROR(__xludf.DUMMYFUNCTION("GOOGLETRANSLATE($A515,""en"",""ko"")"),"퀸즈랜드")</f>
        <v>퀸즈랜드</v>
      </c>
      <c r="J515" s="9" t="str">
        <f>IFERROR(__xludf.DUMMYFUNCTION("GOOGLETRANSLATE($A515,""en"",""pt-BR"")"),"Queensland")</f>
        <v>Queensland</v>
      </c>
    </row>
    <row r="516">
      <c r="A516" s="9" t="str">
        <f>IFERROR(__xludf.DUMMYFUNCTION("""COMPUTED_VALUE"""),"South Australia")</f>
        <v>South Australia</v>
      </c>
      <c r="B516" s="9" t="str">
        <f>IFERROR(__xludf.DUMMYFUNCTION("""COMPUTED_VALUE"""),"au-sa")</f>
        <v>au-sa</v>
      </c>
      <c r="C516" s="9" t="str">
        <f>IFERROR(__xludf.DUMMYFUNCTION("GOOGLETRANSLATE($A516,""en"",""de"")"),"Südaustralien")</f>
        <v>Südaustralien</v>
      </c>
      <c r="D516" s="9" t="str">
        <f>IFERROR(__xludf.DUMMYFUNCTION("GOOGLETRANSLATE($A516,""en"",""fr"")"),"Australie du Sud")</f>
        <v>Australie du Sud</v>
      </c>
      <c r="E516" s="9" t="str">
        <f>IFERROR(__xludf.DUMMYFUNCTION("GOOGLETRANSLATE($A516,""en"",""es"")"),"Australia del Sur")</f>
        <v>Australia del Sur</v>
      </c>
      <c r="F516" s="9" t="str">
        <f>IFERROR(__xludf.DUMMYFUNCTION("GOOGLETRANSLATE($A516,""en"",""it"")"),"Australia meridionale")</f>
        <v>Australia meridionale</v>
      </c>
      <c r="G516" s="9" t="str">
        <f>IFERROR(__xludf.DUMMYFUNCTION("GOOGLETRANSLATE($A516,""en"",""zh-cn"")"),"南澳大利亚")</f>
        <v>南澳大利亚</v>
      </c>
      <c r="H516" s="9" t="str">
        <f>IFERROR(__xludf.DUMMYFUNCTION("GOOGLETRANSLATE($A516,""en"",""ja"")"),"南オーストラリア州")</f>
        <v>南オーストラリア州</v>
      </c>
      <c r="I516" s="9" t="str">
        <f>IFERROR(__xludf.DUMMYFUNCTION("GOOGLETRANSLATE($A516,""en"",""ko"")"),"남호주")</f>
        <v>남호주</v>
      </c>
      <c r="J516" s="9" t="str">
        <f>IFERROR(__xludf.DUMMYFUNCTION("GOOGLETRANSLATE($A516,""en"",""pt-BR"")"),"Sul da Austrália")</f>
        <v>Sul da Austrália</v>
      </c>
    </row>
    <row r="517">
      <c r="A517" s="9" t="str">
        <f>IFERROR(__xludf.DUMMYFUNCTION("""COMPUTED_VALUE"""),"Niederösterreich")</f>
        <v>Niederösterreich</v>
      </c>
      <c r="B517" s="9" t="str">
        <f>IFERROR(__xludf.DUMMYFUNCTION("""COMPUTED_VALUE"""),"at-3")</f>
        <v>at-3</v>
      </c>
      <c r="C517" s="9" t="str">
        <f>IFERROR(__xludf.DUMMYFUNCTION("GOOGLETRANSLATE($A517,""en"",""de"")"),"Niederösterreich")</f>
        <v>Niederösterreich</v>
      </c>
      <c r="D517" s="9" t="str">
        <f>IFERROR(__xludf.DUMMYFUNCTION("GOOGLETRANSLATE($A517,""en"",""fr"")"),"Basse-Autriche")</f>
        <v>Basse-Autriche</v>
      </c>
      <c r="E517" s="9" t="str">
        <f>IFERROR(__xludf.DUMMYFUNCTION("GOOGLETRANSLATE($A517,""en"",""es"")"),"Niederösterreich")</f>
        <v>Niederösterreich</v>
      </c>
      <c r="F517" s="9" t="str">
        <f>IFERROR(__xludf.DUMMYFUNCTION("GOOGLETRANSLATE($A517,""en"",""it"")"),"Niederösterreich")</f>
        <v>Niederösterreich</v>
      </c>
      <c r="G517" s="9" t="str">
        <f>IFERROR(__xludf.DUMMYFUNCTION("GOOGLETRANSLATE($A517,""en"",""zh-cn"")"),"下奥地利州")</f>
        <v>下奥地利州</v>
      </c>
      <c r="H517" s="9" t="str">
        <f>IFERROR(__xludf.DUMMYFUNCTION("GOOGLETRANSLATE($A517,""en"",""ja"")"),"ニーダーエスターライヒ")</f>
        <v>ニーダーエスターライヒ</v>
      </c>
      <c r="I517" s="9" t="str">
        <f>IFERROR(__xludf.DUMMYFUNCTION("GOOGLETRANSLATE($A517,""en"",""ko"")"),"니더외스터라이히")</f>
        <v>니더외스터라이히</v>
      </c>
      <c r="J517" s="9" t="str">
        <f>IFERROR(__xludf.DUMMYFUNCTION("GOOGLETRANSLATE($A517,""en"",""pt-BR"")"),"Baixa Áustria")</f>
        <v>Baixa Áustria</v>
      </c>
    </row>
    <row r="518">
      <c r="A518" s="9" t="str">
        <f>IFERROR(__xludf.DUMMYFUNCTION("""COMPUTED_VALUE"""),"Oberösterreich")</f>
        <v>Oberösterreich</v>
      </c>
      <c r="B518" s="9" t="str">
        <f>IFERROR(__xludf.DUMMYFUNCTION("""COMPUTED_VALUE"""),"at-4")</f>
        <v>at-4</v>
      </c>
      <c r="C518" s="9" t="str">
        <f>IFERROR(__xludf.DUMMYFUNCTION("GOOGLETRANSLATE($A518,""en"",""de"")"),"Oberösterreich")</f>
        <v>Oberösterreich</v>
      </c>
      <c r="D518" s="9" t="str">
        <f>IFERROR(__xludf.DUMMYFUNCTION("GOOGLETRANSLATE($A518,""en"",""fr"")"),"Haute-Autriche")</f>
        <v>Haute-Autriche</v>
      </c>
      <c r="E518" s="9" t="str">
        <f>IFERROR(__xludf.DUMMYFUNCTION("GOOGLETRANSLATE($A518,""en"",""es"")"),"Alta Austria")</f>
        <v>Alta Austria</v>
      </c>
      <c r="F518" s="9" t="str">
        <f>IFERROR(__xludf.DUMMYFUNCTION("GOOGLETRANSLATE($A518,""en"",""it"")"),"Oberösterreich")</f>
        <v>Oberösterreich</v>
      </c>
      <c r="G518" s="9" t="str">
        <f>IFERROR(__xludf.DUMMYFUNCTION("GOOGLETRANSLATE($A518,""en"",""zh-cn"")"),"上奥地利州")</f>
        <v>上奥地利州</v>
      </c>
      <c r="H518" s="9" t="str">
        <f>IFERROR(__xludf.DUMMYFUNCTION("GOOGLETRANSLATE($A518,""en"",""ja"")"),"オーバーエスターライヒ")</f>
        <v>オーバーエスターライヒ</v>
      </c>
      <c r="I518" s="9" t="str">
        <f>IFERROR(__xludf.DUMMYFUNCTION("GOOGLETRANSLATE($A518,""en"",""ko"")"),"오버뢰스터라이히")</f>
        <v>오버뢰스터라이히</v>
      </c>
      <c r="J518" s="9" t="str">
        <f>IFERROR(__xludf.DUMMYFUNCTION("GOOGLETRANSLATE($A518,""en"",""pt-BR"")"),"Oberösterreich")</f>
        <v>Oberösterreich</v>
      </c>
    </row>
    <row r="519">
      <c r="A519" s="9" t="str">
        <f>IFERROR(__xludf.DUMMYFUNCTION("""COMPUTED_VALUE"""),"Salzburg")</f>
        <v>Salzburg</v>
      </c>
      <c r="B519" s="9" t="str">
        <f>IFERROR(__xludf.DUMMYFUNCTION("""COMPUTED_VALUE"""),"at-5")</f>
        <v>at-5</v>
      </c>
      <c r="C519" s="9" t="str">
        <f>IFERROR(__xludf.DUMMYFUNCTION("GOOGLETRANSLATE($A519,""en"",""de"")"),"Salzburg")</f>
        <v>Salzburg</v>
      </c>
      <c r="D519" s="9" t="str">
        <f>IFERROR(__xludf.DUMMYFUNCTION("GOOGLETRANSLATE($A519,""en"",""fr"")"),"Salzbourg")</f>
        <v>Salzbourg</v>
      </c>
      <c r="E519" s="9" t="str">
        <f>IFERROR(__xludf.DUMMYFUNCTION("GOOGLETRANSLATE($A519,""en"",""es"")"),"Salsburgo")</f>
        <v>Salsburgo</v>
      </c>
      <c r="F519" s="9" t="str">
        <f>IFERROR(__xludf.DUMMYFUNCTION("GOOGLETRANSLATE($A519,""en"",""it"")"),"Salisburgo")</f>
        <v>Salisburgo</v>
      </c>
      <c r="G519" s="9" t="str">
        <f>IFERROR(__xludf.DUMMYFUNCTION("GOOGLETRANSLATE($A519,""en"",""zh-cn"")"),"萨尔茨堡")</f>
        <v>萨尔茨堡</v>
      </c>
      <c r="H519" s="9" t="str">
        <f>IFERROR(__xludf.DUMMYFUNCTION("GOOGLETRANSLATE($A519,""en"",""ja"")"),"ザルツブルク")</f>
        <v>ザルツブルク</v>
      </c>
      <c r="I519" s="9" t="str">
        <f>IFERROR(__xludf.DUMMYFUNCTION("GOOGLETRANSLATE($A519,""en"",""ko"")"),"잘츠부르크")</f>
        <v>잘츠부르크</v>
      </c>
      <c r="J519" s="9" t="str">
        <f>IFERROR(__xludf.DUMMYFUNCTION("GOOGLETRANSLATE($A519,""en"",""pt-BR"")"),"Salzburgo")</f>
        <v>Salzburgo</v>
      </c>
    </row>
    <row r="520">
      <c r="A520" s="9" t="str">
        <f>IFERROR(__xludf.DUMMYFUNCTION("""COMPUTED_VALUE"""),"Steiermark")</f>
        <v>Steiermark</v>
      </c>
      <c r="B520" s="9" t="str">
        <f>IFERROR(__xludf.DUMMYFUNCTION("""COMPUTED_VALUE"""),"at-6")</f>
        <v>at-6</v>
      </c>
      <c r="C520" s="9" t="str">
        <f>IFERROR(__xludf.DUMMYFUNCTION("GOOGLETRANSLATE($A520,""en"",""de"")"),"Steiermark")</f>
        <v>Steiermark</v>
      </c>
      <c r="D520" s="9" t="str">
        <f>IFERROR(__xludf.DUMMYFUNCTION("GOOGLETRANSLATE($A520,""en"",""fr"")"),"Steiermark")</f>
        <v>Steiermark</v>
      </c>
      <c r="E520" s="9" t="str">
        <f>IFERROR(__xludf.DUMMYFUNCTION("GOOGLETRANSLATE($A520,""en"",""es"")"),"Estiria")</f>
        <v>Estiria</v>
      </c>
      <c r="F520" s="9" t="str">
        <f>IFERROR(__xludf.DUMMYFUNCTION("GOOGLETRANSLATE($A520,""en"",""it"")"),"Stiria")</f>
        <v>Stiria</v>
      </c>
      <c r="G520" s="9" t="str">
        <f>IFERROR(__xludf.DUMMYFUNCTION("GOOGLETRANSLATE($A520,""en"",""zh-cn"")"),"施泰尔马克")</f>
        <v>施泰尔马克</v>
      </c>
      <c r="H520" s="9" t="str">
        <f>IFERROR(__xludf.DUMMYFUNCTION("GOOGLETRANSLATE($A520,""en"",""ja"")"),"シュタイアーマルク")</f>
        <v>シュタイアーマルク</v>
      </c>
      <c r="I520" s="9" t="str">
        <f>IFERROR(__xludf.DUMMYFUNCTION("GOOGLETRANSLATE($A520,""en"",""ko"")"),"슈타이어마르크")</f>
        <v>슈타이어마르크</v>
      </c>
      <c r="J520" s="9" t="str">
        <f>IFERROR(__xludf.DUMMYFUNCTION("GOOGLETRANSLATE($A520,""en"",""pt-BR"")"),"Estíria")</f>
        <v>Estíria</v>
      </c>
    </row>
    <row r="521">
      <c r="A521" s="9" t="str">
        <f>IFERROR(__xludf.DUMMYFUNCTION("""COMPUTED_VALUE"""),"Burgenland")</f>
        <v>Burgenland</v>
      </c>
      <c r="B521" s="9" t="str">
        <f>IFERROR(__xludf.DUMMYFUNCTION("""COMPUTED_VALUE"""),"at-1")</f>
        <v>at-1</v>
      </c>
      <c r="C521" s="9" t="str">
        <f>IFERROR(__xludf.DUMMYFUNCTION("GOOGLETRANSLATE($A521,""en"",""de"")"),"Burgenland")</f>
        <v>Burgenland</v>
      </c>
      <c r="D521" s="9" t="str">
        <f>IFERROR(__xludf.DUMMYFUNCTION("GOOGLETRANSLATE($A521,""en"",""fr"")"),"Burgenland")</f>
        <v>Burgenland</v>
      </c>
      <c r="E521" s="9" t="str">
        <f>IFERROR(__xludf.DUMMYFUNCTION("GOOGLETRANSLATE($A521,""en"",""es"")"),"Burgenlandia")</f>
        <v>Burgenlandia</v>
      </c>
      <c r="F521" s="9" t="str">
        <f>IFERROR(__xludf.DUMMYFUNCTION("GOOGLETRANSLATE($A521,""en"",""it"")"),"Burgenland")</f>
        <v>Burgenland</v>
      </c>
      <c r="G521" s="9" t="str">
        <f>IFERROR(__xludf.DUMMYFUNCTION("GOOGLETRANSLATE($A521,""en"",""zh-cn"")"),"布尔根兰州")</f>
        <v>布尔根兰州</v>
      </c>
      <c r="H521" s="9" t="str">
        <f>IFERROR(__xludf.DUMMYFUNCTION("GOOGLETRANSLATE($A521,""en"",""ja"")"),"ブルゲンラント")</f>
        <v>ブルゲンラント</v>
      </c>
      <c r="I521" s="9" t="str">
        <f>IFERROR(__xludf.DUMMYFUNCTION("GOOGLETRANSLATE($A521,""en"",""ko"")"),"부르겐란트")</f>
        <v>부르겐란트</v>
      </c>
      <c r="J521" s="9" t="str">
        <f>IFERROR(__xludf.DUMMYFUNCTION("GOOGLETRANSLATE($A521,""en"",""pt-BR"")"),"Burgenlândia")</f>
        <v>Burgenlândia</v>
      </c>
    </row>
    <row r="522">
      <c r="A522" s="9" t="str">
        <f>IFERROR(__xludf.DUMMYFUNCTION("""COMPUTED_VALUE"""),"Kärnten")</f>
        <v>Kärnten</v>
      </c>
      <c r="B522" s="9" t="str">
        <f>IFERROR(__xludf.DUMMYFUNCTION("""COMPUTED_VALUE"""),"at-2")</f>
        <v>at-2</v>
      </c>
      <c r="C522" s="9" t="str">
        <f>IFERROR(__xludf.DUMMYFUNCTION("GOOGLETRANSLATE($A522,""en"",""de"")"),"Kärnten")</f>
        <v>Kärnten</v>
      </c>
      <c r="D522" s="9" t="str">
        <f>IFERROR(__xludf.DUMMYFUNCTION("GOOGLETRANSLATE($A522,""en"",""fr"")"),"Carinthie")</f>
        <v>Carinthie</v>
      </c>
      <c r="E522" s="9" t="str">
        <f>IFERROR(__xludf.DUMMYFUNCTION("GOOGLETRANSLATE($A522,""en"",""es"")"),"Carintia")</f>
        <v>Carintia</v>
      </c>
      <c r="F522" s="9" t="str">
        <f>IFERROR(__xludf.DUMMYFUNCTION("GOOGLETRANSLATE($A522,""en"",""it"")"),"Carinzia")</f>
        <v>Carinzia</v>
      </c>
      <c r="G522" s="9" t="str">
        <f>IFERROR(__xludf.DUMMYFUNCTION("GOOGLETRANSLATE($A522,""en"",""zh-cn"")"),"克恩顿州")</f>
        <v>克恩顿州</v>
      </c>
      <c r="H522" s="9" t="str">
        <f>IFERROR(__xludf.DUMMYFUNCTION("GOOGLETRANSLATE($A522,""en"",""ja"")"),"ケルンテン")</f>
        <v>ケルンテン</v>
      </c>
      <c r="I522" s="9" t="str">
        <f>IFERROR(__xludf.DUMMYFUNCTION("GOOGLETRANSLATE($A522,""en"",""ko"")"),"케른텐")</f>
        <v>케른텐</v>
      </c>
      <c r="J522" s="9" t="str">
        <f>IFERROR(__xludf.DUMMYFUNCTION("GOOGLETRANSLATE($A522,""en"",""pt-BR"")"),"Caríntia")</f>
        <v>Caríntia</v>
      </c>
    </row>
    <row r="523">
      <c r="A523" s="9" t="str">
        <f>IFERROR(__xludf.DUMMYFUNCTION("""COMPUTED_VALUE"""),"Tirol")</f>
        <v>Tirol</v>
      </c>
      <c r="B523" s="9" t="str">
        <f>IFERROR(__xludf.DUMMYFUNCTION("""COMPUTED_VALUE"""),"at-7")</f>
        <v>at-7</v>
      </c>
      <c r="C523" s="9" t="str">
        <f>IFERROR(__xludf.DUMMYFUNCTION("GOOGLETRANSLATE($A523,""en"",""de"")"),"Tirol")</f>
        <v>Tirol</v>
      </c>
      <c r="D523" s="9" t="str">
        <f>IFERROR(__xludf.DUMMYFUNCTION("GOOGLETRANSLATE($A523,""en"",""fr"")"),"Tyrol")</f>
        <v>Tyrol</v>
      </c>
      <c r="E523" s="9" t="str">
        <f>IFERROR(__xludf.DUMMYFUNCTION("GOOGLETRANSLATE($A523,""en"",""es"")"),"Tirol")</f>
        <v>Tirol</v>
      </c>
      <c r="F523" s="9" t="str">
        <f>IFERROR(__xludf.DUMMYFUNCTION("GOOGLETRANSLATE($A523,""en"",""it"")"),"Tirolo")</f>
        <v>Tirolo</v>
      </c>
      <c r="G523" s="9" t="str">
        <f>IFERROR(__xludf.DUMMYFUNCTION("GOOGLETRANSLATE($A523,""en"",""zh-cn"")"),"蒂罗尔")</f>
        <v>蒂罗尔</v>
      </c>
      <c r="H523" s="9" t="str">
        <f>IFERROR(__xludf.DUMMYFUNCTION("GOOGLETRANSLATE($A523,""en"",""ja"")"),"チロル")</f>
        <v>チロル</v>
      </c>
      <c r="I523" s="9" t="str">
        <f>IFERROR(__xludf.DUMMYFUNCTION("GOOGLETRANSLATE($A523,""en"",""ko"")"),"티롤")</f>
        <v>티롤</v>
      </c>
      <c r="J523" s="9" t="str">
        <f>IFERROR(__xludf.DUMMYFUNCTION("GOOGLETRANSLATE($A523,""en"",""pt-BR"")"),"Tirol")</f>
        <v>Tirol</v>
      </c>
    </row>
    <row r="524">
      <c r="A524" s="9" t="str">
        <f>IFERROR(__xludf.DUMMYFUNCTION("""COMPUTED_VALUE"""),"Vorarlberg")</f>
        <v>Vorarlberg</v>
      </c>
      <c r="B524" s="9" t="str">
        <f>IFERROR(__xludf.DUMMYFUNCTION("""COMPUTED_VALUE"""),"at-8")</f>
        <v>at-8</v>
      </c>
      <c r="C524" s="9" t="str">
        <f>IFERROR(__xludf.DUMMYFUNCTION("GOOGLETRANSLATE($A524,""en"",""de"")"),"Vorarlberg")</f>
        <v>Vorarlberg</v>
      </c>
      <c r="D524" s="9" t="str">
        <f>IFERROR(__xludf.DUMMYFUNCTION("GOOGLETRANSLATE($A524,""en"",""fr"")"),"Vorarlberg")</f>
        <v>Vorarlberg</v>
      </c>
      <c r="E524" s="9" t="str">
        <f>IFERROR(__xludf.DUMMYFUNCTION("GOOGLETRANSLATE($A524,""en"",""es"")"),"Vorarlberg")</f>
        <v>Vorarlberg</v>
      </c>
      <c r="F524" s="9" t="str">
        <f>IFERROR(__xludf.DUMMYFUNCTION("GOOGLETRANSLATE($A524,""en"",""it"")"),"Vorarlberg")</f>
        <v>Vorarlberg</v>
      </c>
      <c r="G524" s="9" t="str">
        <f>IFERROR(__xludf.DUMMYFUNCTION("GOOGLETRANSLATE($A524,""en"",""zh-cn"")"),"福拉尔贝格州")</f>
        <v>福拉尔贝格州</v>
      </c>
      <c r="H524" s="9" t="str">
        <f>IFERROR(__xludf.DUMMYFUNCTION("GOOGLETRANSLATE($A524,""en"",""ja"")"),"フォアアールベルク州")</f>
        <v>フォアアールベルク州</v>
      </c>
      <c r="I524" s="9" t="str">
        <f>IFERROR(__xludf.DUMMYFUNCTION("GOOGLETRANSLATE($A524,""en"",""ko"")"),"포어아를베르크")</f>
        <v>포어아를베르크</v>
      </c>
      <c r="J524" s="9" t="str">
        <f>IFERROR(__xludf.DUMMYFUNCTION("GOOGLETRANSLATE($A524,""en"",""pt-BR"")"),"Vorarlberg")</f>
        <v>Vorarlberg</v>
      </c>
    </row>
    <row r="525">
      <c r="A525" s="9" t="str">
        <f>IFERROR(__xludf.DUMMYFUNCTION("""COMPUTED_VALUE"""),"Wien")</f>
        <v>Wien</v>
      </c>
      <c r="B525" s="9" t="str">
        <f>IFERROR(__xludf.DUMMYFUNCTION("""COMPUTED_VALUE"""),"at-9")</f>
        <v>at-9</v>
      </c>
      <c r="C525" s="9" t="str">
        <f>IFERROR(__xludf.DUMMYFUNCTION("GOOGLETRANSLATE($A525,""en"",""de"")"),"Wien")</f>
        <v>Wien</v>
      </c>
      <c r="D525" s="9" t="str">
        <f>IFERROR(__xludf.DUMMYFUNCTION("GOOGLETRANSLATE($A525,""en"",""fr"")"),"Vienne")</f>
        <v>Vienne</v>
      </c>
      <c r="E525" s="9" t="str">
        <f>IFERROR(__xludf.DUMMYFUNCTION("GOOGLETRANSLATE($A525,""en"",""es"")"),"Viena")</f>
        <v>Viena</v>
      </c>
      <c r="F525" s="9" t="str">
        <f>IFERROR(__xludf.DUMMYFUNCTION("GOOGLETRANSLATE($A525,""en"",""it"")"),"Vienna")</f>
        <v>Vienna</v>
      </c>
      <c r="G525" s="9" t="str">
        <f>IFERROR(__xludf.DUMMYFUNCTION("GOOGLETRANSLATE($A525,""en"",""zh-cn"")"),"维也纳")</f>
        <v>维也纳</v>
      </c>
      <c r="H525" s="9" t="str">
        <f>IFERROR(__xludf.DUMMYFUNCTION("GOOGLETRANSLATE($A525,""en"",""ja"")"),"ウィーン")</f>
        <v>ウィーン</v>
      </c>
      <c r="I525" s="9" t="str">
        <f>IFERROR(__xludf.DUMMYFUNCTION("GOOGLETRANSLATE($A525,""en"",""ko"")"),"빈")</f>
        <v>빈</v>
      </c>
      <c r="J525" s="9" t="str">
        <f>IFERROR(__xludf.DUMMYFUNCTION("GOOGLETRANSLATE($A525,""en"",""pt-BR"")"),"Viena")</f>
        <v>Viena</v>
      </c>
    </row>
    <row r="526">
      <c r="A526" s="9" t="str">
        <f>IFERROR(__xludf.DUMMYFUNCTION("""COMPUTED_VALUE"""),"Babək")</f>
        <v>Babək</v>
      </c>
      <c r="B526" s="9" t="str">
        <f>IFERROR(__xludf.DUMMYFUNCTION("""COMPUTED_VALUE"""),"az-bab")</f>
        <v>az-bab</v>
      </c>
      <c r="C526" s="9" t="str">
        <f>IFERROR(__xludf.DUMMYFUNCTION("GOOGLETRANSLATE($A526,""en"",""de"")"),"Babək")</f>
        <v>Babək</v>
      </c>
      <c r="D526" s="9" t="str">
        <f>IFERROR(__xludf.DUMMYFUNCTION("GOOGLETRANSLATE($A526,""en"",""fr"")"),"Babək")</f>
        <v>Babək</v>
      </c>
      <c r="E526" s="9" t="str">
        <f>IFERROR(__xludf.DUMMYFUNCTION("GOOGLETRANSLATE($A526,""en"",""es"")"),"Babək")</f>
        <v>Babək</v>
      </c>
      <c r="F526" s="9" t="str">
        <f>IFERROR(__xludf.DUMMYFUNCTION("GOOGLETRANSLATE($A526,""en"",""it"")"),"Babək")</f>
        <v>Babək</v>
      </c>
      <c r="G526" s="9" t="str">
        <f>IFERROR(__xludf.DUMMYFUNCTION("GOOGLETRANSLATE($A526,""en"",""zh-cn"")"),"巴布克")</f>
        <v>巴布克</v>
      </c>
      <c r="H526" s="9" t="str">
        <f>IFERROR(__xludf.DUMMYFUNCTION("GOOGLETRANSLATE($A526,""en"",""ja"")"),"ババク")</f>
        <v>ババク</v>
      </c>
      <c r="I526" s="9" t="str">
        <f>IFERROR(__xludf.DUMMYFUNCTION("GOOGLETRANSLATE($A526,""en"",""ko"")"),"바벡")</f>
        <v>바벡</v>
      </c>
      <c r="J526" s="9" t="str">
        <f>IFERROR(__xludf.DUMMYFUNCTION("GOOGLETRANSLATE($A526,""en"",""pt-BR"")"),"Babək")</f>
        <v>Babək</v>
      </c>
    </row>
    <row r="527">
      <c r="A527" s="9" t="str">
        <f>IFERROR(__xludf.DUMMYFUNCTION("""COMPUTED_VALUE"""),"Xankəndi")</f>
        <v>Xankəndi</v>
      </c>
      <c r="B527" s="9" t="str">
        <f>IFERROR(__xludf.DUMMYFUNCTION("""COMPUTED_VALUE"""),"az-xa")</f>
        <v>az-xa</v>
      </c>
      <c r="C527" s="9" t="str">
        <f>IFERROR(__xludf.DUMMYFUNCTION("GOOGLETRANSLATE($A527,""en"",""de"")"),"Xankəndi")</f>
        <v>Xankəndi</v>
      </c>
      <c r="D527" s="9" t="str">
        <f>IFERROR(__xludf.DUMMYFUNCTION("GOOGLETRANSLATE($A527,""en"",""fr"")"),"Xankəndi")</f>
        <v>Xankəndi</v>
      </c>
      <c r="E527" s="9" t="str">
        <f>IFERROR(__xludf.DUMMYFUNCTION("GOOGLETRANSLATE($A527,""en"",""es"")"),"Xankəndi")</f>
        <v>Xankəndi</v>
      </c>
      <c r="F527" s="9" t="str">
        <f>IFERROR(__xludf.DUMMYFUNCTION("GOOGLETRANSLATE($A527,""en"",""it"")"),"Xankəndi")</f>
        <v>Xankəndi</v>
      </c>
      <c r="G527" s="9" t="str">
        <f>IFERROR(__xludf.DUMMYFUNCTION("GOOGLETRANSLATE($A527,""en"",""zh-cn"")"),"桑肯迪")</f>
        <v>桑肯迪</v>
      </c>
      <c r="H527" s="9" t="str">
        <f>IFERROR(__xludf.DUMMYFUNCTION("GOOGLETRANSLATE($A527,""en"",""ja"")"),"ザンカンディ")</f>
        <v>ザンカンディ</v>
      </c>
      <c r="I527" s="9" t="str">
        <f>IFERROR(__xludf.DUMMYFUNCTION("GOOGLETRANSLATE($A527,""en"",""ko"")"),"Xankəndi")</f>
        <v>Xankəndi</v>
      </c>
      <c r="J527" s="9" t="str">
        <f>IFERROR(__xludf.DUMMYFUNCTION("GOOGLETRANSLATE($A527,""en"",""pt-BR"")"),"Xankəndi")</f>
        <v>Xankəndi</v>
      </c>
    </row>
    <row r="528">
      <c r="A528" s="9" t="str">
        <f>IFERROR(__xludf.DUMMYFUNCTION("""COMPUTED_VALUE"""),"Şuşa")</f>
        <v>Şuşa</v>
      </c>
      <c r="B528" s="9" t="str">
        <f>IFERROR(__xludf.DUMMYFUNCTION("""COMPUTED_VALUE"""),"az-sus")</f>
        <v>az-sus</v>
      </c>
      <c r="C528" s="9" t="str">
        <f>IFERROR(__xludf.DUMMYFUNCTION("GOOGLETRANSLATE($A528,""en"",""de"")"),"Şuşa")</f>
        <v>Şuşa</v>
      </c>
      <c r="D528" s="9" t="str">
        <f>IFERROR(__xludf.DUMMYFUNCTION("GOOGLETRANSLATE($A528,""en"",""fr"")"),"Suşa")</f>
        <v>Suşa</v>
      </c>
      <c r="E528" s="9" t="str">
        <f>IFERROR(__xludf.DUMMYFUNCTION("GOOGLETRANSLATE($A528,""en"",""es"")"),"Suşa")</f>
        <v>Suşa</v>
      </c>
      <c r="F528" s="9" t="str">
        <f>IFERROR(__xludf.DUMMYFUNCTION("GOOGLETRANSLATE($A528,""en"",""it"")"),"Susa")</f>
        <v>Susa</v>
      </c>
      <c r="G528" s="9" t="str">
        <f>IFERROR(__xludf.DUMMYFUNCTION("GOOGLETRANSLATE($A528,""en"",""zh-cn"")"),"苏萨")</f>
        <v>苏萨</v>
      </c>
      <c r="H528" s="9" t="str">
        <f>IFERROR(__xludf.DUMMYFUNCTION("GOOGLETRANSLATE($A528,""en"",""ja"")"),"シュシャ")</f>
        <v>シュシャ</v>
      </c>
      <c r="I528" s="9" t="str">
        <f>IFERROR(__xludf.DUMMYFUNCTION("GOOGLETRANSLATE($A528,""en"",""ko"")"),"슈샤")</f>
        <v>슈샤</v>
      </c>
      <c r="J528" s="9" t="str">
        <f>IFERROR(__xludf.DUMMYFUNCTION("GOOGLETRANSLATE($A528,""en"",""pt-BR"")"),"Suşa")</f>
        <v>Suşa</v>
      </c>
    </row>
    <row r="529">
      <c r="A529" s="9" t="str">
        <f>IFERROR(__xludf.DUMMYFUNCTION("""COMPUTED_VALUE"""),"Oğuz")</f>
        <v>Oğuz</v>
      </c>
      <c r="B529" s="9" t="str">
        <f>IFERROR(__xludf.DUMMYFUNCTION("""COMPUTED_VALUE"""),"az-ogu")</f>
        <v>az-ogu</v>
      </c>
      <c r="C529" s="9" t="str">
        <f>IFERROR(__xludf.DUMMYFUNCTION("GOOGLETRANSLATE($A529,""en"",""de"")"),"Oğuz")</f>
        <v>Oğuz</v>
      </c>
      <c r="D529" s="9" t="str">
        <f>IFERROR(__xludf.DUMMYFUNCTION("GOOGLETRANSLATE($A529,""en"",""fr"")"),"Oğuz")</f>
        <v>Oğuz</v>
      </c>
      <c r="E529" s="9" t="str">
        <f>IFERROR(__xludf.DUMMYFUNCTION("GOOGLETRANSLATE($A529,""en"",""es"")"),"Oğuz")</f>
        <v>Oğuz</v>
      </c>
      <c r="F529" s="9" t="str">
        <f>IFERROR(__xludf.DUMMYFUNCTION("GOOGLETRANSLATE($A529,""en"",""it"")"),"Oğuz")</f>
        <v>Oğuz</v>
      </c>
      <c r="G529" s="9" t="str">
        <f>IFERROR(__xludf.DUMMYFUNCTION("GOOGLETRANSLATE($A529,""en"",""zh-cn"")"),"奥古兹")</f>
        <v>奥古兹</v>
      </c>
      <c r="H529" s="9" t="str">
        <f>IFERROR(__xludf.DUMMYFUNCTION("GOOGLETRANSLATE($A529,""en"",""ja"")"),"オグズ")</f>
        <v>オグズ</v>
      </c>
      <c r="I529" s="9" t="str">
        <f>IFERROR(__xludf.DUMMYFUNCTION("GOOGLETRANSLATE($A529,""en"",""ko"")"),"오구즈")</f>
        <v>오구즈</v>
      </c>
      <c r="J529" s="9" t="str">
        <f>IFERROR(__xludf.DUMMYFUNCTION("GOOGLETRANSLATE($A529,""en"",""pt-BR"")"),"Oğuz")</f>
        <v>Oğuz</v>
      </c>
    </row>
    <row r="530">
      <c r="A530" s="9" t="str">
        <f>IFERROR(__xludf.DUMMYFUNCTION("""COMPUTED_VALUE"""),"Salyan")</f>
        <v>Salyan</v>
      </c>
      <c r="B530" s="9" t="str">
        <f>IFERROR(__xludf.DUMMYFUNCTION("""COMPUTED_VALUE"""),"az-sal")</f>
        <v>az-sal</v>
      </c>
      <c r="C530" s="9" t="str">
        <f>IFERROR(__xludf.DUMMYFUNCTION("GOOGLETRANSLATE($A530,""en"",""de"")"),"Salyan")</f>
        <v>Salyan</v>
      </c>
      <c r="D530" s="9" t="str">
        <f>IFERROR(__xludf.DUMMYFUNCTION("GOOGLETRANSLATE($A530,""en"",""fr"")"),"Salyan")</f>
        <v>Salyan</v>
      </c>
      <c r="E530" s="9" t="str">
        <f>IFERROR(__xludf.DUMMYFUNCTION("GOOGLETRANSLATE($A530,""en"",""es"")"),"Salyan")</f>
        <v>Salyan</v>
      </c>
      <c r="F530" s="9" t="str">
        <f>IFERROR(__xludf.DUMMYFUNCTION("GOOGLETRANSLATE($A530,""en"",""it"")"),"Salyan")</f>
        <v>Salyan</v>
      </c>
      <c r="G530" s="9" t="str">
        <f>IFERROR(__xludf.DUMMYFUNCTION("GOOGLETRANSLATE($A530,""en"",""zh-cn"")"),"萨尔扬")</f>
        <v>萨尔扬</v>
      </c>
      <c r="H530" s="9" t="str">
        <f>IFERROR(__xludf.DUMMYFUNCTION("GOOGLETRANSLATE($A530,""en"",""ja"")"),"サリアン")</f>
        <v>サリアン</v>
      </c>
      <c r="I530" s="9" t="str">
        <f>IFERROR(__xludf.DUMMYFUNCTION("GOOGLETRANSLATE($A530,""en"",""ko"")"),"살리안")</f>
        <v>살리안</v>
      </c>
      <c r="J530" s="9" t="str">
        <f>IFERROR(__xludf.DUMMYFUNCTION("GOOGLETRANSLATE($A530,""en"",""pt-BR"")"),"Salyan")</f>
        <v>Salyan</v>
      </c>
    </row>
    <row r="531">
      <c r="A531" s="9" t="str">
        <f>IFERROR(__xludf.DUMMYFUNCTION("""COMPUTED_VALUE"""),"Saatlı")</f>
        <v>Saatlı</v>
      </c>
      <c r="B531" s="9" t="str">
        <f>IFERROR(__xludf.DUMMYFUNCTION("""COMPUTED_VALUE"""),"az-sat")</f>
        <v>az-sat</v>
      </c>
      <c r="C531" s="9" t="str">
        <f>IFERROR(__xludf.DUMMYFUNCTION("GOOGLETRANSLATE($A531,""en"",""de"")"),"Saatlı")</f>
        <v>Saatlı</v>
      </c>
      <c r="D531" s="9" t="str">
        <f>IFERROR(__xludf.DUMMYFUNCTION("GOOGLETRANSLATE($A531,""en"",""fr"")"),"Saatli")</f>
        <v>Saatli</v>
      </c>
      <c r="E531" s="9" t="str">
        <f>IFERROR(__xludf.DUMMYFUNCTION("GOOGLETRANSLATE($A531,""en"",""es"")"),"Saatli")</f>
        <v>Saatli</v>
      </c>
      <c r="F531" s="9" t="str">
        <f>IFERROR(__xludf.DUMMYFUNCTION("GOOGLETRANSLATE($A531,""en"",""it"")"),"Saatlı")</f>
        <v>Saatlı</v>
      </c>
      <c r="G531" s="9" t="str">
        <f>IFERROR(__xludf.DUMMYFUNCTION("GOOGLETRANSLATE($A531,""en"",""zh-cn"")"),"萨特利")</f>
        <v>萨特利</v>
      </c>
      <c r="H531" s="9" t="str">
        <f>IFERROR(__xludf.DUMMYFUNCTION("GOOGLETRANSLATE($A531,""en"",""ja"")"),"サートル")</f>
        <v>サートル</v>
      </c>
      <c r="I531" s="9" t="str">
        <f>IFERROR(__xludf.DUMMYFUNCTION("GOOGLETRANSLATE($A531,""en"",""ko"")"),"사틀리")</f>
        <v>사틀리</v>
      </c>
      <c r="J531" s="9" t="str">
        <f>IFERROR(__xludf.DUMMYFUNCTION("GOOGLETRANSLATE($A531,""en"",""pt-BR"")"),"Saatli")</f>
        <v>Saatli</v>
      </c>
    </row>
    <row r="532">
      <c r="A532" s="9" t="str">
        <f>IFERROR(__xludf.DUMMYFUNCTION("""COMPUTED_VALUE"""),"Şabran")</f>
        <v>Şabran</v>
      </c>
      <c r="B532" s="9" t="str">
        <f>IFERROR(__xludf.DUMMYFUNCTION("""COMPUTED_VALUE"""),"az-sbn")</f>
        <v>az-sbn</v>
      </c>
      <c r="C532" s="9" t="str">
        <f>IFERROR(__xludf.DUMMYFUNCTION("GOOGLETRANSLATE($A532,""en"",""de"")"),"Şabran")</f>
        <v>Şabran</v>
      </c>
      <c r="D532" s="9" t="str">
        <f>IFERROR(__xludf.DUMMYFUNCTION("GOOGLETRANSLATE($A532,""en"",""fr"")"),"Sabran")</f>
        <v>Sabran</v>
      </c>
      <c r="E532" s="9" t="str">
        <f>IFERROR(__xludf.DUMMYFUNCTION("GOOGLETRANSLATE($A532,""en"",""es"")"),"sabran")</f>
        <v>sabran</v>
      </c>
      <c r="F532" s="9" t="str">
        <f>IFERROR(__xludf.DUMMYFUNCTION("GOOGLETRANSLATE($A532,""en"",""it"")"),"Şabran")</f>
        <v>Şabran</v>
      </c>
      <c r="G532" s="9" t="str">
        <f>IFERROR(__xludf.DUMMYFUNCTION("GOOGLETRANSLATE($A532,""en"",""zh-cn"")"),"萨布兰")</f>
        <v>萨布兰</v>
      </c>
      <c r="H532" s="9" t="str">
        <f>IFERROR(__xludf.DUMMYFUNCTION("GOOGLETRANSLATE($A532,""en"",""ja"")"),"シャブラン")</f>
        <v>シャブラン</v>
      </c>
      <c r="I532" s="9" t="str">
        <f>IFERROR(__xludf.DUMMYFUNCTION("GOOGLETRANSLATE($A532,""en"",""ko"")"),"샤브란")</f>
        <v>샤브란</v>
      </c>
      <c r="J532" s="9" t="str">
        <f>IFERROR(__xludf.DUMMYFUNCTION("GOOGLETRANSLATE($A532,""en"",""pt-BR"")"),"Şabran")</f>
        <v>Şabran</v>
      </c>
    </row>
    <row r="533">
      <c r="A533" s="9" t="str">
        <f>IFERROR(__xludf.DUMMYFUNCTION("""COMPUTED_VALUE"""),"Abşeron")</f>
        <v>Abşeron</v>
      </c>
      <c r="B533" s="9" t="str">
        <f>IFERROR(__xludf.DUMMYFUNCTION("""COMPUTED_VALUE"""),"az-abs")</f>
        <v>az-abs</v>
      </c>
      <c r="C533" s="9" t="str">
        <f>IFERROR(__xludf.DUMMYFUNCTION("GOOGLETRANSLATE($A533,""en"",""de"")"),"Abşeron")</f>
        <v>Abşeron</v>
      </c>
      <c r="D533" s="9" t="str">
        <f>IFERROR(__xludf.DUMMYFUNCTION("GOOGLETRANSLATE($A533,""en"",""fr"")"),"Abşeron")</f>
        <v>Abşeron</v>
      </c>
      <c r="E533" s="9" t="str">
        <f>IFERROR(__xludf.DUMMYFUNCTION("GOOGLETRANSLATE($A533,""en"",""es"")"),"abşeron")</f>
        <v>abşeron</v>
      </c>
      <c r="F533" s="9" t="str">
        <f>IFERROR(__xludf.DUMMYFUNCTION("GOOGLETRANSLATE($A533,""en"",""it"")"),"Abşeron")</f>
        <v>Abşeron</v>
      </c>
      <c r="G533" s="9" t="str">
        <f>IFERROR(__xludf.DUMMYFUNCTION("GOOGLETRANSLATE($A533,""en"",""zh-cn"")"),"阿布塞隆")</f>
        <v>阿布塞隆</v>
      </c>
      <c r="H533" s="9" t="str">
        <f>IFERROR(__xludf.DUMMYFUNCTION("GOOGLETRANSLATE($A533,""en"",""ja"")"),"アブシェロン")</f>
        <v>アブシェロン</v>
      </c>
      <c r="I533" s="9" t="str">
        <f>IFERROR(__xludf.DUMMYFUNCTION("GOOGLETRANSLATE($A533,""en"",""ko"")"),"압세론")</f>
        <v>압세론</v>
      </c>
      <c r="J533" s="9" t="str">
        <f>IFERROR(__xludf.DUMMYFUNCTION("GOOGLETRANSLATE($A533,""en"",""pt-BR"")"),"Abseron")</f>
        <v>Abseron</v>
      </c>
    </row>
    <row r="534">
      <c r="A534" s="9" t="str">
        <f>IFERROR(__xludf.DUMMYFUNCTION("""COMPUTED_VALUE"""),"Biləsuvar")</f>
        <v>Biləsuvar</v>
      </c>
      <c r="B534" s="9" t="str">
        <f>IFERROR(__xludf.DUMMYFUNCTION("""COMPUTED_VALUE"""),"az-bil")</f>
        <v>az-bil</v>
      </c>
      <c r="C534" s="9" t="str">
        <f>IFERROR(__xludf.DUMMYFUNCTION("GOOGLETRANSLATE($A534,""en"",""de"")"),"Biləsuvar")</f>
        <v>Biləsuvar</v>
      </c>
      <c r="D534" s="9" t="str">
        <f>IFERROR(__xludf.DUMMYFUNCTION("GOOGLETRANSLATE($A534,""en"",""fr"")"),"Biləsuvar")</f>
        <v>Biləsuvar</v>
      </c>
      <c r="E534" s="9" t="str">
        <f>IFERROR(__xludf.DUMMYFUNCTION("GOOGLETRANSLATE($A534,""en"",""es"")"),"Biləsuvar")</f>
        <v>Biləsuvar</v>
      </c>
      <c r="F534" s="9" t="str">
        <f>IFERROR(__xludf.DUMMYFUNCTION("GOOGLETRANSLATE($A534,""en"",""it"")"),"Biləsuvar")</f>
        <v>Biləsuvar</v>
      </c>
      <c r="G534" s="9" t="str">
        <f>IFERROR(__xludf.DUMMYFUNCTION("GOOGLETRANSLATE($A534,""en"",""zh-cn"")"),"比勒苏瓦尔")</f>
        <v>比勒苏瓦尔</v>
      </c>
      <c r="H534" s="9" t="str">
        <f>IFERROR(__xludf.DUMMYFUNCTION("GOOGLETRANSLATE($A534,""en"",""ja"")"),"ビルスヴァール")</f>
        <v>ビルスヴァール</v>
      </c>
      <c r="I534" s="9" t="str">
        <f>IFERROR(__xludf.DUMMYFUNCTION("GOOGLETRANSLATE($A534,""en"",""ko"")"),"Biləsuvar")</f>
        <v>Biləsuvar</v>
      </c>
      <c r="J534" s="9" t="str">
        <f>IFERROR(__xludf.DUMMYFUNCTION("GOOGLETRANSLATE($A534,""en"",""pt-BR"")"),"Biləsuvar")</f>
        <v>Biləsuvar</v>
      </c>
    </row>
    <row r="535">
      <c r="A535" s="9" t="str">
        <f>IFERROR(__xludf.DUMMYFUNCTION("""COMPUTED_VALUE"""),"Masallı")</f>
        <v>Masallı</v>
      </c>
      <c r="B535" s="9" t="str">
        <f>IFERROR(__xludf.DUMMYFUNCTION("""COMPUTED_VALUE"""),"az-mas")</f>
        <v>az-mas</v>
      </c>
      <c r="C535" s="9" t="str">
        <f>IFERROR(__xludf.DUMMYFUNCTION("GOOGLETRANSLATE($A535,""en"",""de"")"),"Masallı")</f>
        <v>Masallı</v>
      </c>
      <c r="D535" s="9" t="str">
        <f>IFERROR(__xludf.DUMMYFUNCTION("GOOGLETRANSLATE($A535,""en"",""fr"")"),"Masalli")</f>
        <v>Masalli</v>
      </c>
      <c r="E535" s="9" t="str">
        <f>IFERROR(__xludf.DUMMYFUNCTION("GOOGLETRANSLATE($A535,""en"",""es"")"),"Masalli")</f>
        <v>Masalli</v>
      </c>
      <c r="F535" s="9" t="str">
        <f>IFERROR(__xludf.DUMMYFUNCTION("GOOGLETRANSLATE($A535,""en"",""it"")"),"Masallı")</f>
        <v>Masallı</v>
      </c>
      <c r="G535" s="9" t="str">
        <f>IFERROR(__xludf.DUMMYFUNCTION("GOOGLETRANSLATE($A535,""en"",""zh-cn"")"),"马萨里")</f>
        <v>马萨里</v>
      </c>
      <c r="H535" s="9" t="str">
        <f>IFERROR(__xludf.DUMMYFUNCTION("GOOGLETRANSLATE($A535,""en"",""ja"")"),"マサリ")</f>
        <v>マサリ</v>
      </c>
      <c r="I535" s="9" t="str">
        <f>IFERROR(__xludf.DUMMYFUNCTION("GOOGLETRANSLATE($A535,""en"",""ko"")"),"마살리")</f>
        <v>마살리</v>
      </c>
      <c r="J535" s="9" t="str">
        <f>IFERROR(__xludf.DUMMYFUNCTION("GOOGLETRANSLATE($A535,""en"",""pt-BR"")"),"Masallı")</f>
        <v>Masallı</v>
      </c>
    </row>
    <row r="536">
      <c r="A536" s="9" t="str">
        <f>IFERROR(__xludf.DUMMYFUNCTION("""COMPUTED_VALUE"""),"Zəngilan")</f>
        <v>Zəngilan</v>
      </c>
      <c r="B536" s="9" t="str">
        <f>IFERROR(__xludf.DUMMYFUNCTION("""COMPUTED_VALUE"""),"az-zan")</f>
        <v>az-zan</v>
      </c>
      <c r="C536" s="9" t="str">
        <f>IFERROR(__xludf.DUMMYFUNCTION("GOOGLETRANSLATE($A536,""en"",""de"")"),"Zəngilan")</f>
        <v>Zəngilan</v>
      </c>
      <c r="D536" s="9" t="str">
        <f>IFERROR(__xludf.DUMMYFUNCTION("GOOGLETRANSLATE($A536,""en"",""fr"")"),"Zəngilan")</f>
        <v>Zəngilan</v>
      </c>
      <c r="E536" s="9" t="str">
        <f>IFERROR(__xludf.DUMMYFUNCTION("GOOGLETRANSLATE($A536,""en"",""es"")"),"Zəngilan")</f>
        <v>Zəngilan</v>
      </c>
      <c r="F536" s="9" t="str">
        <f>IFERROR(__xludf.DUMMYFUNCTION("GOOGLETRANSLATE($A536,""en"",""it"")"),"Zəngilan")</f>
        <v>Zəngilan</v>
      </c>
      <c r="G536" s="9" t="str">
        <f>IFERROR(__xludf.DUMMYFUNCTION("GOOGLETRANSLATE($A536,""en"",""zh-cn"")"),"赞吉兰")</f>
        <v>赞吉兰</v>
      </c>
      <c r="H536" s="9" t="str">
        <f>IFERROR(__xludf.DUMMYFUNCTION("GOOGLETRANSLATE($A536,""en"",""ja"")"),"ザンギラン")</f>
        <v>ザンギラン</v>
      </c>
      <c r="I536" s="9" t="str">
        <f>IFERROR(__xludf.DUMMYFUNCTION("GOOGLETRANSLATE($A536,""en"",""ko"")"),"Zəngilan")</f>
        <v>Zəngilan</v>
      </c>
      <c r="J536" s="9" t="str">
        <f>IFERROR(__xludf.DUMMYFUNCTION("GOOGLETRANSLATE($A536,""en"",""pt-BR"")"),"Zəngilan")</f>
        <v>Zəngilan</v>
      </c>
    </row>
    <row r="537">
      <c r="A537" s="9" t="str">
        <f>IFERROR(__xludf.DUMMYFUNCTION("""COMPUTED_VALUE"""),"Ağstafa")</f>
        <v>Ağstafa</v>
      </c>
      <c r="B537" s="9" t="str">
        <f>IFERROR(__xludf.DUMMYFUNCTION("""COMPUTED_VALUE"""),"az-aga")</f>
        <v>az-aga</v>
      </c>
      <c r="C537" s="9" t="str">
        <f>IFERROR(__xludf.DUMMYFUNCTION("GOOGLETRANSLATE($A537,""en"",""de"")"),"Ağstafa")</f>
        <v>Ağstafa</v>
      </c>
      <c r="D537" s="9" t="str">
        <f>IFERROR(__xludf.DUMMYFUNCTION("GOOGLETRANSLATE($A537,""en"",""fr"")"),"Agstafa")</f>
        <v>Agstafa</v>
      </c>
      <c r="E537" s="9" t="str">
        <f>IFERROR(__xludf.DUMMYFUNCTION("GOOGLETRANSLATE($A537,""en"",""es"")"),"Ağstafa")</f>
        <v>Ağstafa</v>
      </c>
      <c r="F537" s="9" t="str">
        <f>IFERROR(__xludf.DUMMYFUNCTION("GOOGLETRANSLATE($A537,""en"",""it"")"),"Agstafa")</f>
        <v>Agstafa</v>
      </c>
      <c r="G537" s="9" t="str">
        <f>IFERROR(__xludf.DUMMYFUNCTION("GOOGLETRANSLATE($A537,""en"",""zh-cn"")"),"阿斯塔法")</f>
        <v>阿斯塔法</v>
      </c>
      <c r="H537" s="9" t="str">
        <f>IFERROR(__xludf.DUMMYFUNCTION("GOOGLETRANSLATE($A537,""en"",""ja"")"),"アシュタファ")</f>
        <v>アシュタファ</v>
      </c>
      <c r="I537" s="9" t="str">
        <f>IFERROR(__xludf.DUMMYFUNCTION("GOOGLETRANSLATE($A537,""en"",""ko"")"),"아스타파")</f>
        <v>아스타파</v>
      </c>
      <c r="J537" s="9" t="str">
        <f>IFERROR(__xludf.DUMMYFUNCTION("GOOGLETRANSLATE($A537,""en"",""pt-BR"")"),"Ağstafa")</f>
        <v>Ağstafa</v>
      </c>
    </row>
    <row r="538">
      <c r="A538" s="9" t="str">
        <f>IFERROR(__xludf.DUMMYFUNCTION("""COMPUTED_VALUE"""),"Bərdə")</f>
        <v>Bərdə</v>
      </c>
      <c r="B538" s="9" t="str">
        <f>IFERROR(__xludf.DUMMYFUNCTION("""COMPUTED_VALUE"""),"az-bar")</f>
        <v>az-bar</v>
      </c>
      <c r="C538" s="9" t="str">
        <f>IFERROR(__xludf.DUMMYFUNCTION("GOOGLETRANSLATE($A538,""en"",""de"")"),"Bərdə")</f>
        <v>Bərdə</v>
      </c>
      <c r="D538" s="9" t="str">
        <f>IFERROR(__xludf.DUMMYFUNCTION("GOOGLETRANSLATE($A538,""en"",""fr"")"),"Bərdə")</f>
        <v>Bərdə</v>
      </c>
      <c r="E538" s="9" t="str">
        <f>IFERROR(__xludf.DUMMYFUNCTION("GOOGLETRANSLATE($A538,""en"",""es"")"),"Bərdə")</f>
        <v>Bərdə</v>
      </c>
      <c r="F538" s="9" t="str">
        <f>IFERROR(__xludf.DUMMYFUNCTION("GOOGLETRANSLATE($A538,""en"",""it"")"),"Bərdə")</f>
        <v>Bərdə</v>
      </c>
      <c r="G538" s="9" t="str">
        <f>IFERROR(__xludf.DUMMYFUNCTION("GOOGLETRANSLATE($A538,""en"",""zh-cn"")"),"伯德")</f>
        <v>伯德</v>
      </c>
      <c r="H538" s="9" t="str">
        <f>IFERROR(__xludf.DUMMYFUNCTION("GOOGLETRANSLATE($A538,""en"",""ja"")"),"バルド")</f>
        <v>バルド</v>
      </c>
      <c r="I538" s="9" t="str">
        <f>IFERROR(__xludf.DUMMYFUNCTION("GOOGLETRANSLATE($A538,""en"",""ko"")"),"Bərdə")</f>
        <v>Bərdə</v>
      </c>
      <c r="J538" s="9" t="str">
        <f>IFERROR(__xludf.DUMMYFUNCTION("GOOGLETRANSLATE($A538,""en"",""pt-BR"")"),"Bərdə")</f>
        <v>Bərdə</v>
      </c>
    </row>
    <row r="539">
      <c r="A539" s="9" t="str">
        <f>IFERROR(__xludf.DUMMYFUNCTION("""COMPUTED_VALUE"""),"Qax")</f>
        <v>Qax</v>
      </c>
      <c r="B539" s="9" t="str">
        <f>IFERROR(__xludf.DUMMYFUNCTION("""COMPUTED_VALUE"""),"az-qax")</f>
        <v>az-qax</v>
      </c>
      <c r="C539" s="9" t="str">
        <f>IFERROR(__xludf.DUMMYFUNCTION("GOOGLETRANSLATE($A539,""en"",""de"")"),"Qax")</f>
        <v>Qax</v>
      </c>
      <c r="D539" s="9" t="str">
        <f>IFERROR(__xludf.DUMMYFUNCTION("GOOGLETRANSLATE($A539,""en"",""fr"")"),"QAX")</f>
        <v>QAX</v>
      </c>
      <c r="E539" s="9" t="str">
        <f>IFERROR(__xludf.DUMMYFUNCTION("GOOGLETRANSLATE($A539,""en"",""es"")"),"Qax")</f>
        <v>Qax</v>
      </c>
      <c r="F539" s="9" t="str">
        <f>IFERROR(__xludf.DUMMYFUNCTION("GOOGLETRANSLATE($A539,""en"",""it"")"),"Qax")</f>
        <v>Qax</v>
      </c>
      <c r="G539" s="9" t="str">
        <f>IFERROR(__xludf.DUMMYFUNCTION("GOOGLETRANSLATE($A539,""en"",""zh-cn"")"),"夸克斯")</f>
        <v>夸克斯</v>
      </c>
      <c r="H539" s="9" t="str">
        <f>IFERROR(__xludf.DUMMYFUNCTION("GOOGLETRANSLATE($A539,""en"",""ja"")"),"カックス")</f>
        <v>カックス</v>
      </c>
      <c r="I539" s="9" t="str">
        <f>IFERROR(__xludf.DUMMYFUNCTION("GOOGLETRANSLATE($A539,""en"",""ko"")"),"Qax")</f>
        <v>Qax</v>
      </c>
      <c r="J539" s="9" t="str">
        <f>IFERROR(__xludf.DUMMYFUNCTION("GOOGLETRANSLATE($A539,""en"",""pt-BR"")"),"Qax")</f>
        <v>Qax</v>
      </c>
    </row>
    <row r="540">
      <c r="A540" s="9" t="str">
        <f>IFERROR(__xludf.DUMMYFUNCTION("""COMPUTED_VALUE"""),"Ucar")</f>
        <v>Ucar</v>
      </c>
      <c r="B540" s="9" t="str">
        <f>IFERROR(__xludf.DUMMYFUNCTION("""COMPUTED_VALUE"""),"az-uca")</f>
        <v>az-uca</v>
      </c>
      <c r="C540" s="9" t="str">
        <f>IFERROR(__xludf.DUMMYFUNCTION("GOOGLETRANSLATE($A540,""en"",""de"")"),"Ucar")</f>
        <v>Ucar</v>
      </c>
      <c r="D540" s="9" t="str">
        <f>IFERROR(__xludf.DUMMYFUNCTION("GOOGLETRANSLATE($A540,""en"",""fr"")"),"Ucar")</f>
        <v>Ucar</v>
      </c>
      <c r="E540" s="9" t="str">
        <f>IFERROR(__xludf.DUMMYFUNCTION("GOOGLETRANSLATE($A540,""en"",""es"")"),"Úcar")</f>
        <v>Úcar</v>
      </c>
      <c r="F540" s="9" t="str">
        <f>IFERROR(__xludf.DUMMYFUNCTION("GOOGLETRANSLATE($A540,""en"",""it"")"),"Ucar")</f>
        <v>Ucar</v>
      </c>
      <c r="G540" s="9" t="str">
        <f>IFERROR(__xludf.DUMMYFUNCTION("GOOGLETRANSLATE($A540,""en"",""zh-cn"")"),"优车")</f>
        <v>优车</v>
      </c>
      <c r="H540" s="9" t="str">
        <f>IFERROR(__xludf.DUMMYFUNCTION("GOOGLETRANSLATE($A540,""en"",""ja"")"),"ウカル")</f>
        <v>ウカル</v>
      </c>
      <c r="I540" s="9" t="str">
        <f>IFERROR(__xludf.DUMMYFUNCTION("GOOGLETRANSLATE($A540,""en"",""ko"")"),"우카르")</f>
        <v>우카르</v>
      </c>
      <c r="J540" s="9" t="str">
        <f>IFERROR(__xludf.DUMMYFUNCTION("GOOGLETRANSLATE($A540,""en"",""pt-BR"")"),"Ucar")</f>
        <v>Ucar</v>
      </c>
    </row>
    <row r="541">
      <c r="A541" s="9" t="str">
        <f>IFERROR(__xludf.DUMMYFUNCTION("""COMPUTED_VALUE"""),"Cəbrayıl")</f>
        <v>Cəbrayıl</v>
      </c>
      <c r="B541" s="9" t="str">
        <f>IFERROR(__xludf.DUMMYFUNCTION("""COMPUTED_VALUE"""),"az-cab")</f>
        <v>az-cab</v>
      </c>
      <c r="C541" s="9" t="str">
        <f>IFERROR(__xludf.DUMMYFUNCTION("GOOGLETRANSLATE($A541,""en"",""de"")"),"Cəbrayıl")</f>
        <v>Cəbrayıl</v>
      </c>
      <c r="D541" s="9" t="str">
        <f>IFERROR(__xludf.DUMMYFUNCTION("GOOGLETRANSLATE($A541,""en"",""fr"")"),"Cəbrayıl")</f>
        <v>Cəbrayıl</v>
      </c>
      <c r="E541" s="9" t="str">
        <f>IFERROR(__xludf.DUMMYFUNCTION("GOOGLETRANSLATE($A541,""en"",""es"")"),"Cəbrayıl")</f>
        <v>Cəbrayıl</v>
      </c>
      <c r="F541" s="9" t="str">
        <f>IFERROR(__xludf.DUMMYFUNCTION("GOOGLETRANSLATE($A541,""en"",""it"")"),"Cəbrayil")</f>
        <v>Cəbrayil</v>
      </c>
      <c r="G541" s="9" t="str">
        <f>IFERROR(__xludf.DUMMYFUNCTION("GOOGLETRANSLATE($A541,""en"",""zh-cn"")"),"克布拉伊尔")</f>
        <v>克布拉伊尔</v>
      </c>
      <c r="H541" s="9" t="str">
        <f>IFERROR(__xludf.DUMMYFUNCTION("GOOGLETRANSLATE($A541,""en"",""ja"")"),"チャブライル")</f>
        <v>チャブライル</v>
      </c>
      <c r="I541" s="9" t="str">
        <f>IFERROR(__xludf.DUMMYFUNCTION("GOOGLETRANSLATE($A541,""en"",""ko"")"),"Cəbrayıl")</f>
        <v>Cəbrayıl</v>
      </c>
      <c r="J541" s="9" t="str">
        <f>IFERROR(__xludf.DUMMYFUNCTION("GOOGLETRANSLATE($A541,""en"",""pt-BR"")"),"Cəbrayıl")</f>
        <v>Cəbrayıl</v>
      </c>
    </row>
    <row r="542">
      <c r="A542" s="9" t="str">
        <f>IFERROR(__xludf.DUMMYFUNCTION("""COMPUTED_VALUE"""),"Neftçala")</f>
        <v>Neftçala</v>
      </c>
      <c r="B542" s="9" t="str">
        <f>IFERROR(__xludf.DUMMYFUNCTION("""COMPUTED_VALUE"""),"az-nef")</f>
        <v>az-nef</v>
      </c>
      <c r="C542" s="9" t="str">
        <f>IFERROR(__xludf.DUMMYFUNCTION("GOOGLETRANSLATE($A542,""en"",""de"")"),"Neftçala")</f>
        <v>Neftçala</v>
      </c>
      <c r="D542" s="9" t="str">
        <f>IFERROR(__xludf.DUMMYFUNCTION("GOOGLETRANSLATE($A542,""en"",""fr"")"),"Neftçala")</f>
        <v>Neftçala</v>
      </c>
      <c r="E542" s="9" t="str">
        <f>IFERROR(__xludf.DUMMYFUNCTION("GOOGLETRANSLATE($A542,""en"",""es"")"),"Neftcala")</f>
        <v>Neftcala</v>
      </c>
      <c r="F542" s="9" t="str">
        <f>IFERROR(__xludf.DUMMYFUNCTION("GOOGLETRANSLATE($A542,""en"",""it"")"),"Neftçala")</f>
        <v>Neftçala</v>
      </c>
      <c r="G542" s="9" t="str">
        <f>IFERROR(__xludf.DUMMYFUNCTION("GOOGLETRANSLATE($A542,""en"",""zh-cn"")"),"内夫特卡拉")</f>
        <v>内夫特卡拉</v>
      </c>
      <c r="H542" s="9" t="str">
        <f>IFERROR(__xludf.DUMMYFUNCTION("GOOGLETRANSLATE($A542,""en"",""ja"")"),"ネフチャラ")</f>
        <v>ネフチャラ</v>
      </c>
      <c r="I542" s="9" t="str">
        <f>IFERROR(__xludf.DUMMYFUNCTION("GOOGLETRANSLATE($A542,""en"",""ko"")"),"네프차라")</f>
        <v>네프차라</v>
      </c>
      <c r="J542" s="9" t="str">
        <f>IFERROR(__xludf.DUMMYFUNCTION("GOOGLETRANSLATE($A542,""en"",""pt-BR"")"),"Neftçala")</f>
        <v>Neftçala</v>
      </c>
    </row>
    <row r="543">
      <c r="A543" s="9" t="str">
        <f>IFERROR(__xludf.DUMMYFUNCTION("""COMPUTED_VALUE"""),"Qəbələ")</f>
        <v>Qəbələ</v>
      </c>
      <c r="B543" s="9" t="str">
        <f>IFERROR(__xludf.DUMMYFUNCTION("""COMPUTED_VALUE"""),"az-qab")</f>
        <v>az-qab</v>
      </c>
      <c r="C543" s="9" t="str">
        <f>IFERROR(__xludf.DUMMYFUNCTION("GOOGLETRANSLATE($A543,""en"",""de"")"),"Qəbələ")</f>
        <v>Qəbələ</v>
      </c>
      <c r="D543" s="9" t="str">
        <f>IFERROR(__xludf.DUMMYFUNCTION("GOOGLETRANSLATE($A543,""en"",""fr"")"),"Qəbələ")</f>
        <v>Qəbələ</v>
      </c>
      <c r="E543" s="9" t="str">
        <f>IFERROR(__xludf.DUMMYFUNCTION("GOOGLETRANSLATE($A543,""en"",""es"")"),"Qəbələ")</f>
        <v>Qəbələ</v>
      </c>
      <c r="F543" s="9" t="str">
        <f>IFERROR(__xludf.DUMMYFUNCTION("GOOGLETRANSLATE($A543,""en"",""it"")"),"Qəbələ")</f>
        <v>Qəbələ</v>
      </c>
      <c r="G543" s="9" t="str">
        <f>IFERROR(__xludf.DUMMYFUNCTION("GOOGLETRANSLATE($A543,""en"",""zh-cn"")"),"Qəbələ")</f>
        <v>Qəbələ</v>
      </c>
      <c r="H543" s="9" t="str">
        <f>IFERROR(__xludf.DUMMYFUNCTION("GOOGLETRANSLATE($A543,""en"",""ja"")"),"クバール")</f>
        <v>クバール</v>
      </c>
      <c r="I543" s="9" t="str">
        <f>IFERROR(__xludf.DUMMYFUNCTION("GOOGLETRANSLATE($A543,""en"",""ko"")"),"Qəbələ")</f>
        <v>Qəbələ</v>
      </c>
      <c r="J543" s="9" t="str">
        <f>IFERROR(__xludf.DUMMYFUNCTION("GOOGLETRANSLATE($A543,""en"",""pt-BR"")"),"Qəbələ")</f>
        <v>Qəbələ</v>
      </c>
    </row>
    <row r="544">
      <c r="A544" s="9" t="str">
        <f>IFERROR(__xludf.DUMMYFUNCTION("""COMPUTED_VALUE"""),"Zaqatala")</f>
        <v>Zaqatala</v>
      </c>
      <c r="B544" s="9" t="str">
        <f>IFERROR(__xludf.DUMMYFUNCTION("""COMPUTED_VALUE"""),"az-zaq")</f>
        <v>az-zaq</v>
      </c>
      <c r="C544" s="9" t="str">
        <f>IFERROR(__xludf.DUMMYFUNCTION("GOOGLETRANSLATE($A544,""en"",""de"")"),"Zaqatala")</f>
        <v>Zaqatala</v>
      </c>
      <c r="D544" s="9" t="str">
        <f>IFERROR(__xludf.DUMMYFUNCTION("GOOGLETRANSLATE($A544,""en"",""fr"")"),"Zaqatala")</f>
        <v>Zaqatala</v>
      </c>
      <c r="E544" s="9" t="str">
        <f>IFERROR(__xludf.DUMMYFUNCTION("GOOGLETRANSLATE($A544,""en"",""es"")"),"Zaqatala")</f>
        <v>Zaqatala</v>
      </c>
      <c r="F544" s="9" t="str">
        <f>IFERROR(__xludf.DUMMYFUNCTION("GOOGLETRANSLATE($A544,""en"",""it"")"),"Zaqatala")</f>
        <v>Zaqatala</v>
      </c>
      <c r="G544" s="9" t="str">
        <f>IFERROR(__xludf.DUMMYFUNCTION("GOOGLETRANSLATE($A544,""en"",""zh-cn"")"),"扎卡塔拉")</f>
        <v>扎卡塔拉</v>
      </c>
      <c r="H544" s="9" t="str">
        <f>IFERROR(__xludf.DUMMYFUNCTION("GOOGLETRANSLATE($A544,""en"",""ja"")"),"ザカタラ")</f>
        <v>ザカタラ</v>
      </c>
      <c r="I544" s="9" t="str">
        <f>IFERROR(__xludf.DUMMYFUNCTION("GOOGLETRANSLATE($A544,""en"",""ko"")"),"자카탈라")</f>
        <v>자카탈라</v>
      </c>
      <c r="J544" s="9" t="str">
        <f>IFERROR(__xludf.DUMMYFUNCTION("GOOGLETRANSLATE($A544,""en"",""pt-BR"")"),"Zacatala")</f>
        <v>Zacatala</v>
      </c>
    </row>
    <row r="545">
      <c r="A545" s="9" t="str">
        <f>IFERROR(__xludf.DUMMYFUNCTION("""COMPUTED_VALUE"""),"Qusar")</f>
        <v>Qusar</v>
      </c>
      <c r="B545" s="9" t="str">
        <f>IFERROR(__xludf.DUMMYFUNCTION("""COMPUTED_VALUE"""),"az-qus")</f>
        <v>az-qus</v>
      </c>
      <c r="C545" s="9" t="str">
        <f>IFERROR(__xludf.DUMMYFUNCTION("GOOGLETRANSLATE($A545,""en"",""de"")"),"Qusar")</f>
        <v>Qusar</v>
      </c>
      <c r="D545" s="9" t="str">
        <f>IFERROR(__xludf.DUMMYFUNCTION("GOOGLETRANSLATE($A545,""en"",""fr"")"),"Qusar")</f>
        <v>Qusar</v>
      </c>
      <c r="E545" s="9" t="str">
        <f>IFERROR(__xludf.DUMMYFUNCTION("GOOGLETRANSLATE($A545,""en"",""es"")"),"Qusar")</f>
        <v>Qusar</v>
      </c>
      <c r="F545" s="9" t="str">
        <f>IFERROR(__xludf.DUMMYFUNCTION("GOOGLETRANSLATE($A545,""en"",""it"")"),"Qsar")</f>
        <v>Qsar</v>
      </c>
      <c r="G545" s="9" t="str">
        <f>IFERROR(__xludf.DUMMYFUNCTION("GOOGLETRANSLATE($A545,""en"",""zh-cn"")"),"类星体")</f>
        <v>类星体</v>
      </c>
      <c r="H545" s="9" t="str">
        <f>IFERROR(__xludf.DUMMYFUNCTION("GOOGLETRANSLATE($A545,""en"",""ja"")"),"クサール")</f>
        <v>クサール</v>
      </c>
      <c r="I545" s="9" t="str">
        <f>IFERROR(__xludf.DUMMYFUNCTION("GOOGLETRANSLATE($A545,""en"",""ko"")"),"쿠사르")</f>
        <v>쿠사르</v>
      </c>
      <c r="J545" s="9" t="str">
        <f>IFERROR(__xludf.DUMMYFUNCTION("GOOGLETRANSLATE($A545,""en"",""pt-BR"")"),"Qusar")</f>
        <v>Qusar</v>
      </c>
    </row>
    <row r="546">
      <c r="A546" s="9" t="str">
        <f>IFERROR(__xludf.DUMMYFUNCTION("""COMPUTED_VALUE"""),"Şirvan")</f>
        <v>Şirvan</v>
      </c>
      <c r="B546" s="9" t="str">
        <f>IFERROR(__xludf.DUMMYFUNCTION("""COMPUTED_VALUE"""),"az-sr")</f>
        <v>az-sr</v>
      </c>
      <c r="C546" s="9" t="str">
        <f>IFERROR(__xludf.DUMMYFUNCTION("GOOGLETRANSLATE($A546,""en"",""de"")"),"Sirvan")</f>
        <v>Sirvan</v>
      </c>
      <c r="D546" s="9" t="str">
        <f>IFERROR(__xludf.DUMMYFUNCTION("GOOGLETRANSLATE($A546,""en"",""fr"")"),"Sirvan")</f>
        <v>Sirvan</v>
      </c>
      <c r="E546" s="9" t="str">
        <f>IFERROR(__xludf.DUMMYFUNCTION("GOOGLETRANSLATE($A546,""en"",""es"")"),"Şirván")</f>
        <v>Şirván</v>
      </c>
      <c r="F546" s="9" t="str">
        <f>IFERROR(__xludf.DUMMYFUNCTION("GOOGLETRANSLATE($A546,""en"",""it"")"),"Sirvan")</f>
        <v>Sirvan</v>
      </c>
      <c r="G546" s="9" t="str">
        <f>IFERROR(__xludf.DUMMYFUNCTION("GOOGLETRANSLATE($A546,""en"",""zh-cn"")"),"希尔万")</f>
        <v>希尔万</v>
      </c>
      <c r="H546" s="9" t="str">
        <f>IFERROR(__xludf.DUMMYFUNCTION("GOOGLETRANSLATE($A546,""en"",""ja"")"),"シルヴァン")</f>
        <v>シルヴァン</v>
      </c>
      <c r="I546" s="9" t="str">
        <f>IFERROR(__xludf.DUMMYFUNCTION("GOOGLETRANSLATE($A546,""en"",""ko"")"),"시르반")</f>
        <v>시르반</v>
      </c>
      <c r="J546" s="9" t="str">
        <f>IFERROR(__xludf.DUMMYFUNCTION("GOOGLETRANSLATE($A546,""en"",""pt-BR"")"),"Sirvan")</f>
        <v>Sirvan</v>
      </c>
    </row>
    <row r="547">
      <c r="A547" s="9" t="str">
        <f>IFERROR(__xludf.DUMMYFUNCTION("""COMPUTED_VALUE"""),"Balakən")</f>
        <v>Balakən</v>
      </c>
      <c r="B547" s="9" t="str">
        <f>IFERROR(__xludf.DUMMYFUNCTION("""COMPUTED_VALUE"""),"az-bal")</f>
        <v>az-bal</v>
      </c>
      <c r="C547" s="9" t="str">
        <f>IFERROR(__xludf.DUMMYFUNCTION("GOOGLETRANSLATE($A547,""en"",""de"")"),"Balakən")</f>
        <v>Balakən</v>
      </c>
      <c r="D547" s="9" t="str">
        <f>IFERROR(__xludf.DUMMYFUNCTION("GOOGLETRANSLATE($A547,""en"",""fr"")"),"Balakən")</f>
        <v>Balakən</v>
      </c>
      <c r="E547" s="9" t="str">
        <f>IFERROR(__xludf.DUMMYFUNCTION("GOOGLETRANSLATE($A547,""en"",""es"")"),"balakən")</f>
        <v>balakən</v>
      </c>
      <c r="F547" s="9" t="str">
        <f>IFERROR(__xludf.DUMMYFUNCTION("GOOGLETRANSLATE($A547,""en"",""it"")"),"Balakən")</f>
        <v>Balakən</v>
      </c>
      <c r="G547" s="9" t="str">
        <f>IFERROR(__xludf.DUMMYFUNCTION("GOOGLETRANSLATE($A547,""en"",""zh-cn"")"),"巴拉坎")</f>
        <v>巴拉坎</v>
      </c>
      <c r="H547" s="9" t="str">
        <f>IFERROR(__xludf.DUMMYFUNCTION("GOOGLETRANSLATE($A547,""en"",""ja"")"),"バラカン")</f>
        <v>バラカン</v>
      </c>
      <c r="I547" s="9" t="str">
        <f>IFERROR(__xludf.DUMMYFUNCTION("GOOGLETRANSLATE($A547,""en"",""ko"")"),"발라칸")</f>
        <v>발라칸</v>
      </c>
      <c r="J547" s="9" t="str">
        <f>IFERROR(__xludf.DUMMYFUNCTION("GOOGLETRANSLATE($A547,""en"",""pt-BR"")"),"Balakən")</f>
        <v>Balakən</v>
      </c>
    </row>
    <row r="548">
      <c r="A548" s="9" t="str">
        <f>IFERROR(__xludf.DUMMYFUNCTION("""COMPUTED_VALUE"""),"Lənkəran (Municipality)")</f>
        <v>Lənkəran (Municipality)</v>
      </c>
      <c r="B548" s="9" t="str">
        <f>IFERROR(__xludf.DUMMYFUNCTION("""COMPUTED_VALUE"""),"az-la")</f>
        <v>az-la</v>
      </c>
      <c r="C548" s="9" t="str">
        <f>IFERROR(__xludf.DUMMYFUNCTION("GOOGLETRANSLATE($A548,""en"",""de"")"),"Lənkəran (Gemeinde)")</f>
        <v>Lənkəran (Gemeinde)</v>
      </c>
      <c r="D548" s="9" t="str">
        <f>IFERROR(__xludf.DUMMYFUNCTION("GOOGLETRANSLATE($A548,""en"",""fr"")"),"Lənkəran (Municipalité)")</f>
        <v>Lənkəran (Municipalité)</v>
      </c>
      <c r="E548" s="9" t="str">
        <f>IFERROR(__xludf.DUMMYFUNCTION("GOOGLETRANSLATE($A548,""en"",""es"")"),"Lənkəran (Municipio)")</f>
        <v>Lənkəran (Municipio)</v>
      </c>
      <c r="F548" s="9" t="str">
        <f>IFERROR(__xludf.DUMMYFUNCTION("GOOGLETRANSLATE($A548,""en"",""it"")"),"Lənkəran (Comune)")</f>
        <v>Lənkəran (Comune)</v>
      </c>
      <c r="G548" s="9" t="str">
        <f>IFERROR(__xludf.DUMMYFUNCTION("GOOGLETRANSLATE($A548,""en"",""zh-cn"")"),"Lənkəran（直辖市）")</f>
        <v>Lənkəran（直辖市）</v>
      </c>
      <c r="H548" s="9" t="str">
        <f>IFERROR(__xludf.DUMMYFUNCTION("GOOGLETRANSLATE($A548,""en"",""ja"")"),"Lənkəran (自治体)")</f>
        <v>Lənkəran (自治体)</v>
      </c>
      <c r="I548" s="9" t="str">
        <f>IFERROR(__xludf.DUMMYFUNCTION("GOOGLETRANSLATE($A548,""en"",""ko"")"),"Lənkəran(지방자치단체)")</f>
        <v>Lənkəran(지방자치단체)</v>
      </c>
      <c r="J548" s="9" t="str">
        <f>IFERROR(__xludf.DUMMYFUNCTION("GOOGLETRANSLATE($A548,""en"",""pt-BR"")"),"Lənkəran (município)")</f>
        <v>Lənkəran (município)</v>
      </c>
    </row>
    <row r="549">
      <c r="A549" s="9" t="str">
        <f>IFERROR(__xludf.DUMMYFUNCTION("""COMPUTED_VALUE"""),"Sumqayıt")</f>
        <v>Sumqayıt</v>
      </c>
      <c r="B549" s="9" t="str">
        <f>IFERROR(__xludf.DUMMYFUNCTION("""COMPUTED_VALUE"""),"az-sm")</f>
        <v>az-sm</v>
      </c>
      <c r="C549" s="9" t="str">
        <f>IFERROR(__xludf.DUMMYFUNCTION("GOOGLETRANSLATE($A549,""en"",""de"")"),"Sumqayıt")</f>
        <v>Sumqayıt</v>
      </c>
      <c r="D549" s="9" t="str">
        <f>IFERROR(__xludf.DUMMYFUNCTION("GOOGLETRANSLATE($A549,""en"",""fr"")"),"Sumqayıt")</f>
        <v>Sumqayıt</v>
      </c>
      <c r="E549" s="9" t="str">
        <f>IFERROR(__xludf.DUMMYFUNCTION("GOOGLETRANSLATE($A549,""en"",""es"")"),"Sumqayit")</f>
        <v>Sumqayit</v>
      </c>
      <c r="F549" s="9" t="str">
        <f>IFERROR(__xludf.DUMMYFUNCTION("GOOGLETRANSLATE($A549,""en"",""it"")"),"Sumqayit")</f>
        <v>Sumqayit</v>
      </c>
      <c r="G549" s="9" t="str">
        <f>IFERROR(__xludf.DUMMYFUNCTION("GOOGLETRANSLATE($A549,""en"",""zh-cn"")"),"苏姆盖特")</f>
        <v>苏姆盖特</v>
      </c>
      <c r="H549" s="9" t="str">
        <f>IFERROR(__xludf.DUMMYFUNCTION("GOOGLETRANSLATE($A549,""en"",""ja"")"),"スムガイト")</f>
        <v>スムガイト</v>
      </c>
      <c r="I549" s="9" t="str">
        <f>IFERROR(__xludf.DUMMYFUNCTION("GOOGLETRANSLATE($A549,""en"",""ko"")"),"숨카이트")</f>
        <v>숨카이트</v>
      </c>
      <c r="J549" s="9" t="str">
        <f>IFERROR(__xludf.DUMMYFUNCTION("GOOGLETRANSLATE($A549,""en"",""pt-BR"")"),"Sumqayit")</f>
        <v>Sumqayit</v>
      </c>
    </row>
    <row r="550">
      <c r="A550" s="9" t="str">
        <f>IFERROR(__xludf.DUMMYFUNCTION("""COMPUTED_VALUE"""),"Göyçay")</f>
        <v>Göyçay</v>
      </c>
      <c r="B550" s="9" t="str">
        <f>IFERROR(__xludf.DUMMYFUNCTION("""COMPUTED_VALUE"""),"az-goy")</f>
        <v>az-goy</v>
      </c>
      <c r="C550" s="9" t="str">
        <f>IFERROR(__xludf.DUMMYFUNCTION("GOOGLETRANSLATE($A550,""en"",""de"")"),"Göyçay")</f>
        <v>Göyçay</v>
      </c>
      <c r="D550" s="9" t="str">
        <f>IFERROR(__xludf.DUMMYFUNCTION("GOOGLETRANSLATE($A550,""en"",""fr"")"),"Göyçay")</f>
        <v>Göyçay</v>
      </c>
      <c r="E550" s="9" t="str">
        <f>IFERROR(__xludf.DUMMYFUNCTION("GOOGLETRANSLATE($A550,""en"",""es"")"),"Göyçay")</f>
        <v>Göyçay</v>
      </c>
      <c r="F550" s="9" t="str">
        <f>IFERROR(__xludf.DUMMYFUNCTION("GOOGLETRANSLATE($A550,""en"",""it"")"),"Göyçay")</f>
        <v>Göyçay</v>
      </c>
      <c r="G550" s="9" t="str">
        <f>IFERROR(__xludf.DUMMYFUNCTION("GOOGLETRANSLATE($A550,""en"",""zh-cn"")"),"戈伊赛")</f>
        <v>戈伊赛</v>
      </c>
      <c r="H550" s="9" t="str">
        <f>IFERROR(__xludf.DUMMYFUNCTION("GOOGLETRANSLATE($A550,""en"",""ja"")"),"ゴイザイ")</f>
        <v>ゴイザイ</v>
      </c>
      <c r="I550" s="9" t="str">
        <f>IFERROR(__xludf.DUMMYFUNCTION("GOOGLETRANSLATE($A550,""en"",""ko"")"),"괴이차이")</f>
        <v>괴이차이</v>
      </c>
      <c r="J550" s="9" t="str">
        <f>IFERROR(__xludf.DUMMYFUNCTION("GOOGLETRANSLATE($A550,""en"",""pt-BR"")"),"Göyçay")</f>
        <v>Göyçay</v>
      </c>
    </row>
    <row r="551">
      <c r="A551" s="9" t="str">
        <f>IFERROR(__xludf.DUMMYFUNCTION("""COMPUTED_VALUE"""),"Sabirabad")</f>
        <v>Sabirabad</v>
      </c>
      <c r="B551" s="9" t="str">
        <f>IFERROR(__xludf.DUMMYFUNCTION("""COMPUTED_VALUE"""),"az-sab")</f>
        <v>az-sab</v>
      </c>
      <c r="C551" s="9" t="str">
        <f>IFERROR(__xludf.DUMMYFUNCTION("GOOGLETRANSLATE($A551,""en"",""de"")"),"Sabirabad")</f>
        <v>Sabirabad</v>
      </c>
      <c r="D551" s="9" t="str">
        <f>IFERROR(__xludf.DUMMYFUNCTION("GOOGLETRANSLATE($A551,""en"",""fr"")"),"Sabirabad")</f>
        <v>Sabirabad</v>
      </c>
      <c r="E551" s="9" t="str">
        <f>IFERROR(__xludf.DUMMYFUNCTION("GOOGLETRANSLATE($A551,""en"",""es"")"),"Sabirabad")</f>
        <v>Sabirabad</v>
      </c>
      <c r="F551" s="9" t="str">
        <f>IFERROR(__xludf.DUMMYFUNCTION("GOOGLETRANSLATE($A551,""en"",""it"")"),"Sabirabad")</f>
        <v>Sabirabad</v>
      </c>
      <c r="G551" s="9" t="str">
        <f>IFERROR(__xludf.DUMMYFUNCTION("GOOGLETRANSLATE($A551,""en"",""zh-cn"")"),"萨比拉巴德")</f>
        <v>萨比拉巴德</v>
      </c>
      <c r="H551" s="9" t="str">
        <f>IFERROR(__xludf.DUMMYFUNCTION("GOOGLETRANSLATE($A551,""en"",""ja"")"),"サビラバード")</f>
        <v>サビラバード</v>
      </c>
      <c r="I551" s="9" t="str">
        <f>IFERROR(__xludf.DUMMYFUNCTION("GOOGLETRANSLATE($A551,""en"",""ko"")"),"사비라바드")</f>
        <v>사비라바드</v>
      </c>
      <c r="J551" s="9" t="str">
        <f>IFERROR(__xludf.DUMMYFUNCTION("GOOGLETRANSLATE($A551,""en"",""pt-BR"")"),"Sabirabad")</f>
        <v>Sabirabad</v>
      </c>
    </row>
    <row r="552">
      <c r="A552" s="9" t="str">
        <f>IFERROR(__xludf.DUMMYFUNCTION("""COMPUTED_VALUE"""),"Xaçmaz")</f>
        <v>Xaçmaz</v>
      </c>
      <c r="B552" s="9" t="str">
        <f>IFERROR(__xludf.DUMMYFUNCTION("""COMPUTED_VALUE"""),"az-xac")</f>
        <v>az-xac</v>
      </c>
      <c r="C552" s="9" t="str">
        <f>IFERROR(__xludf.DUMMYFUNCTION("GOOGLETRANSLATE($A552,""en"",""de"")"),"Xaçmaz")</f>
        <v>Xaçmaz</v>
      </c>
      <c r="D552" s="9" t="str">
        <f>IFERROR(__xludf.DUMMYFUNCTION("GOOGLETRANSLATE($A552,""en"",""fr"")"),"Xacmaz")</f>
        <v>Xacmaz</v>
      </c>
      <c r="E552" s="9" t="str">
        <f>IFERROR(__xludf.DUMMYFUNCTION("GOOGLETRANSLATE($A552,""en"",""es"")"),"Xaçmaz")</f>
        <v>Xaçmaz</v>
      </c>
      <c r="F552" s="9" t="str">
        <f>IFERROR(__xludf.DUMMYFUNCTION("GOOGLETRANSLATE($A552,""en"",""it"")"),"Xacmaz")</f>
        <v>Xacmaz</v>
      </c>
      <c r="G552" s="9" t="str">
        <f>IFERROR(__xludf.DUMMYFUNCTION("GOOGLETRANSLATE($A552,""en"",""zh-cn"")"),"哈奇马兹")</f>
        <v>哈奇马兹</v>
      </c>
      <c r="H552" s="9" t="str">
        <f>IFERROR(__xludf.DUMMYFUNCTION("GOOGLETRANSLATE($A552,""en"",""ja"")"),"シャスマズ")</f>
        <v>シャスマズ</v>
      </c>
      <c r="I552" s="9" t="str">
        <f>IFERROR(__xludf.DUMMYFUNCTION("GOOGLETRANSLATE($A552,""en"",""ko"")"),"자쓰마즈")</f>
        <v>자쓰마즈</v>
      </c>
      <c r="J552" s="9" t="str">
        <f>IFERROR(__xludf.DUMMYFUNCTION("GOOGLETRANSLATE($A552,""en"",""pt-BR"")"),"Xaçmaz")</f>
        <v>Xaçmaz</v>
      </c>
    </row>
    <row r="553">
      <c r="A553" s="9" t="str">
        <f>IFERROR(__xludf.DUMMYFUNCTION("""COMPUTED_VALUE"""),"Hacıqabul")</f>
        <v>Hacıqabul</v>
      </c>
      <c r="B553" s="9" t="str">
        <f>IFERROR(__xludf.DUMMYFUNCTION("""COMPUTED_VALUE"""),"az-hac")</f>
        <v>az-hac</v>
      </c>
      <c r="C553" s="9" t="str">
        <f>IFERROR(__xludf.DUMMYFUNCTION("GOOGLETRANSLATE($A553,""en"",""de"")"),"Hacıqabul")</f>
        <v>Hacıqabul</v>
      </c>
      <c r="D553" s="9" t="str">
        <f>IFERROR(__xludf.DUMMYFUNCTION("GOOGLETRANSLATE($A553,""en"",""fr"")"),"Haciqabul")</f>
        <v>Haciqabul</v>
      </c>
      <c r="E553" s="9" t="str">
        <f>IFERROR(__xludf.DUMMYFUNCTION("GOOGLETRANSLATE($A553,""en"",""es"")"),"Haciqabul")</f>
        <v>Haciqabul</v>
      </c>
      <c r="F553" s="9" t="str">
        <f>IFERROR(__xludf.DUMMYFUNCTION("GOOGLETRANSLATE($A553,""en"",""it"")"),"Haciqabul")</f>
        <v>Haciqabul</v>
      </c>
      <c r="G553" s="9" t="str">
        <f>IFERROR(__xludf.DUMMYFUNCTION("GOOGLETRANSLATE($A553,""en"",""zh-cn"")"),"哈吉卡布尔")</f>
        <v>哈吉卡布尔</v>
      </c>
      <c r="H553" s="9" t="str">
        <f>IFERROR(__xludf.DUMMYFUNCTION("GOOGLETRANSLATE($A553,""en"",""ja"")"),"ハジュカブール")</f>
        <v>ハジュカブール</v>
      </c>
      <c r="I553" s="9" t="str">
        <f>IFERROR(__xludf.DUMMYFUNCTION("GOOGLETRANSLATE($A553,""en"",""ko"")"),"하시카불")</f>
        <v>하시카불</v>
      </c>
      <c r="J553" s="9" t="str">
        <f>IFERROR(__xludf.DUMMYFUNCTION("GOOGLETRANSLATE($A553,""en"",""pt-BR"")"),"Hacıqabul")</f>
        <v>Hacıqabul</v>
      </c>
    </row>
    <row r="554">
      <c r="A554" s="9" t="str">
        <f>IFERROR(__xludf.DUMMYFUNCTION("""COMPUTED_VALUE"""),"Gəncə")</f>
        <v>Gəncə</v>
      </c>
      <c r="B554" s="9" t="str">
        <f>IFERROR(__xludf.DUMMYFUNCTION("""COMPUTED_VALUE"""),"az-ga")</f>
        <v>az-ga</v>
      </c>
      <c r="C554" s="9" t="str">
        <f>IFERROR(__xludf.DUMMYFUNCTION("GOOGLETRANSLATE($A554,""en"",""de"")"),"Gəncə")</f>
        <v>Gəncə</v>
      </c>
      <c r="D554" s="9" t="str">
        <f>IFERROR(__xludf.DUMMYFUNCTION("GOOGLETRANSLATE($A554,""en"",""fr"")"),"Gəncə")</f>
        <v>Gəncə</v>
      </c>
      <c r="E554" s="9" t="str">
        <f>IFERROR(__xludf.DUMMYFUNCTION("GOOGLETRANSLATE($A554,""en"",""es"")"),"Gəncə")</f>
        <v>Gəncə</v>
      </c>
      <c r="F554" s="9" t="str">
        <f>IFERROR(__xludf.DUMMYFUNCTION("GOOGLETRANSLATE($A554,""en"",""it"")"),"Gəncə")</f>
        <v>Gəncə</v>
      </c>
      <c r="G554" s="9" t="str">
        <f>IFERROR(__xludf.DUMMYFUNCTION("GOOGLETRANSLATE($A554,""en"",""zh-cn"")"),"Gəncə")</f>
        <v>Gəncə</v>
      </c>
      <c r="H554" s="9" t="str">
        <f>IFERROR(__xludf.DUMMYFUNCTION("GOOGLETRANSLATE($A554,""en"",""ja"")"),"ガンカ")</f>
        <v>ガンカ</v>
      </c>
      <c r="I554" s="9" t="str">
        <f>IFERROR(__xludf.DUMMYFUNCTION("GOOGLETRANSLATE($A554,""en"",""ko"")"),"Gəncə")</f>
        <v>Gəncə</v>
      </c>
      <c r="J554" s="9" t="str">
        <f>IFERROR(__xludf.DUMMYFUNCTION("GOOGLETRANSLATE($A554,""en"",""pt-BR"")"),"Gəncə")</f>
        <v>Gəncə</v>
      </c>
    </row>
    <row r="555">
      <c r="A555" s="9" t="str">
        <f>IFERROR(__xludf.DUMMYFUNCTION("""COMPUTED_VALUE"""),"Yevlax (Municipality)")</f>
        <v>Yevlax (Municipality)</v>
      </c>
      <c r="B555" s="9" t="str">
        <f>IFERROR(__xludf.DUMMYFUNCTION("""COMPUTED_VALUE"""),"az-ye")</f>
        <v>az-ye</v>
      </c>
      <c r="C555" s="9" t="str">
        <f>IFERROR(__xludf.DUMMYFUNCTION("GOOGLETRANSLATE($A555,""en"",""de"")"),"Yevlax (Gemeinde)")</f>
        <v>Yevlax (Gemeinde)</v>
      </c>
      <c r="D555" s="9" t="str">
        <f>IFERROR(__xludf.DUMMYFUNCTION("GOOGLETRANSLATE($A555,""en"",""fr"")"),"Yevlax (Municipalité)")</f>
        <v>Yevlax (Municipalité)</v>
      </c>
      <c r="E555" s="9" t="str">
        <f>IFERROR(__xludf.DUMMYFUNCTION("GOOGLETRANSLATE($A555,""en"",""es"")"),"Yevlax (Municipio)")</f>
        <v>Yevlax (Municipio)</v>
      </c>
      <c r="F555" s="9" t="str">
        <f>IFERROR(__xludf.DUMMYFUNCTION("GOOGLETRANSLATE($A555,""en"",""it"")"),"Yevlax (Comune)")</f>
        <v>Yevlax (Comune)</v>
      </c>
      <c r="G555" s="9" t="str">
        <f>IFERROR(__xludf.DUMMYFUNCTION("GOOGLETRANSLATE($A555,""en"",""zh-cn"")"),"叶夫拉克斯（市）")</f>
        <v>叶夫拉克斯（市）</v>
      </c>
      <c r="H555" s="9" t="str">
        <f>IFERROR(__xludf.DUMMYFUNCTION("GOOGLETRANSLATE($A555,""en"",""ja"")"),"エヴラックス (自治体)")</f>
        <v>エヴラックス (自治体)</v>
      </c>
      <c r="I555" s="9" t="str">
        <f>IFERROR(__xludf.DUMMYFUNCTION("GOOGLETRANSLATE($A555,""en"",""ko"")"),"예블락스(지방자치단체)")</f>
        <v>예블락스(지방자치단체)</v>
      </c>
      <c r="J555" s="9" t="str">
        <f>IFERROR(__xludf.DUMMYFUNCTION("GOOGLETRANSLATE($A555,""en"",""pt-BR"")"),"Yevlax (município)")</f>
        <v>Yevlax (município)</v>
      </c>
    </row>
    <row r="556">
      <c r="A556" s="9" t="str">
        <f>IFERROR(__xludf.DUMMYFUNCTION("""COMPUTED_VALUE"""),"Qobustan")</f>
        <v>Qobustan</v>
      </c>
      <c r="B556" s="9" t="str">
        <f>IFERROR(__xludf.DUMMYFUNCTION("""COMPUTED_VALUE"""),"az-qob")</f>
        <v>az-qob</v>
      </c>
      <c r="C556" s="9" t="str">
        <f>IFERROR(__xludf.DUMMYFUNCTION("GOOGLETRANSLATE($A556,""en"",""de"")"),"Qobustan")</f>
        <v>Qobustan</v>
      </c>
      <c r="D556" s="9" t="str">
        <f>IFERROR(__xludf.DUMMYFUNCTION("GOOGLETRANSLATE($A556,""en"",""fr"")"),"Qobustan")</f>
        <v>Qobustan</v>
      </c>
      <c r="E556" s="9" t="str">
        <f>IFERROR(__xludf.DUMMYFUNCTION("GOOGLETRANSLATE($A556,""en"",""es"")"),"Qobustán")</f>
        <v>Qobustán</v>
      </c>
      <c r="F556" s="9" t="str">
        <f>IFERROR(__xludf.DUMMYFUNCTION("GOOGLETRANSLATE($A556,""en"",""it"")"),"Qobustan")</f>
        <v>Qobustan</v>
      </c>
      <c r="G556" s="9" t="str">
        <f>IFERROR(__xludf.DUMMYFUNCTION("GOOGLETRANSLATE($A556,""en"",""zh-cn"")"),"科布斯坦")</f>
        <v>科布斯坦</v>
      </c>
      <c r="H556" s="9" t="str">
        <f>IFERROR(__xludf.DUMMYFUNCTION("GOOGLETRANSLATE($A556,""en"",""ja"")"),"コブスタン")</f>
        <v>コブスタン</v>
      </c>
      <c r="I556" s="9" t="str">
        <f>IFERROR(__xludf.DUMMYFUNCTION("GOOGLETRANSLATE($A556,""en"",""ko"")"),"코부스탄")</f>
        <v>코부스탄</v>
      </c>
      <c r="J556" s="9" t="str">
        <f>IFERROR(__xludf.DUMMYFUNCTION("GOOGLETRANSLATE($A556,""en"",""pt-BR"")"),"Qobustão")</f>
        <v>Qobustão</v>
      </c>
    </row>
    <row r="557">
      <c r="A557" s="9" t="str">
        <f>IFERROR(__xludf.DUMMYFUNCTION("""COMPUTED_VALUE"""),"Goranboy")</f>
        <v>Goranboy</v>
      </c>
      <c r="B557" s="9" t="str">
        <f>IFERROR(__xludf.DUMMYFUNCTION("""COMPUTED_VALUE"""),"az-gor")</f>
        <v>az-gor</v>
      </c>
      <c r="C557" s="9" t="str">
        <f>IFERROR(__xludf.DUMMYFUNCTION("GOOGLETRANSLATE($A557,""en"",""de"")"),"Goranboy")</f>
        <v>Goranboy</v>
      </c>
      <c r="D557" s="9" t="str">
        <f>IFERROR(__xludf.DUMMYFUNCTION("GOOGLETRANSLATE($A557,""en"",""fr"")"),"Goranboy")</f>
        <v>Goranboy</v>
      </c>
      <c r="E557" s="9" t="str">
        <f>IFERROR(__xludf.DUMMYFUNCTION("GOOGLETRANSLATE($A557,""en"",""es"")"),"goranboy")</f>
        <v>goranboy</v>
      </c>
      <c r="F557" s="9" t="str">
        <f>IFERROR(__xludf.DUMMYFUNCTION("GOOGLETRANSLATE($A557,""en"",""it"")"),"Goranboy")</f>
        <v>Goranboy</v>
      </c>
      <c r="G557" s="9" t="str">
        <f>IFERROR(__xludf.DUMMYFUNCTION("GOOGLETRANSLATE($A557,""en"",""zh-cn"")"),"戈兰博伊")</f>
        <v>戈兰博伊</v>
      </c>
      <c r="H557" s="9" t="str">
        <f>IFERROR(__xludf.DUMMYFUNCTION("GOOGLETRANSLATE($A557,""en"",""ja"")"),"ゴランボーイ")</f>
        <v>ゴランボーイ</v>
      </c>
      <c r="I557" s="9" t="str">
        <f>IFERROR(__xludf.DUMMYFUNCTION("GOOGLETRANSLATE($A557,""en"",""ko"")"),"고란보이")</f>
        <v>고란보이</v>
      </c>
      <c r="J557" s="9" t="str">
        <f>IFERROR(__xludf.DUMMYFUNCTION("GOOGLETRANSLATE($A557,""en"",""pt-BR"")"),"Goranboy")</f>
        <v>Goranboy</v>
      </c>
    </row>
    <row r="558">
      <c r="A558" s="9" t="str">
        <f>IFERROR(__xludf.DUMMYFUNCTION("""COMPUTED_VALUE"""),"Ordubad")</f>
        <v>Ordubad</v>
      </c>
      <c r="B558" s="9" t="str">
        <f>IFERROR(__xludf.DUMMYFUNCTION("""COMPUTED_VALUE"""),"az-ord")</f>
        <v>az-ord</v>
      </c>
      <c r="C558" s="9" t="str">
        <f>IFERROR(__xludf.DUMMYFUNCTION("GOOGLETRANSLATE($A558,""en"",""de"")"),"Ordubad")</f>
        <v>Ordubad</v>
      </c>
      <c r="D558" s="9" t="str">
        <f>IFERROR(__xludf.DUMMYFUNCTION("GOOGLETRANSLATE($A558,""en"",""fr"")"),"Ordoubad")</f>
        <v>Ordoubad</v>
      </c>
      <c r="E558" s="9" t="str">
        <f>IFERROR(__xludf.DUMMYFUNCTION("GOOGLETRANSLATE($A558,""en"",""es"")"),"Ordubad")</f>
        <v>Ordubad</v>
      </c>
      <c r="F558" s="9" t="str">
        <f>IFERROR(__xludf.DUMMYFUNCTION("GOOGLETRANSLATE($A558,""en"",""it"")"),"Ordubad")</f>
        <v>Ordubad</v>
      </c>
      <c r="G558" s="9" t="str">
        <f>IFERROR(__xludf.DUMMYFUNCTION("GOOGLETRANSLATE($A558,""en"",""zh-cn"")"),"奥尔杜巴德")</f>
        <v>奥尔杜巴德</v>
      </c>
      <c r="H558" s="9" t="str">
        <f>IFERROR(__xludf.DUMMYFUNCTION("GOOGLETRANSLATE($A558,""en"",""ja"")"),"オルドゥバード")</f>
        <v>オルドゥバード</v>
      </c>
      <c r="I558" s="9" t="str">
        <f>IFERROR(__xludf.DUMMYFUNCTION("GOOGLETRANSLATE($A558,""en"",""ko"")"),"오르두바드")</f>
        <v>오르두바드</v>
      </c>
      <c r="J558" s="9" t="str">
        <f>IFERROR(__xludf.DUMMYFUNCTION("GOOGLETRANSLATE($A558,""en"",""pt-BR"")"),"Ordubad")</f>
        <v>Ordubad</v>
      </c>
    </row>
    <row r="559">
      <c r="A559" s="9" t="str">
        <f>IFERROR(__xludf.DUMMYFUNCTION("""COMPUTED_VALUE"""),"Şəki (Municipality)")</f>
        <v>Şəki (Municipality)</v>
      </c>
      <c r="B559" s="9" t="str">
        <f>IFERROR(__xludf.DUMMYFUNCTION("""COMPUTED_VALUE"""),"az-sa")</f>
        <v>az-sa</v>
      </c>
      <c r="C559" s="9" t="str">
        <f>IFERROR(__xludf.DUMMYFUNCTION("GOOGLETRANSLATE($A559,""en"",""de"")"),"Şəki (Gemeinde)")</f>
        <v>Şəki (Gemeinde)</v>
      </c>
      <c r="D559" s="9" t="str">
        <f>IFERROR(__xludf.DUMMYFUNCTION("GOOGLETRANSLATE($A559,""en"",""fr"")"),"Şəki (Municipalité)")</f>
        <v>Şəki (Municipalité)</v>
      </c>
      <c r="E559" s="9" t="str">
        <f>IFERROR(__xludf.DUMMYFUNCTION("GOOGLETRANSLATE($A559,""en"",""es"")"),"Şəki (Municipio)")</f>
        <v>Şəki (Municipio)</v>
      </c>
      <c r="F559" s="9" t="str">
        <f>IFERROR(__xludf.DUMMYFUNCTION("GOOGLETRANSLATE($A559,""en"",""it"")"),"Şəki (Comune)")</f>
        <v>Şəki (Comune)</v>
      </c>
      <c r="G559" s="9" t="str">
        <f>IFERROR(__xludf.DUMMYFUNCTION("GOOGLETRANSLATE($A559,""en"",""zh-cn"")"),"Şəki（直辖市）")</f>
        <v>Şəki（直辖市）</v>
      </c>
      <c r="H559" s="9" t="str">
        <f>IFERROR(__xludf.DUMMYFUNCTION("GOOGLETRANSLATE($A559,""en"",""ja"")"),"Şəki (自治体)")</f>
        <v>Şəki (自治体)</v>
      </c>
      <c r="I559" s="9" t="str">
        <f>IFERROR(__xludf.DUMMYFUNCTION("GOOGLETRANSLATE($A559,""en"",""ko"")"),"Şəki(지방자치단체)")</f>
        <v>Şəki(지방자치단체)</v>
      </c>
      <c r="J559" s="9" t="str">
        <f>IFERROR(__xludf.DUMMYFUNCTION("GOOGLETRANSLATE($A559,""en"",""pt-BR"")"),"Şəki (município)")</f>
        <v>Şəki (município)</v>
      </c>
    </row>
    <row r="560">
      <c r="A560" s="9" t="str">
        <f>IFERROR(__xludf.DUMMYFUNCTION("""COMPUTED_VALUE"""),"Ağdaş")</f>
        <v>Ağdaş</v>
      </c>
      <c r="B560" s="9" t="str">
        <f>IFERROR(__xludf.DUMMYFUNCTION("""COMPUTED_VALUE"""),"az-ags")</f>
        <v>az-ags</v>
      </c>
      <c r="C560" s="9" t="str">
        <f>IFERROR(__xludf.DUMMYFUNCTION("GOOGLETRANSLATE($A560,""en"",""de"")"),"Ağdaş")</f>
        <v>Ağdaş</v>
      </c>
      <c r="D560" s="9" t="str">
        <f>IFERROR(__xludf.DUMMYFUNCTION("GOOGLETRANSLATE($A560,""en"",""fr"")"),"Agdaş")</f>
        <v>Agdaş</v>
      </c>
      <c r="E560" s="9" t="str">
        <f>IFERROR(__xludf.DUMMYFUNCTION("GOOGLETRANSLATE($A560,""en"",""es"")"),"Agdas")</f>
        <v>Agdas</v>
      </c>
      <c r="F560" s="9" t="str">
        <f>IFERROR(__xludf.DUMMYFUNCTION("GOOGLETRANSLATE($A560,""en"",""it"")"),"Ağdaş")</f>
        <v>Ağdaş</v>
      </c>
      <c r="G560" s="9" t="str">
        <f>IFERROR(__xludf.DUMMYFUNCTION("GOOGLETRANSLATE($A560,""en"",""zh-cn"")"),"阿达什")</f>
        <v>阿达什</v>
      </c>
      <c r="H560" s="9" t="str">
        <f>IFERROR(__xludf.DUMMYFUNCTION("GOOGLETRANSLATE($A560,""en"",""ja"")"),"アグダシュ")</f>
        <v>アグダシュ</v>
      </c>
      <c r="I560" s="9" t="str">
        <f>IFERROR(__xludf.DUMMYFUNCTION("GOOGLETRANSLATE($A560,""en"",""ko"")"),"아그다스")</f>
        <v>아그다스</v>
      </c>
      <c r="J560" s="9" t="str">
        <f>IFERROR(__xludf.DUMMYFUNCTION("GOOGLETRANSLATE($A560,""en"",""pt-BR"")"),"Ağdas")</f>
        <v>Ağdas</v>
      </c>
    </row>
    <row r="561">
      <c r="A561" s="9" t="str">
        <f>IFERROR(__xludf.DUMMYFUNCTION("""COMPUTED_VALUE"""),"Lənkəran (Rayon)")</f>
        <v>Lənkəran (Rayon)</v>
      </c>
      <c r="B561" s="9" t="str">
        <f>IFERROR(__xludf.DUMMYFUNCTION("""COMPUTED_VALUE"""),"az-lan")</f>
        <v>az-lan</v>
      </c>
      <c r="C561" s="9" t="str">
        <f>IFERROR(__xludf.DUMMYFUNCTION("GOOGLETRANSLATE($A561,""en"",""de"")"),"Lənkəran (Rayon)")</f>
        <v>Lənkəran (Rayon)</v>
      </c>
      <c r="D561" s="9" t="str">
        <f>IFERROR(__xludf.DUMMYFUNCTION("GOOGLETRANSLATE($A561,""en"",""fr"")"),"Lənkəran (rayonne)")</f>
        <v>Lənkəran (rayonne)</v>
      </c>
      <c r="E561" s="9" t="str">
        <f>IFERROR(__xludf.DUMMYFUNCTION("GOOGLETRANSLATE($A561,""en"",""es"")"),"Lənkəran (Rayón)")</f>
        <v>Lənkəran (Rayón)</v>
      </c>
      <c r="F561" s="9" t="str">
        <f>IFERROR(__xludf.DUMMYFUNCTION("GOOGLETRANSLATE($A561,""en"",""it"")"),"Lənkəran (Rayon)")</f>
        <v>Lənkəran (Rayon)</v>
      </c>
      <c r="G561" s="9" t="str">
        <f>IFERROR(__xludf.DUMMYFUNCTION("GOOGLETRANSLATE($A561,""en"",""zh-cn"")"),"Lənkəran（人造丝）")</f>
        <v>Lənkəran（人造丝）</v>
      </c>
      <c r="H561" s="9" t="str">
        <f>IFERROR(__xludf.DUMMYFUNCTION("GOOGLETRANSLATE($A561,""en"",""ja"")"),"ランカンラン (レーヨン)")</f>
        <v>ランカンラン (レーヨン)</v>
      </c>
      <c r="I561" s="9" t="str">
        <f>IFERROR(__xludf.DUMMYFUNCTION("GOOGLETRANSLATE($A561,""en"",""ko"")"),"Lənkəran(레이온)")</f>
        <v>Lənkəran(레이온)</v>
      </c>
      <c r="J561" s="9" t="str">
        <f>IFERROR(__xludf.DUMMYFUNCTION("GOOGLETRANSLATE($A561,""en"",""pt-BR"")"),"Lənkəran (Rayon)")</f>
        <v>Lənkəran (Rayon)</v>
      </c>
    </row>
    <row r="562">
      <c r="A562" s="9" t="str">
        <f>IFERROR(__xludf.DUMMYFUNCTION("""COMPUTED_VALUE"""),"Sədərək")</f>
        <v>Sədərək</v>
      </c>
      <c r="B562" s="9" t="str">
        <f>IFERROR(__xludf.DUMMYFUNCTION("""COMPUTED_VALUE"""),"az-sad")</f>
        <v>az-sad</v>
      </c>
      <c r="C562" s="9" t="str">
        <f>IFERROR(__xludf.DUMMYFUNCTION("GOOGLETRANSLATE($A562,""en"",""de"")"),"Sədərək")</f>
        <v>Sədərək</v>
      </c>
      <c r="D562" s="9" t="str">
        <f>IFERROR(__xludf.DUMMYFUNCTION("GOOGLETRANSLATE($A562,""en"",""fr"")"),"Sədərək")</f>
        <v>Sədərək</v>
      </c>
      <c r="E562" s="9" t="str">
        <f>IFERROR(__xludf.DUMMYFUNCTION("GOOGLETRANSLATE($A562,""en"",""es"")"),"sədərək")</f>
        <v>sədərək</v>
      </c>
      <c r="F562" s="9" t="str">
        <f>IFERROR(__xludf.DUMMYFUNCTION("GOOGLETRANSLATE($A562,""en"",""it"")"),"Sədərək")</f>
        <v>Sədərək</v>
      </c>
      <c r="G562" s="9" t="str">
        <f>IFERROR(__xludf.DUMMYFUNCTION("GOOGLETRANSLATE($A562,""en"",""zh-cn"")"),"Sədərək")</f>
        <v>Sədərək</v>
      </c>
      <c r="H562" s="9" t="str">
        <f>IFERROR(__xludf.DUMMYFUNCTION("GOOGLETRANSLATE($A562,""en"",""ja"")"),"サダルク")</f>
        <v>サダルク</v>
      </c>
      <c r="I562" s="9" t="str">
        <f>IFERROR(__xludf.DUMMYFUNCTION("GOOGLETRANSLATE($A562,""en"",""ko"")"),"Sədərək")</f>
        <v>Sədərək</v>
      </c>
      <c r="J562" s="9" t="str">
        <f>IFERROR(__xludf.DUMMYFUNCTION("GOOGLETRANSLATE($A562,""en"",""pt-BR"")"),"Sədərək")</f>
        <v>Sədərək</v>
      </c>
    </row>
    <row r="563">
      <c r="A563" s="9" t="str">
        <f>IFERROR(__xludf.DUMMYFUNCTION("""COMPUTED_VALUE"""),"Lerik")</f>
        <v>Lerik</v>
      </c>
      <c r="B563" s="9" t="str">
        <f>IFERROR(__xludf.DUMMYFUNCTION("""COMPUTED_VALUE"""),"az-ler")</f>
        <v>az-ler</v>
      </c>
      <c r="C563" s="9" t="str">
        <f>IFERROR(__xludf.DUMMYFUNCTION("GOOGLETRANSLATE($A563,""en"",""de"")"),"Lerik")</f>
        <v>Lerik</v>
      </c>
      <c r="D563" s="9" t="str">
        <f>IFERROR(__xludf.DUMMYFUNCTION("GOOGLETRANSLATE($A563,""en"",""fr"")"),"Lérik")</f>
        <v>Lérik</v>
      </c>
      <c r="E563" s="9" t="str">
        <f>IFERROR(__xludf.DUMMYFUNCTION("GOOGLETRANSLATE($A563,""en"",""es"")"),"lerik")</f>
        <v>lerik</v>
      </c>
      <c r="F563" s="9" t="str">
        <f>IFERROR(__xludf.DUMMYFUNCTION("GOOGLETRANSLATE($A563,""en"",""it"")"),"Lerik")</f>
        <v>Lerik</v>
      </c>
      <c r="G563" s="9" t="str">
        <f>IFERROR(__xludf.DUMMYFUNCTION("GOOGLETRANSLATE($A563,""en"",""zh-cn"")"),"莱里克")</f>
        <v>莱里克</v>
      </c>
      <c r="H563" s="9" t="str">
        <f>IFERROR(__xludf.DUMMYFUNCTION("GOOGLETRANSLATE($A563,""en"",""ja"")"),"レリック")</f>
        <v>レリック</v>
      </c>
      <c r="I563" s="9" t="str">
        <f>IFERROR(__xludf.DUMMYFUNCTION("GOOGLETRANSLATE($A563,""en"",""ko"")"),"레릭")</f>
        <v>레릭</v>
      </c>
      <c r="J563" s="9" t="str">
        <f>IFERROR(__xludf.DUMMYFUNCTION("GOOGLETRANSLATE($A563,""en"",""pt-BR"")"),"Lerik")</f>
        <v>Lerik</v>
      </c>
    </row>
    <row r="564">
      <c r="A564" s="9" t="str">
        <f>IFERROR(__xludf.DUMMYFUNCTION("""COMPUTED_VALUE"""),"Siyəzən")</f>
        <v>Siyəzən</v>
      </c>
      <c r="B564" s="9" t="str">
        <f>IFERROR(__xludf.DUMMYFUNCTION("""COMPUTED_VALUE"""),"az-siy")</f>
        <v>az-siy</v>
      </c>
      <c r="C564" s="9" t="str">
        <f>IFERROR(__xludf.DUMMYFUNCTION("GOOGLETRANSLATE($A564,""en"",""de"")"),"Siyəzən")</f>
        <v>Siyəzən</v>
      </c>
      <c r="D564" s="9" t="str">
        <f>IFERROR(__xludf.DUMMYFUNCTION("GOOGLETRANSLATE($A564,""en"",""fr"")"),"Siyəzən")</f>
        <v>Siyəzən</v>
      </c>
      <c r="E564" s="9" t="str">
        <f>IFERROR(__xludf.DUMMYFUNCTION("GOOGLETRANSLATE($A564,""en"",""es"")"),"Siyəzən")</f>
        <v>Siyəzən</v>
      </c>
      <c r="F564" s="9" t="str">
        <f>IFERROR(__xludf.DUMMYFUNCTION("GOOGLETRANSLATE($A564,""en"",""it"")"),"Siyəzən")</f>
        <v>Siyəzən</v>
      </c>
      <c r="G564" s="9" t="str">
        <f>IFERROR(__xludf.DUMMYFUNCTION("GOOGLETRANSLATE($A564,""en"",""zh-cn"")"),"西伊兹兹恩")</f>
        <v>西伊兹兹恩</v>
      </c>
      <c r="H564" s="9" t="str">
        <f>IFERROR(__xludf.DUMMYFUNCTION("GOOGLETRANSLATE($A564,""en"",""ja"")"),"シィザン")</f>
        <v>シィザン</v>
      </c>
      <c r="I564" s="9" t="str">
        <f>IFERROR(__xludf.DUMMYFUNCTION("GOOGLETRANSLATE($A564,""en"",""ko"")"),"Siyəzən")</f>
        <v>Siyəzən</v>
      </c>
      <c r="J564" s="9" t="str">
        <f>IFERROR(__xludf.DUMMYFUNCTION("GOOGLETRANSLATE($A564,""en"",""pt-BR"")"),"Siyəzən")</f>
        <v>Siyəzən</v>
      </c>
    </row>
    <row r="565">
      <c r="A565" s="9" t="str">
        <f>IFERROR(__xludf.DUMMYFUNCTION("""COMPUTED_VALUE"""),"Xocalı")</f>
        <v>Xocalı</v>
      </c>
      <c r="B565" s="9" t="str">
        <f>IFERROR(__xludf.DUMMYFUNCTION("""COMPUTED_VALUE"""),"az-xci")</f>
        <v>az-xci</v>
      </c>
      <c r="C565" s="9" t="str">
        <f>IFERROR(__xludf.DUMMYFUNCTION("GOOGLETRANSLATE($A565,""en"",""de"")"),"Xocalı")</f>
        <v>Xocalı</v>
      </c>
      <c r="D565" s="9" t="str">
        <f>IFERROR(__xludf.DUMMYFUNCTION("GOOGLETRANSLATE($A565,""en"",""fr"")"),"Xocalı")</f>
        <v>Xocalı</v>
      </c>
      <c r="E565" s="9" t="str">
        <f>IFERROR(__xludf.DUMMYFUNCTION("GOOGLETRANSLATE($A565,""en"",""es"")"),"Xocali")</f>
        <v>Xocali</v>
      </c>
      <c r="F565" s="9" t="str">
        <f>IFERROR(__xludf.DUMMYFUNCTION("GOOGLETRANSLATE($A565,""en"",""it"")"),"Xocali")</f>
        <v>Xocali</v>
      </c>
      <c r="G565" s="9" t="str">
        <f>IFERROR(__xludf.DUMMYFUNCTION("GOOGLETRANSLATE($A565,""en"",""zh-cn"")"),"霍卡勒")</f>
        <v>霍卡勒</v>
      </c>
      <c r="H565" s="9" t="str">
        <f>IFERROR(__xludf.DUMMYFUNCTION("GOOGLETRANSLATE($A565,""en"",""ja"")"),"ソカリ")</f>
        <v>ソカリ</v>
      </c>
      <c r="I565" s="9" t="str">
        <f>IFERROR(__xludf.DUMMYFUNCTION("GOOGLETRANSLATE($A565,""en"",""ko"")"),"소칼리")</f>
        <v>소칼리</v>
      </c>
      <c r="J565" s="9" t="str">
        <f>IFERROR(__xludf.DUMMYFUNCTION("GOOGLETRANSLATE($A565,""en"",""pt-BR"")"),"Xocalı")</f>
        <v>Xocalı</v>
      </c>
    </row>
    <row r="566">
      <c r="A566" s="9" t="str">
        <f>IFERROR(__xludf.DUMMYFUNCTION("""COMPUTED_VALUE"""),"Xızı")</f>
        <v>Xızı</v>
      </c>
      <c r="B566" s="9" t="str">
        <f>IFERROR(__xludf.DUMMYFUNCTION("""COMPUTED_VALUE"""),"az-xiz")</f>
        <v>az-xiz</v>
      </c>
      <c r="C566" s="9" t="str">
        <f>IFERROR(__xludf.DUMMYFUNCTION("GOOGLETRANSLATE($A566,""en"",""de"")"),"Xızı")</f>
        <v>Xızı</v>
      </c>
      <c r="D566" s="9" t="str">
        <f>IFERROR(__xludf.DUMMYFUNCTION("GOOGLETRANSLATE($A566,""en"",""fr"")"),"Xizi")</f>
        <v>Xizi</v>
      </c>
      <c r="E566" s="9" t="str">
        <f>IFERROR(__xludf.DUMMYFUNCTION("GOOGLETRANSLATE($A566,""en"",""es"")"),"xizı")</f>
        <v>xizı</v>
      </c>
      <c r="F566" s="9" t="str">
        <f>IFERROR(__xludf.DUMMYFUNCTION("GOOGLETRANSLATE($A566,""en"",""it"")"),"Xızı")</f>
        <v>Xızı</v>
      </c>
      <c r="G566" s="9" t="str">
        <f>IFERROR(__xludf.DUMMYFUNCTION("GOOGLETRANSLATE($A566,""en"",""zh-cn"")"),"西子")</f>
        <v>西子</v>
      </c>
      <c r="H566" s="9" t="str">
        <f>IFERROR(__xludf.DUMMYFUNCTION("GOOGLETRANSLATE($A566,""en"",""ja"")"),"シズズ")</f>
        <v>シズズ</v>
      </c>
      <c r="I566" s="9" t="str">
        <f>IFERROR(__xludf.DUMMYFUNCTION("GOOGLETRANSLATE($A566,""en"",""ko"")"),"시지")</f>
        <v>시지</v>
      </c>
      <c r="J566" s="9" t="str">
        <f>IFERROR(__xludf.DUMMYFUNCTION("GOOGLETRANSLATE($A566,""en"",""pt-BR"")"),"Xızı")</f>
        <v>Xızı</v>
      </c>
    </row>
    <row r="567">
      <c r="A567" s="9" t="str">
        <f>IFERROR(__xludf.DUMMYFUNCTION("""COMPUTED_VALUE"""),"Daşkəsən")</f>
        <v>Daşkəsən</v>
      </c>
      <c r="B567" s="9" t="str">
        <f>IFERROR(__xludf.DUMMYFUNCTION("""COMPUTED_VALUE"""),"az-das")</f>
        <v>az-das</v>
      </c>
      <c r="C567" s="9" t="str">
        <f>IFERROR(__xludf.DUMMYFUNCTION("GOOGLETRANSLATE($A567,""en"",""de"")"),"Daşkəsən")</f>
        <v>Daşkəsən</v>
      </c>
      <c r="D567" s="9" t="str">
        <f>IFERROR(__xludf.DUMMYFUNCTION("GOOGLETRANSLATE($A567,""en"",""fr"")"),"Daşkəsən")</f>
        <v>Daşkəsən</v>
      </c>
      <c r="E567" s="9" t="str">
        <f>IFERROR(__xludf.DUMMYFUNCTION("GOOGLETRANSLATE($A567,""en"",""es"")"),"Daşkəsən")</f>
        <v>Daşkəsən</v>
      </c>
      <c r="F567" s="9" t="str">
        <f>IFERROR(__xludf.DUMMYFUNCTION("GOOGLETRANSLATE($A567,""en"",""it"")"),"Daşkəsən")</f>
        <v>Daşkəsən</v>
      </c>
      <c r="G567" s="9" t="str">
        <f>IFERROR(__xludf.DUMMYFUNCTION("GOOGLETRANSLATE($A567,""en"",""zh-cn"")"),"达斯克əsən")</f>
        <v>达斯克əsən</v>
      </c>
      <c r="H567" s="9" t="str">
        <f>IFERROR(__xludf.DUMMYFUNCTION("GOOGLETRANSLATE($A567,""en"",""ja"")"),"ダシュカンソン")</f>
        <v>ダシュカンソン</v>
      </c>
      <c r="I567" s="9" t="str">
        <f>IFERROR(__xludf.DUMMYFUNCTION("GOOGLETRANSLATE($A567,""en"",""ko"")"),"Daşkəsən")</f>
        <v>Daşkəsən</v>
      </c>
      <c r="J567" s="9" t="str">
        <f>IFERROR(__xludf.DUMMYFUNCTION("GOOGLETRANSLATE($A567,""en"",""pt-BR"")"),"Daşkəsən")</f>
        <v>Daşkəsən</v>
      </c>
    </row>
    <row r="568">
      <c r="A568" s="9" t="str">
        <f>IFERROR(__xludf.DUMMYFUNCTION("""COMPUTED_VALUE"""),"Şahbuz")</f>
        <v>Şahbuz</v>
      </c>
      <c r="B568" s="9" t="str">
        <f>IFERROR(__xludf.DUMMYFUNCTION("""COMPUTED_VALUE"""),"az-sah")</f>
        <v>az-sah</v>
      </c>
      <c r="C568" s="9" t="str">
        <f>IFERROR(__xludf.DUMMYFUNCTION("GOOGLETRANSLATE($A568,""en"",""de"")"),"Şahbuz")</f>
        <v>Şahbuz</v>
      </c>
      <c r="D568" s="9" t="str">
        <f>IFERROR(__xludf.DUMMYFUNCTION("GOOGLETRANSLATE($A568,""en"",""fr"")"),"Şahbuz")</f>
        <v>Şahbuz</v>
      </c>
      <c r="E568" s="9" t="str">
        <f>IFERROR(__xludf.DUMMYFUNCTION("GOOGLETRANSLATE($A568,""en"",""es"")"),"Şahbuz")</f>
        <v>Şahbuz</v>
      </c>
      <c r="F568" s="9" t="str">
        <f>IFERROR(__xludf.DUMMYFUNCTION("GOOGLETRANSLATE($A568,""en"",""it"")"),"Sahbuz")</f>
        <v>Sahbuz</v>
      </c>
      <c r="G568" s="9" t="str">
        <f>IFERROR(__xludf.DUMMYFUNCTION("GOOGLETRANSLATE($A568,""en"",""zh-cn"")"),"沙布兹")</f>
        <v>沙布兹</v>
      </c>
      <c r="H568" s="9" t="str">
        <f>IFERROR(__xludf.DUMMYFUNCTION("GOOGLETRANSLATE($A568,""en"",""ja"")"),"シャーブズ")</f>
        <v>シャーブズ</v>
      </c>
      <c r="I568" s="9" t="str">
        <f>IFERROR(__xludf.DUMMYFUNCTION("GOOGLETRANSLATE($A568,""en"",""ko"")"),"샤부즈")</f>
        <v>샤부즈</v>
      </c>
      <c r="J568" s="9" t="str">
        <f>IFERROR(__xludf.DUMMYFUNCTION("GOOGLETRANSLATE($A568,""en"",""pt-BR"")"),"Şahbuz")</f>
        <v>Şahbuz</v>
      </c>
    </row>
    <row r="569">
      <c r="A569" s="9" t="str">
        <f>IFERROR(__xludf.DUMMYFUNCTION("""COMPUTED_VALUE"""),"Şamaxı")</f>
        <v>Şamaxı</v>
      </c>
      <c r="B569" s="9" t="str">
        <f>IFERROR(__xludf.DUMMYFUNCTION("""COMPUTED_VALUE"""),"az-smi")</f>
        <v>az-smi</v>
      </c>
      <c r="C569" s="9" t="str">
        <f>IFERROR(__xludf.DUMMYFUNCTION("GOOGLETRANSLATE($A569,""en"",""de"")"),"Şamaxı")</f>
        <v>Şamaxı</v>
      </c>
      <c r="D569" s="9" t="str">
        <f>IFERROR(__xludf.DUMMYFUNCTION("GOOGLETRANSLATE($A569,""en"",""fr"")"),"Samaxı")</f>
        <v>Samaxı</v>
      </c>
      <c r="E569" s="9" t="str">
        <f>IFERROR(__xludf.DUMMYFUNCTION("GOOGLETRANSLATE($A569,""en"",""es"")"),"Şamaxı")</f>
        <v>Şamaxı</v>
      </c>
      <c r="F569" s="9" t="str">
        <f>IFERROR(__xludf.DUMMYFUNCTION("GOOGLETRANSLATE($A569,""en"",""it"")"),"Şamaxı")</f>
        <v>Şamaxı</v>
      </c>
      <c r="G569" s="9" t="str">
        <f>IFERROR(__xludf.DUMMYFUNCTION("GOOGLETRANSLATE($A569,""en"",""zh-cn"")"),"萨玛西")</f>
        <v>萨玛西</v>
      </c>
      <c r="H569" s="9" t="str">
        <f>IFERROR(__xludf.DUMMYFUNCTION("GOOGLETRANSLATE($A569,""en"",""ja"")"),"シャマックス")</f>
        <v>シャマックス</v>
      </c>
      <c r="I569" s="9" t="str">
        <f>IFERROR(__xludf.DUMMYFUNCTION("GOOGLETRANSLATE($A569,""en"",""ko"")"),"샤막시")</f>
        <v>샤막시</v>
      </c>
      <c r="J569" s="9" t="str">
        <f>IFERROR(__xludf.DUMMYFUNCTION("GOOGLETRANSLATE($A569,""en"",""pt-BR"")"),"Şamaxı")</f>
        <v>Şamaxı</v>
      </c>
    </row>
    <row r="570">
      <c r="A570" s="9" t="str">
        <f>IFERROR(__xludf.DUMMYFUNCTION("""COMPUTED_VALUE"""),"Yevlax (Rayon)")</f>
        <v>Yevlax (Rayon)</v>
      </c>
      <c r="B570" s="9" t="str">
        <f>IFERROR(__xludf.DUMMYFUNCTION("""COMPUTED_VALUE"""),"az-yev")</f>
        <v>az-yev</v>
      </c>
      <c r="C570" s="9" t="str">
        <f>IFERROR(__xludf.DUMMYFUNCTION("GOOGLETRANSLATE($A570,""en"",""de"")"),"Yevlax (Rayon)")</f>
        <v>Yevlax (Rayon)</v>
      </c>
      <c r="D570" s="9" t="str">
        <f>IFERROR(__xludf.DUMMYFUNCTION("GOOGLETRANSLATE($A570,""en"",""fr"")"),"Yevlax (Rayonne)")</f>
        <v>Yevlax (Rayonne)</v>
      </c>
      <c r="E570" s="9" t="str">
        <f>IFERROR(__xludf.DUMMYFUNCTION("GOOGLETRANSLATE($A570,""en"",""es"")"),"Yevlax (Rayón)")</f>
        <v>Yevlax (Rayón)</v>
      </c>
      <c r="F570" s="9" t="str">
        <f>IFERROR(__xludf.DUMMYFUNCTION("GOOGLETRANSLATE($A570,""en"",""it"")"),"Yevlax (Rayon)")</f>
        <v>Yevlax (Rayon)</v>
      </c>
      <c r="G570" s="9" t="str">
        <f>IFERROR(__xludf.DUMMYFUNCTION("GOOGLETRANSLATE($A570,""en"",""zh-cn"")"),"耶夫拉克斯 (人造丝)")</f>
        <v>耶夫拉克斯 (人造丝)</v>
      </c>
      <c r="H570" s="9" t="str">
        <f>IFERROR(__xludf.DUMMYFUNCTION("GOOGLETRANSLATE($A570,""en"",""ja"")"),"エブラックス（レーヨン）")</f>
        <v>エブラックス（レーヨン）</v>
      </c>
      <c r="I570" s="9" t="str">
        <f>IFERROR(__xludf.DUMMYFUNCTION("GOOGLETRANSLATE($A570,""en"",""ko"")"),"예브락스(레이온)")</f>
        <v>예브락스(레이온)</v>
      </c>
      <c r="J570" s="9" t="str">
        <f>IFERROR(__xludf.DUMMYFUNCTION("GOOGLETRANSLATE($A570,""en"",""pt-BR"")"),"Yevlax (Rayon)")</f>
        <v>Yevlax (Rayon)</v>
      </c>
    </row>
    <row r="571">
      <c r="A571" s="9" t="str">
        <f>IFERROR(__xludf.DUMMYFUNCTION("""COMPUTED_VALUE"""),"Astara")</f>
        <v>Astara</v>
      </c>
      <c r="B571" s="9" t="str">
        <f>IFERROR(__xludf.DUMMYFUNCTION("""COMPUTED_VALUE"""),"az-ast")</f>
        <v>az-ast</v>
      </c>
      <c r="C571" s="9" t="str">
        <f>IFERROR(__xludf.DUMMYFUNCTION("GOOGLETRANSLATE($A571,""en"",""de"")"),"Astara")</f>
        <v>Astara</v>
      </c>
      <c r="D571" s="9" t="str">
        <f>IFERROR(__xludf.DUMMYFUNCTION("GOOGLETRANSLATE($A571,""en"",""fr"")"),"Astara")</f>
        <v>Astara</v>
      </c>
      <c r="E571" s="9" t="str">
        <f>IFERROR(__xludf.DUMMYFUNCTION("GOOGLETRANSLATE($A571,""en"",""es"")"),"Astará")</f>
        <v>Astará</v>
      </c>
      <c r="F571" s="9" t="str">
        <f>IFERROR(__xludf.DUMMYFUNCTION("GOOGLETRANSLATE($A571,""en"",""it"")"),"Astara")</f>
        <v>Astara</v>
      </c>
      <c r="G571" s="9" t="str">
        <f>IFERROR(__xludf.DUMMYFUNCTION("GOOGLETRANSLATE($A571,""en"",""zh-cn"")"),"阿斯塔拉")</f>
        <v>阿斯塔拉</v>
      </c>
      <c r="H571" s="9" t="str">
        <f>IFERROR(__xludf.DUMMYFUNCTION("GOOGLETRANSLATE($A571,""en"",""ja"")"),"アスタラ")</f>
        <v>アスタラ</v>
      </c>
      <c r="I571" s="9" t="str">
        <f>IFERROR(__xludf.DUMMYFUNCTION("GOOGLETRANSLATE($A571,""en"",""ko"")"),"아스타라")</f>
        <v>아스타라</v>
      </c>
      <c r="J571" s="9" t="str">
        <f>IFERROR(__xludf.DUMMYFUNCTION("GOOGLETRANSLATE($A571,""en"",""pt-BR"")"),"Astara")</f>
        <v>Astara</v>
      </c>
    </row>
    <row r="572">
      <c r="A572" s="9" t="str">
        <f>IFERROR(__xludf.DUMMYFUNCTION("""COMPUTED_VALUE"""),"Ağsu")</f>
        <v>Ağsu</v>
      </c>
      <c r="B572" s="9" t="str">
        <f>IFERROR(__xludf.DUMMYFUNCTION("""COMPUTED_VALUE"""),"az-agu")</f>
        <v>az-agu</v>
      </c>
      <c r="C572" s="9" t="str">
        <f>IFERROR(__xludf.DUMMYFUNCTION("GOOGLETRANSLATE($A572,""en"",""de"")"),"Ağsu")</f>
        <v>Ağsu</v>
      </c>
      <c r="D572" s="9" t="str">
        <f>IFERROR(__xludf.DUMMYFUNCTION("GOOGLETRANSLATE($A572,""en"",""fr"")"),"Agsu")</f>
        <v>Agsu</v>
      </c>
      <c r="E572" s="9" t="str">
        <f>IFERROR(__xludf.DUMMYFUNCTION("GOOGLETRANSLATE($A572,""en"",""es"")"),"ağsu")</f>
        <v>ağsu</v>
      </c>
      <c r="F572" s="9" t="str">
        <f>IFERROR(__xludf.DUMMYFUNCTION("GOOGLETRANSLATE($A572,""en"",""it"")"),"Agsu")</f>
        <v>Agsu</v>
      </c>
      <c r="G572" s="9" t="str">
        <f>IFERROR(__xludf.DUMMYFUNCTION("GOOGLETRANSLATE($A572,""en"",""zh-cn"")"),"阿苏")</f>
        <v>阿苏</v>
      </c>
      <c r="H572" s="9" t="str">
        <f>IFERROR(__xludf.DUMMYFUNCTION("GOOGLETRANSLATE($A572,""en"",""ja"")"),"アグス")</f>
        <v>アグス</v>
      </c>
      <c r="I572" s="9" t="str">
        <f>IFERROR(__xludf.DUMMYFUNCTION("GOOGLETRANSLATE($A572,""en"",""ko"")"),"아수")</f>
        <v>아수</v>
      </c>
      <c r="J572" s="9" t="str">
        <f>IFERROR(__xludf.DUMMYFUNCTION("GOOGLETRANSLATE($A572,""en"",""pt-BR"")"),"Ağsu")</f>
        <v>Ağsu</v>
      </c>
    </row>
    <row r="573">
      <c r="A573" s="9" t="str">
        <f>IFERROR(__xludf.DUMMYFUNCTION("""COMPUTED_VALUE"""),"Kǝngǝrli")</f>
        <v>Kǝngǝrli</v>
      </c>
      <c r="B573" s="9" t="str">
        <f>IFERROR(__xludf.DUMMYFUNCTION("""COMPUTED_VALUE"""),"az-kan")</f>
        <v>az-kan</v>
      </c>
      <c r="C573" s="9" t="str">
        <f>IFERROR(__xludf.DUMMYFUNCTION("GOOGLETRANSLATE($A573,""en"",""de"")"),"Kǝngǝrli")</f>
        <v>Kǝngǝrli</v>
      </c>
      <c r="D573" s="9" t="str">
        <f>IFERROR(__xludf.DUMMYFUNCTION("GOOGLETRANSLATE($A573,""en"",""fr"")"),"Kǝngǝrli")</f>
        <v>Kǝngǝrli</v>
      </c>
      <c r="E573" s="9" t="str">
        <f>IFERROR(__xludf.DUMMYFUNCTION("GOOGLETRANSLATE($A573,""en"",""es"")"),"Kǝngǝrli")</f>
        <v>Kǝngǝrli</v>
      </c>
      <c r="F573" s="9" t="str">
        <f>IFERROR(__xludf.DUMMYFUNCTION("GOOGLETRANSLATE($A573,""en"",""it"")"),"Köngörli")</f>
        <v>Köngörli</v>
      </c>
      <c r="G573" s="9" t="str">
        <f>IFERROR(__xludf.DUMMYFUNCTION("GOOGLETRANSLATE($A573,""en"",""zh-cn"")"),"昆古里")</f>
        <v>昆古里</v>
      </c>
      <c r="H573" s="9" t="str">
        <f>IFERROR(__xludf.DUMMYFUNCTION("GOOGLETRANSLATE($A573,""en"",""ja"")"),"キョルリ")</f>
        <v>キョルリ</v>
      </c>
      <c r="I573" s="9" t="str">
        <f>IFERROR(__xludf.DUMMYFUNCTION("GOOGLETRANSLATE($A573,""en"",""ko"")"),"쿵쿵리")</f>
        <v>쿵쿵리</v>
      </c>
      <c r="J573" s="9" t="str">
        <f>IFERROR(__xludf.DUMMYFUNCTION("GOOGLETRANSLATE($A573,""en"",""pt-BR"")"),"Kǝngǝrli")</f>
        <v>Kǝngǝrli</v>
      </c>
    </row>
    <row r="574">
      <c r="A574" s="9" t="str">
        <f>IFERROR(__xludf.DUMMYFUNCTION("""COMPUTED_VALUE"""),"Füzuli")</f>
        <v>Füzuli</v>
      </c>
      <c r="B574" s="9" t="str">
        <f>IFERROR(__xludf.DUMMYFUNCTION("""COMPUTED_VALUE"""),"az-fuz")</f>
        <v>az-fuz</v>
      </c>
      <c r="C574" s="9" t="str">
        <f>IFERROR(__xludf.DUMMYFUNCTION("GOOGLETRANSLATE($A574,""en"",""de"")"),"Füzuli")</f>
        <v>Füzuli</v>
      </c>
      <c r="D574" s="9" t="str">
        <f>IFERROR(__xludf.DUMMYFUNCTION("GOOGLETRANSLATE($A574,""en"",""fr"")"),"Fuzuli")</f>
        <v>Fuzuli</v>
      </c>
      <c r="E574" s="9" t="str">
        <f>IFERROR(__xludf.DUMMYFUNCTION("GOOGLETRANSLATE($A574,""en"",""es"")"),"Fuzuli")</f>
        <v>Fuzuli</v>
      </c>
      <c r="F574" s="9" t="str">
        <f>IFERROR(__xludf.DUMMYFUNCTION("GOOGLETRANSLATE($A574,""en"",""it"")"),"Fuzuli")</f>
        <v>Fuzuli</v>
      </c>
      <c r="G574" s="9" t="str">
        <f>IFERROR(__xludf.DUMMYFUNCTION("GOOGLETRANSLATE($A574,""en"",""zh-cn"")"),"菲祖利")</f>
        <v>菲祖利</v>
      </c>
      <c r="H574" s="9" t="str">
        <f>IFERROR(__xludf.DUMMYFUNCTION("GOOGLETRANSLATE($A574,""en"",""ja"")"),"フズリ")</f>
        <v>フズリ</v>
      </c>
      <c r="I574" s="9" t="str">
        <f>IFERROR(__xludf.DUMMYFUNCTION("GOOGLETRANSLATE($A574,""en"",""ko"")"),"푸줄리")</f>
        <v>푸줄리</v>
      </c>
      <c r="J574" s="9" t="str">
        <f>IFERROR(__xludf.DUMMYFUNCTION("GOOGLETRANSLATE($A574,""en"",""pt-BR"")"),"Fuzuli")</f>
        <v>Fuzuli</v>
      </c>
    </row>
    <row r="575">
      <c r="A575" s="9" t="str">
        <f>IFERROR(__xludf.DUMMYFUNCTION("""COMPUTED_VALUE"""),"Yardımlı")</f>
        <v>Yardımlı</v>
      </c>
      <c r="B575" s="9" t="str">
        <f>IFERROR(__xludf.DUMMYFUNCTION("""COMPUTED_VALUE"""),"az-yar")</f>
        <v>az-yar</v>
      </c>
      <c r="C575" s="9" t="str">
        <f>IFERROR(__xludf.DUMMYFUNCTION("GOOGLETRANSLATE($A575,""en"",""de"")"),"Yardımlı")</f>
        <v>Yardımlı</v>
      </c>
      <c r="D575" s="9" t="str">
        <f>IFERROR(__xludf.DUMMYFUNCTION("GOOGLETRANSLATE($A575,""en"",""fr"")"),"Yardımı")</f>
        <v>Yardımı</v>
      </c>
      <c r="E575" s="9" t="str">
        <f>IFERROR(__xludf.DUMMYFUNCTION("GOOGLETRANSLATE($A575,""en"",""es"")"),"Yardımlı")</f>
        <v>Yardımlı</v>
      </c>
      <c r="F575" s="9" t="str">
        <f>IFERROR(__xludf.DUMMYFUNCTION("GOOGLETRANSLATE($A575,""en"",""it"")"),"Yardımlı")</f>
        <v>Yardımlı</v>
      </c>
      <c r="G575" s="9" t="str">
        <f>IFERROR(__xludf.DUMMYFUNCTION("GOOGLETRANSLATE($A575,""en"",""zh-cn"")"),"亚德姆勒")</f>
        <v>亚德姆勒</v>
      </c>
      <c r="H575" s="9" t="str">
        <f>IFERROR(__xludf.DUMMYFUNCTION("GOOGLETRANSLATE($A575,""en"",""ja"")"),"ヤルドゥムリ")</f>
        <v>ヤルドゥムリ</v>
      </c>
      <c r="I575" s="9" t="str">
        <f>IFERROR(__xludf.DUMMYFUNCTION("GOOGLETRANSLATE($A575,""en"",""ko"")"),"야디믈리")</f>
        <v>야디믈리</v>
      </c>
      <c r="J575" s="9" t="str">
        <f>IFERROR(__xludf.DUMMYFUNCTION("GOOGLETRANSLATE($A575,""en"",""pt-BR"")"),"Yardımlı")</f>
        <v>Yardımlı</v>
      </c>
    </row>
    <row r="576">
      <c r="A576" s="9" t="str">
        <f>IFERROR(__xludf.DUMMYFUNCTION("""COMPUTED_VALUE"""),"Culfa")</f>
        <v>Culfa</v>
      </c>
      <c r="B576" s="9" t="str">
        <f>IFERROR(__xludf.DUMMYFUNCTION("""COMPUTED_VALUE"""),"az-cul")</f>
        <v>az-cul</v>
      </c>
      <c r="C576" s="9" t="str">
        <f>IFERROR(__xludf.DUMMYFUNCTION("GOOGLETRANSLATE($A576,""en"",""de"")"),"Culfa")</f>
        <v>Culfa</v>
      </c>
      <c r="D576" s="9" t="str">
        <f>IFERROR(__xludf.DUMMYFUNCTION("GOOGLETRANSLATE($A576,""en"",""fr"")"),"Culfa")</f>
        <v>Culfa</v>
      </c>
      <c r="E576" s="9" t="str">
        <f>IFERROR(__xludf.DUMMYFUNCTION("GOOGLETRANSLATE($A576,""en"",""es"")"),"culfa")</f>
        <v>culfa</v>
      </c>
      <c r="F576" s="9" t="str">
        <f>IFERROR(__xludf.DUMMYFUNCTION("GOOGLETRANSLATE($A576,""en"",""it"")"),"Culfa")</f>
        <v>Culfa</v>
      </c>
      <c r="G576" s="9" t="str">
        <f>IFERROR(__xludf.DUMMYFUNCTION("GOOGLETRANSLATE($A576,""en"",""zh-cn"")"),"卡尔法")</f>
        <v>卡尔法</v>
      </c>
      <c r="H576" s="9" t="str">
        <f>IFERROR(__xludf.DUMMYFUNCTION("GOOGLETRANSLATE($A576,""en"",""ja"")"),"カルファ")</f>
        <v>カルファ</v>
      </c>
      <c r="I576" s="9" t="str">
        <f>IFERROR(__xludf.DUMMYFUNCTION("GOOGLETRANSLATE($A576,""en"",""ko"")"),"쿨파")</f>
        <v>쿨파</v>
      </c>
      <c r="J576" s="9" t="str">
        <f>IFERROR(__xludf.DUMMYFUNCTION("GOOGLETRANSLATE($A576,""en"",""pt-BR"")"),"Culfa")</f>
        <v>Culfa</v>
      </c>
    </row>
    <row r="577">
      <c r="A577" s="9" t="str">
        <f>IFERROR(__xludf.DUMMYFUNCTION("""COMPUTED_VALUE"""),"Gədəbəy")</f>
        <v>Gədəbəy</v>
      </c>
      <c r="B577" s="9" t="str">
        <f>IFERROR(__xludf.DUMMYFUNCTION("""COMPUTED_VALUE"""),"az-gad")</f>
        <v>az-gad</v>
      </c>
      <c r="C577" s="9" t="str">
        <f>IFERROR(__xludf.DUMMYFUNCTION("GOOGLETRANSLATE($A577,""en"",""de"")"),"Gədəbəy")</f>
        <v>Gədəbəy</v>
      </c>
      <c r="D577" s="9" t="str">
        <f>IFERROR(__xludf.DUMMYFUNCTION("GOOGLETRANSLATE($A577,""en"",""fr"")"),"Gədəbəy")</f>
        <v>Gədəbəy</v>
      </c>
      <c r="E577" s="9" t="str">
        <f>IFERROR(__xludf.DUMMYFUNCTION("GOOGLETRANSLATE($A577,""en"",""es"")"),"Gədəbəy")</f>
        <v>Gədəbəy</v>
      </c>
      <c r="F577" s="9" t="str">
        <f>IFERROR(__xludf.DUMMYFUNCTION("GOOGLETRANSLATE($A577,""en"",""it"")"),"Gədəbəy")</f>
        <v>Gədəbəy</v>
      </c>
      <c r="G577" s="9" t="str">
        <f>IFERROR(__xludf.DUMMYFUNCTION("GOOGLETRANSLATE($A577,""en"",""zh-cn"")"),"格德·巴伊")</f>
        <v>格德·巴伊</v>
      </c>
      <c r="H577" s="9" t="str">
        <f>IFERROR(__xludf.DUMMYFUNCTION("GOOGLETRANSLATE($A577,""en"",""ja"")"),"ガディベイ")</f>
        <v>ガディベイ</v>
      </c>
      <c r="I577" s="9" t="str">
        <f>IFERROR(__xludf.DUMMYFUNCTION("GOOGLETRANSLATE($A577,""en"",""ko"")"),"Gədəbəy")</f>
        <v>Gədəbəy</v>
      </c>
      <c r="J577" s="9" t="str">
        <f>IFERROR(__xludf.DUMMYFUNCTION("GOOGLETRANSLATE($A577,""en"",""pt-BR"")"),"Bom dia")</f>
        <v>Bom dia</v>
      </c>
    </row>
    <row r="578">
      <c r="A578" s="9" t="str">
        <f>IFERROR(__xludf.DUMMYFUNCTION("""COMPUTED_VALUE"""),"Bakı")</f>
        <v>Bakı</v>
      </c>
      <c r="B578" s="9" t="str">
        <f>IFERROR(__xludf.DUMMYFUNCTION("""COMPUTED_VALUE"""),"az-ba")</f>
        <v>az-ba</v>
      </c>
      <c r="C578" s="9" t="str">
        <f>IFERROR(__xludf.DUMMYFUNCTION("GOOGLETRANSLATE($A578,""en"",""de"")"),"Bakı")</f>
        <v>Bakı</v>
      </c>
      <c r="D578" s="9" t="str">
        <f>IFERROR(__xludf.DUMMYFUNCTION("GOOGLETRANSLATE($A578,""en"",""fr"")"),"Bakı")</f>
        <v>Bakı</v>
      </c>
      <c r="E578" s="9" t="str">
        <f>IFERROR(__xludf.DUMMYFUNCTION("GOOGLETRANSLATE($A578,""en"",""es"")"),"Bakí")</f>
        <v>Bakí</v>
      </c>
      <c r="F578" s="9" t="str">
        <f>IFERROR(__xludf.DUMMYFUNCTION("GOOGLETRANSLATE($A578,""en"",""it"")"),"Baki")</f>
        <v>Baki</v>
      </c>
      <c r="G578" s="9" t="str">
        <f>IFERROR(__xludf.DUMMYFUNCTION("GOOGLETRANSLATE($A578,""en"",""zh-cn"")"),"巴基")</f>
        <v>巴基</v>
      </c>
      <c r="H578" s="9" t="str">
        <f>IFERROR(__xludf.DUMMYFUNCTION("GOOGLETRANSLATE($A578,""en"",""ja"")"),"バキ")</f>
        <v>バキ</v>
      </c>
      <c r="I578" s="9" t="str">
        <f>IFERROR(__xludf.DUMMYFUNCTION("GOOGLETRANSLATE($A578,""en"",""ko"")"),"바키")</f>
        <v>바키</v>
      </c>
      <c r="J578" s="9" t="str">
        <f>IFERROR(__xludf.DUMMYFUNCTION("GOOGLETRANSLATE($A578,""en"",""pt-BR"")"),"Bakı")</f>
        <v>Bakı</v>
      </c>
    </row>
    <row r="579">
      <c r="A579" s="9" t="str">
        <f>IFERROR(__xludf.DUMMYFUNCTION("""COMPUTED_VALUE"""),"Mingəçevir")</f>
        <v>Mingəçevir</v>
      </c>
      <c r="B579" s="9" t="str">
        <f>IFERROR(__xludf.DUMMYFUNCTION("""COMPUTED_VALUE"""),"az-mi")</f>
        <v>az-mi</v>
      </c>
      <c r="C579" s="9" t="str">
        <f>IFERROR(__xludf.DUMMYFUNCTION("GOOGLETRANSLATE($A579,""en"",""de"")"),"Mingəçevir")</f>
        <v>Mingəçevir</v>
      </c>
      <c r="D579" s="9" t="str">
        <f>IFERROR(__xludf.DUMMYFUNCTION("GOOGLETRANSLATE($A579,""en"",""fr"")"),"Mingəçevir")</f>
        <v>Mingəçevir</v>
      </c>
      <c r="E579" s="9" t="str">
        <f>IFERROR(__xludf.DUMMYFUNCTION("GOOGLETRANSLATE($A579,""en"",""es"")"),"Mingəçevir")</f>
        <v>Mingəçevir</v>
      </c>
      <c r="F579" s="9" t="str">
        <f>IFERROR(__xludf.DUMMYFUNCTION("GOOGLETRANSLATE($A579,""en"",""it"")"),"Mingəçevir")</f>
        <v>Mingəçevir</v>
      </c>
      <c r="G579" s="9" t="str">
        <f>IFERROR(__xludf.DUMMYFUNCTION("GOOGLETRANSLATE($A579,""en"",""zh-cn"")"),"明吉塞维尔")</f>
        <v>明吉塞维尔</v>
      </c>
      <c r="H579" s="9" t="str">
        <f>IFERROR(__xludf.DUMMYFUNCTION("GOOGLETRANSLATE($A579,""en"",""ja"")"),"ミンチェヴィル")</f>
        <v>ミンチェヴィル</v>
      </c>
      <c r="I579" s="9" t="str">
        <f>IFERROR(__xludf.DUMMYFUNCTION("GOOGLETRANSLATE($A579,""en"",""ko"")"),"밍에체비르")</f>
        <v>밍에체비르</v>
      </c>
      <c r="J579" s="9" t="str">
        <f>IFERROR(__xludf.DUMMYFUNCTION("GOOGLETRANSLATE($A579,""en"",""pt-BR"")"),"Mingəçevir")</f>
        <v>Mingəçevir</v>
      </c>
    </row>
    <row r="580">
      <c r="A580" s="9" t="str">
        <f>IFERROR(__xludf.DUMMYFUNCTION("""COMPUTED_VALUE"""),"Tərtər")</f>
        <v>Tərtər</v>
      </c>
      <c r="B580" s="9" t="str">
        <f>IFERROR(__xludf.DUMMYFUNCTION("""COMPUTED_VALUE"""),"az-tar")</f>
        <v>az-tar</v>
      </c>
      <c r="C580" s="9" t="str">
        <f>IFERROR(__xludf.DUMMYFUNCTION("GOOGLETRANSLATE($A580,""en"",""de"")"),"Tərtər")</f>
        <v>Tərtər</v>
      </c>
      <c r="D580" s="9" t="str">
        <f>IFERROR(__xludf.DUMMYFUNCTION("GOOGLETRANSLATE($A580,""en"",""fr"")"),"Tərtər")</f>
        <v>Tərtər</v>
      </c>
      <c r="E580" s="9" t="str">
        <f>IFERROR(__xludf.DUMMYFUNCTION("GOOGLETRANSLATE($A580,""en"",""es"")"),"tərtər")</f>
        <v>tərtər</v>
      </c>
      <c r="F580" s="9" t="str">
        <f>IFERROR(__xludf.DUMMYFUNCTION("GOOGLETRANSLATE($A580,""en"",""it"")"),"Tərtər")</f>
        <v>Tərtər</v>
      </c>
      <c r="G580" s="9" t="str">
        <f>IFERROR(__xludf.DUMMYFUNCTION("GOOGLETRANSLATE($A580,""en"",""zh-cn"")"),"Tərtər")</f>
        <v>Tərtər</v>
      </c>
      <c r="H580" s="9" t="str">
        <f>IFERROR(__xludf.DUMMYFUNCTION("GOOGLETRANSLATE($A580,""en"",""ja"")"),"タルトル")</f>
        <v>タルトル</v>
      </c>
      <c r="I580" s="9" t="str">
        <f>IFERROR(__xludf.DUMMYFUNCTION("GOOGLETRANSLATE($A580,""en"",""ko"")"),"Tərtər")</f>
        <v>Tərtər</v>
      </c>
      <c r="J580" s="9" t="str">
        <f>IFERROR(__xludf.DUMMYFUNCTION("GOOGLETRANSLATE($A580,""en"",""pt-BR"")"),"Tərtər")</f>
        <v>Tərtər</v>
      </c>
    </row>
    <row r="581">
      <c r="A581" s="9" t="str">
        <f>IFERROR(__xludf.DUMMYFUNCTION("""COMPUTED_VALUE"""),"Ağcabədi")</f>
        <v>Ağcabədi</v>
      </c>
      <c r="B581" s="9" t="str">
        <f>IFERROR(__xludf.DUMMYFUNCTION("""COMPUTED_VALUE"""),"az-agc")</f>
        <v>az-agc</v>
      </c>
      <c r="C581" s="9" t="str">
        <f>IFERROR(__xludf.DUMMYFUNCTION("GOOGLETRANSLATE($A581,""en"",""de"")"),"Ağcabədi")</f>
        <v>Ağcabədi</v>
      </c>
      <c r="D581" s="9" t="str">
        <f>IFERROR(__xludf.DUMMYFUNCTION("GOOGLETRANSLATE($A581,""en"",""fr"")"),"Agcabədi")</f>
        <v>Agcabədi</v>
      </c>
      <c r="E581" s="9" t="str">
        <f>IFERROR(__xludf.DUMMYFUNCTION("GOOGLETRANSLATE($A581,""en"",""es"")"),"Ağcabədi")</f>
        <v>Ağcabədi</v>
      </c>
      <c r="F581" s="9" t="str">
        <f>IFERROR(__xludf.DUMMYFUNCTION("GOOGLETRANSLATE($A581,""en"",""it"")"),"Ağcabədi")</f>
        <v>Ağcabədi</v>
      </c>
      <c r="G581" s="9" t="str">
        <f>IFERROR(__xludf.DUMMYFUNCTION("GOOGLETRANSLATE($A581,""en"",""zh-cn"")"),"阿卡巴迪")</f>
        <v>阿卡巴迪</v>
      </c>
      <c r="H581" s="9" t="str">
        <f>IFERROR(__xludf.DUMMYFUNCTION("GOOGLETRANSLATE($A581,""en"",""ja"")"),"アチャバディ")</f>
        <v>アチャバディ</v>
      </c>
      <c r="I581" s="9" t="str">
        <f>IFERROR(__xludf.DUMMYFUNCTION("GOOGLETRANSLATE($A581,""en"",""ko"")"),"Ağcabədi")</f>
        <v>Ağcabədi</v>
      </c>
      <c r="J581" s="9" t="str">
        <f>IFERROR(__xludf.DUMMYFUNCTION("GOOGLETRANSLATE($A581,""en"",""pt-BR"")"),"Ağcabədi")</f>
        <v>Ağcabədi</v>
      </c>
    </row>
    <row r="582">
      <c r="A582" s="9" t="str">
        <f>IFERROR(__xludf.DUMMYFUNCTION("""COMPUTED_VALUE"""),"Laçın")</f>
        <v>Laçın</v>
      </c>
      <c r="B582" s="9" t="str">
        <f>IFERROR(__xludf.DUMMYFUNCTION("""COMPUTED_VALUE"""),"az-lac")</f>
        <v>az-lac</v>
      </c>
      <c r="C582" s="9" t="str">
        <f>IFERROR(__xludf.DUMMYFUNCTION("GOOGLETRANSLATE($A582,""en"",""de"")"),"Laçın")</f>
        <v>Laçın</v>
      </c>
      <c r="D582" s="9" t="str">
        <f>IFERROR(__xludf.DUMMYFUNCTION("GOOGLETRANSLATE($A582,""en"",""fr"")"),"Lacın")</f>
        <v>Lacın</v>
      </c>
      <c r="E582" s="9" t="str">
        <f>IFERROR(__xludf.DUMMYFUNCTION("GOOGLETRANSLATE($A582,""en"",""es"")"),"Laçın")</f>
        <v>Laçın</v>
      </c>
      <c r="F582" s="9" t="str">
        <f>IFERROR(__xludf.DUMMYFUNCTION("GOOGLETRANSLATE($A582,""en"",""it"")"),"Laçın")</f>
        <v>Laçın</v>
      </c>
      <c r="G582" s="9" t="str">
        <f>IFERROR(__xludf.DUMMYFUNCTION("GOOGLETRANSLATE($A582,""en"",""zh-cn"")"),"拉钦")</f>
        <v>拉钦</v>
      </c>
      <c r="H582" s="9" t="str">
        <f>IFERROR(__xludf.DUMMYFUNCTION("GOOGLETRANSLATE($A582,""en"",""ja"")"),"ラシン")</f>
        <v>ラシン</v>
      </c>
      <c r="I582" s="9" t="str">
        <f>IFERROR(__xludf.DUMMYFUNCTION("GOOGLETRANSLATE($A582,""en"",""ko"")"),"라친")</f>
        <v>라친</v>
      </c>
      <c r="J582" s="9" t="str">
        <f>IFERROR(__xludf.DUMMYFUNCTION("GOOGLETRANSLATE($A582,""en"",""pt-BR"")"),"Laçın")</f>
        <v>Laçın</v>
      </c>
    </row>
    <row r="583">
      <c r="A583" s="9" t="str">
        <f>IFERROR(__xludf.DUMMYFUNCTION("""COMPUTED_VALUE"""),"Kürdəmir")</f>
        <v>Kürdəmir</v>
      </c>
      <c r="B583" s="9" t="str">
        <f>IFERROR(__xludf.DUMMYFUNCTION("""COMPUTED_VALUE"""),"az-kur")</f>
        <v>az-kur</v>
      </c>
      <c r="C583" s="9" t="str">
        <f>IFERROR(__xludf.DUMMYFUNCTION("GOOGLETRANSLATE($A583,""en"",""de"")"),"Kürdəmir")</f>
        <v>Kürdəmir</v>
      </c>
      <c r="D583" s="9" t="str">
        <f>IFERROR(__xludf.DUMMYFUNCTION("GOOGLETRANSLATE($A583,""en"",""fr"")"),"Kurdəmir")</f>
        <v>Kurdəmir</v>
      </c>
      <c r="E583" s="9" t="str">
        <f>IFERROR(__xludf.DUMMYFUNCTION("GOOGLETRANSLATE($A583,""en"",""es"")"),"kurdəmir")</f>
        <v>kurdəmir</v>
      </c>
      <c r="F583" s="9" t="str">
        <f>IFERROR(__xludf.DUMMYFUNCTION("GOOGLETRANSLATE($A583,""en"",""it"")"),"Kurdəmir")</f>
        <v>Kurdəmir</v>
      </c>
      <c r="G583" s="9" t="str">
        <f>IFERROR(__xludf.DUMMYFUNCTION("GOOGLETRANSLATE($A583,""en"",""zh-cn"")"),"库尔德米尔")</f>
        <v>库尔德米尔</v>
      </c>
      <c r="H583" s="9" t="str">
        <f>IFERROR(__xludf.DUMMYFUNCTION("GOOGLETRANSLATE($A583,""en"",""ja"")"),"クルディミル")</f>
        <v>クルディミル</v>
      </c>
      <c r="I583" s="9" t="str">
        <f>IFERROR(__xludf.DUMMYFUNCTION("GOOGLETRANSLATE($A583,""en"",""ko"")"),"Kürdəmir")</f>
        <v>Kürdəmir</v>
      </c>
      <c r="J583" s="9" t="str">
        <f>IFERROR(__xludf.DUMMYFUNCTION("GOOGLETRANSLATE($A583,""en"",""pt-BR"")"),"Kurdəmir")</f>
        <v>Kurdəmir</v>
      </c>
    </row>
    <row r="584">
      <c r="A584" s="9" t="str">
        <f>IFERROR(__xludf.DUMMYFUNCTION("""COMPUTED_VALUE"""),"Qazax")</f>
        <v>Qazax</v>
      </c>
      <c r="B584" s="9" t="str">
        <f>IFERROR(__xludf.DUMMYFUNCTION("""COMPUTED_VALUE"""),"az-qaz")</f>
        <v>az-qaz</v>
      </c>
      <c r="C584" s="9" t="str">
        <f>IFERROR(__xludf.DUMMYFUNCTION("GOOGLETRANSLATE($A584,""en"",""de"")"),"Qazax")</f>
        <v>Qazax</v>
      </c>
      <c r="D584" s="9" t="str">
        <f>IFERROR(__xludf.DUMMYFUNCTION("GOOGLETRANSLATE($A584,""en"",""fr"")"),"Qazax")</f>
        <v>Qazax</v>
      </c>
      <c r="E584" s="9" t="str">
        <f>IFERROR(__xludf.DUMMYFUNCTION("GOOGLETRANSLATE($A584,""en"",""es"")"),"Qazax")</f>
        <v>Qazax</v>
      </c>
      <c r="F584" s="9" t="str">
        <f>IFERROR(__xludf.DUMMYFUNCTION("GOOGLETRANSLATE($A584,""en"",""it"")"),"Qazax")</f>
        <v>Qazax</v>
      </c>
      <c r="G584" s="9" t="str">
        <f>IFERROR(__xludf.DUMMYFUNCTION("GOOGLETRANSLATE($A584,""en"",""zh-cn"")"),"卡扎克斯")</f>
        <v>卡扎克斯</v>
      </c>
      <c r="H584" s="9" t="str">
        <f>IFERROR(__xludf.DUMMYFUNCTION("GOOGLETRANSLATE($A584,""en"",""ja"")"),"カザックス")</f>
        <v>カザックス</v>
      </c>
      <c r="I584" s="9" t="str">
        <f>IFERROR(__xludf.DUMMYFUNCTION("GOOGLETRANSLATE($A584,""en"",""ko"")"),"카작스")</f>
        <v>카작스</v>
      </c>
      <c r="J584" s="9" t="str">
        <f>IFERROR(__xludf.DUMMYFUNCTION("GOOGLETRANSLATE($A584,""en"",""pt-BR"")"),"Qazax")</f>
        <v>Qazax</v>
      </c>
    </row>
    <row r="585">
      <c r="A585" s="9" t="str">
        <f>IFERROR(__xludf.DUMMYFUNCTION("""COMPUTED_VALUE"""),"Kəlbəcər")</f>
        <v>Kəlbəcər</v>
      </c>
      <c r="B585" s="9" t="str">
        <f>IFERROR(__xludf.DUMMYFUNCTION("""COMPUTED_VALUE"""),"az-kal")</f>
        <v>az-kal</v>
      </c>
      <c r="C585" s="9" t="str">
        <f>IFERROR(__xludf.DUMMYFUNCTION("GOOGLETRANSLATE($A585,""en"",""de"")"),"Kəlbəcər")</f>
        <v>Kəlbəcər</v>
      </c>
      <c r="D585" s="9" t="str">
        <f>IFERROR(__xludf.DUMMYFUNCTION("GOOGLETRANSLATE($A585,""en"",""fr"")"),"Kəlbəcər")</f>
        <v>Kəlbəcər</v>
      </c>
      <c r="E585" s="9" t="str">
        <f>IFERROR(__xludf.DUMMYFUNCTION("GOOGLETRANSLATE($A585,""en"",""es"")"),"kəlbəcər")</f>
        <v>kəlbəcər</v>
      </c>
      <c r="F585" s="9" t="str">
        <f>IFERROR(__xludf.DUMMYFUNCTION("GOOGLETRANSLATE($A585,""en"",""it"")"),"Kəlbəcər")</f>
        <v>Kəlbəcər</v>
      </c>
      <c r="G585" s="9" t="str">
        <f>IFERROR(__xludf.DUMMYFUNCTION("GOOGLETRANSLATE($A585,""en"",""zh-cn"")"),"Kəlbəcər")</f>
        <v>Kəlbəcər</v>
      </c>
      <c r="H585" s="9" t="str">
        <f>IFERROR(__xludf.DUMMYFUNCTION("GOOGLETRANSLATE($A585,""en"",""ja"")"),"カルボチャール")</f>
        <v>カルボチャール</v>
      </c>
      <c r="I585" s="9" t="str">
        <f>IFERROR(__xludf.DUMMYFUNCTION("GOOGLETRANSLATE($A585,""en"",""ko"")"),"Kəlbəcər")</f>
        <v>Kəlbəcər</v>
      </c>
      <c r="J585" s="9" t="str">
        <f>IFERROR(__xludf.DUMMYFUNCTION("GOOGLETRANSLATE($A585,""en"",""pt-BR"")"),"Kəlbəcər")</f>
        <v>Kəlbəcər</v>
      </c>
    </row>
    <row r="586">
      <c r="A586" s="9" t="str">
        <f>IFERROR(__xludf.DUMMYFUNCTION("""COMPUTED_VALUE"""),"Naxçıvan (Municipality)")</f>
        <v>Naxçıvan (Municipality)</v>
      </c>
      <c r="B586" s="9" t="str">
        <f>IFERROR(__xludf.DUMMYFUNCTION("""COMPUTED_VALUE"""),"az-nv")</f>
        <v>az-nv</v>
      </c>
      <c r="C586" s="9" t="str">
        <f>IFERROR(__xludf.DUMMYFUNCTION("GOOGLETRANSLATE($A586,""en"",""de"")"),"Naxçıvan (Gemeinde)")</f>
        <v>Naxçıvan (Gemeinde)</v>
      </c>
      <c r="D586" s="9" t="str">
        <f>IFERROR(__xludf.DUMMYFUNCTION("GOOGLETRANSLATE($A586,""en"",""fr"")"),"Naxçıvan (Municipalité)")</f>
        <v>Naxçıvan (Municipalité)</v>
      </c>
      <c r="E586" s="9" t="str">
        <f>IFERROR(__xludf.DUMMYFUNCTION("GOOGLETRANSLATE($A586,""en"",""es"")"),"Naxçıvan (Municipio)")</f>
        <v>Naxçıvan (Municipio)</v>
      </c>
      <c r="F586" s="9" t="str">
        <f>IFERROR(__xludf.DUMMYFUNCTION("GOOGLETRANSLATE($A586,""en"",""it"")"),"Naxçıvan (Comune)")</f>
        <v>Naxçıvan (Comune)</v>
      </c>
      <c r="G586" s="9" t="str">
        <f>IFERROR(__xludf.DUMMYFUNCTION("GOOGLETRANSLATE($A586,""en"",""zh-cn"")"),"纳克西万（直辖市）")</f>
        <v>纳克西万（直辖市）</v>
      </c>
      <c r="H586" s="9" t="str">
        <f>IFERROR(__xludf.DUMMYFUNCTION("GOOGLETRANSLATE($A586,""en"",""ja"")"),"ナシュシュヴァン (自治体)")</f>
        <v>ナシュシュヴァン (自治体)</v>
      </c>
      <c r="I586" s="9" t="str">
        <f>IFERROR(__xludf.DUMMYFUNCTION("GOOGLETRANSLATE($A586,""en"",""ko"")"),"나히체반(지방자치단체)")</f>
        <v>나히체반(지방자치단체)</v>
      </c>
      <c r="J586" s="9" t="str">
        <f>IFERROR(__xludf.DUMMYFUNCTION("GOOGLETRANSLATE($A586,""en"",""pt-BR"")"),"Naxcivan (município)")</f>
        <v>Naxcivan (município)</v>
      </c>
    </row>
    <row r="587">
      <c r="A587" s="9" t="str">
        <f>IFERROR(__xludf.DUMMYFUNCTION("""COMPUTED_VALUE"""),"Qubadlı")</f>
        <v>Qubadlı</v>
      </c>
      <c r="B587" s="9" t="str">
        <f>IFERROR(__xludf.DUMMYFUNCTION("""COMPUTED_VALUE"""),"az-qbi")</f>
        <v>az-qbi</v>
      </c>
      <c r="C587" s="9" t="str">
        <f>IFERROR(__xludf.DUMMYFUNCTION("GOOGLETRANSLATE($A587,""en"",""de"")"),"Qubadlı")</f>
        <v>Qubadlı</v>
      </c>
      <c r="D587" s="9" t="str">
        <f>IFERROR(__xludf.DUMMYFUNCTION("GOOGLETRANSLATE($A587,""en"",""fr"")"),"Qubadli")</f>
        <v>Qubadli</v>
      </c>
      <c r="E587" s="9" t="str">
        <f>IFERROR(__xludf.DUMMYFUNCTION("GOOGLETRANSLATE($A587,""en"",""es"")"),"Qubadli")</f>
        <v>Qubadli</v>
      </c>
      <c r="F587" s="9" t="str">
        <f>IFERROR(__xludf.DUMMYFUNCTION("GOOGLETRANSLATE($A587,""en"",""it"")"),"Qubadli")</f>
        <v>Qubadli</v>
      </c>
      <c r="G587" s="9" t="str">
        <f>IFERROR(__xludf.DUMMYFUNCTION("GOOGLETRANSLATE($A587,""en"",""zh-cn"")"),"库巴德利")</f>
        <v>库巴德利</v>
      </c>
      <c r="H587" s="9" t="str">
        <f>IFERROR(__xludf.DUMMYFUNCTION("GOOGLETRANSLATE($A587,""en"",""ja"")"),"クバドゥリ")</f>
        <v>クバドゥリ</v>
      </c>
      <c r="I587" s="9" t="str">
        <f>IFERROR(__xludf.DUMMYFUNCTION("GOOGLETRANSLATE($A587,""en"",""ko"")"),"쿠바디")</f>
        <v>쿠바디</v>
      </c>
      <c r="J587" s="9" t="str">
        <f>IFERROR(__xludf.DUMMYFUNCTION("GOOGLETRANSLATE($A587,""en"",""pt-BR"")"),"Qubadli")</f>
        <v>Qubadli</v>
      </c>
    </row>
    <row r="588">
      <c r="A588" s="9" t="str">
        <f>IFERROR(__xludf.DUMMYFUNCTION("""COMPUTED_VALUE"""),"Xocavənd")</f>
        <v>Xocavənd</v>
      </c>
      <c r="B588" s="9" t="str">
        <f>IFERROR(__xludf.DUMMYFUNCTION("""COMPUTED_VALUE"""),"az-xvd")</f>
        <v>az-xvd</v>
      </c>
      <c r="C588" s="9" t="str">
        <f>IFERROR(__xludf.DUMMYFUNCTION("GOOGLETRANSLATE($A588,""en"",""de"")"),"Xocavənd")</f>
        <v>Xocavənd</v>
      </c>
      <c r="D588" s="9" t="str">
        <f>IFERROR(__xludf.DUMMYFUNCTION("GOOGLETRANSLATE($A588,""en"",""fr"")"),"Xocavənd")</f>
        <v>Xocavənd</v>
      </c>
      <c r="E588" s="9" t="str">
        <f>IFERROR(__xludf.DUMMYFUNCTION("GOOGLETRANSLATE($A588,""en"",""es"")"),"Xocavənd")</f>
        <v>Xocavənd</v>
      </c>
      <c r="F588" s="9" t="str">
        <f>IFERROR(__xludf.DUMMYFUNCTION("GOOGLETRANSLATE($A588,""en"",""it"")"),"Xocavənd")</f>
        <v>Xocavənd</v>
      </c>
      <c r="G588" s="9" t="str">
        <f>IFERROR(__xludf.DUMMYFUNCTION("GOOGLETRANSLATE($A588,""en"",""zh-cn"")"),"索卡文德")</f>
        <v>索卡文德</v>
      </c>
      <c r="H588" s="9" t="str">
        <f>IFERROR(__xludf.DUMMYFUNCTION("GOOGLETRANSLATE($A588,""en"",""ja"")"),"ソカヴァンド")</f>
        <v>ソカヴァンド</v>
      </c>
      <c r="I588" s="9" t="str">
        <f>IFERROR(__xludf.DUMMYFUNCTION("GOOGLETRANSLATE($A588,""en"",""ko"")"),"Xocavənd")</f>
        <v>Xocavənd</v>
      </c>
      <c r="J588" s="9" t="str">
        <f>IFERROR(__xludf.DUMMYFUNCTION("GOOGLETRANSLATE($A588,""en"",""pt-BR"")"),"Xocavənd")</f>
        <v>Xocavənd</v>
      </c>
    </row>
    <row r="589">
      <c r="A589" s="9" t="str">
        <f>IFERROR(__xludf.DUMMYFUNCTION("""COMPUTED_VALUE"""),"Ağdam")</f>
        <v>Ağdam</v>
      </c>
      <c r="B589" s="9" t="str">
        <f>IFERROR(__xludf.DUMMYFUNCTION("""COMPUTED_VALUE"""),"az-agm")</f>
        <v>az-agm</v>
      </c>
      <c r="C589" s="9" t="str">
        <f>IFERROR(__xludf.DUMMYFUNCTION("GOOGLETRANSLATE($A589,""en"",""de"")"),"Ağdam")</f>
        <v>Ağdam</v>
      </c>
      <c r="D589" s="9" t="str">
        <f>IFERROR(__xludf.DUMMYFUNCTION("GOOGLETRANSLATE($A589,""en"",""fr"")"),"Agdam")</f>
        <v>Agdam</v>
      </c>
      <c r="E589" s="9" t="str">
        <f>IFERROR(__xludf.DUMMYFUNCTION("GOOGLETRANSLATE($A589,""en"",""es"")"),"Agdam")</f>
        <v>Agdam</v>
      </c>
      <c r="F589" s="9" t="str">
        <f>IFERROR(__xludf.DUMMYFUNCTION("GOOGLETRANSLATE($A589,""en"",""it"")"),"Agdam")</f>
        <v>Agdam</v>
      </c>
      <c r="G589" s="9" t="str">
        <f>IFERROR(__xludf.DUMMYFUNCTION("GOOGLETRANSLATE($A589,""en"",""zh-cn"")"),"阿达姆")</f>
        <v>阿达姆</v>
      </c>
      <c r="H589" s="9" t="str">
        <f>IFERROR(__xludf.DUMMYFUNCTION("GOOGLETRANSLATE($A589,""en"",""ja"")"),"アグダム")</f>
        <v>アグダム</v>
      </c>
      <c r="I589" s="9" t="str">
        <f>IFERROR(__xludf.DUMMYFUNCTION("GOOGLETRANSLATE($A589,""en"",""ko"")"),"아그담")</f>
        <v>아그담</v>
      </c>
      <c r="J589" s="9" t="str">
        <f>IFERROR(__xludf.DUMMYFUNCTION("GOOGLETRANSLATE($A589,""en"",""pt-BR"")"),"Ağdam")</f>
        <v>Ağdam</v>
      </c>
    </row>
    <row r="590">
      <c r="A590" s="9" t="str">
        <f>IFERROR(__xludf.DUMMYFUNCTION("""COMPUTED_VALUE"""),"Naftalan")</f>
        <v>Naftalan</v>
      </c>
      <c r="B590" s="9" t="str">
        <f>IFERROR(__xludf.DUMMYFUNCTION("""COMPUTED_VALUE"""),"az-na")</f>
        <v>az-na</v>
      </c>
      <c r="C590" s="9" t="str">
        <f>IFERROR(__xludf.DUMMYFUNCTION("GOOGLETRANSLATE($A590,""en"",""de"")"),"Naftalan")</f>
        <v>Naftalan</v>
      </c>
      <c r="D590" s="9" t="str">
        <f>IFERROR(__xludf.DUMMYFUNCTION("GOOGLETRANSLATE($A590,""en"",""fr"")"),"Naftalan")</f>
        <v>Naftalan</v>
      </c>
      <c r="E590" s="9" t="str">
        <f>IFERROR(__xludf.DUMMYFUNCTION("GOOGLETRANSLATE($A590,""en"",""es"")"),"Naftalán")</f>
        <v>Naftalán</v>
      </c>
      <c r="F590" s="9" t="str">
        <f>IFERROR(__xludf.DUMMYFUNCTION("GOOGLETRANSLATE($A590,""en"",""it"")"),"Naftalan")</f>
        <v>Naftalan</v>
      </c>
      <c r="G590" s="9" t="str">
        <f>IFERROR(__xludf.DUMMYFUNCTION("GOOGLETRANSLATE($A590,""en"",""zh-cn"")"),"纳夫塔兰")</f>
        <v>纳夫塔兰</v>
      </c>
      <c r="H590" s="9" t="str">
        <f>IFERROR(__xludf.DUMMYFUNCTION("GOOGLETRANSLATE($A590,""en"",""ja"")"),"ナフタラン")</f>
        <v>ナフタラン</v>
      </c>
      <c r="I590" s="9" t="str">
        <f>IFERROR(__xludf.DUMMYFUNCTION("GOOGLETRANSLATE($A590,""en"",""ko"")"),"나프탈란")</f>
        <v>나프탈란</v>
      </c>
      <c r="J590" s="9" t="str">
        <f>IFERROR(__xludf.DUMMYFUNCTION("GOOGLETRANSLATE($A590,""en"",""pt-BR"")"),"Naftalan")</f>
        <v>Naftalan</v>
      </c>
    </row>
    <row r="591">
      <c r="A591" s="9" t="str">
        <f>IFERROR(__xludf.DUMMYFUNCTION("""COMPUTED_VALUE"""),"Naxçıvan (Autonomous Republic)")</f>
        <v>Naxçıvan (Autonomous Republic)</v>
      </c>
      <c r="B591" s="9" t="str">
        <f>IFERROR(__xludf.DUMMYFUNCTION("""COMPUTED_VALUE"""),"az-nx")</f>
        <v>az-nx</v>
      </c>
      <c r="C591" s="9" t="str">
        <f>IFERROR(__xludf.DUMMYFUNCTION("GOOGLETRANSLATE($A591,""en"",""de"")"),"Naxçıvan (Autonome Republik)")</f>
        <v>Naxçıvan (Autonome Republik)</v>
      </c>
      <c r="D591" s="9" t="str">
        <f>IFERROR(__xludf.DUMMYFUNCTION("GOOGLETRANSLATE($A591,""en"",""fr"")"),"Naxçıvan (République autonome)")</f>
        <v>Naxçıvan (République autonome)</v>
      </c>
      <c r="E591" s="9" t="str">
        <f>IFERROR(__xludf.DUMMYFUNCTION("GOOGLETRANSLATE($A591,""en"",""es"")"),"Naxçıvan (República Autónoma)")</f>
        <v>Naxçıvan (República Autónoma)</v>
      </c>
      <c r="F591" s="9" t="str">
        <f>IFERROR(__xludf.DUMMYFUNCTION("GOOGLETRANSLATE($A591,""en"",""it"")"),"Naxçıvan (Repubblica Autonoma)")</f>
        <v>Naxçıvan (Repubblica Autonoma)</v>
      </c>
      <c r="G591" s="9" t="str">
        <f>IFERROR(__xludf.DUMMYFUNCTION("GOOGLETRANSLATE($A591,""en"",""zh-cn"")"),"纳克西万（自治共和国）")</f>
        <v>纳克西万（自治共和国）</v>
      </c>
      <c r="H591" s="9" t="str">
        <f>IFERROR(__xludf.DUMMYFUNCTION("GOOGLETRANSLATE($A591,""en"",""ja"")"),"ナシュチヴァン (自治共和国)")</f>
        <v>ナシュチヴァン (自治共和国)</v>
      </c>
      <c r="I591" s="9" t="str">
        <f>IFERROR(__xludf.DUMMYFUNCTION("GOOGLETRANSLATE($A591,""en"",""ko"")"),"나히체반(자치공화국)")</f>
        <v>나히체반(자치공화국)</v>
      </c>
      <c r="J591" s="9" t="str">
        <f>IFERROR(__xludf.DUMMYFUNCTION("GOOGLETRANSLATE($A591,""en"",""pt-BR"")"),"Naxçıvan (República Autônoma)")</f>
        <v>Naxçıvan (República Autônoma)</v>
      </c>
    </row>
    <row r="592">
      <c r="A592" s="9" t="str">
        <f>IFERROR(__xludf.DUMMYFUNCTION("""COMPUTED_VALUE"""),"Şəki (Rayon)")</f>
        <v>Şəki (Rayon)</v>
      </c>
      <c r="B592" s="9" t="str">
        <f>IFERROR(__xludf.DUMMYFUNCTION("""COMPUTED_VALUE"""),"az-sak")</f>
        <v>az-sak</v>
      </c>
      <c r="C592" s="9" t="str">
        <f>IFERROR(__xludf.DUMMYFUNCTION("GOOGLETRANSLATE($A592,""en"",""de"")"),"Şəki (Rayon)")</f>
        <v>Şəki (Rayon)</v>
      </c>
      <c r="D592" s="9" t="str">
        <f>IFERROR(__xludf.DUMMYFUNCTION("GOOGLETRANSLATE($A592,""en"",""fr"")"),"Şəki (rayonne)")</f>
        <v>Şəki (rayonne)</v>
      </c>
      <c r="E592" s="9" t="str">
        <f>IFERROR(__xludf.DUMMYFUNCTION("GOOGLETRANSLATE($A592,""en"",""es"")"),"Şəki (rayón)")</f>
        <v>Şəki (rayón)</v>
      </c>
      <c r="F592" s="9" t="str">
        <f>IFERROR(__xludf.DUMMYFUNCTION("GOOGLETRANSLATE($A592,""en"",""it"")"),"Şəki (Rayon)")</f>
        <v>Şəki (Rayon)</v>
      </c>
      <c r="G592" s="9" t="str">
        <f>IFERROR(__xludf.DUMMYFUNCTION("GOOGLETRANSLATE($A592,""en"",""zh-cn"")"),"Şəki（人造丝）")</f>
        <v>Şəki（人造丝）</v>
      </c>
      <c r="H592" s="9" t="str">
        <f>IFERROR(__xludf.DUMMYFUNCTION("GOOGLETRANSLATE($A592,""en"",""ja"")"),"Şəki (レーヨン)")</f>
        <v>Şəki (レーヨン)</v>
      </c>
      <c r="I592" s="9" t="str">
        <f>IFERROR(__xludf.DUMMYFUNCTION("GOOGLETRANSLATE($A592,""en"",""ko"")"),"Şəki(레이온)")</f>
        <v>Şəki(레이온)</v>
      </c>
      <c r="J592" s="9" t="str">
        <f>IFERROR(__xludf.DUMMYFUNCTION("GOOGLETRANSLATE($A592,""en"",""pt-BR"")"),"Şəki (Rayon)")</f>
        <v>Şəki (Rayon)</v>
      </c>
    </row>
    <row r="593">
      <c r="A593" s="9" t="str">
        <f>IFERROR(__xludf.DUMMYFUNCTION("""COMPUTED_VALUE"""),"Tovuz")</f>
        <v>Tovuz</v>
      </c>
      <c r="B593" s="9" t="str">
        <f>IFERROR(__xludf.DUMMYFUNCTION("""COMPUTED_VALUE"""),"az-tov")</f>
        <v>az-tov</v>
      </c>
      <c r="C593" s="9" t="str">
        <f>IFERROR(__xludf.DUMMYFUNCTION("GOOGLETRANSLATE($A593,""en"",""de"")"),"Tovuz")</f>
        <v>Tovuz</v>
      </c>
      <c r="D593" s="9" t="str">
        <f>IFERROR(__xludf.DUMMYFUNCTION("GOOGLETRANSLATE($A593,""en"",""fr"")"),"Tovuz")</f>
        <v>Tovuz</v>
      </c>
      <c r="E593" s="9" t="str">
        <f>IFERROR(__xludf.DUMMYFUNCTION("GOOGLETRANSLATE($A593,""en"",""es"")"),"Tovuz")</f>
        <v>Tovuz</v>
      </c>
      <c r="F593" s="9" t="str">
        <f>IFERROR(__xludf.DUMMYFUNCTION("GOOGLETRANSLATE($A593,""en"",""it"")"),"Tovuz")</f>
        <v>Tovuz</v>
      </c>
      <c r="G593" s="9" t="str">
        <f>IFERROR(__xludf.DUMMYFUNCTION("GOOGLETRANSLATE($A593,""en"",""zh-cn"")"),"托乌兹")</f>
        <v>托乌兹</v>
      </c>
      <c r="H593" s="9" t="str">
        <f>IFERROR(__xludf.DUMMYFUNCTION("GOOGLETRANSLATE($A593,""en"",""ja"")"),"トブズ")</f>
        <v>トブズ</v>
      </c>
      <c r="I593" s="9" t="str">
        <f>IFERROR(__xludf.DUMMYFUNCTION("GOOGLETRANSLATE($A593,""en"",""ko"")"),"토부즈")</f>
        <v>토부즈</v>
      </c>
      <c r="J593" s="9" t="str">
        <f>IFERROR(__xludf.DUMMYFUNCTION("GOOGLETRANSLATE($A593,""en"",""pt-BR"")"),"Tovuz")</f>
        <v>Tovuz</v>
      </c>
    </row>
    <row r="594">
      <c r="A594" s="9" t="str">
        <f>IFERROR(__xludf.DUMMYFUNCTION("""COMPUTED_VALUE"""),"Şəmkir")</f>
        <v>Şəmkir</v>
      </c>
      <c r="B594" s="9" t="str">
        <f>IFERROR(__xludf.DUMMYFUNCTION("""COMPUTED_VALUE"""),"az-skr")</f>
        <v>az-skr</v>
      </c>
      <c r="C594" s="9" t="str">
        <f>IFERROR(__xludf.DUMMYFUNCTION("GOOGLETRANSLATE($A594,""en"",""de"")"),"Şəmkir")</f>
        <v>Şəmkir</v>
      </c>
      <c r="D594" s="9" t="str">
        <f>IFERROR(__xludf.DUMMYFUNCTION("GOOGLETRANSLATE($A594,""en"",""fr"")"),"Şəmkir")</f>
        <v>Şəmkir</v>
      </c>
      <c r="E594" s="9" t="str">
        <f>IFERROR(__xludf.DUMMYFUNCTION("GOOGLETRANSLATE($A594,""en"",""es"")"),"Şəmkir")</f>
        <v>Şəmkir</v>
      </c>
      <c r="F594" s="9" t="str">
        <f>IFERROR(__xludf.DUMMYFUNCTION("GOOGLETRANSLATE($A594,""en"",""it"")"),"Şəmkir")</f>
        <v>Şəmkir</v>
      </c>
      <c r="G594" s="9" t="str">
        <f>IFERROR(__xludf.DUMMYFUNCTION("GOOGLETRANSLATE($A594,""en"",""zh-cn"")"),"桑姆基尔")</f>
        <v>桑姆基尔</v>
      </c>
      <c r="H594" s="9" t="str">
        <f>IFERROR(__xludf.DUMMYFUNCTION("GOOGLETRANSLATE($A594,""en"",""ja"")"),"シュムキル")</f>
        <v>シュムキル</v>
      </c>
      <c r="I594" s="9" t="str">
        <f>IFERROR(__xludf.DUMMYFUNCTION("GOOGLETRANSLATE($A594,""en"",""ko"")"),"Şəmkir")</f>
        <v>Şəmkir</v>
      </c>
      <c r="J594" s="9" t="str">
        <f>IFERROR(__xludf.DUMMYFUNCTION("GOOGLETRANSLATE($A594,""en"",""pt-BR"")"),"Şəmkir")</f>
        <v>Şəmkir</v>
      </c>
    </row>
    <row r="595">
      <c r="A595" s="9" t="str">
        <f>IFERROR(__xludf.DUMMYFUNCTION("""COMPUTED_VALUE"""),"İsmayıllı")</f>
        <v>İsmayıllı</v>
      </c>
      <c r="B595" s="9" t="str">
        <f>IFERROR(__xludf.DUMMYFUNCTION("""COMPUTED_VALUE"""),"az-ism")</f>
        <v>az-ism</v>
      </c>
      <c r="C595" s="9" t="str">
        <f>IFERROR(__xludf.DUMMYFUNCTION("GOOGLETRANSLATE($A595,""en"",""de"")"),"İsmayıllı")</f>
        <v>İsmayıllı</v>
      </c>
      <c r="D595" s="9" t="str">
        <f>IFERROR(__xludf.DUMMYFUNCTION("GOOGLETRANSLATE($A595,""en"",""fr"")"),"Ismayıllı")</f>
        <v>Ismayıllı</v>
      </c>
      <c r="E595" s="9" t="str">
        <f>IFERROR(__xludf.DUMMYFUNCTION("GOOGLETRANSLATE($A595,""en"",""es"")"),"İsmayıllı")</f>
        <v>İsmayıllı</v>
      </c>
      <c r="F595" s="9" t="str">
        <f>IFERROR(__xludf.DUMMYFUNCTION("GOOGLETRANSLATE($A595,""en"",""it"")"),"İsmayıllı")</f>
        <v>İsmayıllı</v>
      </c>
      <c r="G595" s="9" t="str">
        <f>IFERROR(__xludf.DUMMYFUNCTION("GOOGLETRANSLATE($A595,""en"",""zh-cn"")"),"伊斯梅尔利")</f>
        <v>伊斯梅尔利</v>
      </c>
      <c r="H595" s="9" t="str">
        <f>IFERROR(__xludf.DUMMYFUNCTION("GOOGLETRANSLATE($A595,""en"",""ja"")"),"イスマイル")</f>
        <v>イスマイル</v>
      </c>
      <c r="I595" s="9" t="str">
        <f>IFERROR(__xludf.DUMMYFUNCTION("GOOGLETRANSLATE($A595,""en"",""ko"")"),"이스마이일리")</f>
        <v>이스마이일리</v>
      </c>
      <c r="J595" s="9" t="str">
        <f>IFERROR(__xludf.DUMMYFUNCTION("GOOGLETRANSLATE($A595,""en"",""pt-BR"")"),"İsmayıllı")</f>
        <v>İsmayıllı</v>
      </c>
    </row>
    <row r="596">
      <c r="A596" s="9" t="str">
        <f>IFERROR(__xludf.DUMMYFUNCTION("""COMPUTED_VALUE"""),"Göygöl")</f>
        <v>Göygöl</v>
      </c>
      <c r="B596" s="9" t="str">
        <f>IFERROR(__xludf.DUMMYFUNCTION("""COMPUTED_VALUE"""),"az-gyg")</f>
        <v>az-gyg</v>
      </c>
      <c r="C596" s="9" t="str">
        <f>IFERROR(__xludf.DUMMYFUNCTION("GOOGLETRANSLATE($A596,""en"",""de"")"),"Göygöl")</f>
        <v>Göygöl</v>
      </c>
      <c r="D596" s="9" t="str">
        <f>IFERROR(__xludf.DUMMYFUNCTION("GOOGLETRANSLATE($A596,""en"",""fr"")"),"Göygöl")</f>
        <v>Göygöl</v>
      </c>
      <c r="E596" s="9" t="str">
        <f>IFERROR(__xludf.DUMMYFUNCTION("GOOGLETRANSLATE($A596,""en"",""es"")"),"goygol")</f>
        <v>goygol</v>
      </c>
      <c r="F596" s="9" t="str">
        <f>IFERROR(__xludf.DUMMYFUNCTION("GOOGLETRANSLATE($A596,""en"",""it"")"),"Göygol")</f>
        <v>Göygol</v>
      </c>
      <c r="G596" s="9" t="str">
        <f>IFERROR(__xludf.DUMMYFUNCTION("GOOGLETRANSLATE($A596,""en"",""zh-cn"")"),"格伊古尔")</f>
        <v>格伊古尔</v>
      </c>
      <c r="H596" s="9" t="str">
        <f>IFERROR(__xludf.DUMMYFUNCTION("GOOGLETRANSLATE($A596,""en"",""ja"")"),"ギョイギョル")</f>
        <v>ギョイギョル</v>
      </c>
      <c r="I596" s="9" t="str">
        <f>IFERROR(__xludf.DUMMYFUNCTION("GOOGLETRANSLATE($A596,""en"",""ko"")"),"괴이골")</f>
        <v>괴이골</v>
      </c>
      <c r="J596" s="9" t="str">
        <f>IFERROR(__xludf.DUMMYFUNCTION("GOOGLETRANSLATE($A596,""en"",""pt-BR"")"),"Göygol")</f>
        <v>Göygol</v>
      </c>
    </row>
    <row r="597">
      <c r="A597" s="9" t="str">
        <f>IFERROR(__xludf.DUMMYFUNCTION("""COMPUTED_VALUE"""),"Zərdab")</f>
        <v>Zərdab</v>
      </c>
      <c r="B597" s="9" t="str">
        <f>IFERROR(__xludf.DUMMYFUNCTION("""COMPUTED_VALUE"""),"az-zar")</f>
        <v>az-zar</v>
      </c>
      <c r="C597" s="9" t="str">
        <f>IFERROR(__xludf.DUMMYFUNCTION("GOOGLETRANSLATE($A597,""en"",""de"")"),"Zərdab")</f>
        <v>Zərdab</v>
      </c>
      <c r="D597" s="9" t="str">
        <f>IFERROR(__xludf.DUMMYFUNCTION("GOOGLETRANSLATE($A597,""en"",""fr"")"),"Zərdab")</f>
        <v>Zərdab</v>
      </c>
      <c r="E597" s="9" t="str">
        <f>IFERROR(__xludf.DUMMYFUNCTION("GOOGLETRANSLATE($A597,""en"",""es"")"),"Zərdab")</f>
        <v>Zərdab</v>
      </c>
      <c r="F597" s="9" t="str">
        <f>IFERROR(__xludf.DUMMYFUNCTION("GOOGLETRANSLATE($A597,""en"",""it"")"),"Zərdab")</f>
        <v>Zərdab</v>
      </c>
      <c r="G597" s="9" t="str">
        <f>IFERROR(__xludf.DUMMYFUNCTION("GOOGLETRANSLATE($A597,""en"",""zh-cn"")"),"扎尔达布")</f>
        <v>扎尔达布</v>
      </c>
      <c r="H597" s="9" t="str">
        <f>IFERROR(__xludf.DUMMYFUNCTION("GOOGLETRANSLATE($A597,""en"",""ja"")"),"ズルダブ")</f>
        <v>ズルダブ</v>
      </c>
      <c r="I597" s="9" t="str">
        <f>IFERROR(__xludf.DUMMYFUNCTION("GOOGLETRANSLATE($A597,""en"",""ko"")"),"Zərdab")</f>
        <v>Zərdab</v>
      </c>
      <c r="J597" s="9" t="str">
        <f>IFERROR(__xludf.DUMMYFUNCTION("GOOGLETRANSLATE($A597,""en"",""pt-BR"")"),"Zərdab")</f>
        <v>Zərdab</v>
      </c>
    </row>
    <row r="598">
      <c r="A598" s="9" t="str">
        <f>IFERROR(__xludf.DUMMYFUNCTION("""COMPUTED_VALUE"""),"İmişli")</f>
        <v>İmişli</v>
      </c>
      <c r="B598" s="9" t="str">
        <f>IFERROR(__xludf.DUMMYFUNCTION("""COMPUTED_VALUE"""),"az-imi")</f>
        <v>az-imi</v>
      </c>
      <c r="C598" s="9" t="str">
        <f>IFERROR(__xludf.DUMMYFUNCTION("GOOGLETRANSLATE($A598,""en"",""de"")"),"İmişli")</f>
        <v>İmişli</v>
      </c>
      <c r="D598" s="9" t="str">
        <f>IFERROR(__xludf.DUMMYFUNCTION("GOOGLETRANSLATE($A598,""en"",""fr"")"),"Imişli")</f>
        <v>Imişli</v>
      </c>
      <c r="E598" s="9" t="str">
        <f>IFERROR(__xludf.DUMMYFUNCTION("GOOGLETRANSLATE($A598,""en"",""es"")"),"İmişli")</f>
        <v>İmişli</v>
      </c>
      <c r="F598" s="9" t="str">
        <f>IFERROR(__xludf.DUMMYFUNCTION("GOOGLETRANSLATE($A598,""en"",""it"")"),"İmişli")</f>
        <v>İmişli</v>
      </c>
      <c r="G598" s="9" t="str">
        <f>IFERROR(__xludf.DUMMYFUNCTION("GOOGLETRANSLATE($A598,""en"",""zh-cn"")"),"伊米什利")</f>
        <v>伊米什利</v>
      </c>
      <c r="H598" s="9" t="str">
        <f>IFERROR(__xludf.DUMMYFUNCTION("GOOGLETRANSLATE($A598,""en"",""ja"")"),"イミシュリ")</f>
        <v>イミシュリ</v>
      </c>
      <c r="I598" s="9" t="str">
        <f>IFERROR(__xludf.DUMMYFUNCTION("GOOGLETRANSLATE($A598,""en"",""ko"")"),"이미실리")</f>
        <v>이미실리</v>
      </c>
      <c r="J598" s="9" t="str">
        <f>IFERROR(__xludf.DUMMYFUNCTION("GOOGLETRANSLATE($A598,""en"",""pt-BR"")"),"İmişli")</f>
        <v>İmişli</v>
      </c>
    </row>
    <row r="599">
      <c r="A599" s="9" t="str">
        <f>IFERROR(__xludf.DUMMYFUNCTION("""COMPUTED_VALUE"""),"Beyləqan")</f>
        <v>Beyləqan</v>
      </c>
      <c r="B599" s="9" t="str">
        <f>IFERROR(__xludf.DUMMYFUNCTION("""COMPUTED_VALUE"""),"az-bey")</f>
        <v>az-bey</v>
      </c>
      <c r="C599" s="9" t="str">
        <f>IFERROR(__xludf.DUMMYFUNCTION("GOOGLETRANSLATE($A599,""en"",""de"")"),"Beyləqan")</f>
        <v>Beyləqan</v>
      </c>
      <c r="D599" s="9" t="str">
        <f>IFERROR(__xludf.DUMMYFUNCTION("GOOGLETRANSLATE($A599,""en"",""fr"")"),"Beyləqan")</f>
        <v>Beyləqan</v>
      </c>
      <c r="E599" s="9" t="str">
        <f>IFERROR(__xludf.DUMMYFUNCTION("GOOGLETRANSLATE($A599,""en"",""es"")"),"Beyləqan")</f>
        <v>Beyləqan</v>
      </c>
      <c r="F599" s="9" t="str">
        <f>IFERROR(__xludf.DUMMYFUNCTION("GOOGLETRANSLATE($A599,""en"",""it"")"),"Beyləqan")</f>
        <v>Beyləqan</v>
      </c>
      <c r="G599" s="9" t="str">
        <f>IFERROR(__xludf.DUMMYFUNCTION("GOOGLETRANSLATE($A599,""en"",""zh-cn"")"),"贝勒汗")</f>
        <v>贝勒汗</v>
      </c>
      <c r="H599" s="9" t="str">
        <f>IFERROR(__xludf.DUMMYFUNCTION("GOOGLETRANSLATE($A599,""en"",""ja"")"),"ベイルカン")</f>
        <v>ベイルカン</v>
      </c>
      <c r="I599" s="9" t="str">
        <f>IFERROR(__xludf.DUMMYFUNCTION("GOOGLETRANSLATE($A599,""en"",""ko"")"),"Beyləqan")</f>
        <v>Beyləqan</v>
      </c>
      <c r="J599" s="9" t="str">
        <f>IFERROR(__xludf.DUMMYFUNCTION("GOOGLETRANSLATE($A599,""en"",""pt-BR"")"),"Beyləqan")</f>
        <v>Beyləqan</v>
      </c>
    </row>
    <row r="600">
      <c r="A600" s="9" t="str">
        <f>IFERROR(__xludf.DUMMYFUNCTION("""COMPUTED_VALUE"""),"Cəlilabad")</f>
        <v>Cəlilabad</v>
      </c>
      <c r="B600" s="9" t="str">
        <f>IFERROR(__xludf.DUMMYFUNCTION("""COMPUTED_VALUE"""),"az-cal")</f>
        <v>az-cal</v>
      </c>
      <c r="C600" s="9" t="str">
        <f>IFERROR(__xludf.DUMMYFUNCTION("GOOGLETRANSLATE($A600,""en"",""de"")"),"Cəlilabad")</f>
        <v>Cəlilabad</v>
      </c>
      <c r="D600" s="9" t="str">
        <f>IFERROR(__xludf.DUMMYFUNCTION("GOOGLETRANSLATE($A600,""en"",""fr"")"),"Cəlilabad")</f>
        <v>Cəlilabad</v>
      </c>
      <c r="E600" s="9" t="str">
        <f>IFERROR(__xludf.DUMMYFUNCTION("GOOGLETRANSLATE($A600,""en"",""es"")"),"Cəlilabad")</f>
        <v>Cəlilabad</v>
      </c>
      <c r="F600" s="9" t="str">
        <f>IFERROR(__xludf.DUMMYFUNCTION("GOOGLETRANSLATE($A600,""en"",""it"")"),"Cəlilabad")</f>
        <v>Cəlilabad</v>
      </c>
      <c r="G600" s="9" t="str">
        <f>IFERROR(__xludf.DUMMYFUNCTION("GOOGLETRANSLATE($A600,""en"",""zh-cn"")"),"卡利拉巴德")</f>
        <v>卡利拉巴德</v>
      </c>
      <c r="H600" s="9" t="str">
        <f>IFERROR(__xludf.DUMMYFUNCTION("GOOGLETRANSLATE($A600,""en"",""ja"")"),"カリラバド")</f>
        <v>カリラバド</v>
      </c>
      <c r="I600" s="9" t="str">
        <f>IFERROR(__xludf.DUMMYFUNCTION("GOOGLETRANSLATE($A600,""en"",""ko"")"),"Cəlilabad")</f>
        <v>Cəlilabad</v>
      </c>
      <c r="J600" s="9" t="str">
        <f>IFERROR(__xludf.DUMMYFUNCTION("GOOGLETRANSLATE($A600,""en"",""pt-BR"")"),"Cəlilabad")</f>
        <v>Cəlilabad</v>
      </c>
    </row>
    <row r="601">
      <c r="A601" s="9" t="str">
        <f>IFERROR(__xludf.DUMMYFUNCTION("""COMPUTED_VALUE"""),"Quba")</f>
        <v>Quba</v>
      </c>
      <c r="B601" s="9" t="str">
        <f>IFERROR(__xludf.DUMMYFUNCTION("""COMPUTED_VALUE"""),"az-qba")</f>
        <v>az-qba</v>
      </c>
      <c r="C601" s="9" t="str">
        <f>IFERROR(__xludf.DUMMYFUNCTION("GOOGLETRANSLATE($A601,""en"",""de"")"),"Quba")</f>
        <v>Quba</v>
      </c>
      <c r="D601" s="9" t="str">
        <f>IFERROR(__xludf.DUMMYFUNCTION("GOOGLETRANSLATE($A601,""en"",""fr"")"),"Quba")</f>
        <v>Quba</v>
      </c>
      <c r="E601" s="9" t="str">
        <f>IFERROR(__xludf.DUMMYFUNCTION("GOOGLETRANSLATE($A601,""en"",""es"")"),"Quba")</f>
        <v>Quba</v>
      </c>
      <c r="F601" s="9" t="str">
        <f>IFERROR(__xludf.DUMMYFUNCTION("GOOGLETRANSLATE($A601,""en"",""it"")"),"Quba")</f>
        <v>Quba</v>
      </c>
      <c r="G601" s="9" t="str">
        <f>IFERROR(__xludf.DUMMYFUNCTION("GOOGLETRANSLATE($A601,""en"",""zh-cn"")"),"库巴")</f>
        <v>库巴</v>
      </c>
      <c r="H601" s="9" t="str">
        <f>IFERROR(__xludf.DUMMYFUNCTION("GOOGLETRANSLATE($A601,""en"",""ja"")"),"クバ")</f>
        <v>クバ</v>
      </c>
      <c r="I601" s="9" t="str">
        <f>IFERROR(__xludf.DUMMYFUNCTION("GOOGLETRANSLATE($A601,""en"",""ko"")"),"쿠바")</f>
        <v>쿠바</v>
      </c>
      <c r="J601" s="9" t="str">
        <f>IFERROR(__xludf.DUMMYFUNCTION("GOOGLETRANSLATE($A601,""en"",""pt-BR"")"),"Quba")</f>
        <v>Quba</v>
      </c>
    </row>
    <row r="602">
      <c r="A602" s="9" t="str">
        <f>IFERROR(__xludf.DUMMYFUNCTION("""COMPUTED_VALUE"""),"Şərur")</f>
        <v>Şərur</v>
      </c>
      <c r="B602" s="9" t="str">
        <f>IFERROR(__xludf.DUMMYFUNCTION("""COMPUTED_VALUE"""),"az-sar")</f>
        <v>az-sar</v>
      </c>
      <c r="C602" s="9" t="str">
        <f>IFERROR(__xludf.DUMMYFUNCTION("GOOGLETRANSLATE($A602,""en"",""de"")"),"Şərur")</f>
        <v>Şərur</v>
      </c>
      <c r="D602" s="9" t="str">
        <f>IFERROR(__xludf.DUMMYFUNCTION("GOOGLETRANSLATE($A602,""en"",""fr"")"),"Şərur")</f>
        <v>Şərur</v>
      </c>
      <c r="E602" s="9" t="str">
        <f>IFERROR(__xludf.DUMMYFUNCTION("GOOGLETRANSLATE($A602,""en"",""es"")"),"Şərur")</f>
        <v>Şərur</v>
      </c>
      <c r="F602" s="9" t="str">
        <f>IFERROR(__xludf.DUMMYFUNCTION("GOOGLETRANSLATE($A602,""en"",""it"")"),"Şərur")</f>
        <v>Şərur</v>
      </c>
      <c r="G602" s="9" t="str">
        <f>IFERROR(__xludf.DUMMYFUNCTION("GOOGLETRANSLATE($A602,""en"",""zh-cn"")"),"沙鲁尔")</f>
        <v>沙鲁尔</v>
      </c>
      <c r="H602" s="9" t="str">
        <f>IFERROR(__xludf.DUMMYFUNCTION("GOOGLETRANSLATE($A602,""en"",""ja"")"),"シャルール")</f>
        <v>シャルール</v>
      </c>
      <c r="I602" s="9" t="str">
        <f>IFERROR(__xludf.DUMMYFUNCTION("GOOGLETRANSLATE($A602,""en"",""ko"")"),"Şərur")</f>
        <v>Şərur</v>
      </c>
      <c r="J602" s="9" t="str">
        <f>IFERROR(__xludf.DUMMYFUNCTION("GOOGLETRANSLATE($A602,""en"",""pt-BR"")"),"Şərur")</f>
        <v>Şərur</v>
      </c>
    </row>
    <row r="603">
      <c r="A603" s="9" t="str">
        <f>IFERROR(__xludf.DUMMYFUNCTION("""COMPUTED_VALUE"""),"Samux")</f>
        <v>Samux</v>
      </c>
      <c r="B603" s="9" t="str">
        <f>IFERROR(__xludf.DUMMYFUNCTION("""COMPUTED_VALUE"""),"az-smx")</f>
        <v>az-smx</v>
      </c>
      <c r="C603" s="9" t="str">
        <f>IFERROR(__xludf.DUMMYFUNCTION("GOOGLETRANSLATE($A603,""en"",""de"")"),"Samux")</f>
        <v>Samux</v>
      </c>
      <c r="D603" s="9" t="str">
        <f>IFERROR(__xludf.DUMMYFUNCTION("GOOGLETRANSLATE($A603,""en"",""fr"")"),"Samux")</f>
        <v>Samux</v>
      </c>
      <c r="E603" s="9" t="str">
        <f>IFERROR(__xludf.DUMMYFUNCTION("GOOGLETRANSLATE($A603,""en"",""es"")"),"Samux")</f>
        <v>Samux</v>
      </c>
      <c r="F603" s="9" t="str">
        <f>IFERROR(__xludf.DUMMYFUNCTION("GOOGLETRANSLATE($A603,""en"",""it"")"),"Samux")</f>
        <v>Samux</v>
      </c>
      <c r="G603" s="9" t="str">
        <f>IFERROR(__xludf.DUMMYFUNCTION("GOOGLETRANSLATE($A603,""en"",""zh-cn"")"),"萨穆克斯")</f>
        <v>萨穆克斯</v>
      </c>
      <c r="H603" s="9" t="str">
        <f>IFERROR(__xludf.DUMMYFUNCTION("GOOGLETRANSLATE($A603,""en"",""ja"")"),"サマックス")</f>
        <v>サマックス</v>
      </c>
      <c r="I603" s="9" t="str">
        <f>IFERROR(__xludf.DUMMYFUNCTION("GOOGLETRANSLATE($A603,""en"",""ko"")"),"사무")</f>
        <v>사무</v>
      </c>
      <c r="J603" s="9" t="str">
        <f>IFERROR(__xludf.DUMMYFUNCTION("GOOGLETRANSLATE($A603,""en"",""pt-BR"")"),"Samux")</f>
        <v>Samux</v>
      </c>
    </row>
    <row r="604">
      <c r="A604" s="9" t="str">
        <f>IFERROR(__xludf.DUMMYFUNCTION("""COMPUTED_VALUE"""),"Hope Town")</f>
        <v>Hope Town</v>
      </c>
      <c r="B604" s="9" t="str">
        <f>IFERROR(__xludf.DUMMYFUNCTION("""COMPUTED_VALUE"""),"bs-ht")</f>
        <v>bs-ht</v>
      </c>
      <c r="C604" s="9" t="str">
        <f>IFERROR(__xludf.DUMMYFUNCTION("GOOGLETRANSLATE($A604,""en"",""de"")"),"Hope Town")</f>
        <v>Hope Town</v>
      </c>
      <c r="D604" s="9" t="str">
        <f>IFERROR(__xludf.DUMMYFUNCTION("GOOGLETRANSLATE($A604,""en"",""fr"")"),"Ville de l'espoir")</f>
        <v>Ville de l'espoir</v>
      </c>
      <c r="E604" s="9" t="str">
        <f>IFERROR(__xludf.DUMMYFUNCTION("GOOGLETRANSLATE($A604,""en"",""es"")"),"Ciudad de la esperanza")</f>
        <v>Ciudad de la esperanza</v>
      </c>
      <c r="F604" s="9" t="str">
        <f>IFERROR(__xludf.DUMMYFUNCTION("GOOGLETRANSLATE($A604,""en"",""it"")"),"Città della speranza")</f>
        <v>Città della speranza</v>
      </c>
      <c r="G604" s="9" t="str">
        <f>IFERROR(__xludf.DUMMYFUNCTION("GOOGLETRANSLATE($A604,""en"",""zh-cn"")"),"希望镇")</f>
        <v>希望镇</v>
      </c>
      <c r="H604" s="9" t="str">
        <f>IFERROR(__xludf.DUMMYFUNCTION("GOOGLETRANSLATE($A604,""en"",""ja"")"),"ホープタウン")</f>
        <v>ホープタウン</v>
      </c>
      <c r="I604" s="9" t="str">
        <f>IFERROR(__xludf.DUMMYFUNCTION("GOOGLETRANSLATE($A604,""en"",""ko"")"),"호프타운")</f>
        <v>호프타운</v>
      </c>
      <c r="J604" s="9" t="str">
        <f>IFERROR(__xludf.DUMMYFUNCTION("GOOGLETRANSLATE($A604,""en"",""pt-BR"")"),"Cidade Esperança")</f>
        <v>Cidade Esperança</v>
      </c>
    </row>
    <row r="605">
      <c r="A605" s="9" t="str">
        <f>IFERROR(__xludf.DUMMYFUNCTION("""COMPUTED_VALUE"""),"Crooked Island and Long Cay")</f>
        <v>Crooked Island and Long Cay</v>
      </c>
      <c r="B605" s="9" t="str">
        <f>IFERROR(__xludf.DUMMYFUNCTION("""COMPUTED_VALUE"""),"bs-ck")</f>
        <v>bs-ck</v>
      </c>
      <c r="C605" s="9" t="str">
        <f>IFERROR(__xludf.DUMMYFUNCTION("GOOGLETRANSLATE($A605,""en"",""de"")"),"Crooked Island und Long Cay")</f>
        <v>Crooked Island und Long Cay</v>
      </c>
      <c r="D605" s="9" t="str">
        <f>IFERROR(__xludf.DUMMYFUNCTION("GOOGLETRANSLATE($A605,""en"",""fr"")"),"Île Crooked et Long Cay")</f>
        <v>Île Crooked et Long Cay</v>
      </c>
      <c r="E605" s="9" t="str">
        <f>IFERROR(__xludf.DUMMYFUNCTION("GOOGLETRANSLATE($A605,""en"",""es"")"),"Isla Crooked y Long Cay")</f>
        <v>Isla Crooked y Long Cay</v>
      </c>
      <c r="F605" s="9" t="str">
        <f>IFERROR(__xludf.DUMMYFUNCTION("GOOGLETRANSLATE($A605,""en"",""it"")"),"Crooked Island e Long Cay")</f>
        <v>Crooked Island e Long Cay</v>
      </c>
      <c r="G605" s="9" t="str">
        <f>IFERROR(__xludf.DUMMYFUNCTION("GOOGLETRANSLATE($A605,""en"",""zh-cn"")"),"弯曲岛和长岛")</f>
        <v>弯曲岛和长岛</v>
      </c>
      <c r="H605" s="9" t="str">
        <f>IFERROR(__xludf.DUMMYFUNCTION("GOOGLETRANSLATE($A605,""en"",""ja"")"),"クルックド島とロングケイ")</f>
        <v>クルックド島とロングケイ</v>
      </c>
      <c r="I605" s="9" t="str">
        <f>IFERROR(__xludf.DUMMYFUNCTION("GOOGLETRANSLATE($A605,""en"",""ko"")"),"크룩드 아일랜드(Crooked Island)와 롱 케이(Long Cay)")</f>
        <v>크룩드 아일랜드(Crooked Island)와 롱 케이(Long Cay)</v>
      </c>
      <c r="J605" s="9" t="str">
        <f>IFERROR(__xludf.DUMMYFUNCTION("GOOGLETRANSLATE($A605,""en"",""pt-BR"")"),"Ilha Crooked e Long Cay")</f>
        <v>Ilha Crooked e Long Cay</v>
      </c>
    </row>
    <row r="606">
      <c r="A606" s="9" t="str">
        <f>IFERROR(__xludf.DUMMYFUNCTION("""COMPUTED_VALUE"""),"Grand Cay")</f>
        <v>Grand Cay</v>
      </c>
      <c r="B606" s="9" t="str">
        <f>IFERROR(__xludf.DUMMYFUNCTION("""COMPUTED_VALUE"""),"bs-gc")</f>
        <v>bs-gc</v>
      </c>
      <c r="C606" s="9" t="str">
        <f>IFERROR(__xludf.DUMMYFUNCTION("GOOGLETRANSLATE($A606,""en"",""de"")"),"Grand Cay")</f>
        <v>Grand Cay</v>
      </c>
      <c r="D606" s="9" t="str">
        <f>IFERROR(__xludf.DUMMYFUNCTION("GOOGLETRANSLATE($A606,""en"",""fr"")"),"Grand Caye")</f>
        <v>Grand Caye</v>
      </c>
      <c r="E606" s="9" t="str">
        <f>IFERROR(__xludf.DUMMYFUNCTION("GOOGLETRANSLATE($A606,""en"",""es"")"),"Gran Cayo")</f>
        <v>Gran Cayo</v>
      </c>
      <c r="F606" s="9" t="str">
        <f>IFERROR(__xludf.DUMMYFUNCTION("GOOGLETRANSLATE($A606,""en"",""it"")"),"Gran Cay")</f>
        <v>Gran Cay</v>
      </c>
      <c r="G606" s="9" t="str">
        <f>IFERROR(__xludf.DUMMYFUNCTION("GOOGLETRANSLATE($A606,""en"",""zh-cn"")"),"大岛")</f>
        <v>大岛</v>
      </c>
      <c r="H606" s="9" t="str">
        <f>IFERROR(__xludf.DUMMYFUNCTION("GOOGLETRANSLATE($A606,""en"",""ja"")"),"グランドケイ")</f>
        <v>グランドケイ</v>
      </c>
      <c r="I606" s="9" t="str">
        <f>IFERROR(__xludf.DUMMYFUNCTION("GOOGLETRANSLATE($A606,""en"",""ko"")"),"그랜드 케이")</f>
        <v>그랜드 케이</v>
      </c>
      <c r="J606" s="9" t="str">
        <f>IFERROR(__xludf.DUMMYFUNCTION("GOOGLETRANSLATE($A606,""en"",""pt-BR"")"),"Grande Cay")</f>
        <v>Grande Cay</v>
      </c>
    </row>
    <row r="607">
      <c r="A607" s="9" t="str">
        <f>IFERROR(__xludf.DUMMYFUNCTION("""COMPUTED_VALUE"""),"North Eleuthera")</f>
        <v>North Eleuthera</v>
      </c>
      <c r="B607" s="9" t="str">
        <f>IFERROR(__xludf.DUMMYFUNCTION("""COMPUTED_VALUE"""),"bs-ne")</f>
        <v>bs-ne</v>
      </c>
      <c r="C607" s="9" t="str">
        <f>IFERROR(__xludf.DUMMYFUNCTION("GOOGLETRANSLATE($A607,""en"",""de"")"),"Nord-Eleuthera")</f>
        <v>Nord-Eleuthera</v>
      </c>
      <c r="D607" s="9" t="str">
        <f>IFERROR(__xludf.DUMMYFUNCTION("GOOGLETRANSLATE($A607,""en"",""fr"")"),"Eleuthera du Nord")</f>
        <v>Eleuthera du Nord</v>
      </c>
      <c r="E607" s="9" t="str">
        <f>IFERROR(__xludf.DUMMYFUNCTION("GOOGLETRANSLATE($A607,""en"",""es"")"),"Eleuthera del Norte")</f>
        <v>Eleuthera del Norte</v>
      </c>
      <c r="F607" s="9" t="str">
        <f>IFERROR(__xludf.DUMMYFUNCTION("GOOGLETRANSLATE($A607,""en"",""it"")"),"Eleuthera settentrionale")</f>
        <v>Eleuthera settentrionale</v>
      </c>
      <c r="G607" s="9" t="str">
        <f>IFERROR(__xludf.DUMMYFUNCTION("GOOGLETRANSLATE($A607,""en"",""zh-cn"")"),"北伊柳塞拉岛")</f>
        <v>北伊柳塞拉岛</v>
      </c>
      <c r="H607" s="9" t="str">
        <f>IFERROR(__xludf.DUMMYFUNCTION("GOOGLETRANSLATE($A607,""en"",""ja"")"),"北エレーセラ島")</f>
        <v>北エレーセラ島</v>
      </c>
      <c r="I607" s="9" t="str">
        <f>IFERROR(__xludf.DUMMYFUNCTION("GOOGLETRANSLATE($A607,""en"",""ko"")"),"노스 엘루테라")</f>
        <v>노스 엘루테라</v>
      </c>
      <c r="J607" s="9" t="str">
        <f>IFERROR(__xludf.DUMMYFUNCTION("GOOGLETRANSLATE($A607,""en"",""pt-BR"")"),"Eleutera do Norte")</f>
        <v>Eleutera do Norte</v>
      </c>
    </row>
    <row r="608">
      <c r="A608" s="9" t="str">
        <f>IFERROR(__xludf.DUMMYFUNCTION("""COMPUTED_VALUE"""),"City of Freeport")</f>
        <v>City of Freeport</v>
      </c>
      <c r="B608" s="9" t="str">
        <f>IFERROR(__xludf.DUMMYFUNCTION("""COMPUTED_VALUE"""),"bs-fp")</f>
        <v>bs-fp</v>
      </c>
      <c r="C608" s="9" t="str">
        <f>IFERROR(__xludf.DUMMYFUNCTION("GOOGLETRANSLATE($A608,""en"",""de"")"),"Stadt Freeport")</f>
        <v>Stadt Freeport</v>
      </c>
      <c r="D608" s="9" t="str">
        <f>IFERROR(__xludf.DUMMYFUNCTION("GOOGLETRANSLATE($A608,""en"",""fr"")"),"Ville de Port-Franc")</f>
        <v>Ville de Port-Franc</v>
      </c>
      <c r="E608" s="9" t="str">
        <f>IFERROR(__xludf.DUMMYFUNCTION("GOOGLETRANSLATE($A608,""en"",""es"")"),"ciudad de puerto libre")</f>
        <v>ciudad de puerto libre</v>
      </c>
      <c r="F608" s="9" t="str">
        <f>IFERROR(__xludf.DUMMYFUNCTION("GOOGLETRANSLATE($A608,""en"",""it"")"),"Città di Porto Franco")</f>
        <v>Città di Porto Franco</v>
      </c>
      <c r="G608" s="9" t="str">
        <f>IFERROR(__xludf.DUMMYFUNCTION("GOOGLETRANSLATE($A608,""en"",""zh-cn"")"),"弗里波特市")</f>
        <v>弗里波特市</v>
      </c>
      <c r="H608" s="9" t="str">
        <f>IFERROR(__xludf.DUMMYFUNCTION("GOOGLETRANSLATE($A608,""en"",""ja"")"),"フリーポート市")</f>
        <v>フリーポート市</v>
      </c>
      <c r="I608" s="9" t="str">
        <f>IFERROR(__xludf.DUMMYFUNCTION("GOOGLETRANSLATE($A608,""en"",""ko"")"),"프리포트 시")</f>
        <v>프리포트 시</v>
      </c>
      <c r="J608" s="9" t="str">
        <f>IFERROR(__xludf.DUMMYFUNCTION("GOOGLETRANSLATE($A608,""en"",""pt-BR"")"),"Cidade de Porto Livre")</f>
        <v>Cidade de Porto Livre</v>
      </c>
    </row>
    <row r="609">
      <c r="A609" s="9" t="str">
        <f>IFERROR(__xludf.DUMMYFUNCTION("""COMPUTED_VALUE"""),"Moores Island")</f>
        <v>Moores Island</v>
      </c>
      <c r="B609" s="9" t="str">
        <f>IFERROR(__xludf.DUMMYFUNCTION("""COMPUTED_VALUE"""),"bs-mi")</f>
        <v>bs-mi</v>
      </c>
      <c r="C609" s="9" t="str">
        <f>IFERROR(__xludf.DUMMYFUNCTION("GOOGLETRANSLATE($A609,""en"",""de"")"),"Moores-Insel")</f>
        <v>Moores-Insel</v>
      </c>
      <c r="D609" s="9" t="str">
        <f>IFERROR(__xludf.DUMMYFUNCTION("GOOGLETRANSLATE($A609,""en"",""fr"")"),"Île Moores")</f>
        <v>Île Moores</v>
      </c>
      <c r="E609" s="9" t="str">
        <f>IFERROR(__xludf.DUMMYFUNCTION("GOOGLETRANSLATE($A609,""en"",""es"")"),"Isla Moores")</f>
        <v>Isla Moores</v>
      </c>
      <c r="F609" s="9" t="str">
        <f>IFERROR(__xludf.DUMMYFUNCTION("GOOGLETRANSLATE($A609,""en"",""it"")"),"Isola di Moores")</f>
        <v>Isola di Moores</v>
      </c>
      <c r="G609" s="9" t="str">
        <f>IFERROR(__xludf.DUMMYFUNCTION("GOOGLETRANSLATE($A609,""en"",""zh-cn"")"),"穆尔斯岛")</f>
        <v>穆尔斯岛</v>
      </c>
      <c r="H609" s="9" t="str">
        <f>IFERROR(__xludf.DUMMYFUNCTION("GOOGLETRANSLATE($A609,""en"",""ja"")"),"ムーアズ島")</f>
        <v>ムーアズ島</v>
      </c>
      <c r="I609" s="9" t="str">
        <f>IFERROR(__xludf.DUMMYFUNCTION("GOOGLETRANSLATE($A609,""en"",""ko"")"),"무어스 아일랜드")</f>
        <v>무어스 아일랜드</v>
      </c>
      <c r="J609" s="9" t="str">
        <f>IFERROR(__xludf.DUMMYFUNCTION("GOOGLETRANSLATE($A609,""en"",""pt-BR"")"),"Ilha Moores")</f>
        <v>Ilha Moores</v>
      </c>
    </row>
    <row r="610">
      <c r="A610" s="9" t="str">
        <f>IFERROR(__xludf.DUMMYFUNCTION("""COMPUTED_VALUE"""),"North Andros")</f>
        <v>North Andros</v>
      </c>
      <c r="B610" s="9" t="str">
        <f>IFERROR(__xludf.DUMMYFUNCTION("""COMPUTED_VALUE"""),"bs-ns")</f>
        <v>bs-ns</v>
      </c>
      <c r="C610" s="9" t="str">
        <f>IFERROR(__xludf.DUMMYFUNCTION("GOOGLETRANSLATE($A610,""en"",""de"")"),"Nord-Andros")</f>
        <v>Nord-Andros</v>
      </c>
      <c r="D610" s="9" t="str">
        <f>IFERROR(__xludf.DUMMYFUNCTION("GOOGLETRANSLATE($A610,""en"",""fr"")"),"Andros Nord")</f>
        <v>Andros Nord</v>
      </c>
      <c r="E610" s="9" t="str">
        <f>IFERROR(__xludf.DUMMYFUNCTION("GOOGLETRANSLATE($A610,""en"",""es"")"),"Andros del Norte")</f>
        <v>Andros del Norte</v>
      </c>
      <c r="F610" s="9" t="str">
        <f>IFERROR(__xludf.DUMMYFUNCTION("GOOGLETRANSLATE($A610,""en"",""it"")"),"Andros Nord")</f>
        <v>Andros Nord</v>
      </c>
      <c r="G610" s="9" t="str">
        <f>IFERROR(__xludf.DUMMYFUNCTION("GOOGLETRANSLATE($A610,""en"",""zh-cn"")"),"北安德罗斯")</f>
        <v>北安德罗斯</v>
      </c>
      <c r="H610" s="9" t="str">
        <f>IFERROR(__xludf.DUMMYFUNCTION("GOOGLETRANSLATE($A610,""en"",""ja"")"),"北アンドロス島")</f>
        <v>北アンドロス島</v>
      </c>
      <c r="I610" s="9" t="str">
        <f>IFERROR(__xludf.DUMMYFUNCTION("GOOGLETRANSLATE($A610,""en"",""ko"")"),"노스 안드로스")</f>
        <v>노스 안드로스</v>
      </c>
      <c r="J610" s="9" t="str">
        <f>IFERROR(__xludf.DUMMYFUNCTION("GOOGLETRANSLATE($A610,""en"",""pt-BR"")"),"Norte de Andros")</f>
        <v>Norte de Andros</v>
      </c>
    </row>
    <row r="611">
      <c r="A611" s="9" t="str">
        <f>IFERROR(__xludf.DUMMYFUNCTION("""COMPUTED_VALUE"""),"Central Abaco")</f>
        <v>Central Abaco</v>
      </c>
      <c r="B611" s="9" t="str">
        <f>IFERROR(__xludf.DUMMYFUNCTION("""COMPUTED_VALUE"""),"bs-co")</f>
        <v>bs-co</v>
      </c>
      <c r="C611" s="9" t="str">
        <f>IFERROR(__xludf.DUMMYFUNCTION("GOOGLETRANSLATE($A611,""en"",""de"")"),"Zentral-Abaco")</f>
        <v>Zentral-Abaco</v>
      </c>
      <c r="D611" s="9" t="str">
        <f>IFERROR(__xludf.DUMMYFUNCTION("GOOGLETRANSLATE($A611,""en"",""fr"")"),"Centre d'Abaco")</f>
        <v>Centre d'Abaco</v>
      </c>
      <c r="E611" s="9" t="str">
        <f>IFERROR(__xludf.DUMMYFUNCTION("GOOGLETRANSLATE($A611,""en"",""es"")"),"Ábaco central")</f>
        <v>Ábaco central</v>
      </c>
      <c r="F611" s="9" t="str">
        <f>IFERROR(__xludf.DUMMYFUNCTION("GOOGLETRANSLATE($A611,""en"",""it"")"),"Abaco centrale")</f>
        <v>Abaco centrale</v>
      </c>
      <c r="G611" s="9" t="str">
        <f>IFERROR(__xludf.DUMMYFUNCTION("GOOGLETRANSLATE($A611,""en"",""zh-cn"")"),"阿巴科中部")</f>
        <v>阿巴科中部</v>
      </c>
      <c r="H611" s="9" t="str">
        <f>IFERROR(__xludf.DUMMYFUNCTION("GOOGLETRANSLATE($A611,""en"",""ja"")"),"セントラル・アバコ")</f>
        <v>セントラル・アバコ</v>
      </c>
      <c r="I611" s="9" t="str">
        <f>IFERROR(__xludf.DUMMYFUNCTION("GOOGLETRANSLATE($A611,""en"",""ko"")"),"센트럴 아바코")</f>
        <v>센트럴 아바코</v>
      </c>
      <c r="J611" s="9" t="str">
        <f>IFERROR(__xludf.DUMMYFUNCTION("GOOGLETRANSLATE($A611,""en"",""pt-BR"")"),"Ábaco Central")</f>
        <v>Ábaco Central</v>
      </c>
    </row>
    <row r="612">
      <c r="A612" s="9" t="str">
        <f>IFERROR(__xludf.DUMMYFUNCTION("""COMPUTED_VALUE"""),"Inagua")</f>
        <v>Inagua</v>
      </c>
      <c r="B612" s="9" t="str">
        <f>IFERROR(__xludf.DUMMYFUNCTION("""COMPUTED_VALUE"""),"bs-in")</f>
        <v>bs-in</v>
      </c>
      <c r="C612" s="9" t="str">
        <f>IFERROR(__xludf.DUMMYFUNCTION("GOOGLETRANSLATE($A612,""en"",""de"")"),"Inagua")</f>
        <v>Inagua</v>
      </c>
      <c r="D612" s="9" t="str">
        <f>IFERROR(__xludf.DUMMYFUNCTION("GOOGLETRANSLATE($A612,""en"",""fr"")"),"Inagua")</f>
        <v>Inagua</v>
      </c>
      <c r="E612" s="9" t="str">
        <f>IFERROR(__xludf.DUMMYFUNCTION("GOOGLETRANSLATE($A612,""en"",""es"")"),"Inagua")</f>
        <v>Inagua</v>
      </c>
      <c r="F612" s="9" t="str">
        <f>IFERROR(__xludf.DUMMYFUNCTION("GOOGLETRANSLATE($A612,""en"",""it"")"),"Inagua")</f>
        <v>Inagua</v>
      </c>
      <c r="G612" s="9" t="str">
        <f>IFERROR(__xludf.DUMMYFUNCTION("GOOGLETRANSLATE($A612,""en"",""zh-cn"")"),"伊那瓜")</f>
        <v>伊那瓜</v>
      </c>
      <c r="H612" s="9" t="str">
        <f>IFERROR(__xludf.DUMMYFUNCTION("GOOGLETRANSLATE($A612,""en"",""ja"")"),"イナグア")</f>
        <v>イナグア</v>
      </c>
      <c r="I612" s="9" t="str">
        <f>IFERROR(__xludf.DUMMYFUNCTION("GOOGLETRANSLATE($A612,""en"",""ko"")"),"이나과")</f>
        <v>이나과</v>
      </c>
      <c r="J612" s="9" t="str">
        <f>IFERROR(__xludf.DUMMYFUNCTION("GOOGLETRANSLATE($A612,""en"",""pt-BR"")"),"Inágua")</f>
        <v>Inágua</v>
      </c>
    </row>
    <row r="613">
      <c r="A613" s="9" t="str">
        <f>IFERROR(__xludf.DUMMYFUNCTION("""COMPUTED_VALUE"""),"Black Point")</f>
        <v>Black Point</v>
      </c>
      <c r="B613" s="9" t="str">
        <f>IFERROR(__xludf.DUMMYFUNCTION("""COMPUTED_VALUE"""),"bs-bp")</f>
        <v>bs-bp</v>
      </c>
      <c r="C613" s="9" t="str">
        <f>IFERROR(__xludf.DUMMYFUNCTION("GOOGLETRANSLATE($A613,""en"",""de"")"),"Schwarzer Punkt")</f>
        <v>Schwarzer Punkt</v>
      </c>
      <c r="D613" s="9" t="str">
        <f>IFERROR(__xludf.DUMMYFUNCTION("GOOGLETRANSLATE($A613,""en"",""fr"")"),"Point Noir")</f>
        <v>Point Noir</v>
      </c>
      <c r="E613" s="9" t="str">
        <f>IFERROR(__xludf.DUMMYFUNCTION("GOOGLETRANSLATE($A613,""en"",""es"")"),"Punto Negro")</f>
        <v>Punto Negro</v>
      </c>
      <c r="F613" s="9" t="str">
        <f>IFERROR(__xludf.DUMMYFUNCTION("GOOGLETRANSLATE($A613,""en"",""it"")"),"Punto nero")</f>
        <v>Punto nero</v>
      </c>
      <c r="G613" s="9" t="str">
        <f>IFERROR(__xludf.DUMMYFUNCTION("GOOGLETRANSLATE($A613,""en"",""zh-cn"")"),"黑点")</f>
        <v>黑点</v>
      </c>
      <c r="H613" s="9" t="str">
        <f>IFERROR(__xludf.DUMMYFUNCTION("GOOGLETRANSLATE($A613,""en"",""ja"")"),"ブラックポイント")</f>
        <v>ブラックポイント</v>
      </c>
      <c r="I613" s="9" t="str">
        <f>IFERROR(__xludf.DUMMYFUNCTION("GOOGLETRANSLATE($A613,""en"",""ko"")"),"블랙 포인트")</f>
        <v>블랙 포인트</v>
      </c>
      <c r="J613" s="9" t="str">
        <f>IFERROR(__xludf.DUMMYFUNCTION("GOOGLETRANSLATE($A613,""en"",""pt-BR"")"),"Ponto Negro")</f>
        <v>Ponto Negro</v>
      </c>
    </row>
    <row r="614">
      <c r="A614" s="9" t="str">
        <f>IFERROR(__xludf.DUMMYFUNCTION("""COMPUTED_VALUE"""),"East Grand Bahama")</f>
        <v>East Grand Bahama</v>
      </c>
      <c r="B614" s="9" t="str">
        <f>IFERROR(__xludf.DUMMYFUNCTION("""COMPUTED_VALUE"""),"bs-eg")</f>
        <v>bs-eg</v>
      </c>
      <c r="C614" s="9" t="str">
        <f>IFERROR(__xludf.DUMMYFUNCTION("GOOGLETRANSLATE($A614,""en"",""de"")"),"Ost-Grand-Bahama")</f>
        <v>Ost-Grand-Bahama</v>
      </c>
      <c r="D614" s="9" t="str">
        <f>IFERROR(__xludf.DUMMYFUNCTION("GOOGLETRANSLATE($A614,""en"",""fr"")"),"Est de Grand Bahama")</f>
        <v>Est de Grand Bahama</v>
      </c>
      <c r="E614" s="9" t="str">
        <f>IFERROR(__xludf.DUMMYFUNCTION("GOOGLETRANSLATE($A614,""en"",""es"")"),"Este de Gran Bahama")</f>
        <v>Este de Gran Bahama</v>
      </c>
      <c r="F614" s="9" t="str">
        <f>IFERROR(__xludf.DUMMYFUNCTION("GOOGLETRANSLATE($A614,""en"",""it"")"),"Grand Bahama orientale")</f>
        <v>Grand Bahama orientale</v>
      </c>
      <c r="G614" s="9" t="str">
        <f>IFERROR(__xludf.DUMMYFUNCTION("GOOGLETRANSLATE($A614,""en"",""zh-cn"")"),"东大巴哈马岛")</f>
        <v>东大巴哈马岛</v>
      </c>
      <c r="H614" s="9" t="str">
        <f>IFERROR(__xludf.DUMMYFUNCTION("GOOGLETRANSLATE($A614,""en"",""ja"")"),"イーストグランドバハマ")</f>
        <v>イーストグランドバハマ</v>
      </c>
      <c r="I614" s="9" t="str">
        <f>IFERROR(__xludf.DUMMYFUNCTION("GOOGLETRANSLATE($A614,""en"",""ko"")"),"이스트 그랜드 바하마")</f>
        <v>이스트 그랜드 바하마</v>
      </c>
      <c r="J614" s="9" t="str">
        <f>IFERROR(__xludf.DUMMYFUNCTION("GOOGLETRANSLATE($A614,""en"",""pt-BR"")"),"Grande Bahama Oriental")</f>
        <v>Grande Bahama Oriental</v>
      </c>
    </row>
    <row r="615">
      <c r="A615" s="9" t="str">
        <f>IFERROR(__xludf.DUMMYFUNCTION("""COMPUTED_VALUE"""),"Spanish Wells")</f>
        <v>Spanish Wells</v>
      </c>
      <c r="B615" s="9" t="str">
        <f>IFERROR(__xludf.DUMMYFUNCTION("""COMPUTED_VALUE"""),"bs-sw")</f>
        <v>bs-sw</v>
      </c>
      <c r="C615" s="9" t="str">
        <f>IFERROR(__xludf.DUMMYFUNCTION("GOOGLETRANSLATE($A615,""en"",""de"")"),"Spanische Brunnen")</f>
        <v>Spanische Brunnen</v>
      </c>
      <c r="D615" s="9" t="str">
        <f>IFERROR(__xludf.DUMMYFUNCTION("GOOGLETRANSLATE($A615,""en"",""fr"")"),"Puits espagnols")</f>
        <v>Puits espagnols</v>
      </c>
      <c r="E615" s="9" t="str">
        <f>IFERROR(__xludf.DUMMYFUNCTION("GOOGLETRANSLATE($A615,""en"",""es"")"),"Pozos españoles")</f>
        <v>Pozos españoles</v>
      </c>
      <c r="F615" s="9" t="str">
        <f>IFERROR(__xludf.DUMMYFUNCTION("GOOGLETRANSLATE($A615,""en"",""it"")"),"Pozzi spagnoli")</f>
        <v>Pozzi spagnoli</v>
      </c>
      <c r="G615" s="9" t="str">
        <f>IFERROR(__xludf.DUMMYFUNCTION("GOOGLETRANSLATE($A615,""en"",""zh-cn"")"),"西班牙威尔斯")</f>
        <v>西班牙威尔斯</v>
      </c>
      <c r="H615" s="9" t="str">
        <f>IFERROR(__xludf.DUMMYFUNCTION("GOOGLETRANSLATE($A615,""en"",""ja"")"),"スパニッシュウェルズ")</f>
        <v>スパニッシュウェルズ</v>
      </c>
      <c r="I615" s="9" t="str">
        <f>IFERROR(__xludf.DUMMYFUNCTION("GOOGLETRANSLATE($A615,""en"",""ko"")"),"스패니시 웰스")</f>
        <v>스패니시 웰스</v>
      </c>
      <c r="J615" s="9" t="str">
        <f>IFERROR(__xludf.DUMMYFUNCTION("GOOGLETRANSLATE($A615,""en"",""pt-BR"")"),"Poços espanhóis")</f>
        <v>Poços espanhóis</v>
      </c>
    </row>
    <row r="616">
      <c r="A616" s="9" t="str">
        <f>IFERROR(__xludf.DUMMYFUNCTION("""COMPUTED_VALUE"""),"Berry Islands")</f>
        <v>Berry Islands</v>
      </c>
      <c r="B616" s="9" t="str">
        <f>IFERROR(__xludf.DUMMYFUNCTION("""COMPUTED_VALUE"""),"bs-by")</f>
        <v>bs-by</v>
      </c>
      <c r="C616" s="9" t="str">
        <f>IFERROR(__xludf.DUMMYFUNCTION("GOOGLETRANSLATE($A616,""en"",""de"")"),"Beereninseln")</f>
        <v>Beereninseln</v>
      </c>
      <c r="D616" s="9" t="str">
        <f>IFERROR(__xludf.DUMMYFUNCTION("GOOGLETRANSLATE($A616,""en"",""fr"")"),"Îles Berry")</f>
        <v>Îles Berry</v>
      </c>
      <c r="E616" s="9" t="str">
        <f>IFERROR(__xludf.DUMMYFUNCTION("GOOGLETRANSLATE($A616,""en"",""es"")"),"Islas Berry")</f>
        <v>Islas Berry</v>
      </c>
      <c r="F616" s="9" t="str">
        <f>IFERROR(__xludf.DUMMYFUNCTION("GOOGLETRANSLATE($A616,""en"",""it"")"),"Isole Bacche")</f>
        <v>Isole Bacche</v>
      </c>
      <c r="G616" s="9" t="str">
        <f>IFERROR(__xludf.DUMMYFUNCTION("GOOGLETRANSLATE($A616,""en"",""zh-cn"")"),"贝里群岛")</f>
        <v>贝里群岛</v>
      </c>
      <c r="H616" s="9" t="str">
        <f>IFERROR(__xludf.DUMMYFUNCTION("GOOGLETRANSLATE($A616,""en"",""ja"")"),"ベリー諸島")</f>
        <v>ベリー諸島</v>
      </c>
      <c r="I616" s="9" t="str">
        <f>IFERROR(__xludf.DUMMYFUNCTION("GOOGLETRANSLATE($A616,""en"",""ko"")"),"베리 제도")</f>
        <v>베리 제도</v>
      </c>
      <c r="J616" s="9" t="str">
        <f>IFERROR(__xludf.DUMMYFUNCTION("GOOGLETRANSLATE($A616,""en"",""pt-BR"")"),"Ilhas Berry")</f>
        <v>Ilhas Berry</v>
      </c>
    </row>
    <row r="617">
      <c r="A617" s="9" t="str">
        <f>IFERROR(__xludf.DUMMYFUNCTION("""COMPUTED_VALUE"""),"Cat Island")</f>
        <v>Cat Island</v>
      </c>
      <c r="B617" s="9" t="str">
        <f>IFERROR(__xludf.DUMMYFUNCTION("""COMPUTED_VALUE"""),"bs-ci")</f>
        <v>bs-ci</v>
      </c>
      <c r="C617" s="9" t="str">
        <f>IFERROR(__xludf.DUMMYFUNCTION("GOOGLETRANSLATE($A617,""en"",""de"")"),"Katzeninsel")</f>
        <v>Katzeninsel</v>
      </c>
      <c r="D617" s="9" t="str">
        <f>IFERROR(__xludf.DUMMYFUNCTION("GOOGLETRANSLATE($A617,""en"",""fr"")"),"Île aux chats")</f>
        <v>Île aux chats</v>
      </c>
      <c r="E617" s="9" t="str">
        <f>IFERROR(__xludf.DUMMYFUNCTION("GOOGLETRANSLATE($A617,""en"",""es"")"),"Isla del Gato")</f>
        <v>Isla del Gato</v>
      </c>
      <c r="F617" s="9" t="str">
        <f>IFERROR(__xludf.DUMMYFUNCTION("GOOGLETRANSLATE($A617,""en"",""it"")"),"L'isola dei gatti")</f>
        <v>L'isola dei gatti</v>
      </c>
      <c r="G617" s="9" t="str">
        <f>IFERROR(__xludf.DUMMYFUNCTION("GOOGLETRANSLATE($A617,""en"",""zh-cn"")"),"猫岛")</f>
        <v>猫岛</v>
      </c>
      <c r="H617" s="9" t="str">
        <f>IFERROR(__xludf.DUMMYFUNCTION("GOOGLETRANSLATE($A617,""en"",""ja"")"),"猫の島")</f>
        <v>猫の島</v>
      </c>
      <c r="I617" s="9" t="str">
        <f>IFERROR(__xludf.DUMMYFUNCTION("GOOGLETRANSLATE($A617,""en"",""ko"")"),"고양이섬")</f>
        <v>고양이섬</v>
      </c>
      <c r="J617" s="9" t="str">
        <f>IFERROR(__xludf.DUMMYFUNCTION("GOOGLETRANSLATE($A617,""en"",""pt-BR"")"),"Ilha do Gato")</f>
        <v>Ilha do Gato</v>
      </c>
    </row>
    <row r="618">
      <c r="A618" s="9" t="str">
        <f>IFERROR(__xludf.DUMMYFUNCTION("""COMPUTED_VALUE"""),"Long Island")</f>
        <v>Long Island</v>
      </c>
      <c r="B618" s="9" t="str">
        <f>IFERROR(__xludf.DUMMYFUNCTION("""COMPUTED_VALUE"""),"bs-li")</f>
        <v>bs-li</v>
      </c>
      <c r="C618" s="9" t="str">
        <f>IFERROR(__xludf.DUMMYFUNCTION("GOOGLETRANSLATE($A618,""en"",""de"")"),"Long Island")</f>
        <v>Long Island</v>
      </c>
      <c r="D618" s="9" t="str">
        <f>IFERROR(__xludf.DUMMYFUNCTION("GOOGLETRANSLATE($A618,""en"",""fr"")"),"Île Longue")</f>
        <v>Île Longue</v>
      </c>
      <c r="E618" s="9" t="str">
        <f>IFERROR(__xludf.DUMMYFUNCTION("GOOGLETRANSLATE($A618,""en"",""es"")"),"isla larga")</f>
        <v>isla larga</v>
      </c>
      <c r="F618" s="9" t="str">
        <f>IFERROR(__xludf.DUMMYFUNCTION("GOOGLETRANSLATE($A618,""en"",""it"")"),"Isola Lunga")</f>
        <v>Isola Lunga</v>
      </c>
      <c r="G618" s="9" t="str">
        <f>IFERROR(__xludf.DUMMYFUNCTION("GOOGLETRANSLATE($A618,""en"",""zh-cn"")"),"长岛")</f>
        <v>长岛</v>
      </c>
      <c r="H618" s="9" t="str">
        <f>IFERROR(__xludf.DUMMYFUNCTION("GOOGLETRANSLATE($A618,""en"",""ja"")"),"ロングアイランド")</f>
        <v>ロングアイランド</v>
      </c>
      <c r="I618" s="9" t="str">
        <f>IFERROR(__xludf.DUMMYFUNCTION("GOOGLETRANSLATE($A618,""en"",""ko"")"),"롱아일랜드")</f>
        <v>롱아일랜드</v>
      </c>
      <c r="J618" s="9" t="str">
        <f>IFERROR(__xludf.DUMMYFUNCTION("GOOGLETRANSLATE($A618,""en"",""pt-BR"")"),"Ilha Longa")</f>
        <v>Ilha Longa</v>
      </c>
    </row>
    <row r="619">
      <c r="A619" s="9" t="str">
        <f>IFERROR(__xludf.DUMMYFUNCTION("""COMPUTED_VALUE"""),"San Salvador (BS)")</f>
        <v>San Salvador (BS)</v>
      </c>
      <c r="B619" s="9" t="str">
        <f>IFERROR(__xludf.DUMMYFUNCTION("""COMPUTED_VALUE"""),"bs-ss")</f>
        <v>bs-ss</v>
      </c>
      <c r="C619" s="9" t="str">
        <f>IFERROR(__xludf.DUMMYFUNCTION("GOOGLETRANSLATE($A619,""en"",""de"")"),"San Salvador (BS)")</f>
        <v>San Salvador (BS)</v>
      </c>
      <c r="D619" s="9" t="str">
        <f>IFERROR(__xludf.DUMMYFUNCTION("GOOGLETRANSLATE($A619,""en"",""fr"")"),"San Salvador (BS)")</f>
        <v>San Salvador (BS)</v>
      </c>
      <c r="E619" s="9" t="str">
        <f>IFERROR(__xludf.DUMMYFUNCTION("GOOGLETRANSLATE($A619,""en"",""es"")"),"San Salvador (BS)")</f>
        <v>San Salvador (BS)</v>
      </c>
      <c r="F619" s="9" t="str">
        <f>IFERROR(__xludf.DUMMYFUNCTION("GOOGLETRANSLATE($A619,""en"",""it"")"),"San Salvador (BS)")</f>
        <v>San Salvador (BS)</v>
      </c>
      <c r="G619" s="9" t="str">
        <f>IFERROR(__xludf.DUMMYFUNCTION("GOOGLETRANSLATE($A619,""en"",""zh-cn"")"),"圣萨尔瓦多 (BS)")</f>
        <v>圣萨尔瓦多 (BS)</v>
      </c>
      <c r="H619" s="9" t="str">
        <f>IFERROR(__xludf.DUMMYFUNCTION("GOOGLETRANSLATE($A619,""en"",""ja"")"),"サンサルバドル (BS)")</f>
        <v>サンサルバドル (BS)</v>
      </c>
      <c r="I619" s="9" t="str">
        <f>IFERROR(__xludf.DUMMYFUNCTION("GOOGLETRANSLATE($A619,""en"",""ko"")"),"산살바도르(BS)")</f>
        <v>산살바도르(BS)</v>
      </c>
      <c r="J619" s="9" t="str">
        <f>IFERROR(__xludf.DUMMYFUNCTION("GOOGLETRANSLATE($A619,""en"",""pt-BR"")"),"São Salvador (BS)")</f>
        <v>São Salvador (BS)</v>
      </c>
    </row>
    <row r="620">
      <c r="A620" s="9" t="str">
        <f>IFERROR(__xludf.DUMMYFUNCTION("""COMPUTED_VALUE"""),"Bimini")</f>
        <v>Bimini</v>
      </c>
      <c r="B620" s="9" t="str">
        <f>IFERROR(__xludf.DUMMYFUNCTION("""COMPUTED_VALUE"""),"bs-bi")</f>
        <v>bs-bi</v>
      </c>
      <c r="C620" s="9" t="str">
        <f>IFERROR(__xludf.DUMMYFUNCTION("GOOGLETRANSLATE($A620,""en"",""de"")"),"Bimini")</f>
        <v>Bimini</v>
      </c>
      <c r="D620" s="9" t="str">
        <f>IFERROR(__xludf.DUMMYFUNCTION("GOOGLETRANSLATE($A620,""en"",""fr"")"),"Bimini")</f>
        <v>Bimini</v>
      </c>
      <c r="E620" s="9" t="str">
        <f>IFERROR(__xludf.DUMMYFUNCTION("GOOGLETRANSLATE($A620,""en"",""es"")"),"Bimini")</f>
        <v>Bimini</v>
      </c>
      <c r="F620" s="9" t="str">
        <f>IFERROR(__xludf.DUMMYFUNCTION("GOOGLETRANSLATE($A620,""en"",""it"")"),"Tendalino")</f>
        <v>Tendalino</v>
      </c>
      <c r="G620" s="9" t="str">
        <f>IFERROR(__xludf.DUMMYFUNCTION("GOOGLETRANSLATE($A620,""en"",""zh-cn"")"),"比米尼岛")</f>
        <v>比米尼岛</v>
      </c>
      <c r="H620" s="9" t="str">
        <f>IFERROR(__xludf.DUMMYFUNCTION("GOOGLETRANSLATE($A620,""en"",""ja"")"),"ビミニ")</f>
        <v>ビミニ</v>
      </c>
      <c r="I620" s="9" t="str">
        <f>IFERROR(__xludf.DUMMYFUNCTION("GOOGLETRANSLATE($A620,""en"",""ko"")"),"비미니")</f>
        <v>비미니</v>
      </c>
      <c r="J620" s="9" t="str">
        <f>IFERROR(__xludf.DUMMYFUNCTION("GOOGLETRANSLATE($A620,""en"",""pt-BR"")"),"Bimini")</f>
        <v>Bimini</v>
      </c>
    </row>
    <row r="621">
      <c r="A621" s="9" t="str">
        <f>IFERROR(__xludf.DUMMYFUNCTION("""COMPUTED_VALUE"""),"North Abaco")</f>
        <v>North Abaco</v>
      </c>
      <c r="B621" s="9" t="str">
        <f>IFERROR(__xludf.DUMMYFUNCTION("""COMPUTED_VALUE"""),"bs-no")</f>
        <v>bs-no</v>
      </c>
      <c r="C621" s="9" t="str">
        <f>IFERROR(__xludf.DUMMYFUNCTION("GOOGLETRANSLATE($A621,""en"",""de"")"),"Nord-Abaco")</f>
        <v>Nord-Abaco</v>
      </c>
      <c r="D621" s="9" t="str">
        <f>IFERROR(__xludf.DUMMYFUNCTION("GOOGLETRANSLATE($A621,""en"",""fr"")"),"Abaco Nord")</f>
        <v>Abaco Nord</v>
      </c>
      <c r="E621" s="9" t="str">
        <f>IFERROR(__xludf.DUMMYFUNCTION("GOOGLETRANSLATE($A621,""en"",""es"")"),"Norte de Ábaco")</f>
        <v>Norte de Ábaco</v>
      </c>
      <c r="F621" s="9" t="str">
        <f>IFERROR(__xludf.DUMMYFUNCTION("GOOGLETRANSLATE($A621,""en"",""it"")"),"Nord Abaco")</f>
        <v>Nord Abaco</v>
      </c>
      <c r="G621" s="9" t="str">
        <f>IFERROR(__xludf.DUMMYFUNCTION("GOOGLETRANSLATE($A621,""en"",""zh-cn"")"),"北阿巴科")</f>
        <v>北阿巴科</v>
      </c>
      <c r="H621" s="9" t="str">
        <f>IFERROR(__xludf.DUMMYFUNCTION("GOOGLETRANSLATE($A621,""en"",""ja"")"),"ノース アバコ")</f>
        <v>ノース アバコ</v>
      </c>
      <c r="I621" s="9" t="str">
        <f>IFERROR(__xludf.DUMMYFUNCTION("GOOGLETRANSLATE($A621,""en"",""ko"")"),"노스 아바코")</f>
        <v>노스 아바코</v>
      </c>
      <c r="J621" s="9" t="str">
        <f>IFERROR(__xludf.DUMMYFUNCTION("GOOGLETRANSLATE($A621,""en"",""pt-BR"")"),"Norte de Ábaco")</f>
        <v>Norte de Ábaco</v>
      </c>
    </row>
    <row r="622">
      <c r="A622" s="9" t="str">
        <f>IFERROR(__xludf.DUMMYFUNCTION("""COMPUTED_VALUE"""),"South Andros")</f>
        <v>South Andros</v>
      </c>
      <c r="B622" s="9" t="str">
        <f>IFERROR(__xludf.DUMMYFUNCTION("""COMPUTED_VALUE"""),"bs-sa")</f>
        <v>bs-sa</v>
      </c>
      <c r="C622" s="9" t="str">
        <f>IFERROR(__xludf.DUMMYFUNCTION("GOOGLETRANSLATE($A622,""en"",""de"")"),"Süd-Andros")</f>
        <v>Süd-Andros</v>
      </c>
      <c r="D622" s="9" t="str">
        <f>IFERROR(__xludf.DUMMYFUNCTION("GOOGLETRANSLATE($A622,""en"",""fr"")"),"Andros Sud")</f>
        <v>Andros Sud</v>
      </c>
      <c r="E622" s="9" t="str">
        <f>IFERROR(__xludf.DUMMYFUNCTION("GOOGLETRANSLATE($A622,""en"",""es"")"),"Andros del Sur")</f>
        <v>Andros del Sur</v>
      </c>
      <c r="F622" s="9" t="str">
        <f>IFERROR(__xludf.DUMMYFUNCTION("GOOGLETRANSLATE($A622,""en"",""it"")"),"Andros meridionale")</f>
        <v>Andros meridionale</v>
      </c>
      <c r="G622" s="9" t="str">
        <f>IFERROR(__xludf.DUMMYFUNCTION("GOOGLETRANSLATE($A622,""en"",""zh-cn"")"),"南安德罗斯")</f>
        <v>南安德罗斯</v>
      </c>
      <c r="H622" s="9" t="str">
        <f>IFERROR(__xludf.DUMMYFUNCTION("GOOGLETRANSLATE($A622,""en"",""ja"")"),"南アンドロス島")</f>
        <v>南アンドロス島</v>
      </c>
      <c r="I622" s="9" t="str">
        <f>IFERROR(__xludf.DUMMYFUNCTION("GOOGLETRANSLATE($A622,""en"",""ko"")"),"사우스 안드로스")</f>
        <v>사우스 안드로스</v>
      </c>
      <c r="J622" s="9" t="str">
        <f>IFERROR(__xludf.DUMMYFUNCTION("GOOGLETRANSLATE($A622,""en"",""pt-BR"")"),"Andros do Sul")</f>
        <v>Andros do Sul</v>
      </c>
    </row>
    <row r="623">
      <c r="A623" s="9" t="str">
        <f>IFERROR(__xludf.DUMMYFUNCTION("""COMPUTED_VALUE"""),"Harbour Island")</f>
        <v>Harbour Island</v>
      </c>
      <c r="B623" s="9" t="str">
        <f>IFERROR(__xludf.DUMMYFUNCTION("""COMPUTED_VALUE"""),"bs-hi")</f>
        <v>bs-hi</v>
      </c>
      <c r="C623" s="9" t="str">
        <f>IFERROR(__xludf.DUMMYFUNCTION("GOOGLETRANSLATE($A623,""en"",""de"")"),"Hafeninsel")</f>
        <v>Hafeninsel</v>
      </c>
      <c r="D623" s="9" t="str">
        <f>IFERROR(__xludf.DUMMYFUNCTION("GOOGLETRANSLATE($A623,""en"",""fr"")"),"Île du port")</f>
        <v>Île du port</v>
      </c>
      <c r="E623" s="9" t="str">
        <f>IFERROR(__xludf.DUMMYFUNCTION("GOOGLETRANSLATE($A623,""en"",""es"")"),"Isla del puerto")</f>
        <v>Isla del puerto</v>
      </c>
      <c r="F623" s="9" t="str">
        <f>IFERROR(__xludf.DUMMYFUNCTION("GOOGLETRANSLATE($A623,""en"",""it"")"),"Isola del porto")</f>
        <v>Isola del porto</v>
      </c>
      <c r="G623" s="9" t="str">
        <f>IFERROR(__xludf.DUMMYFUNCTION("GOOGLETRANSLATE($A623,""en"",""zh-cn"")"),"哈勃岛")</f>
        <v>哈勃岛</v>
      </c>
      <c r="H623" s="9" t="str">
        <f>IFERROR(__xludf.DUMMYFUNCTION("GOOGLETRANSLATE($A623,""en"",""ja"")"),"ハーバーアイランド")</f>
        <v>ハーバーアイランド</v>
      </c>
      <c r="I623" s="9" t="str">
        <f>IFERROR(__xludf.DUMMYFUNCTION("GOOGLETRANSLATE($A623,""en"",""ko"")"),"하버 아일랜드")</f>
        <v>하버 아일랜드</v>
      </c>
      <c r="J623" s="9" t="str">
        <f>IFERROR(__xludf.DUMMYFUNCTION("GOOGLETRANSLATE($A623,""en"",""pt-BR"")"),"Ilha do Porto")</f>
        <v>Ilha do Porto</v>
      </c>
    </row>
    <row r="624">
      <c r="A624" s="9" t="str">
        <f>IFERROR(__xludf.DUMMYFUNCTION("""COMPUTED_VALUE"""),"South Abaco")</f>
        <v>South Abaco</v>
      </c>
      <c r="B624" s="9" t="str">
        <f>IFERROR(__xludf.DUMMYFUNCTION("""COMPUTED_VALUE"""),"bs-so")</f>
        <v>bs-so</v>
      </c>
      <c r="C624" s="9" t="str">
        <f>IFERROR(__xludf.DUMMYFUNCTION("GOOGLETRANSLATE($A624,""en"",""de"")"),"Süd-Abaco")</f>
        <v>Süd-Abaco</v>
      </c>
      <c r="D624" s="9" t="str">
        <f>IFERROR(__xludf.DUMMYFUNCTION("GOOGLETRANSLATE($A624,""en"",""fr"")"),"Abaco Sud")</f>
        <v>Abaco Sud</v>
      </c>
      <c r="E624" s="9" t="str">
        <f>IFERROR(__xludf.DUMMYFUNCTION("GOOGLETRANSLATE($A624,""en"",""es"")"),"Sur de Ábaco")</f>
        <v>Sur de Ábaco</v>
      </c>
      <c r="F624" s="9" t="str">
        <f>IFERROR(__xludf.DUMMYFUNCTION("GOOGLETRANSLATE($A624,""en"",""it"")"),"Abaco meridionale")</f>
        <v>Abaco meridionale</v>
      </c>
      <c r="G624" s="9" t="str">
        <f>IFERROR(__xludf.DUMMYFUNCTION("GOOGLETRANSLATE($A624,""en"",""zh-cn"")"),"南阿巴科")</f>
        <v>南阿巴科</v>
      </c>
      <c r="H624" s="9" t="str">
        <f>IFERROR(__xludf.DUMMYFUNCTION("GOOGLETRANSLATE($A624,""en"",""ja"")"),"サウス アバコ")</f>
        <v>サウス アバコ</v>
      </c>
      <c r="I624" s="9" t="str">
        <f>IFERROR(__xludf.DUMMYFUNCTION("GOOGLETRANSLATE($A624,""en"",""ko"")"),"사우스 아바코")</f>
        <v>사우스 아바코</v>
      </c>
      <c r="J624" s="9" t="str">
        <f>IFERROR(__xludf.DUMMYFUNCTION("GOOGLETRANSLATE($A624,""en"",""pt-BR"")"),"Sul de Ábaco")</f>
        <v>Sul de Ábaco</v>
      </c>
    </row>
    <row r="625">
      <c r="A625" s="9" t="str">
        <f>IFERROR(__xludf.DUMMYFUNCTION("""COMPUTED_VALUE"""),"Rum Cay")</f>
        <v>Rum Cay</v>
      </c>
      <c r="B625" s="9" t="str">
        <f>IFERROR(__xludf.DUMMYFUNCTION("""COMPUTED_VALUE"""),"bs-rc")</f>
        <v>bs-rc</v>
      </c>
      <c r="C625" s="9" t="str">
        <f>IFERROR(__xludf.DUMMYFUNCTION("GOOGLETRANSLATE($A625,""en"",""de"")"),"Rum Cay")</f>
        <v>Rum Cay</v>
      </c>
      <c r="D625" s="9" t="str">
        <f>IFERROR(__xludf.DUMMYFUNCTION("GOOGLETRANSLATE($A625,""en"",""fr"")"),"Rhum Cay")</f>
        <v>Rhum Cay</v>
      </c>
      <c r="E625" s="9" t="str">
        <f>IFERROR(__xludf.DUMMYFUNCTION("GOOGLETRANSLATE($A625,""en"",""es"")"),"Cayo Ron")</f>
        <v>Cayo Ron</v>
      </c>
      <c r="F625" s="9" t="str">
        <f>IFERROR(__xludf.DUMMYFUNCTION("GOOGLETRANSLATE($A625,""en"",""it"")"),"Rum Cay")</f>
        <v>Rum Cay</v>
      </c>
      <c r="G625" s="9" t="str">
        <f>IFERROR(__xludf.DUMMYFUNCTION("GOOGLETRANSLATE($A625,""en"",""zh-cn"")"),"朗姆岛")</f>
        <v>朗姆岛</v>
      </c>
      <c r="H625" s="9" t="str">
        <f>IFERROR(__xludf.DUMMYFUNCTION("GOOGLETRANSLATE($A625,""en"",""ja"")"),"ラムケイ")</f>
        <v>ラムケイ</v>
      </c>
      <c r="I625" s="9" t="str">
        <f>IFERROR(__xludf.DUMMYFUNCTION("GOOGLETRANSLATE($A625,""en"",""ko"")"),"럼 케이")</f>
        <v>럼 케이</v>
      </c>
      <c r="J625" s="9" t="str">
        <f>IFERROR(__xludf.DUMMYFUNCTION("GOOGLETRANSLATE($A625,""en"",""pt-BR"")"),"Rum Cay")</f>
        <v>Rum Cay</v>
      </c>
    </row>
    <row r="626">
      <c r="A626" s="9" t="str">
        <f>IFERROR(__xludf.DUMMYFUNCTION("""COMPUTED_VALUE"""),"West Grand Bahama")</f>
        <v>West Grand Bahama</v>
      </c>
      <c r="B626" s="9" t="str">
        <f>IFERROR(__xludf.DUMMYFUNCTION("""COMPUTED_VALUE"""),"bs-wg")</f>
        <v>bs-wg</v>
      </c>
      <c r="C626" s="9" t="str">
        <f>IFERROR(__xludf.DUMMYFUNCTION("GOOGLETRANSLATE($A626,""en"",""de"")"),"West Grand Bahama")</f>
        <v>West Grand Bahama</v>
      </c>
      <c r="D626" s="9" t="str">
        <f>IFERROR(__xludf.DUMMYFUNCTION("GOOGLETRANSLATE($A626,""en"",""fr"")"),"Ouest de Grand Bahama")</f>
        <v>Ouest de Grand Bahama</v>
      </c>
      <c r="E626" s="9" t="str">
        <f>IFERROR(__xludf.DUMMYFUNCTION("GOOGLETRANSLATE($A626,""en"",""es"")"),"Gran Bahama Oeste")</f>
        <v>Gran Bahama Oeste</v>
      </c>
      <c r="F626" s="9" t="str">
        <f>IFERROR(__xludf.DUMMYFUNCTION("GOOGLETRANSLATE($A626,""en"",""it"")"),"Grand Bahama occidentale")</f>
        <v>Grand Bahama occidentale</v>
      </c>
      <c r="G626" s="9" t="str">
        <f>IFERROR(__xludf.DUMMYFUNCTION("GOOGLETRANSLATE($A626,""en"",""zh-cn"")"),"西大巴哈马岛")</f>
        <v>西大巴哈马岛</v>
      </c>
      <c r="H626" s="9" t="str">
        <f>IFERROR(__xludf.DUMMYFUNCTION("GOOGLETRANSLATE($A626,""en"",""ja"")"),"ウェスト グランド バハマ")</f>
        <v>ウェスト グランド バハマ</v>
      </c>
      <c r="I626" s="9" t="str">
        <f>IFERROR(__xludf.DUMMYFUNCTION("GOOGLETRANSLATE($A626,""en"",""ko"")"),"웨스트 그랜드 바하마")</f>
        <v>웨스트 그랜드 바하마</v>
      </c>
      <c r="J626" s="9" t="str">
        <f>IFERROR(__xludf.DUMMYFUNCTION("GOOGLETRANSLATE($A626,""en"",""pt-BR"")"),"Grande Bahama Ocidental")</f>
        <v>Grande Bahama Ocidental</v>
      </c>
    </row>
    <row r="627">
      <c r="A627" s="9" t="str">
        <f>IFERROR(__xludf.DUMMYFUNCTION("""COMPUTED_VALUE"""),"Mangrove Cay")</f>
        <v>Mangrove Cay</v>
      </c>
      <c r="B627" s="9" t="str">
        <f>IFERROR(__xludf.DUMMYFUNCTION("""COMPUTED_VALUE"""),"bs-mc")</f>
        <v>bs-mc</v>
      </c>
      <c r="C627" s="9" t="str">
        <f>IFERROR(__xludf.DUMMYFUNCTION("GOOGLETRANSLATE($A627,""en"",""de"")"),"Mangrove Cay")</f>
        <v>Mangrove Cay</v>
      </c>
      <c r="D627" s="9" t="str">
        <f>IFERROR(__xludf.DUMMYFUNCTION("GOOGLETRANSLATE($A627,""en"",""fr"")"),"Caye Mangrove")</f>
        <v>Caye Mangrove</v>
      </c>
      <c r="E627" s="9" t="str">
        <f>IFERROR(__xludf.DUMMYFUNCTION("GOOGLETRANSLATE($A627,""en"",""es"")"),"Cayo Manglar")</f>
        <v>Cayo Manglar</v>
      </c>
      <c r="F627" s="9" t="str">
        <f>IFERROR(__xludf.DUMMYFUNCTION("GOOGLETRANSLATE($A627,""en"",""it"")"),"Cayo delle mangrovie")</f>
        <v>Cayo delle mangrovie</v>
      </c>
      <c r="G627" s="9" t="str">
        <f>IFERROR(__xludf.DUMMYFUNCTION("GOOGLETRANSLATE($A627,""en"",""zh-cn"")"),"红树林岛")</f>
        <v>红树林岛</v>
      </c>
      <c r="H627" s="9" t="str">
        <f>IFERROR(__xludf.DUMMYFUNCTION("GOOGLETRANSLATE($A627,""en"",""ja"")"),"マングローブ ケイ")</f>
        <v>マングローブ ケイ</v>
      </c>
      <c r="I627" s="9" t="str">
        <f>IFERROR(__xludf.DUMMYFUNCTION("GOOGLETRANSLATE($A627,""en"",""ko"")"),"맹그로브 케이")</f>
        <v>맹그로브 케이</v>
      </c>
      <c r="J627" s="9" t="str">
        <f>IFERROR(__xludf.DUMMYFUNCTION("GOOGLETRANSLATE($A627,""en"",""pt-BR"")"),"Mangue Cay")</f>
        <v>Mangue Cay</v>
      </c>
    </row>
    <row r="628">
      <c r="A628" s="9" t="str">
        <f>IFERROR(__xludf.DUMMYFUNCTION("""COMPUTED_VALUE"""),"Central Eleuthera")</f>
        <v>Central Eleuthera</v>
      </c>
      <c r="B628" s="9" t="str">
        <f>IFERROR(__xludf.DUMMYFUNCTION("""COMPUTED_VALUE"""),"bs-ce")</f>
        <v>bs-ce</v>
      </c>
      <c r="C628" s="9" t="str">
        <f>IFERROR(__xludf.DUMMYFUNCTION("GOOGLETRANSLATE($A628,""en"",""de"")"),"Zentral-Eleuthera")</f>
        <v>Zentral-Eleuthera</v>
      </c>
      <c r="D628" s="9" t="str">
        <f>IFERROR(__xludf.DUMMYFUNCTION("GOOGLETRANSLATE($A628,""en"",""fr"")"),"Eleuthera centrale")</f>
        <v>Eleuthera centrale</v>
      </c>
      <c r="E628" s="9" t="str">
        <f>IFERROR(__xludf.DUMMYFUNCTION("GOOGLETRANSLATE($A628,""en"",""es"")"),"Eleutera Central")</f>
        <v>Eleutera Central</v>
      </c>
      <c r="F628" s="9" t="str">
        <f>IFERROR(__xludf.DUMMYFUNCTION("GOOGLETRANSLATE($A628,""en"",""it"")"),"Eleuthera centrale")</f>
        <v>Eleuthera centrale</v>
      </c>
      <c r="G628" s="9" t="str">
        <f>IFERROR(__xludf.DUMMYFUNCTION("GOOGLETRANSLATE($A628,""en"",""zh-cn"")"),"中伊柳塞拉")</f>
        <v>中伊柳塞拉</v>
      </c>
      <c r="H628" s="9" t="str">
        <f>IFERROR(__xludf.DUMMYFUNCTION("GOOGLETRANSLATE($A628,""en"",""ja"")"),"中央エリューセラ島")</f>
        <v>中央エリューセラ島</v>
      </c>
      <c r="I628" s="9" t="str">
        <f>IFERROR(__xludf.DUMMYFUNCTION("GOOGLETRANSLATE($A628,""en"",""ko"")"),"센트럴 엘레우테라")</f>
        <v>센트럴 엘레우테라</v>
      </c>
      <c r="J628" s="9" t="str">
        <f>IFERROR(__xludf.DUMMYFUNCTION("GOOGLETRANSLATE($A628,""en"",""pt-BR"")"),"Eleutera Central")</f>
        <v>Eleutera Central</v>
      </c>
    </row>
    <row r="629">
      <c r="A629" s="9" t="str">
        <f>IFERROR(__xludf.DUMMYFUNCTION("""COMPUTED_VALUE"""),"Central Andros")</f>
        <v>Central Andros</v>
      </c>
      <c r="B629" s="9" t="str">
        <f>IFERROR(__xludf.DUMMYFUNCTION("""COMPUTED_VALUE"""),"bs-cs")</f>
        <v>bs-cs</v>
      </c>
      <c r="C629" s="9" t="str">
        <f>IFERROR(__xludf.DUMMYFUNCTION("GOOGLETRANSLATE($A629,""en"",""de"")"),"Zentral-Andros")</f>
        <v>Zentral-Andros</v>
      </c>
      <c r="D629" s="9" t="str">
        <f>IFERROR(__xludf.DUMMYFUNCTION("GOOGLETRANSLATE($A629,""en"",""fr"")"),"Centre d'Andros")</f>
        <v>Centre d'Andros</v>
      </c>
      <c r="E629" s="9" t="str">
        <f>IFERROR(__xludf.DUMMYFUNCTION("GOOGLETRANSLATE($A629,""en"",""es"")"),"Andros central")</f>
        <v>Andros central</v>
      </c>
      <c r="F629" s="9" t="str">
        <f>IFERROR(__xludf.DUMMYFUNCTION("GOOGLETRANSLATE($A629,""en"",""it"")"),"Andros centrale")</f>
        <v>Andros centrale</v>
      </c>
      <c r="G629" s="9" t="str">
        <f>IFERROR(__xludf.DUMMYFUNCTION("GOOGLETRANSLATE($A629,""en"",""zh-cn"")"),"安德罗斯中部")</f>
        <v>安德罗斯中部</v>
      </c>
      <c r="H629" s="9" t="str">
        <f>IFERROR(__xludf.DUMMYFUNCTION("GOOGLETRANSLATE($A629,""en"",""ja"")"),"中央アンドロス")</f>
        <v>中央アンドロス</v>
      </c>
      <c r="I629" s="9" t="str">
        <f>IFERROR(__xludf.DUMMYFUNCTION("GOOGLETRANSLATE($A629,""en"",""ko"")"),"센트럴 안드로스")</f>
        <v>센트럴 안드로스</v>
      </c>
      <c r="J629" s="9" t="str">
        <f>IFERROR(__xludf.DUMMYFUNCTION("GOOGLETRANSLATE($A629,""en"",""pt-BR"")"),"Centro de Andros")</f>
        <v>Centro de Andros</v>
      </c>
    </row>
    <row r="630">
      <c r="A630" s="9" t="str">
        <f>IFERROR(__xludf.DUMMYFUNCTION("""COMPUTED_VALUE"""),"South Eleuthera")</f>
        <v>South Eleuthera</v>
      </c>
      <c r="B630" s="9" t="str">
        <f>IFERROR(__xludf.DUMMYFUNCTION("""COMPUTED_VALUE"""),"bs-se")</f>
        <v>bs-se</v>
      </c>
      <c r="C630" s="9" t="str">
        <f>IFERROR(__xludf.DUMMYFUNCTION("GOOGLETRANSLATE($A630,""en"",""de"")"),"Süd-Eleuthera")</f>
        <v>Süd-Eleuthera</v>
      </c>
      <c r="D630" s="9" t="str">
        <f>IFERROR(__xludf.DUMMYFUNCTION("GOOGLETRANSLATE($A630,""en"",""fr"")"),"Eleuthera Sud")</f>
        <v>Eleuthera Sud</v>
      </c>
      <c r="E630" s="9" t="str">
        <f>IFERROR(__xludf.DUMMYFUNCTION("GOOGLETRANSLATE($A630,""en"",""es"")"),"Eleuthera del Sur")</f>
        <v>Eleuthera del Sur</v>
      </c>
      <c r="F630" s="9" t="str">
        <f>IFERROR(__xludf.DUMMYFUNCTION("GOOGLETRANSLATE($A630,""en"",""it"")"),"Eleuthera del sud")</f>
        <v>Eleuthera del sud</v>
      </c>
      <c r="G630" s="9" t="str">
        <f>IFERROR(__xludf.DUMMYFUNCTION("GOOGLETRANSLATE($A630,""en"",""zh-cn"")"),"南伊留塞拉")</f>
        <v>南伊留塞拉</v>
      </c>
      <c r="H630" s="9" t="str">
        <f>IFERROR(__xludf.DUMMYFUNCTION("GOOGLETRANSLATE($A630,""en"",""ja"")"),"南エレーセラ島")</f>
        <v>南エレーセラ島</v>
      </c>
      <c r="I630" s="9" t="str">
        <f>IFERROR(__xludf.DUMMYFUNCTION("GOOGLETRANSLATE($A630,""en"",""ko"")"),"사우스 일류서라")</f>
        <v>사우스 일류서라</v>
      </c>
      <c r="J630" s="9" t="str">
        <f>IFERROR(__xludf.DUMMYFUNCTION("GOOGLETRANSLATE($A630,""en"",""pt-BR"")"),"Eleutera do Sul")</f>
        <v>Eleutera do Sul</v>
      </c>
    </row>
    <row r="631">
      <c r="A631" s="9" t="str">
        <f>IFERROR(__xludf.DUMMYFUNCTION("""COMPUTED_VALUE"""),"Mayaguana")</f>
        <v>Mayaguana</v>
      </c>
      <c r="B631" s="9" t="str">
        <f>IFERROR(__xludf.DUMMYFUNCTION("""COMPUTED_VALUE"""),"bs-mg")</f>
        <v>bs-mg</v>
      </c>
      <c r="C631" s="9" t="str">
        <f>IFERROR(__xludf.DUMMYFUNCTION("GOOGLETRANSLATE($A631,""en"",""de"")"),"Mayaguana")</f>
        <v>Mayaguana</v>
      </c>
      <c r="D631" s="9" t="str">
        <f>IFERROR(__xludf.DUMMYFUNCTION("GOOGLETRANSLATE($A631,""en"",""fr"")"),"Mayaguana")</f>
        <v>Mayaguana</v>
      </c>
      <c r="E631" s="9" t="str">
        <f>IFERROR(__xludf.DUMMYFUNCTION("GOOGLETRANSLATE($A631,""en"",""es"")"),"Mayaguana")</f>
        <v>Mayaguana</v>
      </c>
      <c r="F631" s="9" t="str">
        <f>IFERROR(__xludf.DUMMYFUNCTION("GOOGLETRANSLATE($A631,""en"",""it"")"),"Mayaguana")</f>
        <v>Mayaguana</v>
      </c>
      <c r="G631" s="9" t="str">
        <f>IFERROR(__xludf.DUMMYFUNCTION("GOOGLETRANSLATE($A631,""en"",""zh-cn"")"),"马亚瓜纳")</f>
        <v>马亚瓜纳</v>
      </c>
      <c r="H631" s="9" t="str">
        <f>IFERROR(__xludf.DUMMYFUNCTION("GOOGLETRANSLATE($A631,""en"",""ja"")"),"マヤグアナ")</f>
        <v>マヤグアナ</v>
      </c>
      <c r="I631" s="9" t="str">
        <f>IFERROR(__xludf.DUMMYFUNCTION("GOOGLETRANSLATE($A631,""en"",""ko"")"),"마야과나")</f>
        <v>마야과나</v>
      </c>
      <c r="J631" s="9" t="str">
        <f>IFERROR(__xludf.DUMMYFUNCTION("GOOGLETRANSLATE($A631,""en"",""pt-BR"")"),"Mayaguana")</f>
        <v>Mayaguana</v>
      </c>
    </row>
    <row r="632">
      <c r="A632" s="9" t="str">
        <f>IFERROR(__xludf.DUMMYFUNCTION("""COMPUTED_VALUE"""),"Acklins")</f>
        <v>Acklins</v>
      </c>
      <c r="B632" s="9" t="str">
        <f>IFERROR(__xludf.DUMMYFUNCTION("""COMPUTED_VALUE"""),"bs-ak")</f>
        <v>bs-ak</v>
      </c>
      <c r="C632" s="9" t="str">
        <f>IFERROR(__xludf.DUMMYFUNCTION("GOOGLETRANSLATE($A632,""en"",""de"")"),"Acklins")</f>
        <v>Acklins</v>
      </c>
      <c r="D632" s="9" t="str">
        <f>IFERROR(__xludf.DUMMYFUNCTION("GOOGLETRANSLATE($A632,""en"",""fr"")"),"Acklins")</f>
        <v>Acklins</v>
      </c>
      <c r="E632" s="9" t="str">
        <f>IFERROR(__xludf.DUMMYFUNCTION("GOOGLETRANSLATE($A632,""en"",""es"")"),"acklins")</f>
        <v>acklins</v>
      </c>
      <c r="F632" s="9" t="str">
        <f>IFERROR(__xludf.DUMMYFUNCTION("GOOGLETRANSLATE($A632,""en"",""it"")"),"Acklin")</f>
        <v>Acklin</v>
      </c>
      <c r="G632" s="9" t="str">
        <f>IFERROR(__xludf.DUMMYFUNCTION("GOOGLETRANSLATE($A632,""en"",""zh-cn"")"),"阿克林斯")</f>
        <v>阿克林斯</v>
      </c>
      <c r="H632" s="9" t="str">
        <f>IFERROR(__xludf.DUMMYFUNCTION("GOOGLETRANSLATE($A632,""en"",""ja"")"),"アクリンズ")</f>
        <v>アクリンズ</v>
      </c>
      <c r="I632" s="9" t="str">
        <f>IFERROR(__xludf.DUMMYFUNCTION("GOOGLETRANSLATE($A632,""en"",""ko"")"),"애클린스")</f>
        <v>애클린스</v>
      </c>
      <c r="J632" s="9" t="str">
        <f>IFERROR(__xludf.DUMMYFUNCTION("GOOGLETRANSLATE($A632,""en"",""pt-BR"")"),"Acklins")</f>
        <v>Acklins</v>
      </c>
    </row>
    <row r="633">
      <c r="A633" s="9" t="str">
        <f>IFERROR(__xludf.DUMMYFUNCTION("""COMPUTED_VALUE"""),"Exuma")</f>
        <v>Exuma</v>
      </c>
      <c r="B633" s="9" t="str">
        <f>IFERROR(__xludf.DUMMYFUNCTION("""COMPUTED_VALUE"""),"bs-ex")</f>
        <v>bs-ex</v>
      </c>
      <c r="C633" s="9" t="str">
        <f>IFERROR(__xludf.DUMMYFUNCTION("GOOGLETRANSLATE($A633,""en"",""de"")"),"Exuma")</f>
        <v>Exuma</v>
      </c>
      <c r="D633" s="9" t="str">
        <f>IFERROR(__xludf.DUMMYFUNCTION("GOOGLETRANSLATE($A633,""en"",""fr"")"),"Exuma")</f>
        <v>Exuma</v>
      </c>
      <c r="E633" s="9" t="str">
        <f>IFERROR(__xludf.DUMMYFUNCTION("GOOGLETRANSLATE($A633,""en"",""es"")"),"Exuma")</f>
        <v>Exuma</v>
      </c>
      <c r="F633" s="9" t="str">
        <f>IFERROR(__xludf.DUMMYFUNCTION("GOOGLETRANSLATE($A633,""en"",""it"")"),"Exuma")</f>
        <v>Exuma</v>
      </c>
      <c r="G633" s="9" t="str">
        <f>IFERROR(__xludf.DUMMYFUNCTION("GOOGLETRANSLATE($A633,""en"",""zh-cn"")"),"埃克苏马")</f>
        <v>埃克苏马</v>
      </c>
      <c r="H633" s="9" t="str">
        <f>IFERROR(__xludf.DUMMYFUNCTION("GOOGLETRANSLATE($A633,""en"",""ja"")"),"エグズマ")</f>
        <v>エグズマ</v>
      </c>
      <c r="I633" s="9" t="str">
        <f>IFERROR(__xludf.DUMMYFUNCTION("GOOGLETRANSLATE($A633,""en"",""ko"")"),"엑수마")</f>
        <v>엑수마</v>
      </c>
      <c r="J633" s="9" t="str">
        <f>IFERROR(__xludf.DUMMYFUNCTION("GOOGLETRANSLATE($A633,""en"",""pt-BR"")"),"Exuma")</f>
        <v>Exuma</v>
      </c>
    </row>
    <row r="634">
      <c r="A634" s="9" t="str">
        <f>IFERROR(__xludf.DUMMYFUNCTION("""COMPUTED_VALUE"""),"New Providence")</f>
        <v>New Providence</v>
      </c>
      <c r="B634" s="9" t="str">
        <f>IFERROR(__xludf.DUMMYFUNCTION("""COMPUTED_VALUE"""),"bs-np")</f>
        <v>bs-np</v>
      </c>
      <c r="C634" s="9" t="str">
        <f>IFERROR(__xludf.DUMMYFUNCTION("GOOGLETRANSLATE($A634,""en"",""de"")"),"Neue Vorsehung")</f>
        <v>Neue Vorsehung</v>
      </c>
      <c r="D634" s="9" t="str">
        <f>IFERROR(__xludf.DUMMYFUNCTION("GOOGLETRANSLATE($A634,""en"",""fr"")"),"Nouvelle Providence")</f>
        <v>Nouvelle Providence</v>
      </c>
      <c r="E634" s="9" t="str">
        <f>IFERROR(__xludf.DUMMYFUNCTION("GOOGLETRANSLATE($A634,""en"",""es"")"),"Nueva Providencia")</f>
        <v>Nueva Providencia</v>
      </c>
      <c r="F634" s="9" t="str">
        <f>IFERROR(__xludf.DUMMYFUNCTION("GOOGLETRANSLATE($A634,""en"",""it"")"),"Nuova Provvidenza")</f>
        <v>Nuova Provvidenza</v>
      </c>
      <c r="G634" s="9" t="str">
        <f>IFERROR(__xludf.DUMMYFUNCTION("GOOGLETRANSLATE($A634,""en"",""zh-cn"")"),"新普罗维登斯")</f>
        <v>新普罗维登斯</v>
      </c>
      <c r="H634" s="9" t="str">
        <f>IFERROR(__xludf.DUMMYFUNCTION("GOOGLETRANSLATE($A634,""en"",""ja"")"),"新しい摂理")</f>
        <v>新しい摂理</v>
      </c>
      <c r="I634" s="9" t="str">
        <f>IFERROR(__xludf.DUMMYFUNCTION("GOOGLETRANSLATE($A634,""en"",""ko"")"),"뉴프로비던스")</f>
        <v>뉴프로비던스</v>
      </c>
      <c r="J634" s="9" t="str">
        <f>IFERROR(__xludf.DUMMYFUNCTION("GOOGLETRANSLATE($A634,""en"",""pt-BR"")"),"Nova Providência")</f>
        <v>Nova Providência</v>
      </c>
    </row>
    <row r="635">
      <c r="A635" s="9" t="str">
        <f>IFERROR(__xludf.DUMMYFUNCTION("""COMPUTED_VALUE"""),"Ragged Island")</f>
        <v>Ragged Island</v>
      </c>
      <c r="B635" s="9" t="str">
        <f>IFERROR(__xludf.DUMMYFUNCTION("""COMPUTED_VALUE"""),"bs-ri")</f>
        <v>bs-ri</v>
      </c>
      <c r="C635" s="9" t="str">
        <f>IFERROR(__xludf.DUMMYFUNCTION("GOOGLETRANSLATE($A635,""en"",""de"")"),"Zerlumpte Insel")</f>
        <v>Zerlumpte Insel</v>
      </c>
      <c r="D635" s="9" t="str">
        <f>IFERROR(__xludf.DUMMYFUNCTION("GOOGLETRANSLATE($A635,""en"",""fr"")"),"Île déchiquetée")</f>
        <v>Île déchiquetée</v>
      </c>
      <c r="E635" s="9" t="str">
        <f>IFERROR(__xludf.DUMMYFUNCTION("GOOGLETRANSLATE($A635,""en"",""es"")"),"Isla andrajosa")</f>
        <v>Isla andrajosa</v>
      </c>
      <c r="F635" s="9" t="str">
        <f>IFERROR(__xludf.DUMMYFUNCTION("GOOGLETRANSLATE($A635,""en"",""it"")"),"Isola Ragged")</f>
        <v>Isola Ragged</v>
      </c>
      <c r="G635" s="9" t="str">
        <f>IFERROR(__xludf.DUMMYFUNCTION("GOOGLETRANSLATE($A635,""en"",""zh-cn"")"),"衣衫褴褛的岛")</f>
        <v>衣衫褴褛的岛</v>
      </c>
      <c r="H635" s="9" t="str">
        <f>IFERROR(__xludf.DUMMYFUNCTION("GOOGLETRANSLATE($A635,""en"",""ja"")"),"ラグドアイランド")</f>
        <v>ラグドアイランド</v>
      </c>
      <c r="I635" s="9" t="str">
        <f>IFERROR(__xludf.DUMMYFUNCTION("GOOGLETRANSLATE($A635,""en"",""ko"")"),"래기드 아일랜드")</f>
        <v>래기드 아일랜드</v>
      </c>
      <c r="J635" s="9" t="str">
        <f>IFERROR(__xludf.DUMMYFUNCTION("GOOGLETRANSLATE($A635,""en"",""pt-BR"")"),"Ilha Esfarrapada")</f>
        <v>Ilha Esfarrapada</v>
      </c>
    </row>
    <row r="636">
      <c r="A636" s="9" t="str">
        <f>IFERROR(__xludf.DUMMYFUNCTION("""COMPUTED_VALUE"""),"Ash Shamālīyah (BH)")</f>
        <v>Ash Shamālīyah (BH)</v>
      </c>
      <c r="B636" s="9" t="str">
        <f>IFERROR(__xludf.DUMMYFUNCTION("""COMPUTED_VALUE"""),"bh-17")</f>
        <v>bh-17</v>
      </c>
      <c r="C636" s="9" t="str">
        <f>IFERROR(__xludf.DUMMYFUNCTION("GOOGLETRANSLATE($A636,""en"",""de"")"),"Ash Shamālīyah (BH)")</f>
        <v>Ash Shamālīyah (BH)</v>
      </c>
      <c r="D636" s="9" t="str">
        <f>IFERROR(__xludf.DUMMYFUNCTION("GOOGLETRANSLATE($A636,""en"",""fr"")"),"Ash Shamaliyah (BH)")</f>
        <v>Ash Shamaliyah (BH)</v>
      </c>
      <c r="E636" s="9" t="str">
        <f>IFERROR(__xludf.DUMMYFUNCTION("GOOGLETRANSLATE($A636,""en"",""es"")"),"Ash Shamālīyah (BH)")</f>
        <v>Ash Shamālīyah (BH)</v>
      </c>
      <c r="F636" s="9" t="str">
        <f>IFERROR(__xludf.DUMMYFUNCTION("GOOGLETRANSLATE($A636,""en"",""it"")"),"Ash Shamaliyah (BH)")</f>
        <v>Ash Shamaliyah (BH)</v>
      </c>
      <c r="G636" s="9" t="str">
        <f>IFERROR(__xludf.DUMMYFUNCTION("GOOGLETRANSLATE($A636,""en"",""zh-cn"")"),"阿什·沙玛利亚 (BH)")</f>
        <v>阿什·沙玛利亚 (BH)</v>
      </c>
      <c r="H636" s="9" t="str">
        <f>IFERROR(__xludf.DUMMYFUNCTION("GOOGLETRANSLATE($A636,""en"",""ja"")"),"アッシュ・シャマーリーヤ (BH)")</f>
        <v>アッシュ・シャマーリーヤ (BH)</v>
      </c>
      <c r="I636" s="9" t="str">
        <f>IFERROR(__xludf.DUMMYFUNCTION("GOOGLETRANSLATE($A636,""en"",""ko"")"),"아시 샤말리야(BH)")</f>
        <v>아시 샤말리야(BH)</v>
      </c>
      <c r="J636" s="9" t="str">
        <f>IFERROR(__xludf.DUMMYFUNCTION("GOOGLETRANSLATE($A636,""en"",""pt-BR"")"),"Ash Shamaliyah (BH)")</f>
        <v>Ash Shamaliyah (BH)</v>
      </c>
    </row>
    <row r="637">
      <c r="A637" s="9" t="str">
        <f>IFERROR(__xludf.DUMMYFUNCTION("""COMPUTED_VALUE"""),"Al Janūbīyah")</f>
        <v>Al Janūbīyah</v>
      </c>
      <c r="B637" s="9" t="str">
        <f>IFERROR(__xludf.DUMMYFUNCTION("""COMPUTED_VALUE"""),"bh-14")</f>
        <v>bh-14</v>
      </c>
      <c r="C637" s="9" t="str">
        <f>IFERROR(__xludf.DUMMYFUNCTION("GOOGLETRANSLATE($A637,""en"",""de"")"),"Al Janūbīyah")</f>
        <v>Al Janūbīyah</v>
      </c>
      <c r="D637" s="9" t="str">
        <f>IFERROR(__xludf.DUMMYFUNCTION("GOOGLETRANSLATE($A637,""en"",""fr"")"),"Al Janubiyah")</f>
        <v>Al Janubiyah</v>
      </c>
      <c r="E637" s="9" t="str">
        <f>IFERROR(__xludf.DUMMYFUNCTION("GOOGLETRANSLATE($A637,""en"",""es"")"),"Al Janūbīyah")</f>
        <v>Al Janūbīyah</v>
      </c>
      <c r="F637" s="9" t="str">
        <f>IFERROR(__xludf.DUMMYFUNCTION("GOOGLETRANSLATE($A637,""en"",""it"")"),"Al Janūbīyah")</f>
        <v>Al Janūbīyah</v>
      </c>
      <c r="G637" s="9" t="str">
        <f>IFERROR(__xludf.DUMMYFUNCTION("GOOGLETRANSLATE($A637,""en"",""zh-cn"")"),"贾努比亚")</f>
        <v>贾努比亚</v>
      </c>
      <c r="H637" s="9" t="str">
        <f>IFERROR(__xludf.DUMMYFUNCTION("GOOGLETRANSLATE($A637,""en"",""ja"")"),"アル・ジャヌビーヤ")</f>
        <v>アル・ジャヌビーヤ</v>
      </c>
      <c r="I637" s="9" t="str">
        <f>IFERROR(__xludf.DUMMYFUNCTION("GOOGLETRANSLATE($A637,""en"",""ko"")"),"알 자누비야")</f>
        <v>알 자누비야</v>
      </c>
      <c r="J637" s="9" t="str">
        <f>IFERROR(__xludf.DUMMYFUNCTION("GOOGLETRANSLATE($A637,""en"",""pt-BR"")"),"Al Janūbīyah")</f>
        <v>Al Janūbīyah</v>
      </c>
    </row>
    <row r="638">
      <c r="A638" s="9" t="str">
        <f>IFERROR(__xludf.DUMMYFUNCTION("""COMPUTED_VALUE"""),"Al Manāmah (Al ‘Āşimah)")</f>
        <v>Al Manāmah (Al ‘Āşimah)</v>
      </c>
      <c r="B638" s="9" t="str">
        <f>IFERROR(__xludf.DUMMYFUNCTION("""COMPUTED_VALUE"""),"bh-13")</f>
        <v>bh-13</v>
      </c>
      <c r="C638" s="9" t="str">
        <f>IFERROR(__xludf.DUMMYFUNCTION("GOOGLETRANSLATE($A638,""en"",""de"")"),"Al Manāmah (Al 'Āşimah)")</f>
        <v>Al Manāmah (Al 'Āşimah)</v>
      </c>
      <c r="D638" s="9" t="str">
        <f>IFERROR(__xludf.DUMMYFUNCTION("GOOGLETRANSLATE($A638,""en"",""fr"")"),"Al Manāmah (Al 'Āşimah)")</f>
        <v>Al Manāmah (Al 'Āşimah)</v>
      </c>
      <c r="E638" s="9" t="str">
        <f>IFERROR(__xludf.DUMMYFUNCTION("GOOGLETRANSLATE($A638,""en"",""es"")"),"Al Manāmah (Al ‘Āşimah)")</f>
        <v>Al Manāmah (Al ‘Āşimah)</v>
      </c>
      <c r="F638" s="9" t="str">
        <f>IFERROR(__xludf.DUMMYFUNCTION("GOOGLETRANSLATE($A638,""en"",""it"")"),"Al Manāmah (Al 'Āşimah)")</f>
        <v>Al Manāmah (Al 'Āşimah)</v>
      </c>
      <c r="G638" s="9" t="str">
        <f>IFERROR(__xludf.DUMMYFUNCTION("GOOGLETRANSLATE($A638,""en"",""zh-cn"")"),"麦纳玛 (Al ‘Āşimah)")</f>
        <v>麦纳玛 (Al ‘Āşimah)</v>
      </c>
      <c r="H638" s="9" t="str">
        <f>IFERROR(__xludf.DUMMYFUNCTION("GOOGLETRANSLATE($A638,""en"",""ja"")"),"アル マナーマ (アル アシーマ)")</f>
        <v>アル マナーマ (アル アシーマ)</v>
      </c>
      <c r="I638" s="9" t="str">
        <f>IFERROR(__xludf.DUMMYFUNCTION("GOOGLETRANSLATE($A638,""en"",""ko"")"),"알 마나마(Al 'Āşimah)")</f>
        <v>알 마나마(Al 'Āşimah)</v>
      </c>
      <c r="J638" s="9" t="str">
        <f>IFERROR(__xludf.DUMMYFUNCTION("GOOGLETRANSLATE($A638,""en"",""pt-BR"")"),"Al Manāmah (Al ‘Āşimah)")</f>
        <v>Al Manāmah (Al ‘Āşimah)</v>
      </c>
    </row>
    <row r="639">
      <c r="A639" s="9" t="str">
        <f>IFERROR(__xludf.DUMMYFUNCTION("""COMPUTED_VALUE"""),"Al Muḩarraq")</f>
        <v>Al Muḩarraq</v>
      </c>
      <c r="B639" s="9" t="str">
        <f>IFERROR(__xludf.DUMMYFUNCTION("""COMPUTED_VALUE"""),"bh-15")</f>
        <v>bh-15</v>
      </c>
      <c r="C639" s="9" t="str">
        <f>IFERROR(__xludf.DUMMYFUNCTION("GOOGLETRANSLATE($A639,""en"",""de"")"),"Al Muḩarraq")</f>
        <v>Al Muḩarraq</v>
      </c>
      <c r="D639" s="9" t="str">
        <f>IFERROR(__xludf.DUMMYFUNCTION("GOOGLETRANSLATE($A639,""en"",""fr"")"),"Al Muḩarraq")</f>
        <v>Al Muḩarraq</v>
      </c>
      <c r="E639" s="9" t="str">
        <f>IFERROR(__xludf.DUMMYFUNCTION("GOOGLETRANSLATE($A639,""en"",""es"")"),"Al Muḩarraq")</f>
        <v>Al Muḩarraq</v>
      </c>
      <c r="F639" s="9" t="str">
        <f>IFERROR(__xludf.DUMMYFUNCTION("GOOGLETRANSLATE($A639,""en"",""it"")"),"Al Muḩarraq")</f>
        <v>Al Muḩarraq</v>
      </c>
      <c r="G639" s="9" t="str">
        <f>IFERROR(__xludf.DUMMYFUNCTION("GOOGLETRANSLATE($A639,""en"",""zh-cn"")"),"穆哈拉格")</f>
        <v>穆哈拉格</v>
      </c>
      <c r="H639" s="9" t="str">
        <f>IFERROR(__xludf.DUMMYFUNCTION("GOOGLETRANSLATE($A639,""en"",""ja"")"),"アル・ムアッラク")</f>
        <v>アル・ムアッラク</v>
      </c>
      <c r="I639" s="9" t="str">
        <f>IFERROR(__xludf.DUMMYFUNCTION("GOOGLETRANSLATE($A639,""en"",""ko"")"),"알 무하라크")</f>
        <v>알 무하라크</v>
      </c>
      <c r="J639" s="9" t="str">
        <f>IFERROR(__xludf.DUMMYFUNCTION("GOOGLETRANSLATE($A639,""en"",""pt-BR"")"),"Al Muharraq")</f>
        <v>Al Muharraq</v>
      </c>
    </row>
    <row r="640">
      <c r="A640" s="9" t="str">
        <f>IFERROR(__xludf.DUMMYFUNCTION("""COMPUTED_VALUE"""),"Al Wusţá (BH)")</f>
        <v>Al Wusţá (BH)</v>
      </c>
      <c r="B640" s="9" t="str">
        <f>IFERROR(__xludf.DUMMYFUNCTION("""COMPUTED_VALUE"""),"bh-16")</f>
        <v>bh-16</v>
      </c>
      <c r="C640" s="9" t="str">
        <f>IFERROR(__xludf.DUMMYFUNCTION("GOOGLETRANSLATE($A640,""en"",""de"")"),"Al Wusţá (BH)")</f>
        <v>Al Wusţá (BH)</v>
      </c>
      <c r="D640" s="9" t="str">
        <f>IFERROR(__xludf.DUMMYFUNCTION("GOOGLETRANSLATE($A640,""en"",""fr"")"),"Al Wusţá (BH)")</f>
        <v>Al Wusţá (BH)</v>
      </c>
      <c r="E640" s="9" t="str">
        <f>IFERROR(__xludf.DUMMYFUNCTION("GOOGLETRANSLATE($A640,""en"",""es"")"),"Al Wusţá (BH)")</f>
        <v>Al Wusţá (BH)</v>
      </c>
      <c r="F640" s="9" t="str">
        <f>IFERROR(__xludf.DUMMYFUNCTION("GOOGLETRANSLATE($A640,""en"",""it"")"),"Al Wustá (BH)")</f>
        <v>Al Wustá (BH)</v>
      </c>
      <c r="G640" s="9" t="str">
        <f>IFERROR(__xludf.DUMMYFUNCTION("GOOGLETRANSLATE($A640,""en"",""zh-cn"")"),"阿尔乌萨 (BH)")</f>
        <v>阿尔乌萨 (BH)</v>
      </c>
      <c r="H640" s="9" t="str">
        <f>IFERROR(__xludf.DUMMYFUNCTION("GOOGLETRANSLATE($A640,""en"",""ja"")"),"アル・ウシャ (BH)")</f>
        <v>アル・ウシャ (BH)</v>
      </c>
      <c r="I640" s="9" t="str">
        <f>IFERROR(__xludf.DUMMYFUNCTION("GOOGLETRANSLATE($A640,""en"",""ko"")"),"알 우자(BH)")</f>
        <v>알 우자(BH)</v>
      </c>
      <c r="J640" s="9" t="str">
        <f>IFERROR(__xludf.DUMMYFUNCTION("GOOGLETRANSLATE($A640,""en"",""pt-BR"")"),"Al Wusţá (BH)")</f>
        <v>Al Wusţá (BH)</v>
      </c>
    </row>
    <row r="641">
      <c r="A641" s="9" t="str">
        <f>IFERROR(__xludf.DUMMYFUNCTION("""COMPUTED_VALUE"""),"Lalmonirhat")</f>
        <v>Lalmonirhat</v>
      </c>
      <c r="B641" s="9" t="str">
        <f>IFERROR(__xludf.DUMMYFUNCTION("""COMPUTED_VALUE"""),"bd-32")</f>
        <v>bd-32</v>
      </c>
      <c r="C641" s="9" t="str">
        <f>IFERROR(__xludf.DUMMYFUNCTION("GOOGLETRANSLATE($A641,""en"",""de"")"),"Lalmonirhat")</f>
        <v>Lalmonirhat</v>
      </c>
      <c r="D641" s="9" t="str">
        <f>IFERROR(__xludf.DUMMYFUNCTION("GOOGLETRANSLATE($A641,""en"",""fr"")"),"Lalmonirhat")</f>
        <v>Lalmonirhat</v>
      </c>
      <c r="E641" s="9" t="str">
        <f>IFERROR(__xludf.DUMMYFUNCTION("GOOGLETRANSLATE($A641,""en"",""es"")"),"Lalmonirhat")</f>
        <v>Lalmonirhat</v>
      </c>
      <c r="F641" s="9" t="str">
        <f>IFERROR(__xludf.DUMMYFUNCTION("GOOGLETRANSLATE($A641,""en"",""it"")"),"Lalmonirhat")</f>
        <v>Lalmonirhat</v>
      </c>
      <c r="G641" s="9" t="str">
        <f>IFERROR(__xludf.DUMMYFUNCTION("GOOGLETRANSLATE($A641,""en"",""zh-cn"")"),"拉莫尼尔哈特")</f>
        <v>拉莫尼尔哈特</v>
      </c>
      <c r="H641" s="9" t="str">
        <f>IFERROR(__xludf.DUMMYFUNCTION("GOOGLETRANSLATE($A641,""en"",""ja"")"),"ラルモニルハット")</f>
        <v>ラルモニルハット</v>
      </c>
      <c r="I641" s="9" t="str">
        <f>IFERROR(__xludf.DUMMYFUNCTION("GOOGLETRANSLATE($A641,""en"",""ko"")"),"랄모니르핫")</f>
        <v>랄모니르핫</v>
      </c>
      <c r="J641" s="9" t="str">
        <f>IFERROR(__xludf.DUMMYFUNCTION("GOOGLETRANSLATE($A641,""en"",""pt-BR"")"),"Lalmonirhat")</f>
        <v>Lalmonirhat</v>
      </c>
    </row>
    <row r="642">
      <c r="A642" s="9" t="str">
        <f>IFERROR(__xludf.DUMMYFUNCTION("""COMPUTED_VALUE"""),"Manikganj")</f>
        <v>Manikganj</v>
      </c>
      <c r="B642" s="9" t="str">
        <f>IFERROR(__xludf.DUMMYFUNCTION("""COMPUTED_VALUE"""),"bd-33")</f>
        <v>bd-33</v>
      </c>
      <c r="C642" s="9" t="str">
        <f>IFERROR(__xludf.DUMMYFUNCTION("GOOGLETRANSLATE($A642,""en"",""de"")"),"Manikganj")</f>
        <v>Manikganj</v>
      </c>
      <c r="D642" s="9" t="str">
        <f>IFERROR(__xludf.DUMMYFUNCTION("GOOGLETRANSLATE($A642,""en"",""fr"")"),"Manikganj")</f>
        <v>Manikganj</v>
      </c>
      <c r="E642" s="9" t="str">
        <f>IFERROR(__xludf.DUMMYFUNCTION("GOOGLETRANSLATE($A642,""en"",""es"")"),"Manikganj")</f>
        <v>Manikganj</v>
      </c>
      <c r="F642" s="9" t="str">
        <f>IFERROR(__xludf.DUMMYFUNCTION("GOOGLETRANSLATE($A642,""en"",""it"")"),"Manikganj")</f>
        <v>Manikganj</v>
      </c>
      <c r="G642" s="9" t="str">
        <f>IFERROR(__xludf.DUMMYFUNCTION("GOOGLETRANSLATE($A642,""en"",""zh-cn"")"),"马尼克甘杰")</f>
        <v>马尼克甘杰</v>
      </c>
      <c r="H642" s="9" t="str">
        <f>IFERROR(__xludf.DUMMYFUNCTION("GOOGLETRANSLATE($A642,""en"",""ja"")"),"マニクガンジ")</f>
        <v>マニクガンジ</v>
      </c>
      <c r="I642" s="9" t="str">
        <f>IFERROR(__xludf.DUMMYFUNCTION("GOOGLETRANSLATE($A642,""en"",""ko"")"),"마니간지")</f>
        <v>마니간지</v>
      </c>
      <c r="J642" s="9" t="str">
        <f>IFERROR(__xludf.DUMMYFUNCTION("GOOGLETRANSLATE($A642,""en"",""pt-BR"")"),"Manikganj")</f>
        <v>Manikganj</v>
      </c>
    </row>
    <row r="643">
      <c r="A643" s="9" t="str">
        <f>IFERROR(__xludf.DUMMYFUNCTION("""COMPUTED_VALUE"""),"Munshiganj")</f>
        <v>Munshiganj</v>
      </c>
      <c r="B643" s="9" t="str">
        <f>IFERROR(__xludf.DUMMYFUNCTION("""COMPUTED_VALUE"""),"bd-35")</f>
        <v>bd-35</v>
      </c>
      <c r="C643" s="9" t="str">
        <f>IFERROR(__xludf.DUMMYFUNCTION("GOOGLETRANSLATE($A643,""en"",""de"")"),"Munshiganj")</f>
        <v>Munshiganj</v>
      </c>
      <c r="D643" s="9" t="str">
        <f>IFERROR(__xludf.DUMMYFUNCTION("GOOGLETRANSLATE($A643,""en"",""fr"")"),"Munshiganj")</f>
        <v>Munshiganj</v>
      </c>
      <c r="E643" s="9" t="str">
        <f>IFERROR(__xludf.DUMMYFUNCTION("GOOGLETRANSLATE($A643,""en"",""es"")"),"Munshiganj")</f>
        <v>Munshiganj</v>
      </c>
      <c r="F643" s="9" t="str">
        <f>IFERROR(__xludf.DUMMYFUNCTION("GOOGLETRANSLATE($A643,""en"",""it"")"),"Munshiganj")</f>
        <v>Munshiganj</v>
      </c>
      <c r="G643" s="9" t="str">
        <f>IFERROR(__xludf.DUMMYFUNCTION("GOOGLETRANSLATE($A643,""en"",""zh-cn"")"),"蒙希甘杰")</f>
        <v>蒙希甘杰</v>
      </c>
      <c r="H643" s="9" t="str">
        <f>IFERROR(__xludf.DUMMYFUNCTION("GOOGLETRANSLATE($A643,""en"",""ja"")"),"ムンシガンジ")</f>
        <v>ムンシガンジ</v>
      </c>
      <c r="I643" s="9" t="str">
        <f>IFERROR(__xludf.DUMMYFUNCTION("GOOGLETRANSLATE($A643,""en"",""ko"")"),"문시간즈")</f>
        <v>문시간즈</v>
      </c>
      <c r="J643" s="9" t="str">
        <f>IFERROR(__xludf.DUMMYFUNCTION("GOOGLETRANSLATE($A643,""en"",""pt-BR"")"),"Munshiganj")</f>
        <v>Munshiganj</v>
      </c>
    </row>
    <row r="644">
      <c r="A644" s="9" t="str">
        <f>IFERROR(__xludf.DUMMYFUNCTION("""COMPUTED_VALUE"""),"Meherpur")</f>
        <v>Meherpur</v>
      </c>
      <c r="B644" s="9" t="str">
        <f>IFERROR(__xludf.DUMMYFUNCTION("""COMPUTED_VALUE"""),"bd-39")</f>
        <v>bd-39</v>
      </c>
      <c r="C644" s="9" t="str">
        <f>IFERROR(__xludf.DUMMYFUNCTION("GOOGLETRANSLATE($A644,""en"",""de"")"),"Meherpur")</f>
        <v>Meherpur</v>
      </c>
      <c r="D644" s="9" t="str">
        <f>IFERROR(__xludf.DUMMYFUNCTION("GOOGLETRANSLATE($A644,""en"",""fr"")"),"Meherpur")</f>
        <v>Meherpur</v>
      </c>
      <c r="E644" s="9" t="str">
        <f>IFERROR(__xludf.DUMMYFUNCTION("GOOGLETRANSLATE($A644,""en"",""es"")"),"Meherpur")</f>
        <v>Meherpur</v>
      </c>
      <c r="F644" s="9" t="str">
        <f>IFERROR(__xludf.DUMMYFUNCTION("GOOGLETRANSLATE($A644,""en"",""it"")"),"Meherpur")</f>
        <v>Meherpur</v>
      </c>
      <c r="G644" s="9" t="str">
        <f>IFERROR(__xludf.DUMMYFUNCTION("GOOGLETRANSLATE($A644,""en"",""zh-cn"")"),"梅赫布尔")</f>
        <v>梅赫布尔</v>
      </c>
      <c r="H644" s="9" t="str">
        <f>IFERROR(__xludf.DUMMYFUNCTION("GOOGLETRANSLATE($A644,""en"",""ja"")"),"メヘルプール")</f>
        <v>メヘルプール</v>
      </c>
      <c r="I644" s="9" t="str">
        <f>IFERROR(__xludf.DUMMYFUNCTION("GOOGLETRANSLATE($A644,""en"",""ko"")"),"메허푸르")</f>
        <v>메허푸르</v>
      </c>
      <c r="J644" s="9" t="str">
        <f>IFERROR(__xludf.DUMMYFUNCTION("GOOGLETRANSLATE($A644,""en"",""pt-BR"")"),"Meherpur")</f>
        <v>Meherpur</v>
      </c>
    </row>
    <row r="645">
      <c r="A645" s="9" t="str">
        <f>IFERROR(__xludf.DUMMYFUNCTION("""COMPUTED_VALUE"""),"Dhaka (District)")</f>
        <v>Dhaka (District)</v>
      </c>
      <c r="B645" s="9" t="str">
        <f>IFERROR(__xludf.DUMMYFUNCTION("""COMPUTED_VALUE"""),"bd-13")</f>
        <v>bd-13</v>
      </c>
      <c r="C645" s="9" t="str">
        <f>IFERROR(__xludf.DUMMYFUNCTION("GOOGLETRANSLATE($A645,""en"",""de"")"),"Dhaka (Bezirk)")</f>
        <v>Dhaka (Bezirk)</v>
      </c>
      <c r="D645" s="9" t="str">
        <f>IFERROR(__xludf.DUMMYFUNCTION("GOOGLETRANSLATE($A645,""en"",""fr"")"),"Dacca (district)")</f>
        <v>Dacca (district)</v>
      </c>
      <c r="E645" s="9" t="str">
        <f>IFERROR(__xludf.DUMMYFUNCTION("GOOGLETRANSLATE($A645,""en"",""es"")"),"Daca (distrito)")</f>
        <v>Daca (distrito)</v>
      </c>
      <c r="F645" s="9" t="str">
        <f>IFERROR(__xludf.DUMMYFUNCTION("GOOGLETRANSLATE($A645,""en"",""it"")"),"Dacca (distretto)")</f>
        <v>Dacca (distretto)</v>
      </c>
      <c r="G645" s="9" t="str">
        <f>IFERROR(__xludf.DUMMYFUNCTION("GOOGLETRANSLATE($A645,""en"",""zh-cn"")"),"达卡（区）")</f>
        <v>达卡（区）</v>
      </c>
      <c r="H645" s="9" t="str">
        <f>IFERROR(__xludf.DUMMYFUNCTION("GOOGLETRANSLATE($A645,""en"",""ja"")"),"ダッカ (地区)")</f>
        <v>ダッカ (地区)</v>
      </c>
      <c r="I645" s="9" t="str">
        <f>IFERROR(__xludf.DUMMYFUNCTION("GOOGLETRANSLATE($A645,""en"",""ko"")"),"다카(지구)")</f>
        <v>다카(지구)</v>
      </c>
      <c r="J645" s="9" t="str">
        <f>IFERROR(__xludf.DUMMYFUNCTION("GOOGLETRANSLATE($A645,""en"",""pt-BR"")"),"Daca (distrito)")</f>
        <v>Daca (distrito)</v>
      </c>
    </row>
    <row r="646">
      <c r="A646" s="9" t="str">
        <f>IFERROR(__xludf.DUMMYFUNCTION("""COMPUTED_VALUE"""),"Nawabganj")</f>
        <v>Nawabganj</v>
      </c>
      <c r="B646" s="9" t="str">
        <f>IFERROR(__xludf.DUMMYFUNCTION("""COMPUTED_VALUE"""),"bd-45")</f>
        <v>bd-45</v>
      </c>
      <c r="C646" s="9" t="str">
        <f>IFERROR(__xludf.DUMMYFUNCTION("GOOGLETRANSLATE($A646,""en"",""de"")"),"Nawabganj")</f>
        <v>Nawabganj</v>
      </c>
      <c r="D646" s="9" t="str">
        <f>IFERROR(__xludf.DUMMYFUNCTION("GOOGLETRANSLATE($A646,""en"",""fr"")"),"Nawabganj")</f>
        <v>Nawabganj</v>
      </c>
      <c r="E646" s="9" t="str">
        <f>IFERROR(__xludf.DUMMYFUNCTION("GOOGLETRANSLATE($A646,""en"",""es"")"),"Nawabganj")</f>
        <v>Nawabganj</v>
      </c>
      <c r="F646" s="9" t="str">
        <f>IFERROR(__xludf.DUMMYFUNCTION("GOOGLETRANSLATE($A646,""en"",""it"")"),"Nawabganj")</f>
        <v>Nawabganj</v>
      </c>
      <c r="G646" s="9" t="str">
        <f>IFERROR(__xludf.DUMMYFUNCTION("GOOGLETRANSLATE($A646,""en"",""zh-cn"")"),"纳瓦布甘吉")</f>
        <v>纳瓦布甘吉</v>
      </c>
      <c r="H646" s="9" t="str">
        <f>IFERROR(__xludf.DUMMYFUNCTION("GOOGLETRANSLATE($A646,""en"",""ja"")"),"ナワブガンジ")</f>
        <v>ナワブガンジ</v>
      </c>
      <c r="I646" s="9" t="str">
        <f>IFERROR(__xludf.DUMMYFUNCTION("GOOGLETRANSLATE($A646,""en"",""ko"")"),"나와브간지")</f>
        <v>나와브간지</v>
      </c>
      <c r="J646" s="9" t="str">
        <f>IFERROR(__xludf.DUMMYFUNCTION("GOOGLETRANSLATE($A646,""en"",""pt-BR"")"),"Nawabganj")</f>
        <v>Nawabganj</v>
      </c>
    </row>
    <row r="647">
      <c r="A647" s="9" t="str">
        <f>IFERROR(__xludf.DUMMYFUNCTION("""COMPUTED_VALUE"""),"Sylhet (District)")</f>
        <v>Sylhet (District)</v>
      </c>
      <c r="B647" s="9" t="str">
        <f>IFERROR(__xludf.DUMMYFUNCTION("""COMPUTED_VALUE"""),"bd-60")</f>
        <v>bd-60</v>
      </c>
      <c r="C647" s="9" t="str">
        <f>IFERROR(__xludf.DUMMYFUNCTION("GOOGLETRANSLATE($A647,""en"",""de"")"),"Sylhet (Bezirk)")</f>
        <v>Sylhet (Bezirk)</v>
      </c>
      <c r="D647" s="9" t="str">
        <f>IFERROR(__xludf.DUMMYFUNCTION("GOOGLETRANSLATE($A647,""en"",""fr"")"),"Sylhet (district)")</f>
        <v>Sylhet (district)</v>
      </c>
      <c r="E647" s="9" t="str">
        <f>IFERROR(__xludf.DUMMYFUNCTION("GOOGLETRANSLATE($A647,""en"",""es"")"),"Sylhet (distrito)")</f>
        <v>Sylhet (distrito)</v>
      </c>
      <c r="F647" s="9" t="str">
        <f>IFERROR(__xludf.DUMMYFUNCTION("GOOGLETRANSLATE($A647,""en"",""it"")"),"Sylhet (Distretto)")</f>
        <v>Sylhet (Distretto)</v>
      </c>
      <c r="G647" s="9" t="str">
        <f>IFERROR(__xludf.DUMMYFUNCTION("GOOGLETRANSLATE($A647,""en"",""zh-cn"")"),"锡尔赫特（区）")</f>
        <v>锡尔赫特（区）</v>
      </c>
      <c r="H647" s="9" t="str">
        <f>IFERROR(__xludf.DUMMYFUNCTION("GOOGLETRANSLATE($A647,""en"",""ja"")"),"シレット (地区)")</f>
        <v>シレット (地区)</v>
      </c>
      <c r="I647" s="9" t="str">
        <f>IFERROR(__xludf.DUMMYFUNCTION("GOOGLETRANSLATE($A647,""en"",""ko"")"),"실헤트(지구)")</f>
        <v>실헤트(지구)</v>
      </c>
      <c r="J647" s="9" t="str">
        <f>IFERROR(__xludf.DUMMYFUNCTION("GOOGLETRANSLATE($A647,""en"",""pt-BR"")"),"Sylhet (distrito)")</f>
        <v>Sylhet (distrito)</v>
      </c>
    </row>
    <row r="648">
      <c r="A648" s="9" t="str">
        <f>IFERROR(__xludf.DUMMYFUNCTION("""COMPUTED_VALUE"""),"Rangpur (Division)")</f>
        <v>Rangpur (Division)</v>
      </c>
      <c r="B648" s="9" t="str">
        <f>IFERROR(__xludf.DUMMYFUNCTION("""COMPUTED_VALUE"""),"bd-f")</f>
        <v>bd-f</v>
      </c>
      <c r="C648" s="9" t="str">
        <f>IFERROR(__xludf.DUMMYFUNCTION("GOOGLETRANSLATE($A648,""en"",""de"")"),"Rangpur (Abteilung)")</f>
        <v>Rangpur (Abteilung)</v>
      </c>
      <c r="D648" s="9" t="str">
        <f>IFERROR(__xludf.DUMMYFUNCTION("GOOGLETRANSLATE($A648,""en"",""fr"")"),"Rangpur (Division)")</f>
        <v>Rangpur (Division)</v>
      </c>
      <c r="E648" s="9" t="str">
        <f>IFERROR(__xludf.DUMMYFUNCTION("GOOGLETRANSLATE($A648,""en"",""es"")"),"Rangpur (División)")</f>
        <v>Rangpur (División)</v>
      </c>
      <c r="F648" s="9" t="str">
        <f>IFERROR(__xludf.DUMMYFUNCTION("GOOGLETRANSLATE($A648,""en"",""it"")"),"Rangpur (Divisione)")</f>
        <v>Rangpur (Divisione)</v>
      </c>
      <c r="G648" s="9" t="str">
        <f>IFERROR(__xludf.DUMMYFUNCTION("GOOGLETRANSLATE($A648,""en"",""zh-cn"")"),"朗布尔（师）")</f>
        <v>朗布尔（师）</v>
      </c>
      <c r="H648" s="9" t="str">
        <f>IFERROR(__xludf.DUMMYFUNCTION("GOOGLETRANSLATE($A648,""en"",""ja"")"),"ランプル (師団)")</f>
        <v>ランプル (師団)</v>
      </c>
      <c r="I648" s="9" t="str">
        <f>IFERROR(__xludf.DUMMYFUNCTION("GOOGLETRANSLATE($A648,""en"",""ko"")"),"랑푸르(디비전)")</f>
        <v>랑푸르(디비전)</v>
      </c>
      <c r="J648" s="9" t="str">
        <f>IFERROR(__xludf.DUMMYFUNCTION("GOOGLETRANSLATE($A648,""en"",""pt-BR"")"),"Cravo (Divisão)")</f>
        <v>Cravo (Divisão)</v>
      </c>
    </row>
    <row r="649">
      <c r="A649" s="9" t="str">
        <f>IFERROR(__xludf.DUMMYFUNCTION("""COMPUTED_VALUE"""),"Kurigram")</f>
        <v>Kurigram</v>
      </c>
      <c r="B649" s="9" t="str">
        <f>IFERROR(__xludf.DUMMYFUNCTION("""COMPUTED_VALUE"""),"bd-28")</f>
        <v>bd-28</v>
      </c>
      <c r="C649" s="9" t="str">
        <f>IFERROR(__xludf.DUMMYFUNCTION("GOOGLETRANSLATE($A649,""en"",""de"")"),"Kurigramm")</f>
        <v>Kurigramm</v>
      </c>
      <c r="D649" s="9" t="str">
        <f>IFERROR(__xludf.DUMMYFUNCTION("GOOGLETRANSLATE($A649,""en"",""fr"")"),"Kurigramme")</f>
        <v>Kurigramme</v>
      </c>
      <c r="E649" s="9" t="str">
        <f>IFERROR(__xludf.DUMMYFUNCTION("GOOGLETRANSLATE($A649,""en"",""es"")"),"kurigrama")</f>
        <v>kurigrama</v>
      </c>
      <c r="F649" s="9" t="str">
        <f>IFERROR(__xludf.DUMMYFUNCTION("GOOGLETRANSLATE($A649,""en"",""it"")"),"Kurigram")</f>
        <v>Kurigram</v>
      </c>
      <c r="G649" s="9" t="str">
        <f>IFERROR(__xludf.DUMMYFUNCTION("GOOGLETRANSLATE($A649,""en"",""zh-cn"")"),"库里格拉姆")</f>
        <v>库里格拉姆</v>
      </c>
      <c r="H649" s="9" t="str">
        <f>IFERROR(__xludf.DUMMYFUNCTION("GOOGLETRANSLATE($A649,""en"",""ja"")"),"クリグラム")</f>
        <v>クリグラム</v>
      </c>
      <c r="I649" s="9" t="str">
        <f>IFERROR(__xludf.DUMMYFUNCTION("GOOGLETRANSLATE($A649,""en"",""ko"")"),"쿠리그람")</f>
        <v>쿠리그람</v>
      </c>
      <c r="J649" s="9" t="str">
        <f>IFERROR(__xludf.DUMMYFUNCTION("GOOGLETRANSLATE($A649,""en"",""pt-BR"")"),"Kurigram")</f>
        <v>Kurigram</v>
      </c>
    </row>
    <row r="650">
      <c r="A650" s="9" t="str">
        <f>IFERROR(__xludf.DUMMYFUNCTION("""COMPUTED_VALUE"""),"Natore")</f>
        <v>Natore</v>
      </c>
      <c r="B650" s="9" t="str">
        <f>IFERROR(__xludf.DUMMYFUNCTION("""COMPUTED_VALUE"""),"bd-44")</f>
        <v>bd-44</v>
      </c>
      <c r="C650" s="9" t="str">
        <f>IFERROR(__xludf.DUMMYFUNCTION("GOOGLETRANSLATE($A650,""en"",""de"")"),"Natore")</f>
        <v>Natore</v>
      </c>
      <c r="D650" s="9" t="str">
        <f>IFERROR(__xludf.DUMMYFUNCTION("GOOGLETRANSLATE($A650,""en"",""fr"")"),"Natore")</f>
        <v>Natore</v>
      </c>
      <c r="E650" s="9" t="str">
        <f>IFERROR(__xludf.DUMMYFUNCTION("GOOGLETRANSLATE($A650,""en"",""es"")"),"nator")</f>
        <v>nator</v>
      </c>
      <c r="F650" s="9" t="str">
        <f>IFERROR(__xludf.DUMMYFUNCTION("GOOGLETRANSLATE($A650,""en"",""it"")"),"Natore")</f>
        <v>Natore</v>
      </c>
      <c r="G650" s="9" t="str">
        <f>IFERROR(__xludf.DUMMYFUNCTION("GOOGLETRANSLATE($A650,""en"",""zh-cn"")"),"纳托雷")</f>
        <v>纳托雷</v>
      </c>
      <c r="H650" s="9" t="str">
        <f>IFERROR(__xludf.DUMMYFUNCTION("GOOGLETRANSLATE($A650,""en"",""ja"")"),"ナトーレ")</f>
        <v>ナトーレ</v>
      </c>
      <c r="I650" s="9" t="str">
        <f>IFERROR(__xludf.DUMMYFUNCTION("GOOGLETRANSLATE($A650,""en"",""ko"")"),"나토르")</f>
        <v>나토르</v>
      </c>
      <c r="J650" s="9" t="str">
        <f>IFERROR(__xludf.DUMMYFUNCTION("GOOGLETRANSLATE($A650,""en"",""pt-BR"")"),"Natoré")</f>
        <v>Natoré</v>
      </c>
    </row>
    <row r="651">
      <c r="A651" s="9" t="str">
        <f>IFERROR(__xludf.DUMMYFUNCTION("""COMPUTED_VALUE"""),"Jhenaidah")</f>
        <v>Jhenaidah</v>
      </c>
      <c r="B651" s="9" t="str">
        <f>IFERROR(__xludf.DUMMYFUNCTION("""COMPUTED_VALUE"""),"bd-23")</f>
        <v>bd-23</v>
      </c>
      <c r="C651" s="9" t="str">
        <f>IFERROR(__xludf.DUMMYFUNCTION("GOOGLETRANSLATE($A651,""en"",""de"")"),"Jhenaidah")</f>
        <v>Jhenaidah</v>
      </c>
      <c r="D651" s="9" t="str">
        <f>IFERROR(__xludf.DUMMYFUNCTION("GOOGLETRANSLATE($A651,""en"",""fr"")"),"Jhenaïdah")</f>
        <v>Jhenaïdah</v>
      </c>
      <c r="E651" s="9" t="str">
        <f>IFERROR(__xludf.DUMMYFUNCTION("GOOGLETRANSLATE($A651,""en"",""es"")"),"Jhenaidah")</f>
        <v>Jhenaidah</v>
      </c>
      <c r="F651" s="9" t="str">
        <f>IFERROR(__xludf.DUMMYFUNCTION("GOOGLETRANSLATE($A651,""en"",""it"")"),"Jhenaidah")</f>
        <v>Jhenaidah</v>
      </c>
      <c r="G651" s="9" t="str">
        <f>IFERROR(__xludf.DUMMYFUNCTION("GOOGLETRANSLATE($A651,""en"",""zh-cn"")"),"杰奈达")</f>
        <v>杰奈达</v>
      </c>
      <c r="H651" s="9" t="str">
        <f>IFERROR(__xludf.DUMMYFUNCTION("GOOGLETRANSLATE($A651,""en"",""ja"")"),"ジェナイダ")</f>
        <v>ジェナイダ</v>
      </c>
      <c r="I651" s="9" t="str">
        <f>IFERROR(__xludf.DUMMYFUNCTION("GOOGLETRANSLATE($A651,""en"",""ko"")"),"제나이다")</f>
        <v>제나이다</v>
      </c>
      <c r="J651" s="9" t="str">
        <f>IFERROR(__xludf.DUMMYFUNCTION("GOOGLETRANSLATE($A651,""en"",""pt-BR"")"),"Jhenaidah")</f>
        <v>Jhenaidah</v>
      </c>
    </row>
    <row r="652">
      <c r="A652" s="9" t="str">
        <f>IFERROR(__xludf.DUMMYFUNCTION("""COMPUTED_VALUE"""),"Bagerhat")</f>
        <v>Bagerhat</v>
      </c>
      <c r="B652" s="9" t="str">
        <f>IFERROR(__xludf.DUMMYFUNCTION("""COMPUTED_VALUE"""),"bd-05")</f>
        <v>bd-05</v>
      </c>
      <c r="C652" s="9" t="str">
        <f>IFERROR(__xludf.DUMMYFUNCTION("GOOGLETRANSLATE($A652,""en"",""de"")"),"Bagerhat")</f>
        <v>Bagerhat</v>
      </c>
      <c r="D652" s="9" t="str">
        <f>IFERROR(__xludf.DUMMYFUNCTION("GOOGLETRANSLATE($A652,""en"",""fr"")"),"Chapeau bager")</f>
        <v>Chapeau bager</v>
      </c>
      <c r="E652" s="9" t="str">
        <f>IFERROR(__xludf.DUMMYFUNCTION("GOOGLETRANSLATE($A652,""en"",""es"")"),"Bagerhat")</f>
        <v>Bagerhat</v>
      </c>
      <c r="F652" s="9" t="str">
        <f>IFERROR(__xludf.DUMMYFUNCTION("GOOGLETRANSLATE($A652,""en"",""it"")"),"Bagerhat")</f>
        <v>Bagerhat</v>
      </c>
      <c r="G652" s="9" t="str">
        <f>IFERROR(__xludf.DUMMYFUNCTION("GOOGLETRANSLATE($A652,""en"",""zh-cn"")"),"巴格哈特")</f>
        <v>巴格哈特</v>
      </c>
      <c r="H652" s="9" t="str">
        <f>IFERROR(__xludf.DUMMYFUNCTION("GOOGLETRANSLATE($A652,""en"",""ja"")"),"バガーハット")</f>
        <v>バガーハット</v>
      </c>
      <c r="I652" s="9" t="str">
        <f>IFERROR(__xludf.DUMMYFUNCTION("GOOGLETRANSLATE($A652,""en"",""ko"")"),"바게르하트")</f>
        <v>바게르하트</v>
      </c>
      <c r="J652" s="9" t="str">
        <f>IFERROR(__xludf.DUMMYFUNCTION("GOOGLETRANSLATE($A652,""en"",""pt-BR"")"),"Chapéu Bager")</f>
        <v>Chapéu Bager</v>
      </c>
    </row>
    <row r="653">
      <c r="A653" s="9" t="str">
        <f>IFERROR(__xludf.DUMMYFUNCTION("""COMPUTED_VALUE"""),"Barisal (District)")</f>
        <v>Barisal (District)</v>
      </c>
      <c r="B653" s="9" t="str">
        <f>IFERROR(__xludf.DUMMYFUNCTION("""COMPUTED_VALUE"""),"bd-06")</f>
        <v>bd-06</v>
      </c>
      <c r="C653" s="9" t="str">
        <f>IFERROR(__xludf.DUMMYFUNCTION("GOOGLETRANSLATE($A653,""en"",""de"")"),"Barishal (Bezirk)")</f>
        <v>Barishal (Bezirk)</v>
      </c>
      <c r="D653" s="9" t="str">
        <f>IFERROR(__xludf.DUMMYFUNCTION("GOOGLETRANSLATE($A653,""en"",""fr"")"),"Barisal (district)")</f>
        <v>Barisal (district)</v>
      </c>
      <c r="E653" s="9" t="str">
        <f>IFERROR(__xludf.DUMMYFUNCTION("GOOGLETRANSLATE($A653,""en"",""es"")"),"Barisal (Distrito)")</f>
        <v>Barisal (Distrito)</v>
      </c>
      <c r="F653" s="9" t="str">
        <f>IFERROR(__xludf.DUMMYFUNCTION("GOOGLETRANSLATE($A653,""en"",""it"")"),"Barisal (Distretto)")</f>
        <v>Barisal (Distretto)</v>
      </c>
      <c r="G653" s="9" t="str">
        <f>IFERROR(__xludf.DUMMYFUNCTION("GOOGLETRANSLATE($A653,""en"",""zh-cn"")"),"巴里萨尔（区）")</f>
        <v>巴里萨尔（区）</v>
      </c>
      <c r="H653" s="9" t="str">
        <f>IFERROR(__xludf.DUMMYFUNCTION("GOOGLETRANSLATE($A653,""en"",""ja"")"),"バリサル（地区）")</f>
        <v>バリサル（地区）</v>
      </c>
      <c r="I653" s="9" t="str">
        <f>IFERROR(__xludf.DUMMYFUNCTION("GOOGLETRANSLATE($A653,""en"",""ko"")"),"바리살(지구)")</f>
        <v>바리살(지구)</v>
      </c>
      <c r="J653" s="9" t="str">
        <f>IFERROR(__xludf.DUMMYFUNCTION("GOOGLETRANSLATE($A653,""en"",""pt-BR"")"),"Barisal (distrito)")</f>
        <v>Barisal (distrito)</v>
      </c>
    </row>
    <row r="654">
      <c r="A654" s="9" t="str">
        <f>IFERROR(__xludf.DUMMYFUNCTION("""COMPUTED_VALUE"""),"Kishoreganj")</f>
        <v>Kishoreganj</v>
      </c>
      <c r="B654" s="9" t="str">
        <f>IFERROR(__xludf.DUMMYFUNCTION("""COMPUTED_VALUE"""),"bd-26")</f>
        <v>bd-26</v>
      </c>
      <c r="C654" s="9" t="str">
        <f>IFERROR(__xludf.DUMMYFUNCTION("GOOGLETRANSLATE($A654,""en"",""de"")"),"Kishoreganj")</f>
        <v>Kishoreganj</v>
      </c>
      <c r="D654" s="9" t="str">
        <f>IFERROR(__xludf.DUMMYFUNCTION("GOOGLETRANSLATE($A654,""en"",""fr"")"),"Kishoreganj")</f>
        <v>Kishoreganj</v>
      </c>
      <c r="E654" s="9" t="str">
        <f>IFERROR(__xludf.DUMMYFUNCTION("GOOGLETRANSLATE($A654,""en"",""es"")"),"Kishoreganj")</f>
        <v>Kishoreganj</v>
      </c>
      <c r="F654" s="9" t="str">
        <f>IFERROR(__xludf.DUMMYFUNCTION("GOOGLETRANSLATE($A654,""en"",""it"")"),"Kishoreganj")</f>
        <v>Kishoreganj</v>
      </c>
      <c r="G654" s="9" t="str">
        <f>IFERROR(__xludf.DUMMYFUNCTION("GOOGLETRANSLATE($A654,""en"",""zh-cn"")"),"基索尔甘杰")</f>
        <v>基索尔甘杰</v>
      </c>
      <c r="H654" s="9" t="str">
        <f>IFERROR(__xludf.DUMMYFUNCTION("GOOGLETRANSLATE($A654,""en"",""ja"")"),"キショレガンジ")</f>
        <v>キショレガンジ</v>
      </c>
      <c r="I654" s="9" t="str">
        <f>IFERROR(__xludf.DUMMYFUNCTION("GOOGLETRANSLATE($A654,""en"",""ko"")"),"키쇼어간지")</f>
        <v>키쇼어간지</v>
      </c>
      <c r="J654" s="9" t="str">
        <f>IFERROR(__xludf.DUMMYFUNCTION("GOOGLETRANSLATE($A654,""en"",""pt-BR"")"),"Kishoreganj")</f>
        <v>Kishoreganj</v>
      </c>
    </row>
    <row r="655">
      <c r="A655" s="9" t="str">
        <f>IFERROR(__xludf.DUMMYFUNCTION("""COMPUTED_VALUE"""),"Jamalpur")</f>
        <v>Jamalpur</v>
      </c>
      <c r="B655" s="9" t="str">
        <f>IFERROR(__xludf.DUMMYFUNCTION("""COMPUTED_VALUE"""),"bd-21")</f>
        <v>bd-21</v>
      </c>
      <c r="C655" s="9" t="str">
        <f>IFERROR(__xludf.DUMMYFUNCTION("GOOGLETRANSLATE($A655,""en"",""de"")"),"Jamalpur")</f>
        <v>Jamalpur</v>
      </c>
      <c r="D655" s="9" t="str">
        <f>IFERROR(__xludf.DUMMYFUNCTION("GOOGLETRANSLATE($A655,""en"",""fr"")"),"Jamalpur")</f>
        <v>Jamalpur</v>
      </c>
      <c r="E655" s="9" t="str">
        <f>IFERROR(__xludf.DUMMYFUNCTION("GOOGLETRANSLATE($A655,""en"",""es"")"),"Jamalpur")</f>
        <v>Jamalpur</v>
      </c>
      <c r="F655" s="9" t="str">
        <f>IFERROR(__xludf.DUMMYFUNCTION("GOOGLETRANSLATE($A655,""en"",""it"")"),"Jamalpur")</f>
        <v>Jamalpur</v>
      </c>
      <c r="G655" s="9" t="str">
        <f>IFERROR(__xludf.DUMMYFUNCTION("GOOGLETRANSLATE($A655,""en"",""zh-cn"")"),"贾马尔普尔")</f>
        <v>贾马尔普尔</v>
      </c>
      <c r="H655" s="9" t="str">
        <f>IFERROR(__xludf.DUMMYFUNCTION("GOOGLETRANSLATE($A655,""en"",""ja"")"),"ジャマルプール")</f>
        <v>ジャマルプール</v>
      </c>
      <c r="I655" s="9" t="str">
        <f>IFERROR(__xludf.DUMMYFUNCTION("GOOGLETRANSLATE($A655,""en"",""ko"")"),"자말푸르")</f>
        <v>자말푸르</v>
      </c>
      <c r="J655" s="9" t="str">
        <f>IFERROR(__xludf.DUMMYFUNCTION("GOOGLETRANSLATE($A655,""en"",""pt-BR"")"),"Jamalpur")</f>
        <v>Jamalpur</v>
      </c>
    </row>
    <row r="656">
      <c r="A656" s="9" t="str">
        <f>IFERROR(__xludf.DUMMYFUNCTION("""COMPUTED_VALUE"""),"Sirajganj")</f>
        <v>Sirajganj</v>
      </c>
      <c r="B656" s="9" t="str">
        <f>IFERROR(__xludf.DUMMYFUNCTION("""COMPUTED_VALUE"""),"bd-59")</f>
        <v>bd-59</v>
      </c>
      <c r="C656" s="9" t="str">
        <f>IFERROR(__xludf.DUMMYFUNCTION("GOOGLETRANSLATE($A656,""en"",""de"")"),"Sirajganj")</f>
        <v>Sirajganj</v>
      </c>
      <c r="D656" s="9" t="str">
        <f>IFERROR(__xludf.DUMMYFUNCTION("GOOGLETRANSLATE($A656,""en"",""fr"")"),"Sirajganj")</f>
        <v>Sirajganj</v>
      </c>
      <c r="E656" s="9" t="str">
        <f>IFERROR(__xludf.DUMMYFUNCTION("GOOGLETRANSLATE($A656,""en"",""es"")"),"Sirajganj")</f>
        <v>Sirajganj</v>
      </c>
      <c r="F656" s="9" t="str">
        <f>IFERROR(__xludf.DUMMYFUNCTION("GOOGLETRANSLATE($A656,""en"",""it"")"),"Sirajganj")</f>
        <v>Sirajganj</v>
      </c>
      <c r="G656" s="9" t="str">
        <f>IFERROR(__xludf.DUMMYFUNCTION("GOOGLETRANSLATE($A656,""en"",""zh-cn"")"),"西拉杰甘吉")</f>
        <v>西拉杰甘吉</v>
      </c>
      <c r="H656" s="9" t="str">
        <f>IFERROR(__xludf.DUMMYFUNCTION("GOOGLETRANSLATE($A656,""en"",""ja"")"),"シラジガンジ")</f>
        <v>シラジガンジ</v>
      </c>
      <c r="I656" s="9" t="str">
        <f>IFERROR(__xludf.DUMMYFUNCTION("GOOGLETRANSLATE($A656,""en"",""ko"")"),"시라즈간지")</f>
        <v>시라즈간지</v>
      </c>
      <c r="J656" s="9" t="str">
        <f>IFERROR(__xludf.DUMMYFUNCTION("GOOGLETRANSLATE($A656,""en"",""pt-BR"")"),"Sirajganj")</f>
        <v>Sirajganj</v>
      </c>
    </row>
    <row r="657">
      <c r="A657" s="9" t="str">
        <f>IFERROR(__xludf.DUMMYFUNCTION("""COMPUTED_VALUE"""),"Thakurgaon")</f>
        <v>Thakurgaon</v>
      </c>
      <c r="B657" s="9" t="str">
        <f>IFERROR(__xludf.DUMMYFUNCTION("""COMPUTED_VALUE"""),"bd-64")</f>
        <v>bd-64</v>
      </c>
      <c r="C657" s="9" t="str">
        <f>IFERROR(__xludf.DUMMYFUNCTION("GOOGLETRANSLATE($A657,""en"",""de"")"),"Thakurgaon")</f>
        <v>Thakurgaon</v>
      </c>
      <c r="D657" s="9" t="str">
        <f>IFERROR(__xludf.DUMMYFUNCTION("GOOGLETRANSLATE($A657,""en"",""fr"")"),"Thakurgaon")</f>
        <v>Thakurgaon</v>
      </c>
      <c r="E657" s="9" t="str">
        <f>IFERROR(__xludf.DUMMYFUNCTION("GOOGLETRANSLATE($A657,""en"",""es"")"),"Thakurgaon")</f>
        <v>Thakurgaon</v>
      </c>
      <c r="F657" s="9" t="str">
        <f>IFERROR(__xludf.DUMMYFUNCTION("GOOGLETRANSLATE($A657,""en"",""it"")"),"Thakurgaon")</f>
        <v>Thakurgaon</v>
      </c>
      <c r="G657" s="9" t="str">
        <f>IFERROR(__xludf.DUMMYFUNCTION("GOOGLETRANSLATE($A657,""en"",""zh-cn"")"),"塔库尔冈")</f>
        <v>塔库尔冈</v>
      </c>
      <c r="H657" s="9" t="str">
        <f>IFERROR(__xludf.DUMMYFUNCTION("GOOGLETRANSLATE($A657,""en"",""ja"")"),"タクルガオン")</f>
        <v>タクルガオン</v>
      </c>
      <c r="I657" s="9" t="str">
        <f>IFERROR(__xludf.DUMMYFUNCTION("GOOGLETRANSLATE($A657,""en"",""ko"")"),"타쿠르가온")</f>
        <v>타쿠르가온</v>
      </c>
      <c r="J657" s="9" t="str">
        <f>IFERROR(__xludf.DUMMYFUNCTION("GOOGLETRANSLATE($A657,""en"",""pt-BR"")"),"Thakurgaon")</f>
        <v>Thakurgaon</v>
      </c>
    </row>
    <row r="658">
      <c r="A658" s="9" t="str">
        <f>IFERROR(__xludf.DUMMYFUNCTION("""COMPUTED_VALUE"""),"Bhola")</f>
        <v>Bhola</v>
      </c>
      <c r="B658" s="9" t="str">
        <f>IFERROR(__xludf.DUMMYFUNCTION("""COMPUTED_VALUE"""),"bd-07")</f>
        <v>bd-07</v>
      </c>
      <c r="C658" s="9" t="str">
        <f>IFERROR(__xludf.DUMMYFUNCTION("GOOGLETRANSLATE($A658,""en"",""de"")"),"Bhola")</f>
        <v>Bhola</v>
      </c>
      <c r="D658" s="9" t="str">
        <f>IFERROR(__xludf.DUMMYFUNCTION("GOOGLETRANSLATE($A658,""en"",""fr"")"),"Bhola")</f>
        <v>Bhola</v>
      </c>
      <c r="E658" s="9" t="str">
        <f>IFERROR(__xludf.DUMMYFUNCTION("GOOGLETRANSLATE($A658,""en"",""es"")"),"bhola")</f>
        <v>bhola</v>
      </c>
      <c r="F658" s="9" t="str">
        <f>IFERROR(__xludf.DUMMYFUNCTION("GOOGLETRANSLATE($A658,""en"",""it"")"),"Bhola")</f>
        <v>Bhola</v>
      </c>
      <c r="G658" s="9" t="str">
        <f>IFERROR(__xludf.DUMMYFUNCTION("GOOGLETRANSLATE($A658,""en"",""zh-cn"")"),"博拉")</f>
        <v>博拉</v>
      </c>
      <c r="H658" s="9" t="str">
        <f>IFERROR(__xludf.DUMMYFUNCTION("GOOGLETRANSLATE($A658,""en"",""ja"")"),"ボーラ")</f>
        <v>ボーラ</v>
      </c>
      <c r="I658" s="9" t="str">
        <f>IFERROR(__xludf.DUMMYFUNCTION("GOOGLETRANSLATE($A658,""en"",""ko"")"),"볼라")</f>
        <v>볼라</v>
      </c>
      <c r="J658" s="9" t="str">
        <f>IFERROR(__xludf.DUMMYFUNCTION("GOOGLETRANSLATE($A658,""en"",""pt-BR"")"),"Bhola")</f>
        <v>Bhola</v>
      </c>
    </row>
    <row r="659">
      <c r="A659" s="9" t="str">
        <f>IFERROR(__xludf.DUMMYFUNCTION("""COMPUTED_VALUE"""),"Patuakhali")</f>
        <v>Patuakhali</v>
      </c>
      <c r="B659" s="9" t="str">
        <f>IFERROR(__xludf.DUMMYFUNCTION("""COMPUTED_VALUE"""),"bd-51")</f>
        <v>bd-51</v>
      </c>
      <c r="C659" s="9" t="str">
        <f>IFERROR(__xludf.DUMMYFUNCTION("GOOGLETRANSLATE($A659,""en"",""de"")"),"Patuakhali")</f>
        <v>Patuakhali</v>
      </c>
      <c r="D659" s="9" t="str">
        <f>IFERROR(__xludf.DUMMYFUNCTION("GOOGLETRANSLATE($A659,""en"",""fr"")"),"Patuakhali")</f>
        <v>Patuakhali</v>
      </c>
      <c r="E659" s="9" t="str">
        <f>IFERROR(__xludf.DUMMYFUNCTION("GOOGLETRANSLATE($A659,""en"",""es"")"),"Patuakhali")</f>
        <v>Patuakhali</v>
      </c>
      <c r="F659" s="9" t="str">
        <f>IFERROR(__xludf.DUMMYFUNCTION("GOOGLETRANSLATE($A659,""en"",""it"")"),"Patuakhali")</f>
        <v>Patuakhali</v>
      </c>
      <c r="G659" s="9" t="str">
        <f>IFERROR(__xludf.DUMMYFUNCTION("GOOGLETRANSLATE($A659,""en"",""zh-cn"")"),"帕图阿卡利")</f>
        <v>帕图阿卡利</v>
      </c>
      <c r="H659" s="9" t="str">
        <f>IFERROR(__xludf.DUMMYFUNCTION("GOOGLETRANSLATE($A659,""en"",""ja"")"),"パトゥアカリ")</f>
        <v>パトゥアカリ</v>
      </c>
      <c r="I659" s="9" t="str">
        <f>IFERROR(__xludf.DUMMYFUNCTION("GOOGLETRANSLATE($A659,""en"",""ko"")"),"파투아칼리")</f>
        <v>파투아칼리</v>
      </c>
      <c r="J659" s="9" t="str">
        <f>IFERROR(__xludf.DUMMYFUNCTION("GOOGLETRANSLATE($A659,""en"",""pt-BR"")"),"Patuakhali")</f>
        <v>Patuakhali</v>
      </c>
    </row>
    <row r="660">
      <c r="A660" s="9" t="str">
        <f>IFERROR(__xludf.DUMMYFUNCTION("""COMPUTED_VALUE"""),"Chittagong (District)")</f>
        <v>Chittagong (District)</v>
      </c>
      <c r="B660" s="9" t="str">
        <f>IFERROR(__xludf.DUMMYFUNCTION("""COMPUTED_VALUE"""),"bd-b")</f>
        <v>bd-b</v>
      </c>
      <c r="C660" s="9" t="str">
        <f>IFERROR(__xludf.DUMMYFUNCTION("GOOGLETRANSLATE($A660,""en"",""de"")"),"Chittagong (Bezirk)")</f>
        <v>Chittagong (Bezirk)</v>
      </c>
      <c r="D660" s="9" t="str">
        <f>IFERROR(__xludf.DUMMYFUNCTION("GOOGLETRANSLATE($A660,""en"",""fr"")"),"Chittagong (district)")</f>
        <v>Chittagong (district)</v>
      </c>
      <c r="E660" s="9" t="str">
        <f>IFERROR(__xludf.DUMMYFUNCTION("GOOGLETRANSLATE($A660,""en"",""es"")"),"Chittagong (distrito)")</f>
        <v>Chittagong (distrito)</v>
      </c>
      <c r="F660" s="9" t="str">
        <f>IFERROR(__xludf.DUMMYFUNCTION("GOOGLETRANSLATE($A660,""en"",""it"")"),"Chittagong (Distretto)")</f>
        <v>Chittagong (Distretto)</v>
      </c>
      <c r="G660" s="9" t="str">
        <f>IFERROR(__xludf.DUMMYFUNCTION("GOOGLETRANSLATE($A660,""en"",""zh-cn"")"),"吉大港（区）")</f>
        <v>吉大港（区）</v>
      </c>
      <c r="H660" s="9" t="str">
        <f>IFERROR(__xludf.DUMMYFUNCTION("GOOGLETRANSLATE($A660,""en"",""ja"")"),"チッタゴン（地区）")</f>
        <v>チッタゴン（地区）</v>
      </c>
      <c r="I660" s="9" t="str">
        <f>IFERROR(__xludf.DUMMYFUNCTION("GOOGLETRANSLATE($A660,""en"",""ko"")"),"치타공(지구)")</f>
        <v>치타공(지구)</v>
      </c>
      <c r="J660" s="9" t="str">
        <f>IFERROR(__xludf.DUMMYFUNCTION("GOOGLETRANSLATE($A660,""en"",""pt-BR"")"),"Chittagong (distrito)")</f>
        <v>Chittagong (distrito)</v>
      </c>
    </row>
    <row r="661">
      <c r="A661" s="9" t="str">
        <f>IFERROR(__xludf.DUMMYFUNCTION("""COMPUTED_VALUE"""),"Rajbari")</f>
        <v>Rajbari</v>
      </c>
      <c r="B661" s="9" t="str">
        <f>IFERROR(__xludf.DUMMYFUNCTION("""COMPUTED_VALUE"""),"bd-53")</f>
        <v>bd-53</v>
      </c>
      <c r="C661" s="9" t="str">
        <f>IFERROR(__xludf.DUMMYFUNCTION("GOOGLETRANSLATE($A661,""en"",""de"")"),"Rajbari")</f>
        <v>Rajbari</v>
      </c>
      <c r="D661" s="9" t="str">
        <f>IFERROR(__xludf.DUMMYFUNCTION("GOOGLETRANSLATE($A661,""en"",""fr"")"),"Rajbari")</f>
        <v>Rajbari</v>
      </c>
      <c r="E661" s="9" t="str">
        <f>IFERROR(__xludf.DUMMYFUNCTION("GOOGLETRANSLATE($A661,""en"",""es"")"),"Rajbari")</f>
        <v>Rajbari</v>
      </c>
      <c r="F661" s="9" t="str">
        <f>IFERROR(__xludf.DUMMYFUNCTION("GOOGLETRANSLATE($A661,""en"",""it"")"),"Rajbari")</f>
        <v>Rajbari</v>
      </c>
      <c r="G661" s="9" t="str">
        <f>IFERROR(__xludf.DUMMYFUNCTION("GOOGLETRANSLATE($A661,""en"",""zh-cn"")"),"拉吉巴里")</f>
        <v>拉吉巴里</v>
      </c>
      <c r="H661" s="9" t="str">
        <f>IFERROR(__xludf.DUMMYFUNCTION("GOOGLETRANSLATE($A661,""en"",""ja"")"),"ラジバリ")</f>
        <v>ラジバリ</v>
      </c>
      <c r="I661" s="9" t="str">
        <f>IFERROR(__xludf.DUMMYFUNCTION("GOOGLETRANSLATE($A661,""en"",""ko"")"),"라즈바리")</f>
        <v>라즈바리</v>
      </c>
      <c r="J661" s="9" t="str">
        <f>IFERROR(__xludf.DUMMYFUNCTION("GOOGLETRANSLATE($A661,""en"",""pt-BR"")"),"Rajbari")</f>
        <v>Rajbari</v>
      </c>
    </row>
    <row r="662">
      <c r="A662" s="9" t="str">
        <f>IFERROR(__xludf.DUMMYFUNCTION("""COMPUTED_VALUE"""),"Nilphamari")</f>
        <v>Nilphamari</v>
      </c>
      <c r="B662" s="9" t="str">
        <f>IFERROR(__xludf.DUMMYFUNCTION("""COMPUTED_VALUE"""),"bd-46")</f>
        <v>bd-46</v>
      </c>
      <c r="C662" s="9" t="str">
        <f>IFERROR(__xludf.DUMMYFUNCTION("GOOGLETRANSLATE($A662,""en"",""de"")"),"Nilphamari")</f>
        <v>Nilphamari</v>
      </c>
      <c r="D662" s="9" t="str">
        <f>IFERROR(__xludf.DUMMYFUNCTION("GOOGLETRANSLATE($A662,""en"",""fr"")"),"Nilphamari")</f>
        <v>Nilphamari</v>
      </c>
      <c r="E662" s="9" t="str">
        <f>IFERROR(__xludf.DUMMYFUNCTION("GOOGLETRANSLATE($A662,""en"",""es"")"),"Nilphamari")</f>
        <v>Nilphamari</v>
      </c>
      <c r="F662" s="9" t="str">
        <f>IFERROR(__xludf.DUMMYFUNCTION("GOOGLETRANSLATE($A662,""en"",""it"")"),"Nilphamari")</f>
        <v>Nilphamari</v>
      </c>
      <c r="G662" s="9" t="str">
        <f>IFERROR(__xludf.DUMMYFUNCTION("GOOGLETRANSLATE($A662,""en"",""zh-cn"")"),"尼尔法马里")</f>
        <v>尼尔法马里</v>
      </c>
      <c r="H662" s="9" t="str">
        <f>IFERROR(__xludf.DUMMYFUNCTION("GOOGLETRANSLATE($A662,""en"",""ja"")"),"ニルファマリ")</f>
        <v>ニルファマリ</v>
      </c>
      <c r="I662" s="9" t="str">
        <f>IFERROR(__xludf.DUMMYFUNCTION("GOOGLETRANSLATE($A662,""en"",""ko"")"),"닐파마리")</f>
        <v>닐파마리</v>
      </c>
      <c r="J662" s="9" t="str">
        <f>IFERROR(__xludf.DUMMYFUNCTION("GOOGLETRANSLATE($A662,""en"",""pt-BR"")"),"Nilphamari")</f>
        <v>Nilphamari</v>
      </c>
    </row>
    <row r="663">
      <c r="A663" s="9" t="str">
        <f>IFERROR(__xludf.DUMMYFUNCTION("""COMPUTED_VALUE"""),"Cox's Bazar")</f>
        <v>Cox's Bazar</v>
      </c>
      <c r="B663" s="9" t="str">
        <f>IFERROR(__xludf.DUMMYFUNCTION("""COMPUTED_VALUE"""),"bd-11")</f>
        <v>bd-11</v>
      </c>
      <c r="C663" s="9" t="str">
        <f>IFERROR(__xludf.DUMMYFUNCTION("GOOGLETRANSLATE($A663,""en"",""de"")"),"Cox's Bazar")</f>
        <v>Cox's Bazar</v>
      </c>
      <c r="D663" s="9" t="str">
        <f>IFERROR(__xludf.DUMMYFUNCTION("GOOGLETRANSLATE($A663,""en"",""fr"")"),"Cox's Bazar")</f>
        <v>Cox's Bazar</v>
      </c>
      <c r="E663" s="9" t="str">
        <f>IFERROR(__xludf.DUMMYFUNCTION("GOOGLETRANSLATE($A663,""en"",""es"")"),"Bazar de Cox")</f>
        <v>Bazar de Cox</v>
      </c>
      <c r="F663" s="9" t="str">
        <f>IFERROR(__xludf.DUMMYFUNCTION("GOOGLETRANSLATE($A663,""en"",""it"")"),"Il Bazar di Cox")</f>
        <v>Il Bazar di Cox</v>
      </c>
      <c r="G663" s="9" t="str">
        <f>IFERROR(__xludf.DUMMYFUNCTION("GOOGLETRANSLATE($A663,""en"",""zh-cn"")"),"考克斯巴扎尔")</f>
        <v>考克斯巴扎尔</v>
      </c>
      <c r="H663" s="9" t="str">
        <f>IFERROR(__xludf.DUMMYFUNCTION("GOOGLETRANSLATE($A663,""en"",""ja"")"),"コックスバザール")</f>
        <v>コックスバザール</v>
      </c>
      <c r="I663" s="9" t="str">
        <f>IFERROR(__xludf.DUMMYFUNCTION("GOOGLETRANSLATE($A663,""en"",""ko"")"),"콕스 바자르")</f>
        <v>콕스 바자르</v>
      </c>
      <c r="J663" s="9" t="str">
        <f>IFERROR(__xludf.DUMMYFUNCTION("GOOGLETRANSLATE($A663,""en"",""pt-BR"")"),"Bazar de Cox")</f>
        <v>Bazar de Cox</v>
      </c>
    </row>
    <row r="664">
      <c r="A664" s="9" t="str">
        <f>IFERROR(__xludf.DUMMYFUNCTION("""COMPUTED_VALUE"""),"Sunamganj")</f>
        <v>Sunamganj</v>
      </c>
      <c r="B664" s="9" t="str">
        <f>IFERROR(__xludf.DUMMYFUNCTION("""COMPUTED_VALUE"""),"bd-61")</f>
        <v>bd-61</v>
      </c>
      <c r="C664" s="9" t="str">
        <f>IFERROR(__xludf.DUMMYFUNCTION("GOOGLETRANSLATE($A664,""en"",""de"")"),"Sunamganj")</f>
        <v>Sunamganj</v>
      </c>
      <c r="D664" s="9" t="str">
        <f>IFERROR(__xludf.DUMMYFUNCTION("GOOGLETRANSLATE($A664,""en"",""fr"")"),"Sunamganj")</f>
        <v>Sunamganj</v>
      </c>
      <c r="E664" s="9" t="str">
        <f>IFERROR(__xludf.DUMMYFUNCTION("GOOGLETRANSLATE($A664,""en"",""es"")"),"Sunamganj")</f>
        <v>Sunamganj</v>
      </c>
      <c r="F664" s="9" t="str">
        <f>IFERROR(__xludf.DUMMYFUNCTION("GOOGLETRANSLATE($A664,""en"",""it"")"),"Sunamganj")</f>
        <v>Sunamganj</v>
      </c>
      <c r="G664" s="9" t="str">
        <f>IFERROR(__xludf.DUMMYFUNCTION("GOOGLETRANSLATE($A664,""en"",""zh-cn"")"),"苏南甘杰")</f>
        <v>苏南甘杰</v>
      </c>
      <c r="H664" s="9" t="str">
        <f>IFERROR(__xludf.DUMMYFUNCTION("GOOGLETRANSLATE($A664,""en"",""ja"")"),"スナムガンジ")</f>
        <v>スナムガンジ</v>
      </c>
      <c r="I664" s="9" t="str">
        <f>IFERROR(__xludf.DUMMYFUNCTION("GOOGLETRANSLATE($A664,""en"",""ko"")"),"수남간지")</f>
        <v>수남간지</v>
      </c>
      <c r="J664" s="9" t="str">
        <f>IFERROR(__xludf.DUMMYFUNCTION("GOOGLETRANSLATE($A664,""en"",""pt-BR"")"),"Sunamganj")</f>
        <v>Sunamganj</v>
      </c>
    </row>
    <row r="665">
      <c r="A665" s="9" t="str">
        <f>IFERROR(__xludf.DUMMYFUNCTION("""COMPUTED_VALUE"""),"Gopalganj")</f>
        <v>Gopalganj</v>
      </c>
      <c r="B665" s="9" t="str">
        <f>IFERROR(__xludf.DUMMYFUNCTION("""COMPUTED_VALUE"""),"bd-17")</f>
        <v>bd-17</v>
      </c>
      <c r="C665" s="9" t="str">
        <f>IFERROR(__xludf.DUMMYFUNCTION("GOOGLETRANSLATE($A665,""en"",""de"")"),"Gopalganj")</f>
        <v>Gopalganj</v>
      </c>
      <c r="D665" s="9" t="str">
        <f>IFERROR(__xludf.DUMMYFUNCTION("GOOGLETRANSLATE($A665,""en"",""fr"")"),"Gopalganj")</f>
        <v>Gopalganj</v>
      </c>
      <c r="E665" s="9" t="str">
        <f>IFERROR(__xludf.DUMMYFUNCTION("GOOGLETRANSLATE($A665,""en"",""es"")"),"gopalganj")</f>
        <v>gopalganj</v>
      </c>
      <c r="F665" s="9" t="str">
        <f>IFERROR(__xludf.DUMMYFUNCTION("GOOGLETRANSLATE($A665,""en"",""it"")"),"Gopalganj")</f>
        <v>Gopalganj</v>
      </c>
      <c r="G665" s="9" t="str">
        <f>IFERROR(__xludf.DUMMYFUNCTION("GOOGLETRANSLATE($A665,""en"",""zh-cn"")"),"戈帕尔甘杰")</f>
        <v>戈帕尔甘杰</v>
      </c>
      <c r="H665" s="9" t="str">
        <f>IFERROR(__xludf.DUMMYFUNCTION("GOOGLETRANSLATE($A665,""en"",""ja"")"),"ゴパルガンジ")</f>
        <v>ゴパルガンジ</v>
      </c>
      <c r="I665" s="9" t="str">
        <f>IFERROR(__xludf.DUMMYFUNCTION("GOOGLETRANSLATE($A665,""en"",""ko"")"),"고팔간지")</f>
        <v>고팔간지</v>
      </c>
      <c r="J665" s="9" t="str">
        <f>IFERROR(__xludf.DUMMYFUNCTION("GOOGLETRANSLATE($A665,""en"",""pt-BR"")"),"Gopalganj")</f>
        <v>Gopalganj</v>
      </c>
    </row>
    <row r="666">
      <c r="A666" s="9" t="str">
        <f>IFERROR(__xludf.DUMMYFUNCTION("""COMPUTED_VALUE"""),"Narayanganj")</f>
        <v>Narayanganj</v>
      </c>
      <c r="B666" s="9" t="str">
        <f>IFERROR(__xludf.DUMMYFUNCTION("""COMPUTED_VALUE"""),"bd-40")</f>
        <v>bd-40</v>
      </c>
      <c r="C666" s="9" t="str">
        <f>IFERROR(__xludf.DUMMYFUNCTION("GOOGLETRANSLATE($A666,""en"",""de"")"),"Narayanganj")</f>
        <v>Narayanganj</v>
      </c>
      <c r="D666" s="9" t="str">
        <f>IFERROR(__xludf.DUMMYFUNCTION("GOOGLETRANSLATE($A666,""en"",""fr"")"),"Narayanganj")</f>
        <v>Narayanganj</v>
      </c>
      <c r="E666" s="9" t="str">
        <f>IFERROR(__xludf.DUMMYFUNCTION("GOOGLETRANSLATE($A666,""en"",""es"")"),"Narayanganj")</f>
        <v>Narayanganj</v>
      </c>
      <c r="F666" s="9" t="str">
        <f>IFERROR(__xludf.DUMMYFUNCTION("GOOGLETRANSLATE($A666,""en"",""it"")"),"Narayanganj")</f>
        <v>Narayanganj</v>
      </c>
      <c r="G666" s="9" t="str">
        <f>IFERROR(__xludf.DUMMYFUNCTION("GOOGLETRANSLATE($A666,""en"",""zh-cn"")"),"纳拉扬甘杰")</f>
        <v>纳拉扬甘杰</v>
      </c>
      <c r="H666" s="9" t="str">
        <f>IFERROR(__xludf.DUMMYFUNCTION("GOOGLETRANSLATE($A666,""en"",""ja"")"),"ナラヤンガンジ")</f>
        <v>ナラヤンガンジ</v>
      </c>
      <c r="I666" s="9" t="str">
        <f>IFERROR(__xludf.DUMMYFUNCTION("GOOGLETRANSLATE($A666,""en"",""ko"")"),"나라얀간지")</f>
        <v>나라얀간지</v>
      </c>
      <c r="J666" s="9" t="str">
        <f>IFERROR(__xludf.DUMMYFUNCTION("GOOGLETRANSLATE($A666,""en"",""pt-BR"")"),"Narayanganj")</f>
        <v>Narayanganj</v>
      </c>
    </row>
    <row r="667">
      <c r="A667" s="9" t="str">
        <f>IFERROR(__xludf.DUMMYFUNCTION("""COMPUTED_VALUE"""),"Chittagong (Division)")</f>
        <v>Chittagong (Division)</v>
      </c>
      <c r="B667" s="9" t="str">
        <f>IFERROR(__xludf.DUMMYFUNCTION("""COMPUTED_VALUE"""),"bd-10")</f>
        <v>bd-10</v>
      </c>
      <c r="C667" s="9" t="str">
        <f>IFERROR(__xludf.DUMMYFUNCTION("GOOGLETRANSLATE($A667,""en"",""de"")"),"Chittagong (Abteilung)")</f>
        <v>Chittagong (Abteilung)</v>
      </c>
      <c r="D667" s="9" t="str">
        <f>IFERROR(__xludf.DUMMYFUNCTION("GOOGLETRANSLATE($A667,""en"",""fr"")"),"Chittagong (Division)")</f>
        <v>Chittagong (Division)</v>
      </c>
      <c r="E667" s="9" t="str">
        <f>IFERROR(__xludf.DUMMYFUNCTION("GOOGLETRANSLATE($A667,""en"",""es"")"),"Chittagong (División)")</f>
        <v>Chittagong (División)</v>
      </c>
      <c r="F667" s="9" t="str">
        <f>IFERROR(__xludf.DUMMYFUNCTION("GOOGLETRANSLATE($A667,""en"",""it"")"),"Chittagong (Divisione)")</f>
        <v>Chittagong (Divisione)</v>
      </c>
      <c r="G667" s="9" t="str">
        <f>IFERROR(__xludf.DUMMYFUNCTION("GOOGLETRANSLATE($A667,""en"",""zh-cn"")"),"吉大港（分区）")</f>
        <v>吉大港（分区）</v>
      </c>
      <c r="H667" s="9" t="str">
        <f>IFERROR(__xludf.DUMMYFUNCTION("GOOGLETRANSLATE($A667,""en"",""ja"")"),"チッタゴン (師団)")</f>
        <v>チッタゴン (師団)</v>
      </c>
      <c r="I667" s="9" t="str">
        <f>IFERROR(__xludf.DUMMYFUNCTION("GOOGLETRANSLATE($A667,""en"",""ko"")"),"치타공(디비전)")</f>
        <v>치타공(디비전)</v>
      </c>
      <c r="J667" s="9" t="str">
        <f>IFERROR(__xludf.DUMMYFUNCTION("GOOGLETRANSLATE($A667,""en"",""pt-BR"")"),"Chittagong (Divisão)")</f>
        <v>Chittagong (Divisão)</v>
      </c>
    </row>
    <row r="668">
      <c r="A668" s="9" t="str">
        <f>IFERROR(__xludf.DUMMYFUNCTION("""COMPUTED_VALUE"""),"Magura")</f>
        <v>Magura</v>
      </c>
      <c r="B668" s="9" t="str">
        <f>IFERROR(__xludf.DUMMYFUNCTION("""COMPUTED_VALUE"""),"bd-37")</f>
        <v>bd-37</v>
      </c>
      <c r="C668" s="9" t="str">
        <f>IFERROR(__xludf.DUMMYFUNCTION("GOOGLETRANSLATE($A668,""en"",""de"")"),"Magura")</f>
        <v>Magura</v>
      </c>
      <c r="D668" s="9" t="str">
        <f>IFERROR(__xludf.DUMMYFUNCTION("GOOGLETRANSLATE($A668,""en"",""fr"")"),"Magura")</f>
        <v>Magura</v>
      </c>
      <c r="E668" s="9" t="str">
        <f>IFERROR(__xludf.DUMMYFUNCTION("GOOGLETRANSLATE($A668,""en"",""es"")"),"Magura")</f>
        <v>Magura</v>
      </c>
      <c r="F668" s="9" t="str">
        <f>IFERROR(__xludf.DUMMYFUNCTION("GOOGLETRANSLATE($A668,""en"",""it"")"),"Magura")</f>
        <v>Magura</v>
      </c>
      <c r="G668" s="9" t="str">
        <f>IFERROR(__xludf.DUMMYFUNCTION("GOOGLETRANSLATE($A668,""en"",""zh-cn"")"),"马古拉")</f>
        <v>马古拉</v>
      </c>
      <c r="H668" s="9" t="str">
        <f>IFERROR(__xludf.DUMMYFUNCTION("GOOGLETRANSLATE($A668,""en"",""ja"")"),"マグラ")</f>
        <v>マグラ</v>
      </c>
      <c r="I668" s="9" t="str">
        <f>IFERROR(__xludf.DUMMYFUNCTION("GOOGLETRANSLATE($A668,""en"",""ko"")"),"마구라")</f>
        <v>마구라</v>
      </c>
      <c r="J668" s="9" t="str">
        <f>IFERROR(__xludf.DUMMYFUNCTION("GOOGLETRANSLATE($A668,""en"",""pt-BR"")"),"Magura")</f>
        <v>Magura</v>
      </c>
    </row>
    <row r="669">
      <c r="A669" s="9" t="str">
        <f>IFERROR(__xludf.DUMMYFUNCTION("""COMPUTED_VALUE"""),"Rangamati")</f>
        <v>Rangamati</v>
      </c>
      <c r="B669" s="9" t="str">
        <f>IFERROR(__xludf.DUMMYFUNCTION("""COMPUTED_VALUE"""),"bd-56")</f>
        <v>bd-56</v>
      </c>
      <c r="C669" s="9" t="str">
        <f>IFERROR(__xludf.DUMMYFUNCTION("GOOGLETRANSLATE($A669,""en"",""de"")"),"Rangamati")</f>
        <v>Rangamati</v>
      </c>
      <c r="D669" s="9" t="str">
        <f>IFERROR(__xludf.DUMMYFUNCTION("GOOGLETRANSLATE($A669,""en"",""fr"")"),"Rangamati")</f>
        <v>Rangamati</v>
      </c>
      <c r="E669" s="9" t="str">
        <f>IFERROR(__xludf.DUMMYFUNCTION("GOOGLETRANSLATE($A669,""en"",""es"")"),"Rangamati")</f>
        <v>Rangamati</v>
      </c>
      <c r="F669" s="9" t="str">
        <f>IFERROR(__xludf.DUMMYFUNCTION("GOOGLETRANSLATE($A669,""en"",""it"")"),"Rangamati")</f>
        <v>Rangamati</v>
      </c>
      <c r="G669" s="9" t="str">
        <f>IFERROR(__xludf.DUMMYFUNCTION("GOOGLETRANSLATE($A669,""en"",""zh-cn"")"),"兰加马蒂")</f>
        <v>兰加马蒂</v>
      </c>
      <c r="H669" s="9" t="str">
        <f>IFERROR(__xludf.DUMMYFUNCTION("GOOGLETRANSLATE($A669,""en"",""ja"")"),"ランガマティ")</f>
        <v>ランガマティ</v>
      </c>
      <c r="I669" s="9" t="str">
        <f>IFERROR(__xludf.DUMMYFUNCTION("GOOGLETRANSLATE($A669,""en"",""ko"")"),"랑가마티")</f>
        <v>랑가마티</v>
      </c>
      <c r="J669" s="9" t="str">
        <f>IFERROR(__xludf.DUMMYFUNCTION("GOOGLETRANSLATE($A669,""en"",""pt-BR"")"),"Rangamati")</f>
        <v>Rangamati</v>
      </c>
    </row>
    <row r="670">
      <c r="A670" s="9" t="str">
        <f>IFERROR(__xludf.DUMMYFUNCTION("""COMPUTED_VALUE"""),"Tangail")</f>
        <v>Tangail</v>
      </c>
      <c r="B670" s="9" t="str">
        <f>IFERROR(__xludf.DUMMYFUNCTION("""COMPUTED_VALUE"""),"bd-63")</f>
        <v>bd-63</v>
      </c>
      <c r="C670" s="9" t="str">
        <f>IFERROR(__xludf.DUMMYFUNCTION("GOOGLETRANSLATE($A670,""en"",""de"")"),"Tangail")</f>
        <v>Tangail</v>
      </c>
      <c r="D670" s="9" t="str">
        <f>IFERROR(__xludf.DUMMYFUNCTION("GOOGLETRANSLATE($A670,""en"",""fr"")"),"Tangail")</f>
        <v>Tangail</v>
      </c>
      <c r="E670" s="9" t="str">
        <f>IFERROR(__xludf.DUMMYFUNCTION("GOOGLETRANSLATE($A670,""en"",""es"")"),"Tangail")</f>
        <v>Tangail</v>
      </c>
      <c r="F670" s="9" t="str">
        <f>IFERROR(__xludf.DUMMYFUNCTION("GOOGLETRANSLATE($A670,""en"",""it"")"),"Tangail")</f>
        <v>Tangail</v>
      </c>
      <c r="G670" s="9" t="str">
        <f>IFERROR(__xludf.DUMMYFUNCTION("GOOGLETRANSLATE($A670,""en"",""zh-cn"")"),"坦盖尔")</f>
        <v>坦盖尔</v>
      </c>
      <c r="H670" s="9" t="str">
        <f>IFERROR(__xludf.DUMMYFUNCTION("GOOGLETRANSLATE($A670,""en"",""ja"")"),"タンガイル")</f>
        <v>タンガイル</v>
      </c>
      <c r="I670" s="9" t="str">
        <f>IFERROR(__xludf.DUMMYFUNCTION("GOOGLETRANSLATE($A670,""en"",""ko"")"),"탕가일")</f>
        <v>탕가일</v>
      </c>
      <c r="J670" s="9" t="str">
        <f>IFERROR(__xludf.DUMMYFUNCTION("GOOGLETRANSLATE($A670,""en"",""pt-BR"")"),"Tangail")</f>
        <v>Tangail</v>
      </c>
    </row>
    <row r="671">
      <c r="A671" s="9" t="str">
        <f>IFERROR(__xludf.DUMMYFUNCTION("""COMPUTED_VALUE"""),"Narsingdi")</f>
        <v>Narsingdi</v>
      </c>
      <c r="B671" s="9" t="str">
        <f>IFERROR(__xludf.DUMMYFUNCTION("""COMPUTED_VALUE"""),"bd-42")</f>
        <v>bd-42</v>
      </c>
      <c r="C671" s="9" t="str">
        <f>IFERROR(__xludf.DUMMYFUNCTION("GOOGLETRANSLATE($A671,""en"",""de"")"),"Narsingdi")</f>
        <v>Narsingdi</v>
      </c>
      <c r="D671" s="9" t="str">
        <f>IFERROR(__xludf.DUMMYFUNCTION("GOOGLETRANSLATE($A671,""en"",""fr"")"),"Narsingdi")</f>
        <v>Narsingdi</v>
      </c>
      <c r="E671" s="9" t="str">
        <f>IFERROR(__xludf.DUMMYFUNCTION("GOOGLETRANSLATE($A671,""en"",""es"")"),"Narsingdi")</f>
        <v>Narsingdi</v>
      </c>
      <c r="F671" s="9" t="str">
        <f>IFERROR(__xludf.DUMMYFUNCTION("GOOGLETRANSLATE($A671,""en"",""it"")"),"Narsingdi")</f>
        <v>Narsingdi</v>
      </c>
      <c r="G671" s="9" t="str">
        <f>IFERROR(__xludf.DUMMYFUNCTION("GOOGLETRANSLATE($A671,""en"",""zh-cn"")"),"纳尔辛迪")</f>
        <v>纳尔辛迪</v>
      </c>
      <c r="H671" s="9" t="str">
        <f>IFERROR(__xludf.DUMMYFUNCTION("GOOGLETRANSLATE($A671,""en"",""ja"")"),"ナルシンディ")</f>
        <v>ナルシンディ</v>
      </c>
      <c r="I671" s="9" t="str">
        <f>IFERROR(__xludf.DUMMYFUNCTION("GOOGLETRANSLATE($A671,""en"",""ko"")"),"나르싱디")</f>
        <v>나르싱디</v>
      </c>
      <c r="J671" s="9" t="str">
        <f>IFERROR(__xludf.DUMMYFUNCTION("GOOGLETRANSLATE($A671,""en"",""pt-BR"")"),"Narsingdi")</f>
        <v>Narsingdi</v>
      </c>
    </row>
    <row r="672">
      <c r="A672" s="9" t="str">
        <f>IFERROR(__xludf.DUMMYFUNCTION("""COMPUTED_VALUE"""),"Faridpur")</f>
        <v>Faridpur</v>
      </c>
      <c r="B672" s="9" t="str">
        <f>IFERROR(__xludf.DUMMYFUNCTION("""COMPUTED_VALUE"""),"bd-15")</f>
        <v>bd-15</v>
      </c>
      <c r="C672" s="9" t="str">
        <f>IFERROR(__xludf.DUMMYFUNCTION("GOOGLETRANSLATE($A672,""en"",""de"")"),"Faridpur")</f>
        <v>Faridpur</v>
      </c>
      <c r="D672" s="9" t="str">
        <f>IFERROR(__xludf.DUMMYFUNCTION("GOOGLETRANSLATE($A672,""en"",""fr"")"),"Faridpur")</f>
        <v>Faridpur</v>
      </c>
      <c r="E672" s="9" t="str">
        <f>IFERROR(__xludf.DUMMYFUNCTION("GOOGLETRANSLATE($A672,""en"",""es"")"),"Faridpur")</f>
        <v>Faridpur</v>
      </c>
      <c r="F672" s="9" t="str">
        <f>IFERROR(__xludf.DUMMYFUNCTION("GOOGLETRANSLATE($A672,""en"",""it"")"),"Faridpur")</f>
        <v>Faridpur</v>
      </c>
      <c r="G672" s="9" t="str">
        <f>IFERROR(__xludf.DUMMYFUNCTION("GOOGLETRANSLATE($A672,""en"",""zh-cn"")"),"法里德布尔")</f>
        <v>法里德布尔</v>
      </c>
      <c r="H672" s="9" t="str">
        <f>IFERROR(__xludf.DUMMYFUNCTION("GOOGLETRANSLATE($A672,""en"",""ja"")"),"ファリドプル")</f>
        <v>ファリドプル</v>
      </c>
      <c r="I672" s="9" t="str">
        <f>IFERROR(__xludf.DUMMYFUNCTION("GOOGLETRANSLATE($A672,""en"",""ko"")"),"파리드푸르")</f>
        <v>파리드푸르</v>
      </c>
      <c r="J672" s="9" t="str">
        <f>IFERROR(__xludf.DUMMYFUNCTION("GOOGLETRANSLATE($A672,""en"",""pt-BR"")"),"Faridpur")</f>
        <v>Faridpur</v>
      </c>
    </row>
    <row r="673">
      <c r="A673" s="9" t="str">
        <f>IFERROR(__xludf.DUMMYFUNCTION("""COMPUTED_VALUE"""),"Dhaka (Division)")</f>
        <v>Dhaka (Division)</v>
      </c>
      <c r="B673" s="9" t="str">
        <f>IFERROR(__xludf.DUMMYFUNCTION("""COMPUTED_VALUE"""),"bd-c")</f>
        <v>bd-c</v>
      </c>
      <c r="C673" s="9" t="str">
        <f>IFERROR(__xludf.DUMMYFUNCTION("GOOGLETRANSLATE($A673,""en"",""de"")"),"Dhaka (Abteilung)")</f>
        <v>Dhaka (Abteilung)</v>
      </c>
      <c r="D673" s="9" t="str">
        <f>IFERROR(__xludf.DUMMYFUNCTION("GOOGLETRANSLATE($A673,""en"",""fr"")"),"Dacca (Division)")</f>
        <v>Dacca (Division)</v>
      </c>
      <c r="E673" s="9" t="str">
        <f>IFERROR(__xludf.DUMMYFUNCTION("GOOGLETRANSLATE($A673,""en"",""es"")"),"Daca (División)")</f>
        <v>Daca (División)</v>
      </c>
      <c r="F673" s="9" t="str">
        <f>IFERROR(__xludf.DUMMYFUNCTION("GOOGLETRANSLATE($A673,""en"",""it"")"),"Dacca (Divisione)")</f>
        <v>Dacca (Divisione)</v>
      </c>
      <c r="G673" s="9" t="str">
        <f>IFERROR(__xludf.DUMMYFUNCTION("GOOGLETRANSLATE($A673,""en"",""zh-cn"")"),"达卡（分区）")</f>
        <v>达卡（分区）</v>
      </c>
      <c r="H673" s="9" t="str">
        <f>IFERROR(__xludf.DUMMYFUNCTION("GOOGLETRANSLATE($A673,""en"",""ja"")"),"ダッカ (部門)")</f>
        <v>ダッカ (部門)</v>
      </c>
      <c r="I673" s="9" t="str">
        <f>IFERROR(__xludf.DUMMYFUNCTION("GOOGLETRANSLATE($A673,""en"",""ko"")"),"다카(디비전)")</f>
        <v>다카(디비전)</v>
      </c>
      <c r="J673" s="9" t="str">
        <f>IFERROR(__xludf.DUMMYFUNCTION("GOOGLETRANSLATE($A673,""en"",""pt-BR"")"),"Daca (Divisão)")</f>
        <v>Daca (Divisão)</v>
      </c>
    </row>
    <row r="674">
      <c r="A674" s="9" t="str">
        <f>IFERROR(__xludf.DUMMYFUNCTION("""COMPUTED_VALUE"""),"Gaibandha")</f>
        <v>Gaibandha</v>
      </c>
      <c r="B674" s="9" t="str">
        <f>IFERROR(__xludf.DUMMYFUNCTION("""COMPUTED_VALUE"""),"bd-19")</f>
        <v>bd-19</v>
      </c>
      <c r="C674" s="9" t="str">
        <f>IFERROR(__xludf.DUMMYFUNCTION("GOOGLETRANSLATE($A674,""en"",""de"")"),"Gaibandha")</f>
        <v>Gaibandha</v>
      </c>
      <c r="D674" s="9" t="str">
        <f>IFERROR(__xludf.DUMMYFUNCTION("GOOGLETRANSLATE($A674,""en"",""fr"")"),"Gaibandha")</f>
        <v>Gaibandha</v>
      </c>
      <c r="E674" s="9" t="str">
        <f>IFERROR(__xludf.DUMMYFUNCTION("GOOGLETRANSLATE($A674,""en"",""es"")"),"Gaibandha")</f>
        <v>Gaibandha</v>
      </c>
      <c r="F674" s="9" t="str">
        <f>IFERROR(__xludf.DUMMYFUNCTION("GOOGLETRANSLATE($A674,""en"",""it"")"),"Gaibandha")</f>
        <v>Gaibandha</v>
      </c>
      <c r="G674" s="9" t="str">
        <f>IFERROR(__xludf.DUMMYFUNCTION("GOOGLETRANSLATE($A674,""en"",""zh-cn"")"),"盖班达")</f>
        <v>盖班达</v>
      </c>
      <c r="H674" s="9" t="str">
        <f>IFERROR(__xludf.DUMMYFUNCTION("GOOGLETRANSLATE($A674,""en"",""ja"")"),"ガイバンダ")</f>
        <v>ガイバンダ</v>
      </c>
      <c r="I674" s="9" t="str">
        <f>IFERROR(__xludf.DUMMYFUNCTION("GOOGLETRANSLATE($A674,""en"",""ko"")"),"가이반다")</f>
        <v>가이반다</v>
      </c>
      <c r="J674" s="9" t="str">
        <f>IFERROR(__xludf.DUMMYFUNCTION("GOOGLETRANSLATE($A674,""en"",""pt-BR"")"),"Gaibandha")</f>
        <v>Gaibandha</v>
      </c>
    </row>
    <row r="675">
      <c r="A675" s="9" t="str">
        <f>IFERROR(__xludf.DUMMYFUNCTION("""COMPUTED_VALUE"""),"Rajshahi (District)")</f>
        <v>Rajshahi (District)</v>
      </c>
      <c r="B675" s="9" t="str">
        <f>IFERROR(__xludf.DUMMYFUNCTION("""COMPUTED_VALUE"""),"bd-54")</f>
        <v>bd-54</v>
      </c>
      <c r="C675" s="9" t="str">
        <f>IFERROR(__xludf.DUMMYFUNCTION("GOOGLETRANSLATE($A675,""en"",""de"")"),"Rajshahi (Bezirk)")</f>
        <v>Rajshahi (Bezirk)</v>
      </c>
      <c r="D675" s="9" t="str">
        <f>IFERROR(__xludf.DUMMYFUNCTION("GOOGLETRANSLATE($A675,""en"",""fr"")"),"Râjshahi (district)")</f>
        <v>Râjshahi (district)</v>
      </c>
      <c r="E675" s="9" t="str">
        <f>IFERROR(__xludf.DUMMYFUNCTION("GOOGLETRANSLATE($A675,""en"",""es"")"),"Rajshahi (distrito)")</f>
        <v>Rajshahi (distrito)</v>
      </c>
      <c r="F675" s="9" t="str">
        <f>IFERROR(__xludf.DUMMYFUNCTION("GOOGLETRANSLATE($A675,""en"",""it"")"),"Rajshahi (distretto)")</f>
        <v>Rajshahi (distretto)</v>
      </c>
      <c r="G675" s="9" t="str">
        <f>IFERROR(__xludf.DUMMYFUNCTION("GOOGLETRANSLATE($A675,""en"",""zh-cn"")"),"拉杰沙希（区）")</f>
        <v>拉杰沙希（区）</v>
      </c>
      <c r="H675" s="9" t="str">
        <f>IFERROR(__xludf.DUMMYFUNCTION("GOOGLETRANSLATE($A675,""en"",""ja"")"),"ラジシャヒ (地区)")</f>
        <v>ラジシャヒ (地区)</v>
      </c>
      <c r="I675" s="9" t="str">
        <f>IFERROR(__xludf.DUMMYFUNCTION("GOOGLETRANSLATE($A675,""en"",""ko"")"),"라지샤히(지구)")</f>
        <v>라지샤히(지구)</v>
      </c>
      <c r="J675" s="9" t="str">
        <f>IFERROR(__xludf.DUMMYFUNCTION("GOOGLETRANSLATE($A675,""en"",""pt-BR"")"),"Rajshahi (distrito)")</f>
        <v>Rajshahi (distrito)</v>
      </c>
    </row>
    <row r="676">
      <c r="A676" s="9" t="str">
        <f>IFERROR(__xludf.DUMMYFUNCTION("""COMPUTED_VALUE"""),"Naogaon")</f>
        <v>Naogaon</v>
      </c>
      <c r="B676" s="9" t="str">
        <f>IFERROR(__xludf.DUMMYFUNCTION("""COMPUTED_VALUE"""),"bd-48")</f>
        <v>bd-48</v>
      </c>
      <c r="C676" s="9" t="str">
        <f>IFERROR(__xludf.DUMMYFUNCTION("GOOGLETRANSLATE($A676,""en"",""de"")"),"Naogaon")</f>
        <v>Naogaon</v>
      </c>
      <c r="D676" s="9" t="str">
        <f>IFERROR(__xludf.DUMMYFUNCTION("GOOGLETRANSLATE($A676,""en"",""fr"")"),"Naogaon")</f>
        <v>Naogaon</v>
      </c>
      <c r="E676" s="9" t="str">
        <f>IFERROR(__xludf.DUMMYFUNCTION("GOOGLETRANSLATE($A676,""en"",""es"")"),"naogaón")</f>
        <v>naogaón</v>
      </c>
      <c r="F676" s="9" t="str">
        <f>IFERROR(__xludf.DUMMYFUNCTION("GOOGLETRANSLATE($A676,""en"",""it"")"),"Naogaon")</f>
        <v>Naogaon</v>
      </c>
      <c r="G676" s="9" t="str">
        <f>IFERROR(__xludf.DUMMYFUNCTION("GOOGLETRANSLATE($A676,""en"",""zh-cn"")"),"纳奥冈")</f>
        <v>纳奥冈</v>
      </c>
      <c r="H676" s="9" t="str">
        <f>IFERROR(__xludf.DUMMYFUNCTION("GOOGLETRANSLATE($A676,""en"",""ja"")"),"ナオガオン")</f>
        <v>ナオガオン</v>
      </c>
      <c r="I676" s="9" t="str">
        <f>IFERROR(__xludf.DUMMYFUNCTION("GOOGLETRANSLATE($A676,""en"",""ko"")"),"나오가온")</f>
        <v>나오가온</v>
      </c>
      <c r="J676" s="9" t="str">
        <f>IFERROR(__xludf.DUMMYFUNCTION("GOOGLETRANSLATE($A676,""en"",""pt-BR"")"),"Naogaon")</f>
        <v>Naogaon</v>
      </c>
    </row>
    <row r="677">
      <c r="A677" s="9" t="str">
        <f>IFERROR(__xludf.DUMMYFUNCTION("""COMPUTED_VALUE"""),"Mymensingh")</f>
        <v>Mymensingh</v>
      </c>
      <c r="B677" s="9" t="str">
        <f>IFERROR(__xludf.DUMMYFUNCTION("""COMPUTED_VALUE"""),"bd-34")</f>
        <v>bd-34</v>
      </c>
      <c r="C677" s="9" t="str">
        <f>IFERROR(__xludf.DUMMYFUNCTION("GOOGLETRANSLATE($A677,""en"",""de"")"),"Mymensingh")</f>
        <v>Mymensingh</v>
      </c>
      <c r="D677" s="9" t="str">
        <f>IFERROR(__xludf.DUMMYFUNCTION("GOOGLETRANSLATE($A677,""en"",""fr"")"),"Mymensingh")</f>
        <v>Mymensingh</v>
      </c>
      <c r="E677" s="9" t="str">
        <f>IFERROR(__xludf.DUMMYFUNCTION("GOOGLETRANSLATE($A677,""en"",""es"")"),"mymensingh")</f>
        <v>mymensingh</v>
      </c>
      <c r="F677" s="9" t="str">
        <f>IFERROR(__xludf.DUMMYFUNCTION("GOOGLETRANSLATE($A677,""en"",""it"")"),"Mymensingh")</f>
        <v>Mymensingh</v>
      </c>
      <c r="G677" s="9" t="str">
        <f>IFERROR(__xludf.DUMMYFUNCTION("GOOGLETRANSLATE($A677,""en"",""zh-cn"")"),"迈门辛")</f>
        <v>迈门辛</v>
      </c>
      <c r="H677" s="9" t="str">
        <f>IFERROR(__xludf.DUMMYFUNCTION("GOOGLETRANSLATE($A677,""en"",""ja"")"),"マイメンシン")</f>
        <v>マイメンシン</v>
      </c>
      <c r="I677" s="9" t="str">
        <f>IFERROR(__xludf.DUMMYFUNCTION("GOOGLETRANSLATE($A677,""en"",""ko"")"),"마이멘싱")</f>
        <v>마이멘싱</v>
      </c>
      <c r="J677" s="9" t="str">
        <f>IFERROR(__xludf.DUMMYFUNCTION("GOOGLETRANSLATE($A677,""en"",""pt-BR"")"),"Mymensingh")</f>
        <v>Mymensingh</v>
      </c>
    </row>
    <row r="678">
      <c r="A678" s="9" t="str">
        <f>IFERROR(__xludf.DUMMYFUNCTION("""COMPUTED_VALUE"""),"Khulna (District)")</f>
        <v>Khulna (District)</v>
      </c>
      <c r="B678" s="9" t="str">
        <f>IFERROR(__xludf.DUMMYFUNCTION("""COMPUTED_VALUE"""),"bd-27")</f>
        <v>bd-27</v>
      </c>
      <c r="C678" s="9" t="str">
        <f>IFERROR(__xludf.DUMMYFUNCTION("GOOGLETRANSLATE($A678,""en"",""de"")"),"Khulna (Bezirk)")</f>
        <v>Khulna (Bezirk)</v>
      </c>
      <c r="D678" s="9" t="str">
        <f>IFERROR(__xludf.DUMMYFUNCTION("GOOGLETRANSLATE($A678,""en"",""fr"")"),"Khulnâ (district)")</f>
        <v>Khulnâ (district)</v>
      </c>
      <c r="E678" s="9" t="str">
        <f>IFERROR(__xludf.DUMMYFUNCTION("GOOGLETRANSLATE($A678,""en"",""es"")"),"Khulna (distrito)")</f>
        <v>Khulna (distrito)</v>
      </c>
      <c r="F678" s="9" t="str">
        <f>IFERROR(__xludf.DUMMYFUNCTION("GOOGLETRANSLATE($A678,""en"",""it"")"),"Khulna (distretto)")</f>
        <v>Khulna (distretto)</v>
      </c>
      <c r="G678" s="9" t="str">
        <f>IFERROR(__xludf.DUMMYFUNCTION("GOOGLETRANSLATE($A678,""en"",""zh-cn"")"),"库尔纳 (区)")</f>
        <v>库尔纳 (区)</v>
      </c>
      <c r="H678" s="9" t="str">
        <f>IFERROR(__xludf.DUMMYFUNCTION("GOOGLETRANSLATE($A678,""en"",""ja"")"),"クルナ (地区)")</f>
        <v>クルナ (地区)</v>
      </c>
      <c r="I678" s="9" t="str">
        <f>IFERROR(__xludf.DUMMYFUNCTION("GOOGLETRANSLATE($A678,""en"",""ko"")"),"쿨나(지구)")</f>
        <v>쿨나(지구)</v>
      </c>
      <c r="J678" s="9" t="str">
        <f>IFERROR(__xludf.DUMMYFUNCTION("GOOGLETRANSLATE($A678,""en"",""pt-BR"")"),"Khulna (distrito)")</f>
        <v>Khulna (distrito)</v>
      </c>
    </row>
    <row r="679">
      <c r="A679" s="9" t="str">
        <f>IFERROR(__xludf.DUMMYFUNCTION("""COMPUTED_VALUE"""),"Barisal (Division)")</f>
        <v>Barisal (Division)</v>
      </c>
      <c r="B679" s="9" t="str">
        <f>IFERROR(__xludf.DUMMYFUNCTION("""COMPUTED_VALUE"""),"bd-a")</f>
        <v>bd-a</v>
      </c>
      <c r="C679" s="9" t="str">
        <f>IFERROR(__xludf.DUMMYFUNCTION("GOOGLETRANSLATE($A679,""en"",""de"")"),"Barishal (Abteilung)")</f>
        <v>Barishal (Abteilung)</v>
      </c>
      <c r="D679" s="9" t="str">
        <f>IFERROR(__xludf.DUMMYFUNCTION("GOOGLETRANSLATE($A679,""en"",""fr"")"),"Barisal (Division)")</f>
        <v>Barisal (Division)</v>
      </c>
      <c r="E679" s="9" t="str">
        <f>IFERROR(__xludf.DUMMYFUNCTION("GOOGLETRANSLATE($A679,""en"",""es"")"),"Barisal (División)")</f>
        <v>Barisal (División)</v>
      </c>
      <c r="F679" s="9" t="str">
        <f>IFERROR(__xludf.DUMMYFUNCTION("GOOGLETRANSLATE($A679,""en"",""it"")"),"Barisal (Divisione)")</f>
        <v>Barisal (Divisione)</v>
      </c>
      <c r="G679" s="9" t="str">
        <f>IFERROR(__xludf.DUMMYFUNCTION("GOOGLETRANSLATE($A679,""en"",""zh-cn"")"),"巴里萨尔（分区）")</f>
        <v>巴里萨尔（分区）</v>
      </c>
      <c r="H679" s="9" t="str">
        <f>IFERROR(__xludf.DUMMYFUNCTION("GOOGLETRANSLATE($A679,""en"",""ja"")"),"バリサル (師団)")</f>
        <v>バリサル (師団)</v>
      </c>
      <c r="I679" s="9" t="str">
        <f>IFERROR(__xludf.DUMMYFUNCTION("GOOGLETRANSLATE($A679,""en"",""ko"")"),"바리살(디비전)")</f>
        <v>바리살(디비전)</v>
      </c>
      <c r="J679" s="9" t="str">
        <f>IFERROR(__xludf.DUMMYFUNCTION("GOOGLETRANSLATE($A679,""en"",""pt-BR"")"),"Barisal (Divisão)")</f>
        <v>Barisal (Divisão)</v>
      </c>
    </row>
    <row r="680">
      <c r="A680" s="9" t="str">
        <f>IFERROR(__xludf.DUMMYFUNCTION("""COMPUTED_VALUE"""),"Habiganj")</f>
        <v>Habiganj</v>
      </c>
      <c r="B680" s="9" t="str">
        <f>IFERROR(__xludf.DUMMYFUNCTION("""COMPUTED_VALUE"""),"bd-20")</f>
        <v>bd-20</v>
      </c>
      <c r="C680" s="9" t="str">
        <f>IFERROR(__xludf.DUMMYFUNCTION("GOOGLETRANSLATE($A680,""en"",""de"")"),"Habiganj")</f>
        <v>Habiganj</v>
      </c>
      <c r="D680" s="9" t="str">
        <f>IFERROR(__xludf.DUMMYFUNCTION("GOOGLETRANSLATE($A680,""en"",""fr"")"),"Habiganj")</f>
        <v>Habiganj</v>
      </c>
      <c r="E680" s="9" t="str">
        <f>IFERROR(__xludf.DUMMYFUNCTION("GOOGLETRANSLATE($A680,""en"",""es"")"),"Habiganj")</f>
        <v>Habiganj</v>
      </c>
      <c r="F680" s="9" t="str">
        <f>IFERROR(__xludf.DUMMYFUNCTION("GOOGLETRANSLATE($A680,""en"",""it"")"),"Habiganj")</f>
        <v>Habiganj</v>
      </c>
      <c r="G680" s="9" t="str">
        <f>IFERROR(__xludf.DUMMYFUNCTION("GOOGLETRANSLATE($A680,""en"",""zh-cn"")"),"哈比甘杰")</f>
        <v>哈比甘杰</v>
      </c>
      <c r="H680" s="9" t="str">
        <f>IFERROR(__xludf.DUMMYFUNCTION("GOOGLETRANSLATE($A680,""en"",""ja"")"),"ハビガンジ")</f>
        <v>ハビガンジ</v>
      </c>
      <c r="I680" s="9" t="str">
        <f>IFERROR(__xludf.DUMMYFUNCTION("GOOGLETRANSLATE($A680,""en"",""ko"")"),"하비간지")</f>
        <v>하비간지</v>
      </c>
      <c r="J680" s="9" t="str">
        <f>IFERROR(__xludf.DUMMYFUNCTION("GOOGLETRANSLATE($A680,""en"",""pt-BR"")"),"Habiganj")</f>
        <v>Habiganj</v>
      </c>
    </row>
    <row r="681">
      <c r="A681" s="9" t="str">
        <f>IFERROR(__xludf.DUMMYFUNCTION("""COMPUTED_VALUE"""),"Netrakona")</f>
        <v>Netrakona</v>
      </c>
      <c r="B681" s="9" t="str">
        <f>IFERROR(__xludf.DUMMYFUNCTION("""COMPUTED_VALUE"""),"bd-41")</f>
        <v>bd-41</v>
      </c>
      <c r="C681" s="9" t="str">
        <f>IFERROR(__xludf.DUMMYFUNCTION("GOOGLETRANSLATE($A681,""en"",""de"")"),"Netrakona")</f>
        <v>Netrakona</v>
      </c>
      <c r="D681" s="9" t="str">
        <f>IFERROR(__xludf.DUMMYFUNCTION("GOOGLETRANSLATE($A681,""en"",""fr"")"),"Netrakona")</f>
        <v>Netrakona</v>
      </c>
      <c r="E681" s="9" t="str">
        <f>IFERROR(__xludf.DUMMYFUNCTION("GOOGLETRANSLATE($A681,""en"",""es"")"),"Netrakona")</f>
        <v>Netrakona</v>
      </c>
      <c r="F681" s="9" t="str">
        <f>IFERROR(__xludf.DUMMYFUNCTION("GOOGLETRANSLATE($A681,""en"",""it"")"),"Netrakona")</f>
        <v>Netrakona</v>
      </c>
      <c r="G681" s="9" t="str">
        <f>IFERROR(__xludf.DUMMYFUNCTION("GOOGLETRANSLATE($A681,""en"",""zh-cn"")"),"内特拉科纳")</f>
        <v>内特拉科纳</v>
      </c>
      <c r="H681" s="9" t="str">
        <f>IFERROR(__xludf.DUMMYFUNCTION("GOOGLETRANSLATE($A681,""en"",""ja"")"),"ネトラコナ")</f>
        <v>ネトラコナ</v>
      </c>
      <c r="I681" s="9" t="str">
        <f>IFERROR(__xludf.DUMMYFUNCTION("GOOGLETRANSLATE($A681,""en"",""ko"")"),"네트라코나")</f>
        <v>네트라코나</v>
      </c>
      <c r="J681" s="9" t="str">
        <f>IFERROR(__xludf.DUMMYFUNCTION("GOOGLETRANSLATE($A681,""en"",""pt-BR"")"),"Netrakona")</f>
        <v>Netrakona</v>
      </c>
    </row>
    <row r="682">
      <c r="A682" s="9" t="str">
        <f>IFERROR(__xludf.DUMMYFUNCTION("""COMPUTED_VALUE"""),"Gazipur")</f>
        <v>Gazipur</v>
      </c>
      <c r="B682" s="9" t="str">
        <f>IFERROR(__xludf.DUMMYFUNCTION("""COMPUTED_VALUE"""),"bd-18")</f>
        <v>bd-18</v>
      </c>
      <c r="C682" s="9" t="str">
        <f>IFERROR(__xludf.DUMMYFUNCTION("GOOGLETRANSLATE($A682,""en"",""de"")"),"Gazipur")</f>
        <v>Gazipur</v>
      </c>
      <c r="D682" s="9" t="str">
        <f>IFERROR(__xludf.DUMMYFUNCTION("GOOGLETRANSLATE($A682,""en"",""fr"")"),"Gazipur")</f>
        <v>Gazipur</v>
      </c>
      <c r="E682" s="9" t="str">
        <f>IFERROR(__xludf.DUMMYFUNCTION("GOOGLETRANSLATE($A682,""en"",""es"")"),"Gazipur")</f>
        <v>Gazipur</v>
      </c>
      <c r="F682" s="9" t="str">
        <f>IFERROR(__xludf.DUMMYFUNCTION("GOOGLETRANSLATE($A682,""en"",""it"")"),"Gazipur")</f>
        <v>Gazipur</v>
      </c>
      <c r="G682" s="9" t="str">
        <f>IFERROR(__xludf.DUMMYFUNCTION("GOOGLETRANSLATE($A682,""en"",""zh-cn"")"),"加济普尔")</f>
        <v>加济普尔</v>
      </c>
      <c r="H682" s="9" t="str">
        <f>IFERROR(__xludf.DUMMYFUNCTION("GOOGLETRANSLATE($A682,""en"",""ja"")"),"ガジプール")</f>
        <v>ガジプール</v>
      </c>
      <c r="I682" s="9" t="str">
        <f>IFERROR(__xludf.DUMMYFUNCTION("GOOGLETRANSLATE($A682,""en"",""ko"")"),"가지푸르")</f>
        <v>가지푸르</v>
      </c>
      <c r="J682" s="9" t="str">
        <f>IFERROR(__xludf.DUMMYFUNCTION("GOOGLETRANSLATE($A682,""en"",""pt-BR"")"),"Gazipur")</f>
        <v>Gazipur</v>
      </c>
    </row>
    <row r="683">
      <c r="A683" s="9" t="str">
        <f>IFERROR(__xludf.DUMMYFUNCTION("""COMPUTED_VALUE"""),"Rajshahi (Division)")</f>
        <v>Rajshahi (Division)</v>
      </c>
      <c r="B683" s="9" t="str">
        <f>IFERROR(__xludf.DUMMYFUNCTION("""COMPUTED_VALUE"""),"bd-e")</f>
        <v>bd-e</v>
      </c>
      <c r="C683" s="9" t="str">
        <f>IFERROR(__xludf.DUMMYFUNCTION("GOOGLETRANSLATE($A683,""en"",""de"")"),"Rajshahi (Abteilung)")</f>
        <v>Rajshahi (Abteilung)</v>
      </c>
      <c r="D683" s="9" t="str">
        <f>IFERROR(__xludf.DUMMYFUNCTION("GOOGLETRANSLATE($A683,""en"",""fr"")"),"Rajshahi (Division)")</f>
        <v>Rajshahi (Division)</v>
      </c>
      <c r="E683" s="9" t="str">
        <f>IFERROR(__xludf.DUMMYFUNCTION("GOOGLETRANSLATE($A683,""en"",""es"")"),"Rajshahi (División)")</f>
        <v>Rajshahi (División)</v>
      </c>
      <c r="F683" s="9" t="str">
        <f>IFERROR(__xludf.DUMMYFUNCTION("GOOGLETRANSLATE($A683,""en"",""it"")"),"Rajshahi (Divisione)")</f>
        <v>Rajshahi (Divisione)</v>
      </c>
      <c r="G683" s="9" t="str">
        <f>IFERROR(__xludf.DUMMYFUNCTION("GOOGLETRANSLATE($A683,""en"",""zh-cn"")"),"拉杰沙希（师）")</f>
        <v>拉杰沙希（师）</v>
      </c>
      <c r="H683" s="9" t="str">
        <f>IFERROR(__xludf.DUMMYFUNCTION("GOOGLETRANSLATE($A683,""en"",""ja"")"),"ラジシャヒ (部門)")</f>
        <v>ラジシャヒ (部門)</v>
      </c>
      <c r="I683" s="9" t="str">
        <f>IFERROR(__xludf.DUMMYFUNCTION("GOOGLETRANSLATE($A683,""en"",""ko"")"),"라지샤히(디비전)")</f>
        <v>라지샤히(디비전)</v>
      </c>
      <c r="J683" s="9" t="str">
        <f>IFERROR(__xludf.DUMMYFUNCTION("GOOGLETRANSLATE($A683,""en"",""pt-BR"")"),"Rajshahi (Divisão)")</f>
        <v>Rajshahi (Divisão)</v>
      </c>
    </row>
    <row r="684">
      <c r="A684" s="9" t="str">
        <f>IFERROR(__xludf.DUMMYFUNCTION("""COMPUTED_VALUE"""),"Feni")</f>
        <v>Feni</v>
      </c>
      <c r="B684" s="9" t="str">
        <f>IFERROR(__xludf.DUMMYFUNCTION("""COMPUTED_VALUE"""),"bd-16")</f>
        <v>bd-16</v>
      </c>
      <c r="C684" s="9" t="str">
        <f>IFERROR(__xludf.DUMMYFUNCTION("GOOGLETRANSLATE($A684,""en"",""de"")"),"Feni")</f>
        <v>Feni</v>
      </c>
      <c r="D684" s="9" t="str">
        <f>IFERROR(__xludf.DUMMYFUNCTION("GOOGLETRANSLATE($A684,""en"",""fr"")"),"Féni")</f>
        <v>Féni</v>
      </c>
      <c r="E684" s="9" t="str">
        <f>IFERROR(__xludf.DUMMYFUNCTION("GOOGLETRANSLATE($A684,""en"",""es"")"),"feni")</f>
        <v>feni</v>
      </c>
      <c r="F684" s="9" t="str">
        <f>IFERROR(__xludf.DUMMYFUNCTION("GOOGLETRANSLATE($A684,""en"",""it"")"),"Feni")</f>
        <v>Feni</v>
      </c>
      <c r="G684" s="9" t="str">
        <f>IFERROR(__xludf.DUMMYFUNCTION("GOOGLETRANSLATE($A684,""en"",""zh-cn"")"),"费尼")</f>
        <v>费尼</v>
      </c>
      <c r="H684" s="9" t="str">
        <f>IFERROR(__xludf.DUMMYFUNCTION("GOOGLETRANSLATE($A684,""en"",""ja"")"),"フェニ")</f>
        <v>フェニ</v>
      </c>
      <c r="I684" s="9" t="str">
        <f>IFERROR(__xludf.DUMMYFUNCTION("GOOGLETRANSLATE($A684,""en"",""ko"")"),"페니")</f>
        <v>페니</v>
      </c>
      <c r="J684" s="9" t="str">
        <f>IFERROR(__xludf.DUMMYFUNCTION("GOOGLETRANSLATE($A684,""en"",""pt-BR"")"),"Feni")</f>
        <v>Feni</v>
      </c>
    </row>
    <row r="685">
      <c r="A685" s="9" t="str">
        <f>IFERROR(__xludf.DUMMYFUNCTION("""COMPUTED_VALUE"""),"Pabna")</f>
        <v>Pabna</v>
      </c>
      <c r="B685" s="9" t="str">
        <f>IFERROR(__xludf.DUMMYFUNCTION("""COMPUTED_VALUE"""),"bd-49")</f>
        <v>bd-49</v>
      </c>
      <c r="C685" s="9" t="str">
        <f>IFERROR(__xludf.DUMMYFUNCTION("GOOGLETRANSLATE($A685,""en"",""de"")"),"Pabna")</f>
        <v>Pabna</v>
      </c>
      <c r="D685" s="9" t="str">
        <f>IFERROR(__xludf.DUMMYFUNCTION("GOOGLETRANSLATE($A685,""en"",""fr"")"),"Pabna")</f>
        <v>Pabna</v>
      </c>
      <c r="E685" s="9" t="str">
        <f>IFERROR(__xludf.DUMMYFUNCTION("GOOGLETRANSLATE($A685,""en"",""es"")"),"pabna")</f>
        <v>pabna</v>
      </c>
      <c r="F685" s="9" t="str">
        <f>IFERROR(__xludf.DUMMYFUNCTION("GOOGLETRANSLATE($A685,""en"",""it"")"),"Pabna")</f>
        <v>Pabna</v>
      </c>
      <c r="G685" s="9" t="str">
        <f>IFERROR(__xludf.DUMMYFUNCTION("GOOGLETRANSLATE($A685,""en"",""zh-cn"")"),"帕布纳")</f>
        <v>帕布纳</v>
      </c>
      <c r="H685" s="9" t="str">
        <f>IFERROR(__xludf.DUMMYFUNCTION("GOOGLETRANSLATE($A685,""en"",""ja"")"),"パブナ")</f>
        <v>パブナ</v>
      </c>
      <c r="I685" s="9" t="str">
        <f>IFERROR(__xludf.DUMMYFUNCTION("GOOGLETRANSLATE($A685,""en"",""ko"")"),"파브나")</f>
        <v>파브나</v>
      </c>
      <c r="J685" s="9" t="str">
        <f>IFERROR(__xludf.DUMMYFUNCTION("GOOGLETRANSLATE($A685,""en"",""pt-BR"")"),"Pabna")</f>
        <v>Pabna</v>
      </c>
    </row>
    <row r="686">
      <c r="A686" s="9" t="str">
        <f>IFERROR(__xludf.DUMMYFUNCTION("""COMPUTED_VALUE"""),"Comilla")</f>
        <v>Comilla</v>
      </c>
      <c r="B686" s="9" t="str">
        <f>IFERROR(__xludf.DUMMYFUNCTION("""COMPUTED_VALUE"""),"bd-08")</f>
        <v>bd-08</v>
      </c>
      <c r="C686" s="9" t="str">
        <f>IFERROR(__xludf.DUMMYFUNCTION("GOOGLETRANSLATE($A686,""en"",""de"")"),"Komilla")</f>
        <v>Komilla</v>
      </c>
      <c r="D686" s="9" t="str">
        <f>IFERROR(__xludf.DUMMYFUNCTION("GOOGLETRANSLATE($A686,""en"",""fr"")"),"Comilla")</f>
        <v>Comilla</v>
      </c>
      <c r="E686" s="9" t="str">
        <f>IFERROR(__xludf.DUMMYFUNCTION("GOOGLETRANSLATE($A686,""en"",""es"")"),"comila")</f>
        <v>comila</v>
      </c>
      <c r="F686" s="9" t="str">
        <f>IFERROR(__xludf.DUMMYFUNCTION("GOOGLETRANSLATE($A686,""en"",""it"")"),"Comilla")</f>
        <v>Comilla</v>
      </c>
      <c r="G686" s="9" t="str">
        <f>IFERROR(__xludf.DUMMYFUNCTION("GOOGLETRANSLATE($A686,""en"",""zh-cn"")"),"科米拉")</f>
        <v>科米拉</v>
      </c>
      <c r="H686" s="9" t="str">
        <f>IFERROR(__xludf.DUMMYFUNCTION("GOOGLETRANSLATE($A686,""en"",""ja"")"),"コミラ")</f>
        <v>コミラ</v>
      </c>
      <c r="I686" s="9" t="str">
        <f>IFERROR(__xludf.DUMMYFUNCTION("GOOGLETRANSLATE($A686,""en"",""ko"")"),"코밀라")</f>
        <v>코밀라</v>
      </c>
      <c r="J686" s="9" t="str">
        <f>IFERROR(__xludf.DUMMYFUNCTION("GOOGLETRANSLATE($A686,""en"",""pt-BR"")"),"Comilla")</f>
        <v>Comilla</v>
      </c>
    </row>
    <row r="687">
      <c r="A687" s="9" t="str">
        <f>IFERROR(__xludf.DUMMYFUNCTION("""COMPUTED_VALUE"""),"Moulvibazar")</f>
        <v>Moulvibazar</v>
      </c>
      <c r="B687" s="9" t="str">
        <f>IFERROR(__xludf.DUMMYFUNCTION("""COMPUTED_VALUE"""),"bd-38")</f>
        <v>bd-38</v>
      </c>
      <c r="C687" s="9" t="str">
        <f>IFERROR(__xludf.DUMMYFUNCTION("GOOGLETRANSLATE($A687,""en"",""de"")"),"Moulvibazar")</f>
        <v>Moulvibazar</v>
      </c>
      <c r="D687" s="9" t="str">
        <f>IFERROR(__xludf.DUMMYFUNCTION("GOOGLETRANSLATE($A687,""en"",""fr"")"),"Moulvibazar")</f>
        <v>Moulvibazar</v>
      </c>
      <c r="E687" s="9" t="str">
        <f>IFERROR(__xludf.DUMMYFUNCTION("GOOGLETRANSLATE($A687,""en"",""es"")"),"Moulvibazar")</f>
        <v>Moulvibazar</v>
      </c>
      <c r="F687" s="9" t="str">
        <f>IFERROR(__xludf.DUMMYFUNCTION("GOOGLETRANSLATE($A687,""en"",""it"")"),"Moulvibazar")</f>
        <v>Moulvibazar</v>
      </c>
      <c r="G687" s="9" t="str">
        <f>IFERROR(__xludf.DUMMYFUNCTION("GOOGLETRANSLATE($A687,""en"",""zh-cn"")"),"穆尔维巴扎尔")</f>
        <v>穆尔维巴扎尔</v>
      </c>
      <c r="H687" s="9" t="str">
        <f>IFERROR(__xludf.DUMMYFUNCTION("GOOGLETRANSLATE($A687,""en"",""ja"")"),"ムルビバザール")</f>
        <v>ムルビバザール</v>
      </c>
      <c r="I687" s="9" t="str">
        <f>IFERROR(__xludf.DUMMYFUNCTION("GOOGLETRANSLATE($A687,""en"",""ko"")"),"물비바자르")</f>
        <v>물비바자르</v>
      </c>
      <c r="J687" s="9" t="str">
        <f>IFERROR(__xludf.DUMMYFUNCTION("GOOGLETRANSLATE($A687,""en"",""pt-BR"")"),"Moulvibazar")</f>
        <v>Moulvibazar</v>
      </c>
    </row>
    <row r="688">
      <c r="A688" s="9" t="str">
        <f>IFERROR(__xludf.DUMMYFUNCTION("""COMPUTED_VALUE"""),"Satkhira")</f>
        <v>Satkhira</v>
      </c>
      <c r="B688" s="9" t="str">
        <f>IFERROR(__xludf.DUMMYFUNCTION("""COMPUTED_VALUE"""),"bd-58")</f>
        <v>bd-58</v>
      </c>
      <c r="C688" s="9" t="str">
        <f>IFERROR(__xludf.DUMMYFUNCTION("GOOGLETRANSLATE($A688,""en"",""de"")"),"Satkhira")</f>
        <v>Satkhira</v>
      </c>
      <c r="D688" s="9" t="str">
        <f>IFERROR(__xludf.DUMMYFUNCTION("GOOGLETRANSLATE($A688,""en"",""fr"")"),"Satkhira")</f>
        <v>Satkhira</v>
      </c>
      <c r="E688" s="9" t="str">
        <f>IFERROR(__xludf.DUMMYFUNCTION("GOOGLETRANSLATE($A688,""en"",""es"")"),"Satkhira")</f>
        <v>Satkhira</v>
      </c>
      <c r="F688" s="9" t="str">
        <f>IFERROR(__xludf.DUMMYFUNCTION("GOOGLETRANSLATE($A688,""en"",""it"")"),"Satkhira")</f>
        <v>Satkhira</v>
      </c>
      <c r="G688" s="9" t="str">
        <f>IFERROR(__xludf.DUMMYFUNCTION("GOOGLETRANSLATE($A688,""en"",""zh-cn"")"),"萨基拉")</f>
        <v>萨基拉</v>
      </c>
      <c r="H688" s="9" t="str">
        <f>IFERROR(__xludf.DUMMYFUNCTION("GOOGLETRANSLATE($A688,""en"",""ja"")"),"サトキラ")</f>
        <v>サトキラ</v>
      </c>
      <c r="I688" s="9" t="str">
        <f>IFERROR(__xludf.DUMMYFUNCTION("GOOGLETRANSLATE($A688,""en"",""ko"")"),"사트키라")</f>
        <v>사트키라</v>
      </c>
      <c r="J688" s="9" t="str">
        <f>IFERROR(__xludf.DUMMYFUNCTION("GOOGLETRANSLATE($A688,""en"",""pt-BR"")"),"Satkhira")</f>
        <v>Satkhira</v>
      </c>
    </row>
    <row r="689">
      <c r="A689" s="9" t="str">
        <f>IFERROR(__xludf.DUMMYFUNCTION("""COMPUTED_VALUE"""),"Chandpur")</f>
        <v>Chandpur</v>
      </c>
      <c r="B689" s="9" t="str">
        <f>IFERROR(__xludf.DUMMYFUNCTION("""COMPUTED_VALUE"""),"bd-09")</f>
        <v>bd-09</v>
      </c>
      <c r="C689" s="9" t="str">
        <f>IFERROR(__xludf.DUMMYFUNCTION("GOOGLETRANSLATE($A689,""en"",""de"")"),"Chandpur")</f>
        <v>Chandpur</v>
      </c>
      <c r="D689" s="9" t="str">
        <f>IFERROR(__xludf.DUMMYFUNCTION("GOOGLETRANSLATE($A689,""en"",""fr"")"),"Chandpur")</f>
        <v>Chandpur</v>
      </c>
      <c r="E689" s="9" t="str">
        <f>IFERROR(__xludf.DUMMYFUNCTION("GOOGLETRANSLATE($A689,""en"",""es"")"),"Chandpur")</f>
        <v>Chandpur</v>
      </c>
      <c r="F689" s="9" t="str">
        <f>IFERROR(__xludf.DUMMYFUNCTION("GOOGLETRANSLATE($A689,""en"",""it"")"),"Chandpur")</f>
        <v>Chandpur</v>
      </c>
      <c r="G689" s="9" t="str">
        <f>IFERROR(__xludf.DUMMYFUNCTION("GOOGLETRANSLATE($A689,""en"",""zh-cn"")"),"钱德普尔")</f>
        <v>钱德普尔</v>
      </c>
      <c r="H689" s="9" t="str">
        <f>IFERROR(__xludf.DUMMYFUNCTION("GOOGLETRANSLATE($A689,""en"",""ja"")"),"チャンドプール")</f>
        <v>チャンドプール</v>
      </c>
      <c r="I689" s="9" t="str">
        <f>IFERROR(__xludf.DUMMYFUNCTION("GOOGLETRANSLATE($A689,""en"",""ko"")"),"찬드푸르")</f>
        <v>찬드푸르</v>
      </c>
      <c r="J689" s="9" t="str">
        <f>IFERROR(__xludf.DUMMYFUNCTION("GOOGLETRANSLATE($A689,""en"",""pt-BR"")"),"Chandpur")</f>
        <v>Chandpur</v>
      </c>
    </row>
    <row r="690">
      <c r="A690" s="9" t="str">
        <f>IFERROR(__xludf.DUMMYFUNCTION("""COMPUTED_VALUE"""),"Khagrachari")</f>
        <v>Khagrachari</v>
      </c>
      <c r="B690" s="9" t="str">
        <f>IFERROR(__xludf.DUMMYFUNCTION("""COMPUTED_VALUE"""),"bd-29")</f>
        <v>bd-29</v>
      </c>
      <c r="C690" s="9" t="str">
        <f>IFERROR(__xludf.DUMMYFUNCTION("GOOGLETRANSLATE($A690,""en"",""de"")"),"Khagrachari")</f>
        <v>Khagrachari</v>
      </c>
      <c r="D690" s="9" t="str">
        <f>IFERROR(__xludf.DUMMYFUNCTION("GOOGLETRANSLATE($A690,""en"",""fr"")"),"Khagrachari")</f>
        <v>Khagrachari</v>
      </c>
      <c r="E690" s="9" t="str">
        <f>IFERROR(__xludf.DUMMYFUNCTION("GOOGLETRANSLATE($A690,""en"",""es"")"),"Khagrachari")</f>
        <v>Khagrachari</v>
      </c>
      <c r="F690" s="9" t="str">
        <f>IFERROR(__xludf.DUMMYFUNCTION("GOOGLETRANSLATE($A690,""en"",""it"")"),"Khagrachari")</f>
        <v>Khagrachari</v>
      </c>
      <c r="G690" s="9" t="str">
        <f>IFERROR(__xludf.DUMMYFUNCTION("GOOGLETRANSLATE($A690,""en"",""zh-cn"")"),"卡格拉恰里")</f>
        <v>卡格拉恰里</v>
      </c>
      <c r="H690" s="9" t="str">
        <f>IFERROR(__xludf.DUMMYFUNCTION("GOOGLETRANSLATE($A690,""en"",""ja"")"),"カグラチャリ")</f>
        <v>カグラチャリ</v>
      </c>
      <c r="I690" s="9" t="str">
        <f>IFERROR(__xludf.DUMMYFUNCTION("GOOGLETRANSLATE($A690,""en"",""ko"")"),"카그라차리")</f>
        <v>카그라차리</v>
      </c>
      <c r="J690" s="9" t="str">
        <f>IFERROR(__xludf.DUMMYFUNCTION("GOOGLETRANSLATE($A690,""en"",""pt-BR"")"),"Khagrachari")</f>
        <v>Khagrachari</v>
      </c>
    </row>
    <row r="691">
      <c r="A691" s="9" t="str">
        <f>IFERROR(__xludf.DUMMYFUNCTION("""COMPUTED_VALUE"""),"Madaripur")</f>
        <v>Madaripur</v>
      </c>
      <c r="B691" s="9" t="str">
        <f>IFERROR(__xludf.DUMMYFUNCTION("""COMPUTED_VALUE"""),"bd-36")</f>
        <v>bd-36</v>
      </c>
      <c r="C691" s="9" t="str">
        <f>IFERROR(__xludf.DUMMYFUNCTION("GOOGLETRANSLATE($A691,""en"",""de"")"),"Madaripur")</f>
        <v>Madaripur</v>
      </c>
      <c r="D691" s="9" t="str">
        <f>IFERROR(__xludf.DUMMYFUNCTION("GOOGLETRANSLATE($A691,""en"",""fr"")"),"Madaripur")</f>
        <v>Madaripur</v>
      </c>
      <c r="E691" s="9" t="str">
        <f>IFERROR(__xludf.DUMMYFUNCTION("GOOGLETRANSLATE($A691,""en"",""es"")"),"Madaripur")</f>
        <v>Madaripur</v>
      </c>
      <c r="F691" s="9" t="str">
        <f>IFERROR(__xludf.DUMMYFUNCTION("GOOGLETRANSLATE($A691,""en"",""it"")"),"Madaripur")</f>
        <v>Madaripur</v>
      </c>
      <c r="G691" s="9" t="str">
        <f>IFERROR(__xludf.DUMMYFUNCTION("GOOGLETRANSLATE($A691,""en"",""zh-cn"")"),"马达里普尔")</f>
        <v>马达里普尔</v>
      </c>
      <c r="H691" s="9" t="str">
        <f>IFERROR(__xludf.DUMMYFUNCTION("GOOGLETRANSLATE($A691,""en"",""ja"")"),"マダリプール")</f>
        <v>マダリプール</v>
      </c>
      <c r="I691" s="9" t="str">
        <f>IFERROR(__xludf.DUMMYFUNCTION("GOOGLETRANSLATE($A691,""en"",""ko"")"),"마다리푸르")</f>
        <v>마다리푸르</v>
      </c>
      <c r="J691" s="9" t="str">
        <f>IFERROR(__xludf.DUMMYFUNCTION("GOOGLETRANSLATE($A691,""en"",""pt-BR"")"),"Madaripur")</f>
        <v>Madaripur</v>
      </c>
    </row>
    <row r="692">
      <c r="A692" s="9" t="str">
        <f>IFERROR(__xludf.DUMMYFUNCTION("""COMPUTED_VALUE"""),"Kushtia")</f>
        <v>Kushtia</v>
      </c>
      <c r="B692" s="9" t="str">
        <f>IFERROR(__xludf.DUMMYFUNCTION("""COMPUTED_VALUE"""),"bd-30")</f>
        <v>bd-30</v>
      </c>
      <c r="C692" s="9" t="str">
        <f>IFERROR(__xludf.DUMMYFUNCTION("GOOGLETRANSLATE($A692,""en"",""de"")"),"Kuschtia")</f>
        <v>Kuschtia</v>
      </c>
      <c r="D692" s="9" t="str">
        <f>IFERROR(__xludf.DUMMYFUNCTION("GOOGLETRANSLATE($A692,""en"",""fr"")"),"Koushtia")</f>
        <v>Koushtia</v>
      </c>
      <c r="E692" s="9" t="str">
        <f>IFERROR(__xludf.DUMMYFUNCTION("GOOGLETRANSLATE($A692,""en"",""es"")"),"Kushtia")</f>
        <v>Kushtia</v>
      </c>
      <c r="F692" s="9" t="str">
        <f>IFERROR(__xludf.DUMMYFUNCTION("GOOGLETRANSLATE($A692,""en"",""it"")"),"Kushtia")</f>
        <v>Kushtia</v>
      </c>
      <c r="G692" s="9" t="str">
        <f>IFERROR(__xludf.DUMMYFUNCTION("GOOGLETRANSLATE($A692,""en"",""zh-cn"")"),"库什蒂亚")</f>
        <v>库什蒂亚</v>
      </c>
      <c r="H692" s="9" t="str">
        <f>IFERROR(__xludf.DUMMYFUNCTION("GOOGLETRANSLATE($A692,""en"",""ja"")"),"クシュティア")</f>
        <v>クシュティア</v>
      </c>
      <c r="I692" s="9" t="str">
        <f>IFERROR(__xludf.DUMMYFUNCTION("GOOGLETRANSLATE($A692,""en"",""ko"")"),"쿠시티아")</f>
        <v>쿠시티아</v>
      </c>
      <c r="J692" s="9" t="str">
        <f>IFERROR(__xludf.DUMMYFUNCTION("GOOGLETRANSLATE($A692,""en"",""pt-BR"")"),"Kushtia")</f>
        <v>Kushtia</v>
      </c>
    </row>
    <row r="693">
      <c r="A693" s="9" t="str">
        <f>IFERROR(__xludf.DUMMYFUNCTION("""COMPUTED_VALUE"""),"Chuadanga")</f>
        <v>Chuadanga</v>
      </c>
      <c r="B693" s="9" t="str">
        <f>IFERROR(__xludf.DUMMYFUNCTION("""COMPUTED_VALUE"""),"bd-12")</f>
        <v>bd-12</v>
      </c>
      <c r="C693" s="9" t="str">
        <f>IFERROR(__xludf.DUMMYFUNCTION("GOOGLETRANSLATE($A693,""en"",""de"")"),"Chuadanga")</f>
        <v>Chuadanga</v>
      </c>
      <c r="D693" s="9" t="str">
        <f>IFERROR(__xludf.DUMMYFUNCTION("GOOGLETRANSLATE($A693,""en"",""fr"")"),"Chuadanga")</f>
        <v>Chuadanga</v>
      </c>
      <c r="E693" s="9" t="str">
        <f>IFERROR(__xludf.DUMMYFUNCTION("GOOGLETRANSLATE($A693,""en"",""es"")"),"Chuadanga")</f>
        <v>Chuadanga</v>
      </c>
      <c r="F693" s="9" t="str">
        <f>IFERROR(__xludf.DUMMYFUNCTION("GOOGLETRANSLATE($A693,""en"",""it"")"),"Chuadanga")</f>
        <v>Chuadanga</v>
      </c>
      <c r="G693" s="9" t="str">
        <f>IFERROR(__xludf.DUMMYFUNCTION("GOOGLETRANSLATE($A693,""en"",""zh-cn"")"),"丘丹加")</f>
        <v>丘丹加</v>
      </c>
      <c r="H693" s="9" t="str">
        <f>IFERROR(__xludf.DUMMYFUNCTION("GOOGLETRANSLATE($A693,""en"",""ja"")"),"チュアダンガ")</f>
        <v>チュアダンガ</v>
      </c>
      <c r="I693" s="9" t="str">
        <f>IFERROR(__xludf.DUMMYFUNCTION("GOOGLETRANSLATE($A693,""en"",""ko"")"),"추아단가")</f>
        <v>추아단가</v>
      </c>
      <c r="J693" s="9" t="str">
        <f>IFERROR(__xludf.DUMMYFUNCTION("GOOGLETRANSLATE($A693,""en"",""pt-BR"")"),"Chuadanga")</f>
        <v>Chuadanga</v>
      </c>
    </row>
    <row r="694">
      <c r="A694" s="9" t="str">
        <f>IFERROR(__xludf.DUMMYFUNCTION("""COMPUTED_VALUE"""),"Bogra")</f>
        <v>Bogra</v>
      </c>
      <c r="B694" s="9" t="str">
        <f>IFERROR(__xludf.DUMMYFUNCTION("""COMPUTED_VALUE"""),"bd-03")</f>
        <v>bd-03</v>
      </c>
      <c r="C694" s="9" t="str">
        <f>IFERROR(__xludf.DUMMYFUNCTION("GOOGLETRANSLATE($A694,""en"",""de"")"),"Bogra")</f>
        <v>Bogra</v>
      </c>
      <c r="D694" s="9" t="str">
        <f>IFERROR(__xludf.DUMMYFUNCTION("GOOGLETRANSLATE($A694,""en"",""fr"")"),"Bogra")</f>
        <v>Bogra</v>
      </c>
      <c r="E694" s="9" t="str">
        <f>IFERROR(__xludf.DUMMYFUNCTION("GOOGLETRANSLATE($A694,""en"",""es"")"),"bogra")</f>
        <v>bogra</v>
      </c>
      <c r="F694" s="9" t="str">
        <f>IFERROR(__xludf.DUMMYFUNCTION("GOOGLETRANSLATE($A694,""en"",""it"")"),"Bogra")</f>
        <v>Bogra</v>
      </c>
      <c r="G694" s="9" t="str">
        <f>IFERROR(__xludf.DUMMYFUNCTION("GOOGLETRANSLATE($A694,""en"",""zh-cn"")"),"博格拉")</f>
        <v>博格拉</v>
      </c>
      <c r="H694" s="9" t="str">
        <f>IFERROR(__xludf.DUMMYFUNCTION("GOOGLETRANSLATE($A694,""en"",""ja"")"),"ボグラ")</f>
        <v>ボグラ</v>
      </c>
      <c r="I694" s="9" t="str">
        <f>IFERROR(__xludf.DUMMYFUNCTION("GOOGLETRANSLATE($A694,""en"",""ko"")"),"보그라")</f>
        <v>보그라</v>
      </c>
      <c r="J694" s="9" t="str">
        <f>IFERROR(__xludf.DUMMYFUNCTION("GOOGLETRANSLATE($A694,""en"",""pt-BR"")"),"Bogra")</f>
        <v>Bogra</v>
      </c>
    </row>
    <row r="695">
      <c r="A695" s="9" t="str">
        <f>IFERROR(__xludf.DUMMYFUNCTION("""COMPUTED_VALUE"""),"Khulna (Division)")</f>
        <v>Khulna (Division)</v>
      </c>
      <c r="B695" s="9" t="str">
        <f>IFERROR(__xludf.DUMMYFUNCTION("""COMPUTED_VALUE"""),"bd-d")</f>
        <v>bd-d</v>
      </c>
      <c r="C695" s="9" t="str">
        <f>IFERROR(__xludf.DUMMYFUNCTION("GOOGLETRANSLATE($A695,""en"",""de"")"),"Khulna (Abteilung)")</f>
        <v>Khulna (Abteilung)</v>
      </c>
      <c r="D695" s="9" t="str">
        <f>IFERROR(__xludf.DUMMYFUNCTION("GOOGLETRANSLATE($A695,""en"",""fr"")"),"Khulnâ (Division)")</f>
        <v>Khulnâ (Division)</v>
      </c>
      <c r="E695" s="9" t="str">
        <f>IFERROR(__xludf.DUMMYFUNCTION("GOOGLETRANSLATE($A695,""en"",""es"")"),"Khulna (División)")</f>
        <v>Khulna (División)</v>
      </c>
      <c r="F695" s="9" t="str">
        <f>IFERROR(__xludf.DUMMYFUNCTION("GOOGLETRANSLATE($A695,""en"",""it"")"),"Khulna (Divisione)")</f>
        <v>Khulna (Divisione)</v>
      </c>
      <c r="G695" s="9" t="str">
        <f>IFERROR(__xludf.DUMMYFUNCTION("GOOGLETRANSLATE($A695,""en"",""zh-cn"")"),"库尔纳 (师)")</f>
        <v>库尔纳 (师)</v>
      </c>
      <c r="H695" s="9" t="str">
        <f>IFERROR(__xludf.DUMMYFUNCTION("GOOGLETRANSLATE($A695,""en"",""ja"")"),"クルナ (師団)")</f>
        <v>クルナ (師団)</v>
      </c>
      <c r="I695" s="9" t="str">
        <f>IFERROR(__xludf.DUMMYFUNCTION("GOOGLETRANSLATE($A695,""en"",""ko"")"),"쿨나(디비전)")</f>
        <v>쿨나(디비전)</v>
      </c>
      <c r="J695" s="9" t="str">
        <f>IFERROR(__xludf.DUMMYFUNCTION("GOOGLETRANSLATE($A695,""en"",""pt-BR"")"),"Khulna (Divisão)")</f>
        <v>Khulna (Divisão)</v>
      </c>
    </row>
    <row r="696">
      <c r="A696" s="9" t="str">
        <f>IFERROR(__xludf.DUMMYFUNCTION("""COMPUTED_VALUE"""),"Rangpur (District)")</f>
        <v>Rangpur (District)</v>
      </c>
      <c r="B696" s="9" t="str">
        <f>IFERROR(__xludf.DUMMYFUNCTION("""COMPUTED_VALUE"""),"bd-55")</f>
        <v>bd-55</v>
      </c>
      <c r="C696" s="9" t="str">
        <f>IFERROR(__xludf.DUMMYFUNCTION("GOOGLETRANSLATE($A696,""en"",""de"")"),"Rangpur (Bezirk)")</f>
        <v>Rangpur (Bezirk)</v>
      </c>
      <c r="D696" s="9" t="str">
        <f>IFERROR(__xludf.DUMMYFUNCTION("GOOGLETRANSLATE($A696,""en"",""fr"")"),"Rangpur (district)")</f>
        <v>Rangpur (district)</v>
      </c>
      <c r="E696" s="9" t="str">
        <f>IFERROR(__xludf.DUMMYFUNCTION("GOOGLETRANSLATE($A696,""en"",""es"")"),"Rangpur (Distrito)")</f>
        <v>Rangpur (Distrito)</v>
      </c>
      <c r="F696" s="9" t="str">
        <f>IFERROR(__xludf.DUMMYFUNCTION("GOOGLETRANSLATE($A696,""en"",""it"")"),"Rangpur (Distretto)")</f>
        <v>Rangpur (Distretto)</v>
      </c>
      <c r="G696" s="9" t="str">
        <f>IFERROR(__xludf.DUMMYFUNCTION("GOOGLETRANSLATE($A696,""en"",""zh-cn"")"),"朗布尔（区）")</f>
        <v>朗布尔（区）</v>
      </c>
      <c r="H696" s="9" t="str">
        <f>IFERROR(__xludf.DUMMYFUNCTION("GOOGLETRANSLATE($A696,""en"",""ja"")"),"ランプル（地区）")</f>
        <v>ランプル（地区）</v>
      </c>
      <c r="I696" s="9" t="str">
        <f>IFERROR(__xludf.DUMMYFUNCTION("GOOGLETRANSLATE($A696,""en"",""ko"")"),"랑푸르(지구)")</f>
        <v>랑푸르(지구)</v>
      </c>
      <c r="J696" s="9" t="str">
        <f>IFERROR(__xludf.DUMMYFUNCTION("GOOGLETRANSLATE($A696,""en"",""pt-BR"")"),"Cravo (Distrito)")</f>
        <v>Cravo (Distrito)</v>
      </c>
    </row>
    <row r="697">
      <c r="A697" s="9" t="str">
        <f>IFERROR(__xludf.DUMMYFUNCTION("""COMPUTED_VALUE"""),"Jaipurhat")</f>
        <v>Jaipurhat</v>
      </c>
      <c r="B697" s="9" t="str">
        <f>IFERROR(__xludf.DUMMYFUNCTION("""COMPUTED_VALUE"""),"bd-24")</f>
        <v>bd-24</v>
      </c>
      <c r="C697" s="9" t="str">
        <f>IFERROR(__xludf.DUMMYFUNCTION("GOOGLETRANSLATE($A697,""en"",""de"")"),"Jaipurhat")</f>
        <v>Jaipurhat</v>
      </c>
      <c r="D697" s="9" t="str">
        <f>IFERROR(__xludf.DUMMYFUNCTION("GOOGLETRANSLATE($A697,""en"",""fr"")"),"Jaipurhat")</f>
        <v>Jaipurhat</v>
      </c>
      <c r="E697" s="9" t="str">
        <f>IFERROR(__xludf.DUMMYFUNCTION("GOOGLETRANSLATE($A697,""en"",""es"")"),"jaipurhat")</f>
        <v>jaipurhat</v>
      </c>
      <c r="F697" s="9" t="str">
        <f>IFERROR(__xludf.DUMMYFUNCTION("GOOGLETRANSLATE($A697,""en"",""it"")"),"Jaipurhat")</f>
        <v>Jaipurhat</v>
      </c>
      <c r="G697" s="9" t="str">
        <f>IFERROR(__xludf.DUMMYFUNCTION("GOOGLETRANSLATE($A697,""en"",""zh-cn"")"),"斋浦尔哈特")</f>
        <v>斋浦尔哈特</v>
      </c>
      <c r="H697" s="9" t="str">
        <f>IFERROR(__xludf.DUMMYFUNCTION("GOOGLETRANSLATE($A697,""en"",""ja"")"),"ジャイプルハット")</f>
        <v>ジャイプルハット</v>
      </c>
      <c r="I697" s="9" t="str">
        <f>IFERROR(__xludf.DUMMYFUNCTION("GOOGLETRANSLATE($A697,""en"",""ko"")"),"자이푸르하트")</f>
        <v>자이푸르하트</v>
      </c>
      <c r="J697" s="9" t="str">
        <f>IFERROR(__xludf.DUMMYFUNCTION("GOOGLETRANSLATE($A697,""en"",""pt-BR"")"),"Jaipurhat")</f>
        <v>Jaipurhat</v>
      </c>
    </row>
    <row r="698">
      <c r="A698" s="9" t="str">
        <f>IFERROR(__xludf.DUMMYFUNCTION("""COMPUTED_VALUE"""),"Narail")</f>
        <v>Narail</v>
      </c>
      <c r="B698" s="9" t="str">
        <f>IFERROR(__xludf.DUMMYFUNCTION("""COMPUTED_VALUE"""),"bd-43")</f>
        <v>bd-43</v>
      </c>
      <c r="C698" s="9" t="str">
        <f>IFERROR(__xludf.DUMMYFUNCTION("GOOGLETRANSLATE($A698,""en"",""de"")"),"Narail")</f>
        <v>Narail</v>
      </c>
      <c r="D698" s="9" t="str">
        <f>IFERROR(__xludf.DUMMYFUNCTION("GOOGLETRANSLATE($A698,""en"",""fr"")"),"Narail")</f>
        <v>Narail</v>
      </c>
      <c r="E698" s="9" t="str">
        <f>IFERROR(__xludf.DUMMYFUNCTION("GOOGLETRANSLATE($A698,""en"",""es"")"),"Narail")</f>
        <v>Narail</v>
      </c>
      <c r="F698" s="9" t="str">
        <f>IFERROR(__xludf.DUMMYFUNCTION("GOOGLETRANSLATE($A698,""en"",""it"")"),"Narail")</f>
        <v>Narail</v>
      </c>
      <c r="G698" s="9" t="str">
        <f>IFERROR(__xludf.DUMMYFUNCTION("GOOGLETRANSLATE($A698,""en"",""zh-cn"")"),"纳莱尔")</f>
        <v>纳莱尔</v>
      </c>
      <c r="H698" s="9" t="str">
        <f>IFERROR(__xludf.DUMMYFUNCTION("GOOGLETRANSLATE($A698,""en"",""ja"")"),"ナレール")</f>
        <v>ナレール</v>
      </c>
      <c r="I698" s="9" t="str">
        <f>IFERROR(__xludf.DUMMYFUNCTION("GOOGLETRANSLATE($A698,""en"",""ko"")"),"나라일")</f>
        <v>나라일</v>
      </c>
      <c r="J698" s="9" t="str">
        <f>IFERROR(__xludf.DUMMYFUNCTION("GOOGLETRANSLATE($A698,""en"",""pt-BR"")"),"Narail")</f>
        <v>Narail</v>
      </c>
    </row>
    <row r="699">
      <c r="A699" s="9" t="str">
        <f>IFERROR(__xludf.DUMMYFUNCTION("""COMPUTED_VALUE"""),"Shariatpur")</f>
        <v>Shariatpur</v>
      </c>
      <c r="B699" s="9" t="str">
        <f>IFERROR(__xludf.DUMMYFUNCTION("""COMPUTED_VALUE"""),"bd-62")</f>
        <v>bd-62</v>
      </c>
      <c r="C699" s="9" t="str">
        <f>IFERROR(__xludf.DUMMYFUNCTION("GOOGLETRANSLATE($A699,""en"",""de"")"),"Shariatpur")</f>
        <v>Shariatpur</v>
      </c>
      <c r="D699" s="9" t="str">
        <f>IFERROR(__xludf.DUMMYFUNCTION("GOOGLETRANSLATE($A699,""en"",""fr"")"),"Chariatpur")</f>
        <v>Chariatpur</v>
      </c>
      <c r="E699" s="9" t="str">
        <f>IFERROR(__xludf.DUMMYFUNCTION("GOOGLETRANSLATE($A699,""en"",""es"")"),"shariatpur")</f>
        <v>shariatpur</v>
      </c>
      <c r="F699" s="9" t="str">
        <f>IFERROR(__xludf.DUMMYFUNCTION("GOOGLETRANSLATE($A699,""en"",""it"")"),"Shariatpur")</f>
        <v>Shariatpur</v>
      </c>
      <c r="G699" s="9" t="str">
        <f>IFERROR(__xludf.DUMMYFUNCTION("GOOGLETRANSLATE($A699,""en"",""zh-cn"")"),"沙里亚特普尔")</f>
        <v>沙里亚特普尔</v>
      </c>
      <c r="H699" s="9" t="str">
        <f>IFERROR(__xludf.DUMMYFUNCTION("GOOGLETRANSLATE($A699,""en"",""ja"")"),"シャリアトプル")</f>
        <v>シャリアトプル</v>
      </c>
      <c r="I699" s="9" t="str">
        <f>IFERROR(__xludf.DUMMYFUNCTION("GOOGLETRANSLATE($A699,""en"",""ko"")"),"샤리아트푸르")</f>
        <v>샤리아트푸르</v>
      </c>
      <c r="J699" s="9" t="str">
        <f>IFERROR(__xludf.DUMMYFUNCTION("GOOGLETRANSLATE($A699,""en"",""pt-BR"")"),"Shariatpur")</f>
        <v>Shariatpur</v>
      </c>
    </row>
    <row r="700">
      <c r="A700" s="9" t="str">
        <f>IFERROR(__xludf.DUMMYFUNCTION("""COMPUTED_VALUE"""),"Noakhali")</f>
        <v>Noakhali</v>
      </c>
      <c r="B700" s="9" t="str">
        <f>IFERROR(__xludf.DUMMYFUNCTION("""COMPUTED_VALUE"""),"bd-47")</f>
        <v>bd-47</v>
      </c>
      <c r="C700" s="9" t="str">
        <f>IFERROR(__xludf.DUMMYFUNCTION("GOOGLETRANSLATE($A700,""en"",""de"")"),"Noakhali")</f>
        <v>Noakhali</v>
      </c>
      <c r="D700" s="9" t="str">
        <f>IFERROR(__xludf.DUMMYFUNCTION("GOOGLETRANSLATE($A700,""en"",""fr"")"),"Noakhali")</f>
        <v>Noakhali</v>
      </c>
      <c r="E700" s="9" t="str">
        <f>IFERROR(__xludf.DUMMYFUNCTION("GOOGLETRANSLATE($A700,""en"",""es"")"),"Noakhali")</f>
        <v>Noakhali</v>
      </c>
      <c r="F700" s="9" t="str">
        <f>IFERROR(__xludf.DUMMYFUNCTION("GOOGLETRANSLATE($A700,""en"",""it"")"),"Noakhali")</f>
        <v>Noakhali</v>
      </c>
      <c r="G700" s="9" t="str">
        <f>IFERROR(__xludf.DUMMYFUNCTION("GOOGLETRANSLATE($A700,""en"",""zh-cn"")"),"诺阿卡利")</f>
        <v>诺阿卡利</v>
      </c>
      <c r="H700" s="9" t="str">
        <f>IFERROR(__xludf.DUMMYFUNCTION("GOOGLETRANSLATE($A700,""en"",""ja"")"),"ノアカリ")</f>
        <v>ノアカリ</v>
      </c>
      <c r="I700" s="9" t="str">
        <f>IFERROR(__xludf.DUMMYFUNCTION("GOOGLETRANSLATE($A700,""en"",""ko"")"),"노아칼리")</f>
        <v>노아칼리</v>
      </c>
      <c r="J700" s="9" t="str">
        <f>IFERROR(__xludf.DUMMYFUNCTION("GOOGLETRANSLATE($A700,""en"",""pt-BR"")"),"Noakhali")</f>
        <v>Noakhali</v>
      </c>
    </row>
    <row r="701">
      <c r="A701" s="9" t="str">
        <f>IFERROR(__xludf.DUMMYFUNCTION("""COMPUTED_VALUE"""),"Dinajpur")</f>
        <v>Dinajpur</v>
      </c>
      <c r="B701" s="9" t="str">
        <f>IFERROR(__xludf.DUMMYFUNCTION("""COMPUTED_VALUE"""),"bd-14")</f>
        <v>bd-14</v>
      </c>
      <c r="C701" s="9" t="str">
        <f>IFERROR(__xludf.DUMMYFUNCTION("GOOGLETRANSLATE($A701,""en"",""de"")"),"Dinajpur")</f>
        <v>Dinajpur</v>
      </c>
      <c r="D701" s="9" t="str">
        <f>IFERROR(__xludf.DUMMYFUNCTION("GOOGLETRANSLATE($A701,""en"",""fr"")"),"Dinajpur")</f>
        <v>Dinajpur</v>
      </c>
      <c r="E701" s="9" t="str">
        <f>IFERROR(__xludf.DUMMYFUNCTION("GOOGLETRANSLATE($A701,""en"",""es"")"),"Dinajpur")</f>
        <v>Dinajpur</v>
      </c>
      <c r="F701" s="9" t="str">
        <f>IFERROR(__xludf.DUMMYFUNCTION("GOOGLETRANSLATE($A701,""en"",""it"")"),"Dinajpur")</f>
        <v>Dinajpur</v>
      </c>
      <c r="G701" s="9" t="str">
        <f>IFERROR(__xludf.DUMMYFUNCTION("GOOGLETRANSLATE($A701,""en"",""zh-cn"")"),"迪纳杰普尔")</f>
        <v>迪纳杰普尔</v>
      </c>
      <c r="H701" s="9" t="str">
        <f>IFERROR(__xludf.DUMMYFUNCTION("GOOGLETRANSLATE($A701,""en"",""ja"")"),"ディナジプール")</f>
        <v>ディナジプール</v>
      </c>
      <c r="I701" s="9" t="str">
        <f>IFERROR(__xludf.DUMMYFUNCTION("GOOGLETRANSLATE($A701,""en"",""ko"")"),"디나즈푸르")</f>
        <v>디나즈푸르</v>
      </c>
      <c r="J701" s="9" t="str">
        <f>IFERROR(__xludf.DUMMYFUNCTION("GOOGLETRANSLATE($A701,""en"",""pt-BR"")"),"Dinajpur")</f>
        <v>Dinajpur</v>
      </c>
    </row>
    <row r="702">
      <c r="A702" s="9" t="str">
        <f>IFERROR(__xludf.DUMMYFUNCTION("""COMPUTED_VALUE"""),"Pirojpur")</f>
        <v>Pirojpur</v>
      </c>
      <c r="B702" s="9" t="str">
        <f>IFERROR(__xludf.DUMMYFUNCTION("""COMPUTED_VALUE"""),"bd-50")</f>
        <v>bd-50</v>
      </c>
      <c r="C702" s="9" t="str">
        <f>IFERROR(__xludf.DUMMYFUNCTION("GOOGLETRANSLATE($A702,""en"",""de"")"),"Pirojpur")</f>
        <v>Pirojpur</v>
      </c>
      <c r="D702" s="9" t="str">
        <f>IFERROR(__xludf.DUMMYFUNCTION("GOOGLETRANSLATE($A702,""en"",""fr"")"),"Pirojpur")</f>
        <v>Pirojpur</v>
      </c>
      <c r="E702" s="9" t="str">
        <f>IFERROR(__xludf.DUMMYFUNCTION("GOOGLETRANSLATE($A702,""en"",""es"")"),"Pirojpur")</f>
        <v>Pirojpur</v>
      </c>
      <c r="F702" s="9" t="str">
        <f>IFERROR(__xludf.DUMMYFUNCTION("GOOGLETRANSLATE($A702,""en"",""it"")"),"Pirojpur")</f>
        <v>Pirojpur</v>
      </c>
      <c r="G702" s="9" t="str">
        <f>IFERROR(__xludf.DUMMYFUNCTION("GOOGLETRANSLATE($A702,""en"",""zh-cn"")"),"皮罗杰普尔")</f>
        <v>皮罗杰普尔</v>
      </c>
      <c r="H702" s="9" t="str">
        <f>IFERROR(__xludf.DUMMYFUNCTION("GOOGLETRANSLATE($A702,""en"",""ja"")"),"ピロジプール")</f>
        <v>ピロジプール</v>
      </c>
      <c r="I702" s="9" t="str">
        <f>IFERROR(__xludf.DUMMYFUNCTION("GOOGLETRANSLATE($A702,""en"",""ko"")"),"피로즈푸르")</f>
        <v>피로즈푸르</v>
      </c>
      <c r="J702" s="9" t="str">
        <f>IFERROR(__xludf.DUMMYFUNCTION("GOOGLETRANSLATE($A702,""en"",""pt-BR"")"),"Pirojpur")</f>
        <v>Pirojpur</v>
      </c>
    </row>
    <row r="703">
      <c r="A703" s="9" t="str">
        <f>IFERROR(__xludf.DUMMYFUNCTION("""COMPUTED_VALUE"""),"Jhalakati")</f>
        <v>Jhalakati</v>
      </c>
      <c r="B703" s="9" t="str">
        <f>IFERROR(__xludf.DUMMYFUNCTION("""COMPUTED_VALUE"""),"bd-25")</f>
        <v>bd-25</v>
      </c>
      <c r="C703" s="9" t="str">
        <f>IFERROR(__xludf.DUMMYFUNCTION("GOOGLETRANSLATE($A703,""en"",""de"")"),"Jhalakati")</f>
        <v>Jhalakati</v>
      </c>
      <c r="D703" s="9" t="str">
        <f>IFERROR(__xludf.DUMMYFUNCTION("GOOGLETRANSLATE($A703,""en"",""fr"")"),"Jhalakati")</f>
        <v>Jhalakati</v>
      </c>
      <c r="E703" s="9" t="str">
        <f>IFERROR(__xludf.DUMMYFUNCTION("GOOGLETRANSLATE($A703,""en"",""es"")"),"Jhalakati")</f>
        <v>Jhalakati</v>
      </c>
      <c r="F703" s="9" t="str">
        <f>IFERROR(__xludf.DUMMYFUNCTION("GOOGLETRANSLATE($A703,""en"",""it"")"),"Jhalakati")</f>
        <v>Jhalakati</v>
      </c>
      <c r="G703" s="9" t="str">
        <f>IFERROR(__xludf.DUMMYFUNCTION("GOOGLETRANSLATE($A703,""en"",""zh-cn"")"),"贾拉卡提")</f>
        <v>贾拉卡提</v>
      </c>
      <c r="H703" s="9" t="str">
        <f>IFERROR(__xludf.DUMMYFUNCTION("GOOGLETRANSLATE($A703,""en"",""ja"")"),"ジャラカティ")</f>
        <v>ジャラカティ</v>
      </c>
      <c r="I703" s="9" t="str">
        <f>IFERROR(__xludf.DUMMYFUNCTION("GOOGLETRANSLATE($A703,""en"",""ko"")"),"잘라카티")</f>
        <v>잘라카티</v>
      </c>
      <c r="J703" s="9" t="str">
        <f>IFERROR(__xludf.DUMMYFUNCTION("GOOGLETRANSLATE($A703,""en"",""pt-BR"")"),"Jhalakati")</f>
        <v>Jhalakati</v>
      </c>
    </row>
    <row r="704">
      <c r="A704" s="9" t="str">
        <f>IFERROR(__xludf.DUMMYFUNCTION("""COMPUTED_VALUE"""),"Panchagarh")</f>
        <v>Panchagarh</v>
      </c>
      <c r="B704" s="9" t="str">
        <f>IFERROR(__xludf.DUMMYFUNCTION("""COMPUTED_VALUE"""),"bd-52")</f>
        <v>bd-52</v>
      </c>
      <c r="C704" s="9" t="str">
        <f>IFERROR(__xludf.DUMMYFUNCTION("GOOGLETRANSLATE($A704,""en"",""de"")"),"Panchagarh")</f>
        <v>Panchagarh</v>
      </c>
      <c r="D704" s="9" t="str">
        <f>IFERROR(__xludf.DUMMYFUNCTION("GOOGLETRANSLATE($A704,""en"",""fr"")"),"Panchagarh")</f>
        <v>Panchagarh</v>
      </c>
      <c r="E704" s="9" t="str">
        <f>IFERROR(__xludf.DUMMYFUNCTION("GOOGLETRANSLATE($A704,""en"",""es"")"),"Panchagarh")</f>
        <v>Panchagarh</v>
      </c>
      <c r="F704" s="9" t="str">
        <f>IFERROR(__xludf.DUMMYFUNCTION("GOOGLETRANSLATE($A704,""en"",""it"")"),"Panchagarh")</f>
        <v>Panchagarh</v>
      </c>
      <c r="G704" s="9" t="str">
        <f>IFERROR(__xludf.DUMMYFUNCTION("GOOGLETRANSLATE($A704,""en"",""zh-cn"")"),"潘查加尔")</f>
        <v>潘查加尔</v>
      </c>
      <c r="H704" s="9" t="str">
        <f>IFERROR(__xludf.DUMMYFUNCTION("GOOGLETRANSLATE($A704,""en"",""ja"")"),"パンチャガル")</f>
        <v>パンチャガル</v>
      </c>
      <c r="I704" s="9" t="str">
        <f>IFERROR(__xludf.DUMMYFUNCTION("GOOGLETRANSLATE($A704,""en"",""ko"")"),"판차가르")</f>
        <v>판차가르</v>
      </c>
      <c r="J704" s="9" t="str">
        <f>IFERROR(__xludf.DUMMYFUNCTION("GOOGLETRANSLATE($A704,""en"",""pt-BR"")"),"Panchagarh")</f>
        <v>Panchagarh</v>
      </c>
    </row>
    <row r="705">
      <c r="A705" s="9" t="str">
        <f>IFERROR(__xludf.DUMMYFUNCTION("""COMPUTED_VALUE"""),"Brahmanbaria")</f>
        <v>Brahmanbaria</v>
      </c>
      <c r="B705" s="9" t="str">
        <f>IFERROR(__xludf.DUMMYFUNCTION("""COMPUTED_VALUE"""),"bd-04")</f>
        <v>bd-04</v>
      </c>
      <c r="C705" s="9" t="str">
        <f>IFERROR(__xludf.DUMMYFUNCTION("GOOGLETRANSLATE($A705,""en"",""de"")"),"Brahmanbaria")</f>
        <v>Brahmanbaria</v>
      </c>
      <c r="D705" s="9" t="str">
        <f>IFERROR(__xludf.DUMMYFUNCTION("GOOGLETRANSLATE($A705,""en"",""fr"")"),"Brahmanbarie")</f>
        <v>Brahmanbarie</v>
      </c>
      <c r="E705" s="9" t="str">
        <f>IFERROR(__xludf.DUMMYFUNCTION("GOOGLETRANSLATE($A705,""en"",""es"")"),"Brahmanbaria")</f>
        <v>Brahmanbaria</v>
      </c>
      <c r="F705" s="9" t="str">
        <f>IFERROR(__xludf.DUMMYFUNCTION("GOOGLETRANSLATE($A705,""en"",""it"")"),"Brahmanbaria")</f>
        <v>Brahmanbaria</v>
      </c>
      <c r="G705" s="9" t="str">
        <f>IFERROR(__xludf.DUMMYFUNCTION("GOOGLETRANSLATE($A705,""en"",""zh-cn"")"),"婆罗门巴利亚")</f>
        <v>婆罗门巴利亚</v>
      </c>
      <c r="H705" s="9" t="str">
        <f>IFERROR(__xludf.DUMMYFUNCTION("GOOGLETRANSLATE($A705,""en"",""ja"")"),"ブラフマンバリア")</f>
        <v>ブラフマンバリア</v>
      </c>
      <c r="I705" s="9" t="str">
        <f>IFERROR(__xludf.DUMMYFUNCTION("GOOGLETRANSLATE($A705,""en"",""ko"")"),"브라만바리아")</f>
        <v>브라만바리아</v>
      </c>
      <c r="J705" s="9" t="str">
        <f>IFERROR(__xludf.DUMMYFUNCTION("GOOGLETRANSLATE($A705,""en"",""pt-BR"")"),"Brahmanbaria")</f>
        <v>Brahmanbaria</v>
      </c>
    </row>
    <row r="706">
      <c r="A706" s="9" t="str">
        <f>IFERROR(__xludf.DUMMYFUNCTION("""COMPUTED_VALUE"""),"Lakshmipur")</f>
        <v>Lakshmipur</v>
      </c>
      <c r="B706" s="9" t="str">
        <f>IFERROR(__xludf.DUMMYFUNCTION("""COMPUTED_VALUE"""),"bd-31")</f>
        <v>bd-31</v>
      </c>
      <c r="C706" s="9" t="str">
        <f>IFERROR(__xludf.DUMMYFUNCTION("GOOGLETRANSLATE($A706,""en"",""de"")"),"Lakshmipur")</f>
        <v>Lakshmipur</v>
      </c>
      <c r="D706" s="9" t="str">
        <f>IFERROR(__xludf.DUMMYFUNCTION("GOOGLETRANSLATE($A706,""en"",""fr"")"),"Lakshmipur")</f>
        <v>Lakshmipur</v>
      </c>
      <c r="E706" s="9" t="str">
        <f>IFERROR(__xludf.DUMMYFUNCTION("GOOGLETRANSLATE($A706,""en"",""es"")"),"Lakshmipur")</f>
        <v>Lakshmipur</v>
      </c>
      <c r="F706" s="9" t="str">
        <f>IFERROR(__xludf.DUMMYFUNCTION("GOOGLETRANSLATE($A706,""en"",""it"")"),"Lakshmipur")</f>
        <v>Lakshmipur</v>
      </c>
      <c r="G706" s="9" t="str">
        <f>IFERROR(__xludf.DUMMYFUNCTION("GOOGLETRANSLATE($A706,""en"",""zh-cn"")"),"拉克什米普尔")</f>
        <v>拉克什米普尔</v>
      </c>
      <c r="H706" s="9" t="str">
        <f>IFERROR(__xludf.DUMMYFUNCTION("GOOGLETRANSLATE($A706,""en"",""ja"")"),"ラクシュミプール")</f>
        <v>ラクシュミプール</v>
      </c>
      <c r="I706" s="9" t="str">
        <f>IFERROR(__xludf.DUMMYFUNCTION("GOOGLETRANSLATE($A706,""en"",""ko"")"),"락슈미푸르")</f>
        <v>락슈미푸르</v>
      </c>
      <c r="J706" s="9" t="str">
        <f>IFERROR(__xludf.DUMMYFUNCTION("GOOGLETRANSLATE($A706,""en"",""pt-BR"")"),"Lakshmipur")</f>
        <v>Lakshmipur</v>
      </c>
    </row>
    <row r="707">
      <c r="A707" s="9" t="str">
        <f>IFERROR(__xludf.DUMMYFUNCTION("""COMPUTED_VALUE"""),"Bandarban")</f>
        <v>Bandarban</v>
      </c>
      <c r="B707" s="9" t="str">
        <f>IFERROR(__xludf.DUMMYFUNCTION("""COMPUTED_VALUE"""),"bd-01")</f>
        <v>bd-01</v>
      </c>
      <c r="C707" s="9" t="str">
        <f>IFERROR(__xludf.DUMMYFUNCTION("GOOGLETRANSLATE($A707,""en"",""de"")"),"Bandarban")</f>
        <v>Bandarban</v>
      </c>
      <c r="D707" s="9" t="str">
        <f>IFERROR(__xludf.DUMMYFUNCTION("GOOGLETRANSLATE($A707,""en"",""fr"")"),"Bandarban")</f>
        <v>Bandarban</v>
      </c>
      <c r="E707" s="9" t="str">
        <f>IFERROR(__xludf.DUMMYFUNCTION("GOOGLETRANSLATE($A707,""en"",""es"")"),"Bandarban")</f>
        <v>Bandarban</v>
      </c>
      <c r="F707" s="9" t="str">
        <f>IFERROR(__xludf.DUMMYFUNCTION("GOOGLETRANSLATE($A707,""en"",""it"")"),"Bandarban")</f>
        <v>Bandarban</v>
      </c>
      <c r="G707" s="9" t="str">
        <f>IFERROR(__xludf.DUMMYFUNCTION("GOOGLETRANSLATE($A707,""en"",""zh-cn"")"),"班多尔班")</f>
        <v>班多尔班</v>
      </c>
      <c r="H707" s="9" t="str">
        <f>IFERROR(__xludf.DUMMYFUNCTION("GOOGLETRANSLATE($A707,""en"",""ja"")"),"バンダルバン")</f>
        <v>バンダルバン</v>
      </c>
      <c r="I707" s="9" t="str">
        <f>IFERROR(__xludf.DUMMYFUNCTION("GOOGLETRANSLATE($A707,""en"",""ko"")"),"반다르반")</f>
        <v>반다르반</v>
      </c>
      <c r="J707" s="9" t="str">
        <f>IFERROR(__xludf.DUMMYFUNCTION("GOOGLETRANSLATE($A707,""en"",""pt-BR"")"),"Bandarban")</f>
        <v>Bandarban</v>
      </c>
    </row>
    <row r="708">
      <c r="A708" s="9" t="str">
        <f>IFERROR(__xludf.DUMMYFUNCTION("""COMPUTED_VALUE"""),"Jessore")</f>
        <v>Jessore</v>
      </c>
      <c r="B708" s="9" t="str">
        <f>IFERROR(__xludf.DUMMYFUNCTION("""COMPUTED_VALUE"""),"bd-22")</f>
        <v>bd-22</v>
      </c>
      <c r="C708" s="9" t="str">
        <f>IFERROR(__xludf.DUMMYFUNCTION("GOOGLETRANSLATE($A708,""en"",""de"")"),"Jessore")</f>
        <v>Jessore</v>
      </c>
      <c r="D708" s="9" t="str">
        <f>IFERROR(__xludf.DUMMYFUNCTION("GOOGLETRANSLATE($A708,""en"",""fr"")"),"Jessore")</f>
        <v>Jessore</v>
      </c>
      <c r="E708" s="9" t="str">
        <f>IFERROR(__xludf.DUMMYFUNCTION("GOOGLETRANSLATE($A708,""en"",""es"")"),"jesus")</f>
        <v>jesus</v>
      </c>
      <c r="F708" s="9" t="str">
        <f>IFERROR(__xludf.DUMMYFUNCTION("GOOGLETRANSLATE($A708,""en"",""it"")"),"Jessore")</f>
        <v>Jessore</v>
      </c>
      <c r="G708" s="9" t="str">
        <f>IFERROR(__xludf.DUMMYFUNCTION("GOOGLETRANSLATE($A708,""en"",""zh-cn"")"),"杰索尔")</f>
        <v>杰索尔</v>
      </c>
      <c r="H708" s="9" t="str">
        <f>IFERROR(__xludf.DUMMYFUNCTION("GOOGLETRANSLATE($A708,""en"",""ja"")"),"ジェソール")</f>
        <v>ジェソール</v>
      </c>
      <c r="I708" s="9" t="str">
        <f>IFERROR(__xludf.DUMMYFUNCTION("GOOGLETRANSLATE($A708,""en"",""ko"")"),"제시르")</f>
        <v>제시르</v>
      </c>
      <c r="J708" s="9" t="str">
        <f>IFERROR(__xludf.DUMMYFUNCTION("GOOGLETRANSLATE($A708,""en"",""pt-BR"")"),"Jessore")</f>
        <v>Jessore</v>
      </c>
    </row>
    <row r="709">
      <c r="A709" s="9" t="str">
        <f>IFERROR(__xludf.DUMMYFUNCTION("""COMPUTED_VALUE"""),"Barguna")</f>
        <v>Barguna</v>
      </c>
      <c r="B709" s="9" t="str">
        <f>IFERROR(__xludf.DUMMYFUNCTION("""COMPUTED_VALUE"""),"bd-02")</f>
        <v>bd-02</v>
      </c>
      <c r="C709" s="9" t="str">
        <f>IFERROR(__xludf.DUMMYFUNCTION("GOOGLETRANSLATE($A709,""en"",""de"")"),"Barguna")</f>
        <v>Barguna</v>
      </c>
      <c r="D709" s="9" t="str">
        <f>IFERROR(__xludf.DUMMYFUNCTION("GOOGLETRANSLATE($A709,""en"",""fr"")"),"Barguna")</f>
        <v>Barguna</v>
      </c>
      <c r="E709" s="9" t="str">
        <f>IFERROR(__xludf.DUMMYFUNCTION("GOOGLETRANSLATE($A709,""en"",""es"")"),"barguna")</f>
        <v>barguna</v>
      </c>
      <c r="F709" s="9" t="str">
        <f>IFERROR(__xludf.DUMMYFUNCTION("GOOGLETRANSLATE($A709,""en"",""it"")"),"Barguna")</f>
        <v>Barguna</v>
      </c>
      <c r="G709" s="9" t="str">
        <f>IFERROR(__xludf.DUMMYFUNCTION("GOOGLETRANSLATE($A709,""en"",""zh-cn"")"),"巴尔古纳")</f>
        <v>巴尔古纳</v>
      </c>
      <c r="H709" s="9" t="str">
        <f>IFERROR(__xludf.DUMMYFUNCTION("GOOGLETRANSLATE($A709,""en"",""ja"")"),"バルグナ")</f>
        <v>バルグナ</v>
      </c>
      <c r="I709" s="9" t="str">
        <f>IFERROR(__xludf.DUMMYFUNCTION("GOOGLETRANSLATE($A709,""en"",""ko"")"),"바르구나")</f>
        <v>바르구나</v>
      </c>
      <c r="J709" s="9" t="str">
        <f>IFERROR(__xludf.DUMMYFUNCTION("GOOGLETRANSLATE($A709,""en"",""pt-BR"")"),"Barguná")</f>
        <v>Barguná</v>
      </c>
    </row>
    <row r="710">
      <c r="A710" s="9" t="str">
        <f>IFERROR(__xludf.DUMMYFUNCTION("""COMPUTED_VALUE"""),"Sherpur")</f>
        <v>Sherpur</v>
      </c>
      <c r="B710" s="9" t="str">
        <f>IFERROR(__xludf.DUMMYFUNCTION("""COMPUTED_VALUE"""),"bd-57")</f>
        <v>bd-57</v>
      </c>
      <c r="C710" s="9" t="str">
        <f>IFERROR(__xludf.DUMMYFUNCTION("GOOGLETRANSLATE($A710,""en"",""de"")"),"Sherpur")</f>
        <v>Sherpur</v>
      </c>
      <c r="D710" s="9" t="str">
        <f>IFERROR(__xludf.DUMMYFUNCTION("GOOGLETRANSLATE($A710,""en"",""fr"")"),"Sherpur")</f>
        <v>Sherpur</v>
      </c>
      <c r="E710" s="9" t="str">
        <f>IFERROR(__xludf.DUMMYFUNCTION("GOOGLETRANSLATE($A710,""en"",""es"")"),"sherpur")</f>
        <v>sherpur</v>
      </c>
      <c r="F710" s="9" t="str">
        <f>IFERROR(__xludf.DUMMYFUNCTION("GOOGLETRANSLATE($A710,""en"",""it"")"),"Sherpur")</f>
        <v>Sherpur</v>
      </c>
      <c r="G710" s="9" t="str">
        <f>IFERROR(__xludf.DUMMYFUNCTION("GOOGLETRANSLATE($A710,""en"",""zh-cn"")"),"舍普尔")</f>
        <v>舍普尔</v>
      </c>
      <c r="H710" s="9" t="str">
        <f>IFERROR(__xludf.DUMMYFUNCTION("GOOGLETRANSLATE($A710,""en"",""ja"")"),"シェルプール")</f>
        <v>シェルプール</v>
      </c>
      <c r="I710" s="9" t="str">
        <f>IFERROR(__xludf.DUMMYFUNCTION("GOOGLETRANSLATE($A710,""en"",""ko"")"),"셰르푸르")</f>
        <v>셰르푸르</v>
      </c>
      <c r="J710" s="9" t="str">
        <f>IFERROR(__xludf.DUMMYFUNCTION("GOOGLETRANSLATE($A710,""en"",""pt-BR"")"),"Xerpur")</f>
        <v>Xerpur</v>
      </c>
    </row>
    <row r="711">
      <c r="A711" s="9" t="str">
        <f>IFERROR(__xludf.DUMMYFUNCTION("""COMPUTED_VALUE"""),"Sylhet (Division)")</f>
        <v>Sylhet (Division)</v>
      </c>
      <c r="B711" s="9" t="str">
        <f>IFERROR(__xludf.DUMMYFUNCTION("""COMPUTED_VALUE"""),"bd-g")</f>
        <v>bd-g</v>
      </c>
      <c r="C711" s="9" t="str">
        <f>IFERROR(__xludf.DUMMYFUNCTION("GOOGLETRANSLATE($A711,""en"",""de"")"),"Sylhet (Abteilung)")</f>
        <v>Sylhet (Abteilung)</v>
      </c>
      <c r="D711" s="9" t="str">
        <f>IFERROR(__xludf.DUMMYFUNCTION("GOOGLETRANSLATE($A711,""en"",""fr"")"),"Sylhet (Division)")</f>
        <v>Sylhet (Division)</v>
      </c>
      <c r="E711" s="9" t="str">
        <f>IFERROR(__xludf.DUMMYFUNCTION("GOOGLETRANSLATE($A711,""en"",""es"")"),"Sylhet (División)")</f>
        <v>Sylhet (División)</v>
      </c>
      <c r="F711" s="9" t="str">
        <f>IFERROR(__xludf.DUMMYFUNCTION("GOOGLETRANSLATE($A711,""en"",""it"")"),"Sylhet (Divisione)")</f>
        <v>Sylhet (Divisione)</v>
      </c>
      <c r="G711" s="9" t="str">
        <f>IFERROR(__xludf.DUMMYFUNCTION("GOOGLETRANSLATE($A711,""en"",""zh-cn"")"),"锡尔赫特（师）")</f>
        <v>锡尔赫特（师）</v>
      </c>
      <c r="H711" s="9" t="str">
        <f>IFERROR(__xludf.DUMMYFUNCTION("GOOGLETRANSLATE($A711,""en"",""ja"")"),"シレット (師団)")</f>
        <v>シレット (師団)</v>
      </c>
      <c r="I711" s="9" t="str">
        <f>IFERROR(__xludf.DUMMYFUNCTION("GOOGLETRANSLATE($A711,""en"",""ko"")"),"실헤트(디비전)")</f>
        <v>실헤트(디비전)</v>
      </c>
      <c r="J711" s="9" t="str">
        <f>IFERROR(__xludf.DUMMYFUNCTION("GOOGLETRANSLATE($A711,""en"",""pt-BR"")"),"Sylhet (Divisão)")</f>
        <v>Sylhet (Divisão)</v>
      </c>
    </row>
    <row r="712">
      <c r="A712" s="9" t="str">
        <f>IFERROR(__xludf.DUMMYFUNCTION("""COMPUTED_VALUE"""),"Mymensingh (Division)")</f>
        <v>Mymensingh (Division)</v>
      </c>
      <c r="B712" s="9" t="str">
        <f>IFERROR(__xludf.DUMMYFUNCTION("""COMPUTED_VALUE"""),"bd-h")</f>
        <v>bd-h</v>
      </c>
      <c r="C712" s="9" t="str">
        <f>IFERROR(__xludf.DUMMYFUNCTION("GOOGLETRANSLATE($A712,""en"",""de"")"),"Mymensingh (Abteilung)")</f>
        <v>Mymensingh (Abteilung)</v>
      </c>
      <c r="D712" s="9" t="str">
        <f>IFERROR(__xludf.DUMMYFUNCTION("GOOGLETRANSLATE($A712,""en"",""fr"")"),"Mymensingh (Division)")</f>
        <v>Mymensingh (Division)</v>
      </c>
      <c r="E712" s="9" t="str">
        <f>IFERROR(__xludf.DUMMYFUNCTION("GOOGLETRANSLATE($A712,""en"",""es"")"),"Mymensingh (División)")</f>
        <v>Mymensingh (División)</v>
      </c>
      <c r="F712" s="9" t="str">
        <f>IFERROR(__xludf.DUMMYFUNCTION("GOOGLETRANSLATE($A712,""en"",""it"")"),"Mymensingh (Divisione)")</f>
        <v>Mymensingh (Divisione)</v>
      </c>
      <c r="G712" s="9" t="str">
        <f>IFERROR(__xludf.DUMMYFUNCTION("GOOGLETRANSLATE($A712,""en"",""zh-cn"")"),"迈门辛 (师)")</f>
        <v>迈门辛 (师)</v>
      </c>
      <c r="H712" s="9" t="str">
        <f>IFERROR(__xludf.DUMMYFUNCTION("GOOGLETRANSLATE($A712,""en"",""ja"")"),"マイメンシン (師団)")</f>
        <v>マイメンシン (師団)</v>
      </c>
      <c r="I712" s="9" t="str">
        <f>IFERROR(__xludf.DUMMYFUNCTION("GOOGLETRANSLATE($A712,""en"",""ko"")"),"마이멘싱(디비전)")</f>
        <v>마이멘싱(디비전)</v>
      </c>
      <c r="J712" s="9" t="str">
        <f>IFERROR(__xludf.DUMMYFUNCTION("GOOGLETRANSLATE($A712,""en"",""pt-BR"")"),"Mymensingh (Divisão)")</f>
        <v>Mymensingh (Divisão)</v>
      </c>
    </row>
    <row r="713">
      <c r="A713" s="9" t="str">
        <f>IFERROR(__xludf.DUMMYFUNCTION("""COMPUTED_VALUE"""),"Saint Thomas (BB)")</f>
        <v>Saint Thomas (BB)</v>
      </c>
      <c r="B713" s="9" t="str">
        <f>IFERROR(__xludf.DUMMYFUNCTION("""COMPUTED_VALUE"""),"bb-11")</f>
        <v>bb-11</v>
      </c>
      <c r="C713" s="9" t="str">
        <f>IFERROR(__xludf.DUMMYFUNCTION("GOOGLETRANSLATE($A713,""en"",""de"")"),"Sankt Thomas (BB)")</f>
        <v>Sankt Thomas (BB)</v>
      </c>
      <c r="D713" s="9" t="str">
        <f>IFERROR(__xludf.DUMMYFUNCTION("GOOGLETRANSLATE($A713,""en"",""fr"")"),"Saint-Thomas (BB)")</f>
        <v>Saint-Thomas (BB)</v>
      </c>
      <c r="E713" s="9" t="str">
        <f>IFERROR(__xludf.DUMMYFUNCTION("GOOGLETRANSLATE($A713,""en"",""es"")"),"Santo Tomás (BB)")</f>
        <v>Santo Tomás (BB)</v>
      </c>
      <c r="F713" s="9" t="str">
        <f>IFERROR(__xludf.DUMMYFUNCTION("GOOGLETRANSLATE($A713,""en"",""it"")"),"San Tommaso (BB)")</f>
        <v>San Tommaso (BB)</v>
      </c>
      <c r="G713" s="9" t="str">
        <f>IFERROR(__xludf.DUMMYFUNCTION("GOOGLETRANSLATE($A713,""en"",""zh-cn"")"),"圣托马斯 (BB)")</f>
        <v>圣托马斯 (BB)</v>
      </c>
      <c r="H713" s="9" t="str">
        <f>IFERROR(__xludf.DUMMYFUNCTION("GOOGLETRANSLATE($A713,""en"",""ja"")"),"セントトーマス (BB)")</f>
        <v>セントトーマス (BB)</v>
      </c>
      <c r="I713" s="9" t="str">
        <f>IFERROR(__xludf.DUMMYFUNCTION("GOOGLETRANSLATE($A713,""en"",""ko"")"),"세인트 토마스(BB)")</f>
        <v>세인트 토마스(BB)</v>
      </c>
      <c r="J713" s="9" t="str">
        <f>IFERROR(__xludf.DUMMYFUNCTION("GOOGLETRANSLATE($A713,""en"",""pt-BR"")"),"São Tomás (BB)")</f>
        <v>São Tomás (BB)</v>
      </c>
    </row>
    <row r="714">
      <c r="A714" s="9" t="str">
        <f>IFERROR(__xludf.DUMMYFUNCTION("""COMPUTED_VALUE"""),"Saint Peter (BB)")</f>
        <v>Saint Peter (BB)</v>
      </c>
      <c r="B714" s="9" t="str">
        <f>IFERROR(__xludf.DUMMYFUNCTION("""COMPUTED_VALUE"""),"bb-09")</f>
        <v>bb-09</v>
      </c>
      <c r="C714" s="9" t="str">
        <f>IFERROR(__xludf.DUMMYFUNCTION("GOOGLETRANSLATE($A714,""en"",""de"")"),"St. Peter (BB)")</f>
        <v>St. Peter (BB)</v>
      </c>
      <c r="D714" s="9" t="str">
        <f>IFERROR(__xludf.DUMMYFUNCTION("GOOGLETRANSLATE($A714,""en"",""fr"")"),"Saint Pierre (BB)")</f>
        <v>Saint Pierre (BB)</v>
      </c>
      <c r="E714" s="9" t="str">
        <f>IFERROR(__xludf.DUMMYFUNCTION("GOOGLETRANSLATE($A714,""en"",""es"")"),"San Pedro (BB)")</f>
        <v>San Pedro (BB)</v>
      </c>
      <c r="F714" s="9" t="str">
        <f>IFERROR(__xludf.DUMMYFUNCTION("GOOGLETRANSLATE($A714,""en"",""it"")"),"San Pietro (BB)")</f>
        <v>San Pietro (BB)</v>
      </c>
      <c r="G714" s="9" t="str">
        <f>IFERROR(__xludf.DUMMYFUNCTION("GOOGLETRANSLATE($A714,""en"",""zh-cn"")"),"圣彼得 (BB)")</f>
        <v>圣彼得 (BB)</v>
      </c>
      <c r="H714" s="9" t="str">
        <f>IFERROR(__xludf.DUMMYFUNCTION("GOOGLETRANSLATE($A714,""en"",""ja"")"),"セントピーター (BB)")</f>
        <v>セントピーター (BB)</v>
      </c>
      <c r="I714" s="9" t="str">
        <f>IFERROR(__xludf.DUMMYFUNCTION("GOOGLETRANSLATE($A714,""en"",""ko"")"),"세인트 피터(BB)")</f>
        <v>세인트 피터(BB)</v>
      </c>
      <c r="J714" s="9" t="str">
        <f>IFERROR(__xludf.DUMMYFUNCTION("GOOGLETRANSLATE($A714,""en"",""pt-BR"")"),"São Pedro (BB)")</f>
        <v>São Pedro (BB)</v>
      </c>
    </row>
    <row r="715">
      <c r="A715" s="9" t="str">
        <f>IFERROR(__xludf.DUMMYFUNCTION("""COMPUTED_VALUE"""),"Saint George (BB)")</f>
        <v>Saint George (BB)</v>
      </c>
      <c r="B715" s="9" t="str">
        <f>IFERROR(__xludf.DUMMYFUNCTION("""COMPUTED_VALUE"""),"bb-03")</f>
        <v>bb-03</v>
      </c>
      <c r="C715" s="9" t="str">
        <f>IFERROR(__xludf.DUMMYFUNCTION("GOOGLETRANSLATE($A715,""en"",""de"")"),"Sankt Georg (BB)")</f>
        <v>Sankt Georg (BB)</v>
      </c>
      <c r="D715" s="9" t="str">
        <f>IFERROR(__xludf.DUMMYFUNCTION("GOOGLETRANSLATE($A715,""en"",""fr"")"),"Saint-Georges (BB)")</f>
        <v>Saint-Georges (BB)</v>
      </c>
      <c r="E715" s="9" t="str">
        <f>IFERROR(__xludf.DUMMYFUNCTION("GOOGLETRANSLATE($A715,""en"",""es"")"),"San Jorge (BB)")</f>
        <v>San Jorge (BB)</v>
      </c>
      <c r="F715" s="9" t="str">
        <f>IFERROR(__xludf.DUMMYFUNCTION("GOOGLETRANSLATE($A715,""en"",""it"")"),"San Giorgio (BB)")</f>
        <v>San Giorgio (BB)</v>
      </c>
      <c r="G715" s="9" t="str">
        <f>IFERROR(__xludf.DUMMYFUNCTION("GOOGLETRANSLATE($A715,""en"",""zh-cn"")"),"圣乔治 (BB)")</f>
        <v>圣乔治 (BB)</v>
      </c>
      <c r="H715" s="9" t="str">
        <f>IFERROR(__xludf.DUMMYFUNCTION("GOOGLETRANSLATE($A715,""en"",""ja"")"),"セントジョージ (BB)")</f>
        <v>セントジョージ (BB)</v>
      </c>
      <c r="I715" s="9" t="str">
        <f>IFERROR(__xludf.DUMMYFUNCTION("GOOGLETRANSLATE($A715,""en"",""ko"")"),"세인트 조지(BB)")</f>
        <v>세인트 조지(BB)</v>
      </c>
      <c r="J715" s="9" t="str">
        <f>IFERROR(__xludf.DUMMYFUNCTION("GOOGLETRANSLATE($A715,""en"",""pt-BR"")"),"São Jorge (BB)")</f>
        <v>São Jorge (BB)</v>
      </c>
    </row>
    <row r="716">
      <c r="A716" s="9" t="str">
        <f>IFERROR(__xludf.DUMMYFUNCTION("""COMPUTED_VALUE"""),"Saint John (BB)")</f>
        <v>Saint John (BB)</v>
      </c>
      <c r="B716" s="9" t="str">
        <f>IFERROR(__xludf.DUMMYFUNCTION("""COMPUTED_VALUE"""),"bb-05")</f>
        <v>bb-05</v>
      </c>
      <c r="C716" s="9" t="str">
        <f>IFERROR(__xludf.DUMMYFUNCTION("GOOGLETRANSLATE($A716,""en"",""de"")"),"Saint John (BB)")</f>
        <v>Saint John (BB)</v>
      </c>
      <c r="D716" s="9" t="str">
        <f>IFERROR(__xludf.DUMMYFUNCTION("GOOGLETRANSLATE($A716,""en"",""fr"")"),"Saint-Jean (BB)")</f>
        <v>Saint-Jean (BB)</v>
      </c>
      <c r="E716" s="9" t="str">
        <f>IFERROR(__xludf.DUMMYFUNCTION("GOOGLETRANSLATE($A716,""en"",""es"")"),"San Juan (BB)")</f>
        <v>San Juan (BB)</v>
      </c>
      <c r="F716" s="9" t="str">
        <f>IFERROR(__xludf.DUMMYFUNCTION("GOOGLETRANSLATE($A716,""en"",""it"")"),"San Giovanni (BB)")</f>
        <v>San Giovanni (BB)</v>
      </c>
      <c r="G716" s="9" t="str">
        <f>IFERROR(__xludf.DUMMYFUNCTION("GOOGLETRANSLATE($A716,""en"",""zh-cn"")"),"圣约翰 (BB)")</f>
        <v>圣约翰 (BB)</v>
      </c>
      <c r="H716" s="9" t="str">
        <f>IFERROR(__xludf.DUMMYFUNCTION("GOOGLETRANSLATE($A716,""en"",""ja"")"),"セントジョン (BB)")</f>
        <v>セントジョン (BB)</v>
      </c>
      <c r="I716" s="9" t="str">
        <f>IFERROR(__xludf.DUMMYFUNCTION("GOOGLETRANSLATE($A716,""en"",""ko"")"),"세인트 존(BB)")</f>
        <v>세인트 존(BB)</v>
      </c>
      <c r="J716" s="9" t="str">
        <f>IFERROR(__xludf.DUMMYFUNCTION("GOOGLETRANSLATE($A716,""en"",""pt-BR"")"),"São João (BB)")</f>
        <v>São João (BB)</v>
      </c>
    </row>
    <row r="717">
      <c r="A717" s="9" t="str">
        <f>IFERROR(__xludf.DUMMYFUNCTION("""COMPUTED_VALUE"""),"Christ Church")</f>
        <v>Christ Church</v>
      </c>
      <c r="B717" s="9" t="str">
        <f>IFERROR(__xludf.DUMMYFUNCTION("""COMPUTED_VALUE"""),"bb-01")</f>
        <v>bb-01</v>
      </c>
      <c r="C717" s="9" t="str">
        <f>IFERROR(__xludf.DUMMYFUNCTION("GOOGLETRANSLATE($A717,""en"",""de"")"),"Christuskirche")</f>
        <v>Christuskirche</v>
      </c>
      <c r="D717" s="9" t="str">
        <f>IFERROR(__xludf.DUMMYFUNCTION("GOOGLETRANSLATE($A717,""en"",""fr"")"),"Église du Christ")</f>
        <v>Église du Christ</v>
      </c>
      <c r="E717" s="9" t="str">
        <f>IFERROR(__xludf.DUMMYFUNCTION("GOOGLETRANSLATE($A717,""en"",""es"")"),"Iglesia de Cristo")</f>
        <v>Iglesia de Cristo</v>
      </c>
      <c r="F717" s="9" t="str">
        <f>IFERROR(__xludf.DUMMYFUNCTION("GOOGLETRANSLATE($A717,""en"",""it"")"),"Chiesa di Cristo")</f>
        <v>Chiesa di Cristo</v>
      </c>
      <c r="G717" s="9" t="str">
        <f>IFERROR(__xludf.DUMMYFUNCTION("GOOGLETRANSLATE($A717,""en"",""zh-cn"")"),"基督教堂")</f>
        <v>基督教堂</v>
      </c>
      <c r="H717" s="9" t="str">
        <f>IFERROR(__xludf.DUMMYFUNCTION("GOOGLETRANSLATE($A717,""en"",""ja"")"),"クライストチャーチ")</f>
        <v>クライストチャーチ</v>
      </c>
      <c r="I717" s="9" t="str">
        <f>IFERROR(__xludf.DUMMYFUNCTION("GOOGLETRANSLATE($A717,""en"",""ko"")"),"그리스도 교회")</f>
        <v>그리스도 교회</v>
      </c>
      <c r="J717" s="9" t="str">
        <f>IFERROR(__xludf.DUMMYFUNCTION("GOOGLETRANSLATE($A717,""en"",""pt-BR"")"),"Igreja de Cristo")</f>
        <v>Igreja de Cristo</v>
      </c>
    </row>
    <row r="718">
      <c r="A718" s="9" t="str">
        <f>IFERROR(__xludf.DUMMYFUNCTION("""COMPUTED_VALUE"""),"Saint Michael")</f>
        <v>Saint Michael</v>
      </c>
      <c r="B718" s="9" t="str">
        <f>IFERROR(__xludf.DUMMYFUNCTION("""COMPUTED_VALUE"""),"bb-08")</f>
        <v>bb-08</v>
      </c>
      <c r="C718" s="9" t="str">
        <f>IFERROR(__xludf.DUMMYFUNCTION("GOOGLETRANSLATE($A718,""en"",""de"")"),"Heiliger Michael")</f>
        <v>Heiliger Michael</v>
      </c>
      <c r="D718" s="9" t="str">
        <f>IFERROR(__xludf.DUMMYFUNCTION("GOOGLETRANSLATE($A718,""en"",""fr"")"),"Saint Michel")</f>
        <v>Saint Michel</v>
      </c>
      <c r="E718" s="9" t="str">
        <f>IFERROR(__xludf.DUMMYFUNCTION("GOOGLETRANSLATE($A718,""en"",""es"")"),"San Miguel")</f>
        <v>San Miguel</v>
      </c>
      <c r="F718" s="9" t="str">
        <f>IFERROR(__xludf.DUMMYFUNCTION("GOOGLETRANSLATE($A718,""en"",""it"")"),"San Michele")</f>
        <v>San Michele</v>
      </c>
      <c r="G718" s="9" t="str">
        <f>IFERROR(__xludf.DUMMYFUNCTION("GOOGLETRANSLATE($A718,""en"",""zh-cn"")"),"圣迈克尔")</f>
        <v>圣迈克尔</v>
      </c>
      <c r="H718" s="9" t="str">
        <f>IFERROR(__xludf.DUMMYFUNCTION("GOOGLETRANSLATE($A718,""en"",""ja"")"),"セントマイケル")</f>
        <v>セントマイケル</v>
      </c>
      <c r="I718" s="9" t="str">
        <f>IFERROR(__xludf.DUMMYFUNCTION("GOOGLETRANSLATE($A718,""en"",""ko"")"),"세인트 마이클")</f>
        <v>세인트 마이클</v>
      </c>
      <c r="J718" s="9" t="str">
        <f>IFERROR(__xludf.DUMMYFUNCTION("GOOGLETRANSLATE($A718,""en"",""pt-BR"")"),"São Miguel")</f>
        <v>São Miguel</v>
      </c>
    </row>
    <row r="719">
      <c r="A719" s="9" t="str">
        <f>IFERROR(__xludf.DUMMYFUNCTION("""COMPUTED_VALUE"""),"Saint James (BB)")</f>
        <v>Saint James (BB)</v>
      </c>
      <c r="B719" s="9" t="str">
        <f>IFERROR(__xludf.DUMMYFUNCTION("""COMPUTED_VALUE"""),"bb-04")</f>
        <v>bb-04</v>
      </c>
      <c r="C719" s="9" t="str">
        <f>IFERROR(__xludf.DUMMYFUNCTION("GOOGLETRANSLATE($A719,""en"",""de"")"),"St. Jakob (BB)")</f>
        <v>St. Jakob (BB)</v>
      </c>
      <c r="D719" s="9" t="str">
        <f>IFERROR(__xludf.DUMMYFUNCTION("GOOGLETRANSLATE($A719,""en"",""fr"")"),"Saint-Jacques (BB)")</f>
        <v>Saint-Jacques (BB)</v>
      </c>
      <c r="E719" s="9" t="str">
        <f>IFERROR(__xludf.DUMMYFUNCTION("GOOGLETRANSLATE($A719,""en"",""es"")"),"Santiago (BB)")</f>
        <v>Santiago (BB)</v>
      </c>
      <c r="F719" s="9" t="str">
        <f>IFERROR(__xludf.DUMMYFUNCTION("GOOGLETRANSLATE($A719,""en"",""it"")"),"San Giacomo (BB)")</f>
        <v>San Giacomo (BB)</v>
      </c>
      <c r="G719" s="9" t="str">
        <f>IFERROR(__xludf.DUMMYFUNCTION("GOOGLETRANSLATE($A719,""en"",""zh-cn"")"),"圣詹姆斯 (BB)")</f>
        <v>圣詹姆斯 (BB)</v>
      </c>
      <c r="H719" s="9" t="str">
        <f>IFERROR(__xludf.DUMMYFUNCTION("GOOGLETRANSLATE($A719,""en"",""ja"")"),"セントジェームス (BB)")</f>
        <v>セントジェームス (BB)</v>
      </c>
      <c r="I719" s="9" t="str">
        <f>IFERROR(__xludf.DUMMYFUNCTION("GOOGLETRANSLATE($A719,""en"",""ko"")"),"세인트 제임스(BB)")</f>
        <v>세인트 제임스(BB)</v>
      </c>
      <c r="J719" s="9" t="str">
        <f>IFERROR(__xludf.DUMMYFUNCTION("GOOGLETRANSLATE($A719,""en"",""pt-BR"")"),"São Tiago (BB)")</f>
        <v>São Tiago (BB)</v>
      </c>
    </row>
    <row r="720">
      <c r="A720" s="9" t="str">
        <f>IFERROR(__xludf.DUMMYFUNCTION("""COMPUTED_VALUE"""),"Saint Philip (BB)")</f>
        <v>Saint Philip (BB)</v>
      </c>
      <c r="B720" s="9" t="str">
        <f>IFERROR(__xludf.DUMMYFUNCTION("""COMPUTED_VALUE"""),"bb-10")</f>
        <v>bb-10</v>
      </c>
      <c r="C720" s="9" t="str">
        <f>IFERROR(__xludf.DUMMYFUNCTION("GOOGLETRANSLATE($A720,""en"",""de"")"),"Heiliger Philipp (BB)")</f>
        <v>Heiliger Philipp (BB)</v>
      </c>
      <c r="D720" s="9" t="str">
        <f>IFERROR(__xludf.DUMMYFUNCTION("GOOGLETRANSLATE($A720,""en"",""fr"")"),"Saint Philippe (BB)")</f>
        <v>Saint Philippe (BB)</v>
      </c>
      <c r="E720" s="9" t="str">
        <f>IFERROR(__xludf.DUMMYFUNCTION("GOOGLETRANSLATE($A720,""en"",""es"")"),"San Felipe (BB)")</f>
        <v>San Felipe (BB)</v>
      </c>
      <c r="F720" s="9" t="str">
        <f>IFERROR(__xludf.DUMMYFUNCTION("GOOGLETRANSLATE($A720,""en"",""it"")"),"San Filippo (BB)")</f>
        <v>San Filippo (BB)</v>
      </c>
      <c r="G720" s="9" t="str">
        <f>IFERROR(__xludf.DUMMYFUNCTION("GOOGLETRANSLATE($A720,""en"",""zh-cn"")"),"圣菲利普 (BB)")</f>
        <v>圣菲利普 (BB)</v>
      </c>
      <c r="H720" s="9" t="str">
        <f>IFERROR(__xludf.DUMMYFUNCTION("GOOGLETRANSLATE($A720,""en"",""ja"")"),"セントフィリップ (BB)")</f>
        <v>セントフィリップ (BB)</v>
      </c>
      <c r="I720" s="9" t="str">
        <f>IFERROR(__xludf.DUMMYFUNCTION("GOOGLETRANSLATE($A720,""en"",""ko"")"),"세인트 필립(BB)")</f>
        <v>세인트 필립(BB)</v>
      </c>
      <c r="J720" s="9" t="str">
        <f>IFERROR(__xludf.DUMMYFUNCTION("GOOGLETRANSLATE($A720,""en"",""pt-BR"")"),"São Filipe (BB)")</f>
        <v>São Filipe (BB)</v>
      </c>
    </row>
    <row r="721">
      <c r="A721" s="9" t="str">
        <f>IFERROR(__xludf.DUMMYFUNCTION("""COMPUTED_VALUE"""),"Saint Joseph (BB)")</f>
        <v>Saint Joseph (BB)</v>
      </c>
      <c r="B721" s="9" t="str">
        <f>IFERROR(__xludf.DUMMYFUNCTION("""COMPUTED_VALUE"""),"bb-06")</f>
        <v>bb-06</v>
      </c>
      <c r="C721" s="9" t="str">
        <f>IFERROR(__xludf.DUMMYFUNCTION("GOOGLETRANSLATE($A721,""en"",""de"")"),"Heiliger Josef (BB)")</f>
        <v>Heiliger Josef (BB)</v>
      </c>
      <c r="D721" s="9" t="str">
        <f>IFERROR(__xludf.DUMMYFUNCTION("GOOGLETRANSLATE($A721,""en"",""fr"")"),"Saint Joseph (BB)")</f>
        <v>Saint Joseph (BB)</v>
      </c>
      <c r="E721" s="9" t="str">
        <f>IFERROR(__xludf.DUMMYFUNCTION("GOOGLETRANSLATE($A721,""en"",""es"")"),"San José (BB)")</f>
        <v>San José (BB)</v>
      </c>
      <c r="F721" s="9" t="str">
        <f>IFERROR(__xludf.DUMMYFUNCTION("GOOGLETRANSLATE($A721,""en"",""it"")"),"San Giuseppe (BB)")</f>
        <v>San Giuseppe (BB)</v>
      </c>
      <c r="G721" s="9" t="str">
        <f>IFERROR(__xludf.DUMMYFUNCTION("GOOGLETRANSLATE($A721,""en"",""zh-cn"")"),"圣约瑟夫 (BB)")</f>
        <v>圣约瑟夫 (BB)</v>
      </c>
      <c r="H721" s="9" t="str">
        <f>IFERROR(__xludf.DUMMYFUNCTION("GOOGLETRANSLATE($A721,""en"",""ja"")"),"セントジョセフ (BB)")</f>
        <v>セントジョセフ (BB)</v>
      </c>
      <c r="I721" s="9" t="str">
        <f>IFERROR(__xludf.DUMMYFUNCTION("GOOGLETRANSLATE($A721,""en"",""ko"")"),"성 요셉(BB)")</f>
        <v>성 요셉(BB)</v>
      </c>
      <c r="J721" s="9" t="str">
        <f>IFERROR(__xludf.DUMMYFUNCTION("GOOGLETRANSLATE($A721,""en"",""pt-BR"")"),"São José (BB)")</f>
        <v>São José (BB)</v>
      </c>
    </row>
    <row r="722">
      <c r="A722" s="9" t="str">
        <f>IFERROR(__xludf.DUMMYFUNCTION("""COMPUTED_VALUE"""),"Saint Andrew (BB)")</f>
        <v>Saint Andrew (BB)</v>
      </c>
      <c r="B722" s="9" t="str">
        <f>IFERROR(__xludf.DUMMYFUNCTION("""COMPUTED_VALUE"""),"bb-02")</f>
        <v>bb-02</v>
      </c>
      <c r="C722" s="9" t="str">
        <f>IFERROR(__xludf.DUMMYFUNCTION("GOOGLETRANSLATE($A722,""en"",""de"")"),"Heiliger Andreas (BB)")</f>
        <v>Heiliger Andreas (BB)</v>
      </c>
      <c r="D722" s="9" t="str">
        <f>IFERROR(__xludf.DUMMYFUNCTION("GOOGLETRANSLATE($A722,""en"",""fr"")"),"Saint-André (BB)")</f>
        <v>Saint-André (BB)</v>
      </c>
      <c r="E722" s="9" t="str">
        <f>IFERROR(__xludf.DUMMYFUNCTION("GOOGLETRANSLATE($A722,""en"",""es"")"),"San Andrés (BB)")</f>
        <v>San Andrés (BB)</v>
      </c>
      <c r="F722" s="9" t="str">
        <f>IFERROR(__xludf.DUMMYFUNCTION("GOOGLETRANSLATE($A722,""en"",""it"")"),"Sant'Andrea (BB)")</f>
        <v>Sant'Andrea (BB)</v>
      </c>
      <c r="G722" s="9" t="str">
        <f>IFERROR(__xludf.DUMMYFUNCTION("GOOGLETRANSLATE($A722,""en"",""zh-cn"")"),"圣安德鲁 (BB)")</f>
        <v>圣安德鲁 (BB)</v>
      </c>
      <c r="H722" s="9" t="str">
        <f>IFERROR(__xludf.DUMMYFUNCTION("GOOGLETRANSLATE($A722,""en"",""ja"")"),"セント・アンドリュー (BB)")</f>
        <v>セント・アンドリュー (BB)</v>
      </c>
      <c r="I722" s="9" t="str">
        <f>IFERROR(__xludf.DUMMYFUNCTION("GOOGLETRANSLATE($A722,""en"",""ko"")"),"세인트 앤드류(BB)")</f>
        <v>세인트 앤드류(BB)</v>
      </c>
      <c r="J722" s="9" t="str">
        <f>IFERROR(__xludf.DUMMYFUNCTION("GOOGLETRANSLATE($A722,""en"",""pt-BR"")"),"Santo André (BB)")</f>
        <v>Santo André (BB)</v>
      </c>
    </row>
    <row r="723">
      <c r="A723" s="9" t="str">
        <f>IFERROR(__xludf.DUMMYFUNCTION("""COMPUTED_VALUE"""),"Saint Lucy")</f>
        <v>Saint Lucy</v>
      </c>
      <c r="B723" s="9" t="str">
        <f>IFERROR(__xludf.DUMMYFUNCTION("""COMPUTED_VALUE"""),"bb-07")</f>
        <v>bb-07</v>
      </c>
      <c r="C723" s="9" t="str">
        <f>IFERROR(__xludf.DUMMYFUNCTION("GOOGLETRANSLATE($A723,""en"",""de"")"),"Heilige Lucia")</f>
        <v>Heilige Lucia</v>
      </c>
      <c r="D723" s="9" t="str">
        <f>IFERROR(__xludf.DUMMYFUNCTION("GOOGLETRANSLATE($A723,""en"",""fr"")"),"Sainte Lucie")</f>
        <v>Sainte Lucie</v>
      </c>
      <c r="E723" s="9" t="str">
        <f>IFERROR(__xludf.DUMMYFUNCTION("GOOGLETRANSLATE($A723,""en"",""es"")"),"Santa Lucía")</f>
        <v>Santa Lucía</v>
      </c>
      <c r="F723" s="9" t="str">
        <f>IFERROR(__xludf.DUMMYFUNCTION("GOOGLETRANSLATE($A723,""en"",""it"")"),"Santa Lucia")</f>
        <v>Santa Lucia</v>
      </c>
      <c r="G723" s="9" t="str">
        <f>IFERROR(__xludf.DUMMYFUNCTION("GOOGLETRANSLATE($A723,""en"",""zh-cn"")"),"圣露西")</f>
        <v>圣露西</v>
      </c>
      <c r="H723" s="9" t="str">
        <f>IFERROR(__xludf.DUMMYFUNCTION("GOOGLETRANSLATE($A723,""en"",""ja"")"),"セントルーシー")</f>
        <v>セントルーシー</v>
      </c>
      <c r="I723" s="9" t="str">
        <f>IFERROR(__xludf.DUMMYFUNCTION("GOOGLETRANSLATE($A723,""en"",""ko"")"),"세인트 루시")</f>
        <v>세인트 루시</v>
      </c>
      <c r="J723" s="9" t="str">
        <f>IFERROR(__xludf.DUMMYFUNCTION("GOOGLETRANSLATE($A723,""en"",""pt-BR"")"),"Santa Luzia")</f>
        <v>Santa Luzia</v>
      </c>
    </row>
    <row r="724">
      <c r="A724" s="9" t="str">
        <f>IFERROR(__xludf.DUMMYFUNCTION("""COMPUTED_VALUE"""),"Minsk region")</f>
        <v>Minsk region</v>
      </c>
      <c r="B724" s="9" t="str">
        <f>IFERROR(__xludf.DUMMYFUNCTION("""COMPUTED_VALUE"""),"by-mi")</f>
        <v>by-mi</v>
      </c>
      <c r="C724" s="9" t="str">
        <f>IFERROR(__xludf.DUMMYFUNCTION("GOOGLETRANSLATE($A724,""en"",""de"")"),"Gebiet Minsk")</f>
        <v>Gebiet Minsk</v>
      </c>
      <c r="D724" s="9" t="str">
        <f>IFERROR(__xludf.DUMMYFUNCTION("GOOGLETRANSLATE($A724,""en"",""fr"")"),"Région de Minsk")</f>
        <v>Région de Minsk</v>
      </c>
      <c r="E724" s="9" t="str">
        <f>IFERROR(__xludf.DUMMYFUNCTION("GOOGLETRANSLATE($A724,""en"",""es"")"),"Región de Minsk")</f>
        <v>Región de Minsk</v>
      </c>
      <c r="F724" s="9" t="str">
        <f>IFERROR(__xludf.DUMMYFUNCTION("GOOGLETRANSLATE($A724,""en"",""it"")"),"Regione di Minsk")</f>
        <v>Regione di Minsk</v>
      </c>
      <c r="G724" s="9" t="str">
        <f>IFERROR(__xludf.DUMMYFUNCTION("GOOGLETRANSLATE($A724,""en"",""zh-cn"")"),"明斯克地区")</f>
        <v>明斯克地区</v>
      </c>
      <c r="H724" s="9" t="str">
        <f>IFERROR(__xludf.DUMMYFUNCTION("GOOGLETRANSLATE($A724,""en"",""ja"")"),"ミンスク地方")</f>
        <v>ミンスク地方</v>
      </c>
      <c r="I724" s="9" t="str">
        <f>IFERROR(__xludf.DUMMYFUNCTION("GOOGLETRANSLATE($A724,""en"",""ko"")"),"민스크 지역")</f>
        <v>민스크 지역</v>
      </c>
      <c r="J724" s="9" t="str">
        <f>IFERROR(__xludf.DUMMYFUNCTION("GOOGLETRANSLATE($A724,""en"",""pt-BR"")"),"Região de Minsk")</f>
        <v>Região de Minsk</v>
      </c>
    </row>
    <row r="725">
      <c r="A725" s="9" t="str">
        <f>IFERROR(__xludf.DUMMYFUNCTION("""COMPUTED_VALUE"""),"Brest region")</f>
        <v>Brest region</v>
      </c>
      <c r="B725" s="9" t="str">
        <f>IFERROR(__xludf.DUMMYFUNCTION("""COMPUTED_VALUE"""),"by-br")</f>
        <v>by-br</v>
      </c>
      <c r="C725" s="9" t="str">
        <f>IFERROR(__xludf.DUMMYFUNCTION("GOOGLETRANSLATE($A725,""en"",""de"")"),"Region Brest")</f>
        <v>Region Brest</v>
      </c>
      <c r="D725" s="9" t="str">
        <f>IFERROR(__xludf.DUMMYFUNCTION("GOOGLETRANSLATE($A725,""en"",""fr"")"),"Région de Brest")</f>
        <v>Région de Brest</v>
      </c>
      <c r="E725" s="9" t="str">
        <f>IFERROR(__xludf.DUMMYFUNCTION("GOOGLETRANSLATE($A725,""en"",""es"")"),"región de brest")</f>
        <v>región de brest</v>
      </c>
      <c r="F725" s="9" t="str">
        <f>IFERROR(__xludf.DUMMYFUNCTION("GOOGLETRANSLATE($A725,""en"",""it"")"),"Regione di Brest")</f>
        <v>Regione di Brest</v>
      </c>
      <c r="G725" s="9" t="str">
        <f>IFERROR(__xludf.DUMMYFUNCTION("GOOGLETRANSLATE($A725,""en"",""zh-cn"")"),"布列斯特地区")</f>
        <v>布列斯特地区</v>
      </c>
      <c r="H725" s="9" t="str">
        <f>IFERROR(__xludf.DUMMYFUNCTION("GOOGLETRANSLATE($A725,""en"",""ja"")"),"ブレスト地方")</f>
        <v>ブレスト地方</v>
      </c>
      <c r="I725" s="9" t="str">
        <f>IFERROR(__xludf.DUMMYFUNCTION("GOOGLETRANSLATE($A725,""en"",""ko"")"),"브레스트 지역")</f>
        <v>브레스트 지역</v>
      </c>
      <c r="J725" s="9" t="str">
        <f>IFERROR(__xludf.DUMMYFUNCTION("GOOGLETRANSLATE($A725,""en"",""pt-BR"")"),"Região de Brest")</f>
        <v>Região de Brest</v>
      </c>
    </row>
    <row r="726">
      <c r="A726" s="9" t="str">
        <f>IFERROR(__xludf.DUMMYFUNCTION("""COMPUTED_VALUE"""),"Gomel region")</f>
        <v>Gomel region</v>
      </c>
      <c r="B726" s="9" t="str">
        <f>IFERROR(__xludf.DUMMYFUNCTION("""COMPUTED_VALUE"""),"by-ho")</f>
        <v>by-ho</v>
      </c>
      <c r="C726" s="9" t="str">
        <f>IFERROR(__xludf.DUMMYFUNCTION("GOOGLETRANSLATE($A726,""en"",""de"")"),"Gomel-Region")</f>
        <v>Gomel-Region</v>
      </c>
      <c r="D726" s="9" t="str">
        <f>IFERROR(__xludf.DUMMYFUNCTION("GOOGLETRANSLATE($A726,""en"",""fr"")"),"Région de Gomel")</f>
        <v>Région de Gomel</v>
      </c>
      <c r="E726" s="9" t="str">
        <f>IFERROR(__xludf.DUMMYFUNCTION("GOOGLETRANSLATE($A726,""en"",""es"")"),"Región de Gómel")</f>
        <v>Región de Gómel</v>
      </c>
      <c r="F726" s="9" t="str">
        <f>IFERROR(__xludf.DUMMYFUNCTION("GOOGLETRANSLATE($A726,""en"",""it"")"),"Regione di Gomel")</f>
        <v>Regione di Gomel</v>
      </c>
      <c r="G726" s="9" t="str">
        <f>IFERROR(__xludf.DUMMYFUNCTION("GOOGLETRANSLATE($A726,""en"",""zh-cn"")"),"戈梅利地区")</f>
        <v>戈梅利地区</v>
      </c>
      <c r="H726" s="9" t="str">
        <f>IFERROR(__xludf.DUMMYFUNCTION("GOOGLETRANSLATE($A726,""en"",""ja"")"),"ホメリ地方")</f>
        <v>ホメリ地方</v>
      </c>
      <c r="I726" s="9" t="str">
        <f>IFERROR(__xludf.DUMMYFUNCTION("GOOGLETRANSLATE($A726,""en"",""ko"")"),"고멜 지역")</f>
        <v>고멜 지역</v>
      </c>
      <c r="J726" s="9" t="str">
        <f>IFERROR(__xludf.DUMMYFUNCTION("GOOGLETRANSLATE($A726,""en"",""pt-BR"")"),"Região de Gomel")</f>
        <v>Região de Gomel</v>
      </c>
    </row>
    <row r="727">
      <c r="A727" s="9" t="str">
        <f>IFERROR(__xludf.DUMMYFUNCTION("""COMPUTED_VALUE"""),"Minsk city")</f>
        <v>Minsk city</v>
      </c>
      <c r="B727" s="9" t="str">
        <f>IFERROR(__xludf.DUMMYFUNCTION("""COMPUTED_VALUE"""),"by-hm")</f>
        <v>by-hm</v>
      </c>
      <c r="C727" s="9" t="str">
        <f>IFERROR(__xludf.DUMMYFUNCTION("GOOGLETRANSLATE($A727,""en"",""de"")"),"Stadt Minsk")</f>
        <v>Stadt Minsk</v>
      </c>
      <c r="D727" s="9" t="str">
        <f>IFERROR(__xludf.DUMMYFUNCTION("GOOGLETRANSLATE($A727,""en"",""fr"")"),"Ville de Minsk")</f>
        <v>Ville de Minsk</v>
      </c>
      <c r="E727" s="9" t="str">
        <f>IFERROR(__xludf.DUMMYFUNCTION("GOOGLETRANSLATE($A727,""en"",""es"")"),"ciudad de minsk")</f>
        <v>ciudad de minsk</v>
      </c>
      <c r="F727" s="9" t="str">
        <f>IFERROR(__xludf.DUMMYFUNCTION("GOOGLETRANSLATE($A727,""en"",""it"")"),"Città di Minsk")</f>
        <v>Città di Minsk</v>
      </c>
      <c r="G727" s="9" t="str">
        <f>IFERROR(__xludf.DUMMYFUNCTION("GOOGLETRANSLATE($A727,""en"",""zh-cn"")"),"明斯克市")</f>
        <v>明斯克市</v>
      </c>
      <c r="H727" s="9" t="str">
        <f>IFERROR(__xludf.DUMMYFUNCTION("GOOGLETRANSLATE($A727,""en"",""ja"")"),"ミンスク市")</f>
        <v>ミンスク市</v>
      </c>
      <c r="I727" s="9" t="str">
        <f>IFERROR(__xludf.DUMMYFUNCTION("GOOGLETRANSLATE($A727,""en"",""ko"")"),"민스크 시")</f>
        <v>민스크 시</v>
      </c>
      <c r="J727" s="9" t="str">
        <f>IFERROR(__xludf.DUMMYFUNCTION("GOOGLETRANSLATE($A727,""en"",""pt-BR"")"),"Cidade de Minsk")</f>
        <v>Cidade de Minsk</v>
      </c>
    </row>
    <row r="728">
      <c r="A728" s="9" t="str">
        <f>IFERROR(__xludf.DUMMYFUNCTION("""COMPUTED_VALUE"""),"Vitebsk region")</f>
        <v>Vitebsk region</v>
      </c>
      <c r="B728" s="9" t="str">
        <f>IFERROR(__xludf.DUMMYFUNCTION("""COMPUTED_VALUE"""),"by-vi")</f>
        <v>by-vi</v>
      </c>
      <c r="C728" s="9" t="str">
        <f>IFERROR(__xludf.DUMMYFUNCTION("GOOGLETRANSLATE($A728,""en"",""de"")"),"Region Witebsk")</f>
        <v>Region Witebsk</v>
      </c>
      <c r="D728" s="9" t="str">
        <f>IFERROR(__xludf.DUMMYFUNCTION("GOOGLETRANSLATE($A728,""en"",""fr"")"),"région de Vitebsk")</f>
        <v>région de Vitebsk</v>
      </c>
      <c r="E728" s="9" t="str">
        <f>IFERROR(__xludf.DUMMYFUNCTION("GOOGLETRANSLATE($A728,""en"",""es"")"),"Región de Vítebsk")</f>
        <v>Región de Vítebsk</v>
      </c>
      <c r="F728" s="9" t="str">
        <f>IFERROR(__xludf.DUMMYFUNCTION("GOOGLETRANSLATE($A728,""en"",""it"")"),"Regione di Vicebsk")</f>
        <v>Regione di Vicebsk</v>
      </c>
      <c r="G728" s="9" t="str">
        <f>IFERROR(__xludf.DUMMYFUNCTION("GOOGLETRANSLATE($A728,""en"",""zh-cn"")"),"维捷布斯克州")</f>
        <v>维捷布斯克州</v>
      </c>
      <c r="H728" s="9" t="str">
        <f>IFERROR(__xludf.DUMMYFUNCTION("GOOGLETRANSLATE($A728,""en"",""ja"")"),"ヴィツェブスク地方")</f>
        <v>ヴィツェブスク地方</v>
      </c>
      <c r="I728" s="9" t="str">
        <f>IFERROR(__xludf.DUMMYFUNCTION("GOOGLETRANSLATE($A728,""en"",""ko"")"),"비쳅스크 지역")</f>
        <v>비쳅스크 지역</v>
      </c>
      <c r="J728" s="9" t="str">
        <f>IFERROR(__xludf.DUMMYFUNCTION("GOOGLETRANSLATE($A728,""en"",""pt-BR"")"),"Região de Vitebsk")</f>
        <v>Região de Vitebsk</v>
      </c>
    </row>
    <row r="729">
      <c r="A729" s="9" t="str">
        <f>IFERROR(__xludf.DUMMYFUNCTION("""COMPUTED_VALUE"""),"Mogilev region")</f>
        <v>Mogilev region</v>
      </c>
      <c r="B729" s="9" t="str">
        <f>IFERROR(__xludf.DUMMYFUNCTION("""COMPUTED_VALUE"""),"by-ma")</f>
        <v>by-ma</v>
      </c>
      <c r="C729" s="9" t="str">
        <f>IFERROR(__xludf.DUMMYFUNCTION("GOOGLETRANSLATE($A729,""en"",""de"")"),"Gebiet Mogilev")</f>
        <v>Gebiet Mogilev</v>
      </c>
      <c r="D729" s="9" t="str">
        <f>IFERROR(__xludf.DUMMYFUNCTION("GOOGLETRANSLATE($A729,""en"",""fr"")"),"Région de Mogilev")</f>
        <v>Région de Mogilev</v>
      </c>
      <c r="E729" s="9" t="str">
        <f>IFERROR(__xludf.DUMMYFUNCTION("GOOGLETRANSLATE($A729,""en"",""es"")"),"Región de Mogilev")</f>
        <v>Región de Mogilev</v>
      </c>
      <c r="F729" s="9" t="str">
        <f>IFERROR(__xludf.DUMMYFUNCTION("GOOGLETRANSLATE($A729,""en"",""it"")"),"Regione di Mogilev")</f>
        <v>Regione di Mogilev</v>
      </c>
      <c r="G729" s="9" t="str">
        <f>IFERROR(__xludf.DUMMYFUNCTION("GOOGLETRANSLATE($A729,""en"",""zh-cn"")"),"莫吉廖夫地区")</f>
        <v>莫吉廖夫地区</v>
      </c>
      <c r="H729" s="9" t="str">
        <f>IFERROR(__xludf.DUMMYFUNCTION("GOOGLETRANSLATE($A729,""en"",""ja"")"),"モギレフ地域")</f>
        <v>モギレフ地域</v>
      </c>
      <c r="I729" s="9" t="str">
        <f>IFERROR(__xludf.DUMMYFUNCTION("GOOGLETRANSLATE($A729,""en"",""ko"")"),"모길레프 지역")</f>
        <v>모길레프 지역</v>
      </c>
      <c r="J729" s="9" t="str">
        <f>IFERROR(__xludf.DUMMYFUNCTION("GOOGLETRANSLATE($A729,""en"",""pt-BR"")"),"Região de Mogilev")</f>
        <v>Região de Mogilev</v>
      </c>
    </row>
    <row r="730">
      <c r="A730" s="9" t="str">
        <f>IFERROR(__xludf.DUMMYFUNCTION("""COMPUTED_VALUE"""),"Grodno region")</f>
        <v>Grodno region</v>
      </c>
      <c r="B730" s="9" t="str">
        <f>IFERROR(__xludf.DUMMYFUNCTION("""COMPUTED_VALUE"""),"by-hr")</f>
        <v>by-hr</v>
      </c>
      <c r="C730" s="9" t="str">
        <f>IFERROR(__xludf.DUMMYFUNCTION("GOOGLETRANSLATE($A730,""en"",""de"")"),"Region Grodno")</f>
        <v>Region Grodno</v>
      </c>
      <c r="D730" s="9" t="str">
        <f>IFERROR(__xludf.DUMMYFUNCTION("GOOGLETRANSLATE($A730,""en"",""fr"")"),"Région de Grodno")</f>
        <v>Région de Grodno</v>
      </c>
      <c r="E730" s="9" t="str">
        <f>IFERROR(__xludf.DUMMYFUNCTION("GOOGLETRANSLATE($A730,""en"",""es"")"),"región de grodno")</f>
        <v>región de grodno</v>
      </c>
      <c r="F730" s="9" t="str">
        <f>IFERROR(__xludf.DUMMYFUNCTION("GOOGLETRANSLATE($A730,""en"",""it"")"),"Regione di Grodno")</f>
        <v>Regione di Grodno</v>
      </c>
      <c r="G730" s="9" t="str">
        <f>IFERROR(__xludf.DUMMYFUNCTION("GOOGLETRANSLATE($A730,""en"",""zh-cn"")"),"格罗德诺州")</f>
        <v>格罗德诺州</v>
      </c>
      <c r="H730" s="9" t="str">
        <f>IFERROR(__xludf.DUMMYFUNCTION("GOOGLETRANSLATE($A730,""en"",""ja"")"),"グロドノ地方")</f>
        <v>グロドノ地方</v>
      </c>
      <c r="I730" s="9" t="str">
        <f>IFERROR(__xludf.DUMMYFUNCTION("GOOGLETRANSLATE($A730,""en"",""ko"")"),"그로드노 지역")</f>
        <v>그로드노 지역</v>
      </c>
      <c r="J730" s="9" t="str">
        <f>IFERROR(__xludf.DUMMYFUNCTION("GOOGLETRANSLATE($A730,""en"",""pt-BR"")"),"Região de Hrodna")</f>
        <v>Região de Hrodna</v>
      </c>
    </row>
    <row r="731">
      <c r="A731" s="9" t="str">
        <f>IFERROR(__xludf.DUMMYFUNCTION("""COMPUTED_VALUE"""),"Namur")</f>
        <v>Namur</v>
      </c>
      <c r="B731" s="9" t="str">
        <f>IFERROR(__xludf.DUMMYFUNCTION("""COMPUTED_VALUE"""),"be-wna")</f>
        <v>be-wna</v>
      </c>
      <c r="C731" s="9" t="str">
        <f>IFERROR(__xludf.DUMMYFUNCTION("GOOGLETRANSLATE($A731,""en"",""de"")"),"Namur")</f>
        <v>Namur</v>
      </c>
      <c r="D731" s="9" t="str">
        <f>IFERROR(__xludf.DUMMYFUNCTION("GOOGLETRANSLATE($A731,""en"",""fr"")"),"Namur")</f>
        <v>Namur</v>
      </c>
      <c r="E731" s="9" t="str">
        <f>IFERROR(__xludf.DUMMYFUNCTION("GOOGLETRANSLATE($A731,""en"",""es"")"),"Namur")</f>
        <v>Namur</v>
      </c>
      <c r="F731" s="9" t="str">
        <f>IFERROR(__xludf.DUMMYFUNCTION("GOOGLETRANSLATE($A731,""en"",""it"")"),"Namur")</f>
        <v>Namur</v>
      </c>
      <c r="G731" s="9" t="str">
        <f>IFERROR(__xludf.DUMMYFUNCTION("GOOGLETRANSLATE($A731,""en"",""zh-cn"")"),"那慕尔")</f>
        <v>那慕尔</v>
      </c>
      <c r="H731" s="9" t="str">
        <f>IFERROR(__xludf.DUMMYFUNCTION("GOOGLETRANSLATE($A731,""en"",""ja"")"),"ナミュール")</f>
        <v>ナミュール</v>
      </c>
      <c r="I731" s="9" t="str">
        <f>IFERROR(__xludf.DUMMYFUNCTION("GOOGLETRANSLATE($A731,""en"",""ko"")"),"나무르")</f>
        <v>나무르</v>
      </c>
      <c r="J731" s="9" t="str">
        <f>IFERROR(__xludf.DUMMYFUNCTION("GOOGLETRANSLATE($A731,""en"",""pt-BR"")"),"Namur")</f>
        <v>Namur</v>
      </c>
    </row>
    <row r="732">
      <c r="A732" s="9" t="str">
        <f>IFERROR(__xludf.DUMMYFUNCTION("""COMPUTED_VALUE"""),"East Flanders")</f>
        <v>East Flanders</v>
      </c>
      <c r="B732" s="9" t="str">
        <f>IFERROR(__xludf.DUMMYFUNCTION("""COMPUTED_VALUE"""),"be-vov")</f>
        <v>be-vov</v>
      </c>
      <c r="C732" s="9" t="str">
        <f>IFERROR(__xludf.DUMMYFUNCTION("GOOGLETRANSLATE($A732,""en"",""de"")"),"Ostflandern")</f>
        <v>Ostflandern</v>
      </c>
      <c r="D732" s="9" t="str">
        <f>IFERROR(__xludf.DUMMYFUNCTION("GOOGLETRANSLATE($A732,""en"",""fr"")"),"Flandre orientale")</f>
        <v>Flandre orientale</v>
      </c>
      <c r="E732" s="9" t="str">
        <f>IFERROR(__xludf.DUMMYFUNCTION("GOOGLETRANSLATE($A732,""en"",""es"")"),"Flandes Oriental")</f>
        <v>Flandes Oriental</v>
      </c>
      <c r="F732" s="9" t="str">
        <f>IFERROR(__xludf.DUMMYFUNCTION("GOOGLETRANSLATE($A732,""en"",""it"")"),"Fiandre orientali")</f>
        <v>Fiandre orientali</v>
      </c>
      <c r="G732" s="9" t="str">
        <f>IFERROR(__xludf.DUMMYFUNCTION("GOOGLETRANSLATE($A732,""en"",""zh-cn"")"),"东佛兰德斯")</f>
        <v>东佛兰德斯</v>
      </c>
      <c r="H732" s="9" t="str">
        <f>IFERROR(__xludf.DUMMYFUNCTION("GOOGLETRANSLATE($A732,""en"",""ja"")"),"東フランダース")</f>
        <v>東フランダース</v>
      </c>
      <c r="I732" s="9" t="str">
        <f>IFERROR(__xludf.DUMMYFUNCTION("GOOGLETRANSLATE($A732,""en"",""ko"")"),"이스트 플랑드르")</f>
        <v>이스트 플랑드르</v>
      </c>
      <c r="J732" s="9" t="str">
        <f>IFERROR(__xludf.DUMMYFUNCTION("GOOGLETRANSLATE($A732,""en"",""pt-BR"")"),"Flandres Oriental")</f>
        <v>Flandres Oriental</v>
      </c>
    </row>
    <row r="733">
      <c r="A733" s="9" t="str">
        <f>IFERROR(__xludf.DUMMYFUNCTION("""COMPUTED_VALUE"""),"Flemish Brabant")</f>
        <v>Flemish Brabant</v>
      </c>
      <c r="B733" s="9" t="str">
        <f>IFERROR(__xludf.DUMMYFUNCTION("""COMPUTED_VALUE"""),"be-vbr")</f>
        <v>be-vbr</v>
      </c>
      <c r="C733" s="9" t="str">
        <f>IFERROR(__xludf.DUMMYFUNCTION("GOOGLETRANSLATE($A733,""en"",""de"")"),"Flämisch-Brabant")</f>
        <v>Flämisch-Brabant</v>
      </c>
      <c r="D733" s="9" t="str">
        <f>IFERROR(__xludf.DUMMYFUNCTION("GOOGLETRANSLATE($A733,""en"",""fr"")"),"Brabant flamand")</f>
        <v>Brabant flamand</v>
      </c>
      <c r="E733" s="9" t="str">
        <f>IFERROR(__xludf.DUMMYFUNCTION("GOOGLETRANSLATE($A733,""en"",""es"")"),"Brabante flamenco")</f>
        <v>Brabante flamenco</v>
      </c>
      <c r="F733" s="9" t="str">
        <f>IFERROR(__xludf.DUMMYFUNCTION("GOOGLETRANSLATE($A733,""en"",""it"")"),"Brabante Fiammingo")</f>
        <v>Brabante Fiammingo</v>
      </c>
      <c r="G733" s="9" t="str">
        <f>IFERROR(__xludf.DUMMYFUNCTION("GOOGLETRANSLATE($A733,""en"",""zh-cn"")"),"弗拉芒布拉班特省")</f>
        <v>弗拉芒布拉班特省</v>
      </c>
      <c r="H733" s="9" t="str">
        <f>IFERROR(__xludf.DUMMYFUNCTION("GOOGLETRANSLATE($A733,""en"",""ja"")"),"フランダース・ブラバント州")</f>
        <v>フランダース・ブラバント州</v>
      </c>
      <c r="I733" s="9" t="str">
        <f>IFERROR(__xludf.DUMMYFUNCTION("GOOGLETRANSLATE($A733,""en"",""ko"")"),"플랑드르 브라반트")</f>
        <v>플랑드르 브라반트</v>
      </c>
      <c r="J733" s="9" t="str">
        <f>IFERROR(__xludf.DUMMYFUNCTION("GOOGLETRANSLATE($A733,""en"",""pt-BR"")"),"Brabante Flamengo")</f>
        <v>Brabante Flamengo</v>
      </c>
    </row>
    <row r="734">
      <c r="A734" s="9" t="str">
        <f>IFERROR(__xludf.DUMMYFUNCTION("""COMPUTED_VALUE"""),"West Flanders")</f>
        <v>West Flanders</v>
      </c>
      <c r="B734" s="9" t="str">
        <f>IFERROR(__xludf.DUMMYFUNCTION("""COMPUTED_VALUE"""),"be-vwv")</f>
        <v>be-vwv</v>
      </c>
      <c r="C734" s="9" t="str">
        <f>IFERROR(__xludf.DUMMYFUNCTION("GOOGLETRANSLATE($A734,""en"",""de"")"),"Westflandern")</f>
        <v>Westflandern</v>
      </c>
      <c r="D734" s="9" t="str">
        <f>IFERROR(__xludf.DUMMYFUNCTION("GOOGLETRANSLATE($A734,""en"",""fr"")"),"Flandre occidentale")</f>
        <v>Flandre occidentale</v>
      </c>
      <c r="E734" s="9" t="str">
        <f>IFERROR(__xludf.DUMMYFUNCTION("GOOGLETRANSLATE($A734,""en"",""es"")"),"Flandes Occidental")</f>
        <v>Flandes Occidental</v>
      </c>
      <c r="F734" s="9" t="str">
        <f>IFERROR(__xludf.DUMMYFUNCTION("GOOGLETRANSLATE($A734,""en"",""it"")"),"Fiandre occidentali")</f>
        <v>Fiandre occidentali</v>
      </c>
      <c r="G734" s="9" t="str">
        <f>IFERROR(__xludf.DUMMYFUNCTION("GOOGLETRANSLATE($A734,""en"",""zh-cn"")"),"西弗兰德斯")</f>
        <v>西弗兰德斯</v>
      </c>
      <c r="H734" s="9" t="str">
        <f>IFERROR(__xludf.DUMMYFUNCTION("GOOGLETRANSLATE($A734,""en"",""ja"")"),"西フランダース")</f>
        <v>西フランダース</v>
      </c>
      <c r="I734" s="9" t="str">
        <f>IFERROR(__xludf.DUMMYFUNCTION("GOOGLETRANSLATE($A734,""en"",""ko"")"),"웨스트 플랑드르")</f>
        <v>웨스트 플랑드르</v>
      </c>
      <c r="J734" s="9" t="str">
        <f>IFERROR(__xludf.DUMMYFUNCTION("GOOGLETRANSLATE($A734,""en"",""pt-BR"")"),"Flandres Ocidental")</f>
        <v>Flandres Ocidental</v>
      </c>
    </row>
    <row r="735">
      <c r="A735" s="9" t="str">
        <f>IFERROR(__xludf.DUMMYFUNCTION("""COMPUTED_VALUE"""),"Hainaut")</f>
        <v>Hainaut</v>
      </c>
      <c r="B735" s="9" t="str">
        <f>IFERROR(__xludf.DUMMYFUNCTION("""COMPUTED_VALUE"""),"be-wht")</f>
        <v>be-wht</v>
      </c>
      <c r="C735" s="9" t="str">
        <f>IFERROR(__xludf.DUMMYFUNCTION("GOOGLETRANSLATE($A735,""en"",""de"")"),"Hennegau")</f>
        <v>Hennegau</v>
      </c>
      <c r="D735" s="9" t="str">
        <f>IFERROR(__xludf.DUMMYFUNCTION("GOOGLETRANSLATE($A735,""en"",""fr"")"),"Hainaut")</f>
        <v>Hainaut</v>
      </c>
      <c r="E735" s="9" t="str">
        <f>IFERROR(__xludf.DUMMYFUNCTION("GOOGLETRANSLATE($A735,""en"",""es"")"),"Hainaut")</f>
        <v>Hainaut</v>
      </c>
      <c r="F735" s="9" t="str">
        <f>IFERROR(__xludf.DUMMYFUNCTION("GOOGLETRANSLATE($A735,""en"",""it"")"),"Hainaut")</f>
        <v>Hainaut</v>
      </c>
      <c r="G735" s="9" t="str">
        <f>IFERROR(__xludf.DUMMYFUNCTION("GOOGLETRANSLATE($A735,""en"",""zh-cn"")"),"埃诺")</f>
        <v>埃诺</v>
      </c>
      <c r="H735" s="9" t="str">
        <f>IFERROR(__xludf.DUMMYFUNCTION("GOOGLETRANSLATE($A735,""en"",""ja"")"),"エノー")</f>
        <v>エノー</v>
      </c>
      <c r="I735" s="9" t="str">
        <f>IFERROR(__xludf.DUMMYFUNCTION("GOOGLETRANSLATE($A735,""en"",""ko"")"),"에노")</f>
        <v>에노</v>
      </c>
      <c r="J735" s="9" t="str">
        <f>IFERROR(__xludf.DUMMYFUNCTION("GOOGLETRANSLATE($A735,""en"",""pt-BR"")"),"Hainaut")</f>
        <v>Hainaut</v>
      </c>
    </row>
    <row r="736">
      <c r="A736" s="9" t="str">
        <f>IFERROR(__xludf.DUMMYFUNCTION("""COMPUTED_VALUE"""),"Liège")</f>
        <v>Liège</v>
      </c>
      <c r="B736" s="9" t="str">
        <f>IFERROR(__xludf.DUMMYFUNCTION("""COMPUTED_VALUE"""),"be-wlg")</f>
        <v>be-wlg</v>
      </c>
      <c r="C736" s="9" t="str">
        <f>IFERROR(__xludf.DUMMYFUNCTION("GOOGLETRANSLATE($A736,""en"",""de"")"),"Lüttich")</f>
        <v>Lüttich</v>
      </c>
      <c r="D736" s="9" t="str">
        <f>IFERROR(__xludf.DUMMYFUNCTION("GOOGLETRANSLATE($A736,""en"",""fr"")"),"Lige")</f>
        <v>Lige</v>
      </c>
      <c r="E736" s="9" t="str">
        <f>IFERROR(__xludf.DUMMYFUNCTION("GOOGLETRANSLATE($A736,""en"",""es"")"),"Feudal")</f>
        <v>Feudal</v>
      </c>
      <c r="F736" s="9" t="str">
        <f>IFERROR(__xludf.DUMMYFUNCTION("GOOGLETRANSLATE($A736,""en"",""it"")"),"Liegi")</f>
        <v>Liegi</v>
      </c>
      <c r="G736" s="9" t="str">
        <f>IFERROR(__xludf.DUMMYFUNCTION("GOOGLETRANSLATE($A736,""en"",""zh-cn"")"),"列日")</f>
        <v>列日</v>
      </c>
      <c r="H736" s="9" t="str">
        <f>IFERROR(__xludf.DUMMYFUNCTION("GOOGLETRANSLATE($A736,""en"",""ja"")"),"リエージュ")</f>
        <v>リエージュ</v>
      </c>
      <c r="I736" s="9" t="str">
        <f>IFERROR(__xludf.DUMMYFUNCTION("GOOGLETRANSLATE($A736,""en"",""ko"")"),"군주")</f>
        <v>군주</v>
      </c>
      <c r="J736" s="9" t="str">
        <f>IFERROR(__xludf.DUMMYFUNCTION("GOOGLETRANSLATE($A736,""en"",""pt-BR"")"),"Liège")</f>
        <v>Liège</v>
      </c>
    </row>
    <row r="737">
      <c r="A737" s="9" t="str">
        <f>IFERROR(__xludf.DUMMYFUNCTION("""COMPUTED_VALUE"""),"Limburg (Belgium)")</f>
        <v>Limburg (Belgium)</v>
      </c>
      <c r="B737" s="9" t="str">
        <f>IFERROR(__xludf.DUMMYFUNCTION("""COMPUTED_VALUE"""),"be-vli")</f>
        <v>be-vli</v>
      </c>
      <c r="C737" s="9" t="str">
        <f>IFERROR(__xludf.DUMMYFUNCTION("GOOGLETRANSLATE($A737,""en"",""de"")"),"Limburg (Belgien)")</f>
        <v>Limburg (Belgien)</v>
      </c>
      <c r="D737" s="9" t="str">
        <f>IFERROR(__xludf.DUMMYFUNCTION("GOOGLETRANSLATE($A737,""en"",""fr"")"),"Limbourg (Belgique)")</f>
        <v>Limbourg (Belgique)</v>
      </c>
      <c r="E737" s="9" t="str">
        <f>IFERROR(__xludf.DUMMYFUNCTION("GOOGLETRANSLATE($A737,""en"",""es"")"),"Limburgo (Bélgica)")</f>
        <v>Limburgo (Bélgica)</v>
      </c>
      <c r="F737" s="9" t="str">
        <f>IFERROR(__xludf.DUMMYFUNCTION("GOOGLETRANSLATE($A737,""en"",""it"")"),"Limburgo (Belgio)")</f>
        <v>Limburgo (Belgio)</v>
      </c>
      <c r="G737" s="9" t="str">
        <f>IFERROR(__xludf.DUMMYFUNCTION("GOOGLETRANSLATE($A737,""en"",""zh-cn"")"),"林堡省（比利时）")</f>
        <v>林堡省（比利时）</v>
      </c>
      <c r="H737" s="9" t="str">
        <f>IFERROR(__xludf.DUMMYFUNCTION("GOOGLETRANSLATE($A737,""en"",""ja"")"),"リンブルフ州 (ベルギー)")</f>
        <v>リンブルフ州 (ベルギー)</v>
      </c>
      <c r="I737" s="9" t="str">
        <f>IFERROR(__xludf.DUMMYFUNCTION("GOOGLETRANSLATE($A737,""en"",""ko"")"),"림부르크(벨기에)")</f>
        <v>림부르크(벨기에)</v>
      </c>
      <c r="J737" s="9" t="str">
        <f>IFERROR(__xludf.DUMMYFUNCTION("GOOGLETRANSLATE($A737,""en"",""pt-BR"")"),"Limburgo (Bélgica)")</f>
        <v>Limburgo (Bélgica)</v>
      </c>
    </row>
    <row r="738">
      <c r="A738" s="9" t="str">
        <f>IFERROR(__xludf.DUMMYFUNCTION("""COMPUTED_VALUE"""),"Luxembourg (Belgium)")</f>
        <v>Luxembourg (Belgium)</v>
      </c>
      <c r="B738" s="9" t="str">
        <f>IFERROR(__xludf.DUMMYFUNCTION("""COMPUTED_VALUE"""),"be-wlx")</f>
        <v>be-wlx</v>
      </c>
      <c r="C738" s="9" t="str">
        <f>IFERROR(__xludf.DUMMYFUNCTION("GOOGLETRANSLATE($A738,""en"",""de"")"),"Luxemburg (Belgien)")</f>
        <v>Luxemburg (Belgien)</v>
      </c>
      <c r="D738" s="9" t="str">
        <f>IFERROR(__xludf.DUMMYFUNCTION("GOOGLETRANSLATE($A738,""en"",""fr"")"),"Luxembourg (Belgique)")</f>
        <v>Luxembourg (Belgique)</v>
      </c>
      <c r="E738" s="9" t="str">
        <f>IFERROR(__xludf.DUMMYFUNCTION("GOOGLETRANSLATE($A738,""en"",""es"")"),"Luxemburgo (Bélgica)")</f>
        <v>Luxemburgo (Bélgica)</v>
      </c>
      <c r="F738" s="9" t="str">
        <f>IFERROR(__xludf.DUMMYFUNCTION("GOOGLETRANSLATE($A738,""en"",""it"")"),"Lussemburgo (Belgio)")</f>
        <v>Lussemburgo (Belgio)</v>
      </c>
      <c r="G738" s="9" t="str">
        <f>IFERROR(__xludf.DUMMYFUNCTION("GOOGLETRANSLATE($A738,""en"",""zh-cn"")"),"卢森堡（比利时）")</f>
        <v>卢森堡（比利时）</v>
      </c>
      <c r="H738" s="9" t="str">
        <f>IFERROR(__xludf.DUMMYFUNCTION("GOOGLETRANSLATE($A738,""en"",""ja"")"),"ルクセンブルク (ベルギー)")</f>
        <v>ルクセンブルク (ベルギー)</v>
      </c>
      <c r="I738" s="9" t="str">
        <f>IFERROR(__xludf.DUMMYFUNCTION("GOOGLETRANSLATE($A738,""en"",""ko"")"),"룩셈부르크(벨기에)")</f>
        <v>룩셈부르크(벨기에)</v>
      </c>
      <c r="J738" s="9" t="str">
        <f>IFERROR(__xludf.DUMMYFUNCTION("GOOGLETRANSLATE($A738,""en"",""pt-BR"")"),"Luxemburgo (Bélgica)")</f>
        <v>Luxemburgo (Bélgica)</v>
      </c>
    </row>
    <row r="739">
      <c r="A739" s="9" t="str">
        <f>IFERROR(__xludf.DUMMYFUNCTION("""COMPUTED_VALUE"""),"Flemish Region")</f>
        <v>Flemish Region</v>
      </c>
      <c r="B739" s="9" t="str">
        <f>IFERROR(__xludf.DUMMYFUNCTION("""COMPUTED_VALUE"""),"be-vlg")</f>
        <v>be-vlg</v>
      </c>
      <c r="C739" s="9" t="str">
        <f>IFERROR(__xludf.DUMMYFUNCTION("GOOGLETRANSLATE($A739,""en"",""de"")"),"Flämische Region")</f>
        <v>Flämische Region</v>
      </c>
      <c r="D739" s="9" t="str">
        <f>IFERROR(__xludf.DUMMYFUNCTION("GOOGLETRANSLATE($A739,""en"",""fr"")"),"Région flamande")</f>
        <v>Région flamande</v>
      </c>
      <c r="E739" s="9" t="str">
        <f>IFERROR(__xludf.DUMMYFUNCTION("GOOGLETRANSLATE($A739,""en"",""es"")"),"Región flamenca")</f>
        <v>Región flamenca</v>
      </c>
      <c r="F739" s="9" t="str">
        <f>IFERROR(__xludf.DUMMYFUNCTION("GOOGLETRANSLATE($A739,""en"",""it"")"),"Regione Fiamminga")</f>
        <v>Regione Fiamminga</v>
      </c>
      <c r="G739" s="9" t="str">
        <f>IFERROR(__xludf.DUMMYFUNCTION("GOOGLETRANSLATE($A739,""en"",""zh-cn"")"),"弗拉芒大区")</f>
        <v>弗拉芒大区</v>
      </c>
      <c r="H739" s="9" t="str">
        <f>IFERROR(__xludf.DUMMYFUNCTION("GOOGLETRANSLATE($A739,""en"",""ja"")"),"フランドル地方")</f>
        <v>フランドル地方</v>
      </c>
      <c r="I739" s="9" t="str">
        <f>IFERROR(__xludf.DUMMYFUNCTION("GOOGLETRANSLATE($A739,""en"",""ko"")"),"플랑드르 지역")</f>
        <v>플랑드르 지역</v>
      </c>
      <c r="J739" s="9" t="str">
        <f>IFERROR(__xludf.DUMMYFUNCTION("GOOGLETRANSLATE($A739,""en"",""pt-BR"")"),"Região Flamenga")</f>
        <v>Região Flamenga</v>
      </c>
    </row>
    <row r="740">
      <c r="A740" s="9" t="str">
        <f>IFERROR(__xludf.DUMMYFUNCTION("""COMPUTED_VALUE"""),"Walloon Region")</f>
        <v>Walloon Region</v>
      </c>
      <c r="B740" s="9" t="str">
        <f>IFERROR(__xludf.DUMMYFUNCTION("""COMPUTED_VALUE"""),"be-wal")</f>
        <v>be-wal</v>
      </c>
      <c r="C740" s="9" t="str">
        <f>IFERROR(__xludf.DUMMYFUNCTION("GOOGLETRANSLATE($A740,""en"",""de"")"),"Wallonische Region")</f>
        <v>Wallonische Region</v>
      </c>
      <c r="D740" s="9" t="str">
        <f>IFERROR(__xludf.DUMMYFUNCTION("GOOGLETRANSLATE($A740,""en"",""fr"")"),"Région wallonne")</f>
        <v>Région wallonne</v>
      </c>
      <c r="E740" s="9" t="str">
        <f>IFERROR(__xludf.DUMMYFUNCTION("GOOGLETRANSLATE($A740,""en"",""es"")"),"Región valona")</f>
        <v>Región valona</v>
      </c>
      <c r="F740" s="9" t="str">
        <f>IFERROR(__xludf.DUMMYFUNCTION("GOOGLETRANSLATE($A740,""en"",""it"")"),"Regione Vallone")</f>
        <v>Regione Vallone</v>
      </c>
      <c r="G740" s="9" t="str">
        <f>IFERROR(__xludf.DUMMYFUNCTION("GOOGLETRANSLATE($A740,""en"",""zh-cn"")"),"瓦隆地区")</f>
        <v>瓦隆地区</v>
      </c>
      <c r="H740" s="9" t="str">
        <f>IFERROR(__xludf.DUMMYFUNCTION("GOOGLETRANSLATE($A740,""en"",""ja"")"),"ワロン地域")</f>
        <v>ワロン地域</v>
      </c>
      <c r="I740" s="9" t="str">
        <f>IFERROR(__xludf.DUMMYFUNCTION("GOOGLETRANSLATE($A740,""en"",""ko"")"),"왈론 지역")</f>
        <v>왈론 지역</v>
      </c>
      <c r="J740" s="9" t="str">
        <f>IFERROR(__xludf.DUMMYFUNCTION("GOOGLETRANSLATE($A740,""en"",""pt-BR"")"),"Região da Valônia")</f>
        <v>Região da Valônia</v>
      </c>
    </row>
    <row r="741">
      <c r="A741" s="9" t="str">
        <f>IFERROR(__xludf.DUMMYFUNCTION("""COMPUTED_VALUE"""),"Antwerp")</f>
        <v>Antwerp</v>
      </c>
      <c r="B741" s="9" t="str">
        <f>IFERROR(__xludf.DUMMYFUNCTION("""COMPUTED_VALUE"""),"be-van")</f>
        <v>be-van</v>
      </c>
      <c r="C741" s="9" t="str">
        <f>IFERROR(__xludf.DUMMYFUNCTION("GOOGLETRANSLATE($A741,""en"",""de"")"),"Antwerpen")</f>
        <v>Antwerpen</v>
      </c>
      <c r="D741" s="9" t="str">
        <f>IFERROR(__xludf.DUMMYFUNCTION("GOOGLETRANSLATE($A741,""en"",""fr"")"),"Anvers")</f>
        <v>Anvers</v>
      </c>
      <c r="E741" s="9" t="str">
        <f>IFERROR(__xludf.DUMMYFUNCTION("GOOGLETRANSLATE($A741,""en"",""es"")"),"Amberes")</f>
        <v>Amberes</v>
      </c>
      <c r="F741" s="9" t="str">
        <f>IFERROR(__xludf.DUMMYFUNCTION("GOOGLETRANSLATE($A741,""en"",""it"")"),"Anversa")</f>
        <v>Anversa</v>
      </c>
      <c r="G741" s="9" t="str">
        <f>IFERROR(__xludf.DUMMYFUNCTION("GOOGLETRANSLATE($A741,""en"",""zh-cn"")"),"安特卫普")</f>
        <v>安特卫普</v>
      </c>
      <c r="H741" s="9" t="str">
        <f>IFERROR(__xludf.DUMMYFUNCTION("GOOGLETRANSLATE($A741,""en"",""ja"")"),"アントワープ")</f>
        <v>アントワープ</v>
      </c>
      <c r="I741" s="9" t="str">
        <f>IFERROR(__xludf.DUMMYFUNCTION("GOOGLETRANSLATE($A741,""en"",""ko"")"),"앤트워프")</f>
        <v>앤트워프</v>
      </c>
      <c r="J741" s="9" t="str">
        <f>IFERROR(__xludf.DUMMYFUNCTION("GOOGLETRANSLATE($A741,""en"",""pt-BR"")"),"Antuérpia")</f>
        <v>Antuérpia</v>
      </c>
    </row>
    <row r="742">
      <c r="A742" s="9" t="str">
        <f>IFERROR(__xludf.DUMMYFUNCTION("""COMPUTED_VALUE"""),"Walloon Brabant")</f>
        <v>Walloon Brabant</v>
      </c>
      <c r="B742" s="9" t="str">
        <f>IFERROR(__xludf.DUMMYFUNCTION("""COMPUTED_VALUE"""),"be-wbr")</f>
        <v>be-wbr</v>
      </c>
      <c r="C742" s="9" t="str">
        <f>IFERROR(__xludf.DUMMYFUNCTION("GOOGLETRANSLATE($A742,""en"",""de"")"),"Wallonisch-Brabant")</f>
        <v>Wallonisch-Brabant</v>
      </c>
      <c r="D742" s="9" t="str">
        <f>IFERROR(__xludf.DUMMYFUNCTION("GOOGLETRANSLATE($A742,""en"",""fr"")"),"Brabant wallon")</f>
        <v>Brabant wallon</v>
      </c>
      <c r="E742" s="9" t="str">
        <f>IFERROR(__xludf.DUMMYFUNCTION("GOOGLETRANSLATE($A742,""en"",""es"")"),"Brabante Valón")</f>
        <v>Brabante Valón</v>
      </c>
      <c r="F742" s="9" t="str">
        <f>IFERROR(__xludf.DUMMYFUNCTION("GOOGLETRANSLATE($A742,""en"",""it"")"),"Brabante Vallone")</f>
        <v>Brabante Vallone</v>
      </c>
      <c r="G742" s="9" t="str">
        <f>IFERROR(__xludf.DUMMYFUNCTION("GOOGLETRANSLATE($A742,""en"",""zh-cn"")"),"瓦隆布拉班特省")</f>
        <v>瓦隆布拉班特省</v>
      </c>
      <c r="H742" s="9" t="str">
        <f>IFERROR(__xludf.DUMMYFUNCTION("GOOGLETRANSLATE($A742,""en"",""ja"")"),"ブラバントワロン州")</f>
        <v>ブラバントワロン州</v>
      </c>
      <c r="I742" s="9" t="str">
        <f>IFERROR(__xludf.DUMMYFUNCTION("GOOGLETRANSLATE($A742,""en"",""ko"")"),"왈론 브라반트")</f>
        <v>왈론 브라반트</v>
      </c>
      <c r="J742" s="9" t="str">
        <f>IFERROR(__xludf.DUMMYFUNCTION("GOOGLETRANSLATE($A742,""en"",""pt-BR"")"),"Brabante Valão")</f>
        <v>Brabante Valão</v>
      </c>
    </row>
    <row r="743">
      <c r="A743" s="9" t="str">
        <f>IFERROR(__xludf.DUMMYFUNCTION("""COMPUTED_VALUE"""),"Brussels-Capital Region")</f>
        <v>Brussels-Capital Region</v>
      </c>
      <c r="B743" s="9" t="str">
        <f>IFERROR(__xludf.DUMMYFUNCTION("""COMPUTED_VALUE"""),"be-bru")</f>
        <v>be-bru</v>
      </c>
      <c r="C743" s="9" t="str">
        <f>IFERROR(__xludf.DUMMYFUNCTION("GOOGLETRANSLATE($A743,""en"",""de"")"),"Region Brüssel-Hauptstadt")</f>
        <v>Region Brüssel-Hauptstadt</v>
      </c>
      <c r="D743" s="9" t="str">
        <f>IFERROR(__xludf.DUMMYFUNCTION("GOOGLETRANSLATE($A743,""en"",""fr"")"),"Région de Bruxelles-Capitale")</f>
        <v>Région de Bruxelles-Capitale</v>
      </c>
      <c r="E743" s="9" t="str">
        <f>IFERROR(__xludf.DUMMYFUNCTION("GOOGLETRANSLATE($A743,""en"",""es"")"),"Región de Bruselas-Capital")</f>
        <v>Región de Bruselas-Capital</v>
      </c>
      <c r="F743" s="9" t="str">
        <f>IFERROR(__xludf.DUMMYFUNCTION("GOOGLETRANSLATE($A743,""en"",""it"")"),"Regione di Bruxelles-Capitale")</f>
        <v>Regione di Bruxelles-Capitale</v>
      </c>
      <c r="G743" s="9" t="str">
        <f>IFERROR(__xludf.DUMMYFUNCTION("GOOGLETRANSLATE($A743,""en"",""zh-cn"")"),"布鲁塞尔首都区")</f>
        <v>布鲁塞尔首都区</v>
      </c>
      <c r="H743" s="9" t="str">
        <f>IFERROR(__xludf.DUMMYFUNCTION("GOOGLETRANSLATE($A743,""en"",""ja"")"),"ブリュッセル首都圏")</f>
        <v>ブリュッセル首都圏</v>
      </c>
      <c r="I743" s="9" t="str">
        <f>IFERROR(__xludf.DUMMYFUNCTION("GOOGLETRANSLATE($A743,""en"",""ko"")"),"브뤼셀-수도 지역")</f>
        <v>브뤼셀-수도 지역</v>
      </c>
      <c r="J743" s="9" t="str">
        <f>IFERROR(__xludf.DUMMYFUNCTION("GOOGLETRANSLATE($A743,""en"",""pt-BR"")"),"Região Bruxelas-Capital")</f>
        <v>Região Bruxelas-Capital</v>
      </c>
    </row>
    <row r="744">
      <c r="A744" s="9" t="str">
        <f>IFERROR(__xludf.DUMMYFUNCTION("""COMPUTED_VALUE"""),"Orange Walk")</f>
        <v>Orange Walk</v>
      </c>
      <c r="B744" s="9" t="str">
        <f>IFERROR(__xludf.DUMMYFUNCTION("""COMPUTED_VALUE"""),"bz-ow")</f>
        <v>bz-ow</v>
      </c>
      <c r="C744" s="9" t="str">
        <f>IFERROR(__xludf.DUMMYFUNCTION("GOOGLETRANSLATE($A744,""en"",""de"")"),"Orange Walk")</f>
        <v>Orange Walk</v>
      </c>
      <c r="D744" s="9" t="str">
        <f>IFERROR(__xludf.DUMMYFUNCTION("GOOGLETRANSLATE($A744,""en"",""fr"")"),"Marche Orange")</f>
        <v>Marche Orange</v>
      </c>
      <c r="E744" s="9" t="str">
        <f>IFERROR(__xludf.DUMMYFUNCTION("GOOGLETRANSLATE($A744,""en"",""es"")"),"Paseo Naranja")</f>
        <v>Paseo Naranja</v>
      </c>
      <c r="F744" s="9" t="str">
        <f>IFERROR(__xludf.DUMMYFUNCTION("GOOGLETRANSLATE($A744,""en"",""it"")"),"Passeggiata arancione")</f>
        <v>Passeggiata arancione</v>
      </c>
      <c r="G744" s="9" t="str">
        <f>IFERROR(__xludf.DUMMYFUNCTION("GOOGLETRANSLATE($A744,""en"",""zh-cn"")"),"奥兰治沃克")</f>
        <v>奥兰治沃克</v>
      </c>
      <c r="H744" s="9" t="str">
        <f>IFERROR(__xludf.DUMMYFUNCTION("GOOGLETRANSLATE($A744,""en"",""ja"")"),"オレンジウォーク")</f>
        <v>オレンジウォーク</v>
      </c>
      <c r="I744" s="9" t="str">
        <f>IFERROR(__xludf.DUMMYFUNCTION("GOOGLETRANSLATE($A744,""en"",""ko"")"),"오렌지 워크")</f>
        <v>오렌지 워크</v>
      </c>
      <c r="J744" s="9" t="str">
        <f>IFERROR(__xludf.DUMMYFUNCTION("GOOGLETRANSLATE($A744,""en"",""pt-BR"")"),"Caminhada Laranja")</f>
        <v>Caminhada Laranja</v>
      </c>
    </row>
    <row r="745">
      <c r="A745" s="9" t="str">
        <f>IFERROR(__xludf.DUMMYFUNCTION("""COMPUTED_VALUE"""),"Toledo (BZ)")</f>
        <v>Toledo (BZ)</v>
      </c>
      <c r="B745" s="9" t="str">
        <f>IFERROR(__xludf.DUMMYFUNCTION("""COMPUTED_VALUE"""),"bz-tol")</f>
        <v>bz-tol</v>
      </c>
      <c r="C745" s="9" t="str">
        <f>IFERROR(__xludf.DUMMYFUNCTION("GOOGLETRANSLATE($A745,""en"",""de"")"),"Toledo (BZ)")</f>
        <v>Toledo (BZ)</v>
      </c>
      <c r="D745" s="9" t="str">
        <f>IFERROR(__xludf.DUMMYFUNCTION("GOOGLETRANSLATE($A745,""en"",""fr"")"),"Tolède (BZ)")</f>
        <v>Tolède (BZ)</v>
      </c>
      <c r="E745" s="9" t="str">
        <f>IFERROR(__xludf.DUMMYFUNCTION("GOOGLETRANSLATE($A745,""en"",""es"")"),"Toledo (BZ)")</f>
        <v>Toledo (BZ)</v>
      </c>
      <c r="F745" s="9" t="str">
        <f>IFERROR(__xludf.DUMMYFUNCTION("GOOGLETRANSLATE($A745,""en"",""it"")"),"Toledo (BZ)")</f>
        <v>Toledo (BZ)</v>
      </c>
      <c r="G745" s="9" t="str">
        <f>IFERROR(__xludf.DUMMYFUNCTION("GOOGLETRANSLATE($A745,""en"",""zh-cn"")"),"托莱多 (BZ)")</f>
        <v>托莱多 (BZ)</v>
      </c>
      <c r="H745" s="9" t="str">
        <f>IFERROR(__xludf.DUMMYFUNCTION("GOOGLETRANSLATE($A745,""en"",""ja"")"),"トレド (BZ)")</f>
        <v>トレド (BZ)</v>
      </c>
      <c r="I745" s="9" t="str">
        <f>IFERROR(__xludf.DUMMYFUNCTION("GOOGLETRANSLATE($A745,""en"",""ko"")"),"톨레도 (BZ)")</f>
        <v>톨레도 (BZ)</v>
      </c>
      <c r="J745" s="9" t="str">
        <f>IFERROR(__xludf.DUMMYFUNCTION("GOOGLETRANSLATE($A745,""en"",""pt-BR"")"),"Toledo (BZ)")</f>
        <v>Toledo (BZ)</v>
      </c>
    </row>
    <row r="746">
      <c r="A746" s="9" t="str">
        <f>IFERROR(__xludf.DUMMYFUNCTION("""COMPUTED_VALUE"""),"Stann Creek")</f>
        <v>Stann Creek</v>
      </c>
      <c r="B746" s="9" t="str">
        <f>IFERROR(__xludf.DUMMYFUNCTION("""COMPUTED_VALUE"""),"bz-sc")</f>
        <v>bz-sc</v>
      </c>
      <c r="C746" s="9" t="str">
        <f>IFERROR(__xludf.DUMMYFUNCTION("GOOGLETRANSLATE($A746,""en"",""de"")"),"Stann Creek")</f>
        <v>Stann Creek</v>
      </c>
      <c r="D746" s="9" t="str">
        <f>IFERROR(__xludf.DUMMYFUNCTION("GOOGLETRANSLATE($A746,""en"",""fr"")"),"Ruisseau Stann")</f>
        <v>Ruisseau Stann</v>
      </c>
      <c r="E746" s="9" t="str">
        <f>IFERROR(__xludf.DUMMYFUNCTION("GOOGLETRANSLATE($A746,""en"",""es"")"),"stann creek")</f>
        <v>stann creek</v>
      </c>
      <c r="F746" s="9" t="str">
        <f>IFERROR(__xludf.DUMMYFUNCTION("GOOGLETRANSLATE($A746,""en"",""it"")"),"Stann Creek")</f>
        <v>Stann Creek</v>
      </c>
      <c r="G746" s="9" t="str">
        <f>IFERROR(__xludf.DUMMYFUNCTION("GOOGLETRANSLATE($A746,""en"",""zh-cn"")"),"斯坦溪")</f>
        <v>斯坦溪</v>
      </c>
      <c r="H746" s="9" t="str">
        <f>IFERROR(__xludf.DUMMYFUNCTION("GOOGLETRANSLATE($A746,""en"",""ja"")"),"スタン・クリーク")</f>
        <v>スタン・クリーク</v>
      </c>
      <c r="I746" s="9" t="str">
        <f>IFERROR(__xludf.DUMMYFUNCTION("GOOGLETRANSLATE($A746,""en"",""ko"")"),"스탠 크릭")</f>
        <v>스탠 크릭</v>
      </c>
      <c r="J746" s="9" t="str">
        <f>IFERROR(__xludf.DUMMYFUNCTION("GOOGLETRANSLATE($A746,""en"",""pt-BR"")"),"Stann Creek")</f>
        <v>Stann Creek</v>
      </c>
    </row>
    <row r="747">
      <c r="A747" s="9" t="str">
        <f>IFERROR(__xludf.DUMMYFUNCTION("""COMPUTED_VALUE"""),"Cayo")</f>
        <v>Cayo</v>
      </c>
      <c r="B747" s="9" t="str">
        <f>IFERROR(__xludf.DUMMYFUNCTION("""COMPUTED_VALUE"""),"bz-cy")</f>
        <v>bz-cy</v>
      </c>
      <c r="C747" s="9" t="str">
        <f>IFERROR(__xludf.DUMMYFUNCTION("GOOGLETRANSLATE($A747,""en"",""de"")"),"Cayo")</f>
        <v>Cayo</v>
      </c>
      <c r="D747" s="9" t="str">
        <f>IFERROR(__xludf.DUMMYFUNCTION("GOOGLETRANSLATE($A747,""en"",""fr"")"),"Cayo")</f>
        <v>Cayo</v>
      </c>
      <c r="E747" s="9" t="str">
        <f>IFERROR(__xludf.DUMMYFUNCTION("GOOGLETRANSLATE($A747,""en"",""es"")"),"Cayo")</f>
        <v>Cayo</v>
      </c>
      <c r="F747" s="9" t="str">
        <f>IFERROR(__xludf.DUMMYFUNCTION("GOOGLETRANSLATE($A747,""en"",""it"")"),"Cayo")</f>
        <v>Cayo</v>
      </c>
      <c r="G747" s="9" t="str">
        <f>IFERROR(__xludf.DUMMYFUNCTION("GOOGLETRANSLATE($A747,""en"",""zh-cn"")"),"卡约")</f>
        <v>卡约</v>
      </c>
      <c r="H747" s="9" t="str">
        <f>IFERROR(__xludf.DUMMYFUNCTION("GOOGLETRANSLATE($A747,""en"",""ja"")"),"カヨ")</f>
        <v>カヨ</v>
      </c>
      <c r="I747" s="9" t="str">
        <f>IFERROR(__xludf.DUMMYFUNCTION("GOOGLETRANSLATE($A747,""en"",""ko"")"),"카요")</f>
        <v>카요</v>
      </c>
      <c r="J747" s="9" t="str">
        <f>IFERROR(__xludf.DUMMYFUNCTION("GOOGLETRANSLATE($A747,""en"",""pt-BR"")"),"Cayo")</f>
        <v>Cayo</v>
      </c>
    </row>
    <row r="748">
      <c r="A748" s="9" t="str">
        <f>IFERROR(__xludf.DUMMYFUNCTION("""COMPUTED_VALUE"""),"Corozal")</f>
        <v>Corozal</v>
      </c>
      <c r="B748" s="9" t="str">
        <f>IFERROR(__xludf.DUMMYFUNCTION("""COMPUTED_VALUE"""),"bz-czl")</f>
        <v>bz-czl</v>
      </c>
      <c r="C748" s="9" t="str">
        <f>IFERROR(__xludf.DUMMYFUNCTION("GOOGLETRANSLATE($A748,""en"",""de"")"),"Corozal")</f>
        <v>Corozal</v>
      </c>
      <c r="D748" s="9" t="str">
        <f>IFERROR(__xludf.DUMMYFUNCTION("GOOGLETRANSLATE($A748,""en"",""fr"")"),"Corozal")</f>
        <v>Corozal</v>
      </c>
      <c r="E748" s="9" t="str">
        <f>IFERROR(__xludf.DUMMYFUNCTION("GOOGLETRANSLATE($A748,""en"",""es"")"),"Corozal")</f>
        <v>Corozal</v>
      </c>
      <c r="F748" s="9" t="str">
        <f>IFERROR(__xludf.DUMMYFUNCTION("GOOGLETRANSLATE($A748,""en"",""it"")"),"Corozal")</f>
        <v>Corozal</v>
      </c>
      <c r="G748" s="9" t="str">
        <f>IFERROR(__xludf.DUMMYFUNCTION("GOOGLETRANSLATE($A748,""en"",""zh-cn"")"),"科罗萨尔")</f>
        <v>科罗萨尔</v>
      </c>
      <c r="H748" s="9" t="str">
        <f>IFERROR(__xludf.DUMMYFUNCTION("GOOGLETRANSLATE($A748,""en"",""ja"")"),"コロサル")</f>
        <v>コロサル</v>
      </c>
      <c r="I748" s="9" t="str">
        <f>IFERROR(__xludf.DUMMYFUNCTION("GOOGLETRANSLATE($A748,""en"",""ko"")"),"코로잘")</f>
        <v>코로잘</v>
      </c>
      <c r="J748" s="9" t="str">
        <f>IFERROR(__xludf.DUMMYFUNCTION("GOOGLETRANSLATE($A748,""en"",""pt-BR"")"),"Corozal")</f>
        <v>Corozal</v>
      </c>
    </row>
    <row r="749">
      <c r="A749" s="9" t="str">
        <f>IFERROR(__xludf.DUMMYFUNCTION("""COMPUTED_VALUE"""),"Belize")</f>
        <v>Belize</v>
      </c>
      <c r="B749" s="9" t="str">
        <f>IFERROR(__xludf.DUMMYFUNCTION("""COMPUTED_VALUE"""),"bz-bz")</f>
        <v>bz-bz</v>
      </c>
      <c r="C749" s="9" t="str">
        <f>IFERROR(__xludf.DUMMYFUNCTION("GOOGLETRANSLATE($A749,""en"",""de"")"),"Belize")</f>
        <v>Belize</v>
      </c>
      <c r="D749" s="9" t="str">
        <f>IFERROR(__xludf.DUMMYFUNCTION("GOOGLETRANSLATE($A749,""en"",""fr"")"),"Bélize")</f>
        <v>Bélize</v>
      </c>
      <c r="E749" s="9" t="str">
        <f>IFERROR(__xludf.DUMMYFUNCTION("GOOGLETRANSLATE($A749,""en"",""es"")"),"Belice")</f>
        <v>Belice</v>
      </c>
      <c r="F749" s="9" t="str">
        <f>IFERROR(__xludf.DUMMYFUNCTION("GOOGLETRANSLATE($A749,""en"",""it"")"),"Belize")</f>
        <v>Belize</v>
      </c>
      <c r="G749" s="9" t="str">
        <f>IFERROR(__xludf.DUMMYFUNCTION("GOOGLETRANSLATE($A749,""en"",""zh-cn"")"),"伯利兹")</f>
        <v>伯利兹</v>
      </c>
      <c r="H749" s="9" t="str">
        <f>IFERROR(__xludf.DUMMYFUNCTION("GOOGLETRANSLATE($A749,""en"",""ja"")"),"ベリーズ")</f>
        <v>ベリーズ</v>
      </c>
      <c r="I749" s="9" t="str">
        <f>IFERROR(__xludf.DUMMYFUNCTION("GOOGLETRANSLATE($A749,""en"",""ko"")"),"벨리즈")</f>
        <v>벨리즈</v>
      </c>
      <c r="J749" s="9" t="str">
        <f>IFERROR(__xludf.DUMMYFUNCTION("GOOGLETRANSLATE($A749,""en"",""pt-BR"")"),"Belize")</f>
        <v>Belize</v>
      </c>
    </row>
    <row r="750">
      <c r="A750" s="9" t="str">
        <f>IFERROR(__xludf.DUMMYFUNCTION("""COMPUTED_VALUE"""),"Atlantique")</f>
        <v>Atlantique</v>
      </c>
      <c r="B750" s="9" t="str">
        <f>IFERROR(__xludf.DUMMYFUNCTION("""COMPUTED_VALUE"""),"bj-aq")</f>
        <v>bj-aq</v>
      </c>
      <c r="C750" s="9" t="str">
        <f>IFERROR(__xludf.DUMMYFUNCTION("GOOGLETRANSLATE($A750,""en"",""de"")"),"Atlantisch")</f>
        <v>Atlantisch</v>
      </c>
      <c r="D750" s="9" t="str">
        <f>IFERROR(__xludf.DUMMYFUNCTION("GOOGLETRANSLATE($A750,""en"",""fr"")"),"Atlantique")</f>
        <v>Atlantique</v>
      </c>
      <c r="E750" s="9" t="str">
        <f>IFERROR(__xludf.DUMMYFUNCTION("GOOGLETRANSLATE($A750,""en"",""es"")"),"atlántico")</f>
        <v>atlántico</v>
      </c>
      <c r="F750" s="9" t="str">
        <f>IFERROR(__xludf.DUMMYFUNCTION("GOOGLETRANSLATE($A750,""en"",""it"")"),"Atlantico")</f>
        <v>Atlantico</v>
      </c>
      <c r="G750" s="9" t="str">
        <f>IFERROR(__xludf.DUMMYFUNCTION("GOOGLETRANSLATE($A750,""en"",""zh-cn"")"),"大西洋")</f>
        <v>大西洋</v>
      </c>
      <c r="H750" s="9" t="str">
        <f>IFERROR(__xludf.DUMMYFUNCTION("GOOGLETRANSLATE($A750,""en"",""ja"")"),"アトランティック")</f>
        <v>アトランティック</v>
      </c>
      <c r="I750" s="9" t="str">
        <f>IFERROR(__xludf.DUMMYFUNCTION("GOOGLETRANSLATE($A750,""en"",""ko"")"),"아틀랑티크")</f>
        <v>아틀랑티크</v>
      </c>
      <c r="J750" s="9" t="str">
        <f>IFERROR(__xludf.DUMMYFUNCTION("GOOGLETRANSLATE($A750,""en"",""pt-BR"")"),"Atlântico")</f>
        <v>Atlântico</v>
      </c>
    </row>
    <row r="751">
      <c r="A751" s="9" t="str">
        <f>IFERROR(__xludf.DUMMYFUNCTION("""COMPUTED_VALUE"""),"Borgou")</f>
        <v>Borgou</v>
      </c>
      <c r="B751" s="9" t="str">
        <f>IFERROR(__xludf.DUMMYFUNCTION("""COMPUTED_VALUE"""),"bj-bo")</f>
        <v>bj-bo</v>
      </c>
      <c r="C751" s="9" t="str">
        <f>IFERROR(__xludf.DUMMYFUNCTION("GOOGLETRANSLATE($A751,""en"",""de"")"),"Borgou")</f>
        <v>Borgou</v>
      </c>
      <c r="D751" s="9" t="str">
        <f>IFERROR(__xludf.DUMMYFUNCTION("GOOGLETRANSLATE($A751,""en"",""fr"")"),"Borgou")</f>
        <v>Borgou</v>
      </c>
      <c r="E751" s="9" t="str">
        <f>IFERROR(__xludf.DUMMYFUNCTION("GOOGLETRANSLATE($A751,""en"",""es"")"),"Borgoña")</f>
        <v>Borgoña</v>
      </c>
      <c r="F751" s="9" t="str">
        <f>IFERROR(__xludf.DUMMYFUNCTION("GOOGLETRANSLATE($A751,""en"",""it"")"),"Borgou")</f>
        <v>Borgou</v>
      </c>
      <c r="G751" s="9" t="str">
        <f>IFERROR(__xludf.DUMMYFUNCTION("GOOGLETRANSLATE($A751,""en"",""zh-cn"")"),"博尔古")</f>
        <v>博尔古</v>
      </c>
      <c r="H751" s="9" t="str">
        <f>IFERROR(__xludf.DUMMYFUNCTION("GOOGLETRANSLATE($A751,""en"",""ja"")"),"ボルグー")</f>
        <v>ボルグー</v>
      </c>
      <c r="I751" s="9" t="str">
        <f>IFERROR(__xludf.DUMMYFUNCTION("GOOGLETRANSLATE($A751,""en"",""ko"")"),"보르고")</f>
        <v>보르고</v>
      </c>
      <c r="J751" s="9" t="str">
        <f>IFERROR(__xludf.DUMMYFUNCTION("GOOGLETRANSLATE($A751,""en"",""pt-BR"")"),"Borgou")</f>
        <v>Borgou</v>
      </c>
    </row>
    <row r="752">
      <c r="A752" s="9" t="str">
        <f>IFERROR(__xludf.DUMMYFUNCTION("""COMPUTED_VALUE"""),"Littoral (BJ)")</f>
        <v>Littoral (BJ)</v>
      </c>
      <c r="B752" s="9" t="str">
        <f>IFERROR(__xludf.DUMMYFUNCTION("""COMPUTED_VALUE"""),"bj-li")</f>
        <v>bj-li</v>
      </c>
      <c r="C752" s="9" t="str">
        <f>IFERROR(__xludf.DUMMYFUNCTION("GOOGLETRANSLATE($A752,""en"",""de"")"),"Küstengebiet (BJ)")</f>
        <v>Küstengebiet (BJ)</v>
      </c>
      <c r="D752" s="9" t="str">
        <f>IFERROR(__xludf.DUMMYFUNCTION("GOOGLETRANSLATE($A752,""en"",""fr"")"),"Littoral (BJ)")</f>
        <v>Littoral (BJ)</v>
      </c>
      <c r="E752" s="9" t="str">
        <f>IFERROR(__xludf.DUMMYFUNCTION("GOOGLETRANSLATE($A752,""en"",""es"")"),"Litoral (BJ)")</f>
        <v>Litoral (BJ)</v>
      </c>
      <c r="F752" s="9" t="str">
        <f>IFERROR(__xludf.DUMMYFUNCTION("GOOGLETRANSLATE($A752,""en"",""it"")"),"Litorale (BJ)")</f>
        <v>Litorale (BJ)</v>
      </c>
      <c r="G752" s="9" t="str">
        <f>IFERROR(__xludf.DUMMYFUNCTION("GOOGLETRANSLATE($A752,""en"",""zh-cn"")"),"滨海 (BJ)")</f>
        <v>滨海 (BJ)</v>
      </c>
      <c r="H752" s="9" t="str">
        <f>IFERROR(__xludf.DUMMYFUNCTION("GOOGLETRANSLATE($A752,""en"",""ja"")"),"沿岸 (BJ)")</f>
        <v>沿岸 (BJ)</v>
      </c>
      <c r="I752" s="9" t="str">
        <f>IFERROR(__xludf.DUMMYFUNCTION("GOOGLETRANSLATE($A752,""en"",""ko"")"),"리토랄(BJ)")</f>
        <v>리토랄(BJ)</v>
      </c>
      <c r="J752" s="9" t="str">
        <f>IFERROR(__xludf.DUMMYFUNCTION("GOOGLETRANSLATE($A752,""en"",""pt-BR"")"),"Litoral (BJ)")</f>
        <v>Litoral (BJ)</v>
      </c>
    </row>
    <row r="753">
      <c r="A753" s="9" t="str">
        <f>IFERROR(__xludf.DUMMYFUNCTION("""COMPUTED_VALUE"""),"Zou")</f>
        <v>Zou</v>
      </c>
      <c r="B753" s="9" t="str">
        <f>IFERROR(__xludf.DUMMYFUNCTION("""COMPUTED_VALUE"""),"bj-zo")</f>
        <v>bj-zo</v>
      </c>
      <c r="C753" s="9" t="str">
        <f>IFERROR(__xludf.DUMMYFUNCTION("GOOGLETRANSLATE($A753,""en"",""de"")"),"Zou")</f>
        <v>Zou</v>
      </c>
      <c r="D753" s="9" t="str">
        <f>IFERROR(__xludf.DUMMYFUNCTION("GOOGLETRANSLATE($A753,""en"",""fr"")"),"Zou")</f>
        <v>Zou</v>
      </c>
      <c r="E753" s="9" t="str">
        <f>IFERROR(__xludf.DUMMYFUNCTION("GOOGLETRANSLATE($A753,""en"",""es"")"),"Zou")</f>
        <v>Zou</v>
      </c>
      <c r="F753" s="9" t="str">
        <f>IFERROR(__xludf.DUMMYFUNCTION("GOOGLETRANSLATE($A753,""en"",""it"")"),"Zou")</f>
        <v>Zou</v>
      </c>
      <c r="G753" s="9" t="str">
        <f>IFERROR(__xludf.DUMMYFUNCTION("GOOGLETRANSLATE($A753,""en"",""zh-cn"")"),"邹")</f>
        <v>邹</v>
      </c>
      <c r="H753" s="9" t="str">
        <f>IFERROR(__xludf.DUMMYFUNCTION("GOOGLETRANSLATE($A753,""en"",""ja"")"),"ゾウ")</f>
        <v>ゾウ</v>
      </c>
      <c r="I753" s="9" t="str">
        <f>IFERROR(__xludf.DUMMYFUNCTION("GOOGLETRANSLATE($A753,""en"",""ko"")"),"조우")</f>
        <v>조우</v>
      </c>
      <c r="J753" s="9" t="str">
        <f>IFERROR(__xludf.DUMMYFUNCTION("GOOGLETRANSLATE($A753,""en"",""pt-BR"")"),"Zou")</f>
        <v>Zou</v>
      </c>
    </row>
    <row r="754">
      <c r="A754" s="9" t="str">
        <f>IFERROR(__xludf.DUMMYFUNCTION("""COMPUTED_VALUE"""),"Mono")</f>
        <v>Mono</v>
      </c>
      <c r="B754" s="9" t="str">
        <f>IFERROR(__xludf.DUMMYFUNCTION("""COMPUTED_VALUE"""),"bj-mo")</f>
        <v>bj-mo</v>
      </c>
      <c r="C754" s="9" t="str">
        <f>IFERROR(__xludf.DUMMYFUNCTION("GOOGLETRANSLATE($A754,""en"",""de"")"),"Mono")</f>
        <v>Mono</v>
      </c>
      <c r="D754" s="9" t="str">
        <f>IFERROR(__xludf.DUMMYFUNCTION("GOOGLETRANSLATE($A754,""en"",""fr"")"),"Mono")</f>
        <v>Mono</v>
      </c>
      <c r="E754" s="9" t="str">
        <f>IFERROR(__xludf.DUMMYFUNCTION("GOOGLETRANSLATE($A754,""en"",""es"")"),"Mononucleosis infecciosa")</f>
        <v>Mononucleosis infecciosa</v>
      </c>
      <c r="F754" s="9" t="str">
        <f>IFERROR(__xludf.DUMMYFUNCTION("GOOGLETRANSLATE($A754,""en"",""it"")"),"Mono")</f>
        <v>Mono</v>
      </c>
      <c r="G754" s="9" t="str">
        <f>IFERROR(__xludf.DUMMYFUNCTION("GOOGLETRANSLATE($A754,""en"",""zh-cn"")"),"单核细胞增多症")</f>
        <v>单核细胞增多症</v>
      </c>
      <c r="H754" s="9" t="str">
        <f>IFERROR(__xludf.DUMMYFUNCTION("GOOGLETRANSLATE($A754,""en"",""ja"")"),"単核症")</f>
        <v>単核症</v>
      </c>
      <c r="I754" s="9" t="str">
        <f>IFERROR(__xludf.DUMMYFUNCTION("GOOGLETRANSLATE($A754,""en"",""ko"")"),"단핵증")</f>
        <v>단핵증</v>
      </c>
      <c r="J754" s="9" t="str">
        <f>IFERROR(__xludf.DUMMYFUNCTION("GOOGLETRANSLATE($A754,""en"",""pt-BR"")"),"Mono")</f>
        <v>Mono</v>
      </c>
    </row>
    <row r="755">
      <c r="A755" s="9" t="str">
        <f>IFERROR(__xludf.DUMMYFUNCTION("""COMPUTED_VALUE"""),"Donga")</f>
        <v>Donga</v>
      </c>
      <c r="B755" s="9" t="str">
        <f>IFERROR(__xludf.DUMMYFUNCTION("""COMPUTED_VALUE"""),"bj-do")</f>
        <v>bj-do</v>
      </c>
      <c r="C755" s="9" t="str">
        <f>IFERROR(__xludf.DUMMYFUNCTION("GOOGLETRANSLATE($A755,""en"",""de"")"),"Donga")</f>
        <v>Donga</v>
      </c>
      <c r="D755" s="9" t="str">
        <f>IFERROR(__xludf.DUMMYFUNCTION("GOOGLETRANSLATE($A755,""en"",""fr"")"),"Donga")</f>
        <v>Donga</v>
      </c>
      <c r="E755" s="9" t="str">
        <f>IFERROR(__xludf.DUMMYFUNCTION("GOOGLETRANSLATE($A755,""en"",""es"")"),"donga")</f>
        <v>donga</v>
      </c>
      <c r="F755" s="9" t="str">
        <f>IFERROR(__xludf.DUMMYFUNCTION("GOOGLETRANSLATE($A755,""en"",""it"")"),"Donga")</f>
        <v>Donga</v>
      </c>
      <c r="G755" s="9" t="str">
        <f>IFERROR(__xludf.DUMMYFUNCTION("GOOGLETRANSLATE($A755,""en"",""zh-cn"")"),"东加")</f>
        <v>东加</v>
      </c>
      <c r="H755" s="9" t="str">
        <f>IFERROR(__xludf.DUMMYFUNCTION("GOOGLETRANSLATE($A755,""en"",""ja"")"),"東亜")</f>
        <v>東亜</v>
      </c>
      <c r="I755" s="9" t="str">
        <f>IFERROR(__xludf.DUMMYFUNCTION("GOOGLETRANSLATE($A755,""en"",""ko"")"),"협곡")</f>
        <v>협곡</v>
      </c>
      <c r="J755" s="9" t="str">
        <f>IFERROR(__xludf.DUMMYFUNCTION("GOOGLETRANSLATE($A755,""en"",""pt-BR"")"),"Donga")</f>
        <v>Donga</v>
      </c>
    </row>
    <row r="756">
      <c r="A756" s="9" t="str">
        <f>IFERROR(__xludf.DUMMYFUNCTION("""COMPUTED_VALUE"""),"Ouémé")</f>
        <v>Ouémé</v>
      </c>
      <c r="B756" s="9" t="str">
        <f>IFERROR(__xludf.DUMMYFUNCTION("""COMPUTED_VALUE"""),"bj-ou")</f>
        <v>bj-ou</v>
      </c>
      <c r="C756" s="9" t="str">
        <f>IFERROR(__xludf.DUMMYFUNCTION("GOOGLETRANSLATE($A756,""en"",""de"")"),"Ouémé")</f>
        <v>Ouémé</v>
      </c>
      <c r="D756" s="9" t="str">
        <f>IFERROR(__xludf.DUMMYFUNCTION("GOOGLETRANSLATE($A756,""en"",""fr"")"),"Ouémé")</f>
        <v>Ouémé</v>
      </c>
      <c r="E756" s="9" t="str">
        <f>IFERROR(__xludf.DUMMYFUNCTION("GOOGLETRANSLATE($A756,""en"",""es"")"),"Ouémé")</f>
        <v>Ouémé</v>
      </c>
      <c r="F756" s="9" t="str">
        <f>IFERROR(__xludf.DUMMYFUNCTION("GOOGLETRANSLATE($A756,""en"",""it"")"),"Ouémé")</f>
        <v>Ouémé</v>
      </c>
      <c r="G756" s="9" t="str">
        <f>IFERROR(__xludf.DUMMYFUNCTION("GOOGLETRANSLATE($A756,""en"",""zh-cn"")"),"韦梅")</f>
        <v>韦梅</v>
      </c>
      <c r="H756" s="9" t="str">
        <f>IFERROR(__xludf.DUMMYFUNCTION("GOOGLETRANSLATE($A756,""en"",""ja"")"),"ウェメ")</f>
        <v>ウェメ</v>
      </c>
      <c r="I756" s="9" t="str">
        <f>IFERROR(__xludf.DUMMYFUNCTION("GOOGLETRANSLATE($A756,""en"",""ko"")"),"우에메")</f>
        <v>우에메</v>
      </c>
      <c r="J756" s="9" t="str">
        <f>IFERROR(__xludf.DUMMYFUNCTION("GOOGLETRANSLATE($A756,""en"",""pt-BR"")"),"Ouémé")</f>
        <v>Ouémé</v>
      </c>
    </row>
    <row r="757">
      <c r="A757" s="9" t="str">
        <f>IFERROR(__xludf.DUMMYFUNCTION("""COMPUTED_VALUE"""),"Atakora")</f>
        <v>Atakora</v>
      </c>
      <c r="B757" s="9" t="str">
        <f>IFERROR(__xludf.DUMMYFUNCTION("""COMPUTED_VALUE"""),"bj-ak")</f>
        <v>bj-ak</v>
      </c>
      <c r="C757" s="9" t="str">
        <f>IFERROR(__xludf.DUMMYFUNCTION("GOOGLETRANSLATE($A757,""en"",""de"")"),"Atakora")</f>
        <v>Atakora</v>
      </c>
      <c r="D757" s="9" t="str">
        <f>IFERROR(__xludf.DUMMYFUNCTION("GOOGLETRANSLATE($A757,""en"",""fr"")"),"Atakora")</f>
        <v>Atakora</v>
      </c>
      <c r="E757" s="9" t="str">
        <f>IFERROR(__xludf.DUMMYFUNCTION("GOOGLETRANSLATE($A757,""en"",""es"")"),"Atakora")</f>
        <v>Atakora</v>
      </c>
      <c r="F757" s="9" t="str">
        <f>IFERROR(__xludf.DUMMYFUNCTION("GOOGLETRANSLATE($A757,""en"",""it"")"),"Atakora")</f>
        <v>Atakora</v>
      </c>
      <c r="G757" s="9" t="str">
        <f>IFERROR(__xludf.DUMMYFUNCTION("GOOGLETRANSLATE($A757,""en"",""zh-cn"")"),"阿塔科拉")</f>
        <v>阿塔科拉</v>
      </c>
      <c r="H757" s="9" t="str">
        <f>IFERROR(__xludf.DUMMYFUNCTION("GOOGLETRANSLATE($A757,""en"",""ja"")"),"アタコラ")</f>
        <v>アタコラ</v>
      </c>
      <c r="I757" s="9" t="str">
        <f>IFERROR(__xludf.DUMMYFUNCTION("GOOGLETRANSLATE($A757,""en"",""ko"")"),"아타코라")</f>
        <v>아타코라</v>
      </c>
      <c r="J757" s="9" t="str">
        <f>IFERROR(__xludf.DUMMYFUNCTION("GOOGLETRANSLATE($A757,""en"",""pt-BR"")"),"Atakora")</f>
        <v>Atakora</v>
      </c>
    </row>
    <row r="758">
      <c r="A758" s="9" t="str">
        <f>IFERROR(__xludf.DUMMYFUNCTION("""COMPUTED_VALUE"""),"Collines")</f>
        <v>Collines</v>
      </c>
      <c r="B758" s="9" t="str">
        <f>IFERROR(__xludf.DUMMYFUNCTION("""COMPUTED_VALUE"""),"bj-co")</f>
        <v>bj-co</v>
      </c>
      <c r="C758" s="9" t="str">
        <f>IFERROR(__xludf.DUMMYFUNCTION("GOOGLETRANSLATE($A758,""en"",""de"")"),"Collines")</f>
        <v>Collines</v>
      </c>
      <c r="D758" s="9" t="str">
        <f>IFERROR(__xludf.DUMMYFUNCTION("GOOGLETRANSLATE($A758,""en"",""fr"")"),"Collines")</f>
        <v>Collines</v>
      </c>
      <c r="E758" s="9" t="str">
        <f>IFERROR(__xludf.DUMMYFUNCTION("GOOGLETRANSLATE($A758,""en"",""es"")"),"colinas")</f>
        <v>colinas</v>
      </c>
      <c r="F758" s="9" t="str">
        <f>IFERROR(__xludf.DUMMYFUNCTION("GOOGLETRANSLATE($A758,""en"",""it"")"),"Collines")</f>
        <v>Collines</v>
      </c>
      <c r="G758" s="9" t="str">
        <f>IFERROR(__xludf.DUMMYFUNCTION("GOOGLETRANSLATE($A758,""en"",""zh-cn"")"),"丘陵")</f>
        <v>丘陵</v>
      </c>
      <c r="H758" s="9" t="str">
        <f>IFERROR(__xludf.DUMMYFUNCTION("GOOGLETRANSLATE($A758,""en"",""ja"")"),"コリンズ")</f>
        <v>コリンズ</v>
      </c>
      <c r="I758" s="9" t="str">
        <f>IFERROR(__xludf.DUMMYFUNCTION("GOOGLETRANSLATE($A758,""en"",""ko"")"),"콜린스")</f>
        <v>콜린스</v>
      </c>
      <c r="J758" s="9" t="str">
        <f>IFERROR(__xludf.DUMMYFUNCTION("GOOGLETRANSLATE($A758,""en"",""pt-BR"")"),"Colinas")</f>
        <v>Colinas</v>
      </c>
    </row>
    <row r="759">
      <c r="A759" s="9" t="str">
        <f>IFERROR(__xludf.DUMMYFUNCTION("""COMPUTED_VALUE"""),"Plateau (BJ)")</f>
        <v>Plateau (BJ)</v>
      </c>
      <c r="B759" s="9" t="str">
        <f>IFERROR(__xludf.DUMMYFUNCTION("""COMPUTED_VALUE"""),"bj-pl")</f>
        <v>bj-pl</v>
      </c>
      <c r="C759" s="9" t="str">
        <f>IFERROR(__xludf.DUMMYFUNCTION("GOOGLETRANSLATE($A759,""en"",""de"")"),"Plateau (BJ)")</f>
        <v>Plateau (BJ)</v>
      </c>
      <c r="D759" s="9" t="str">
        <f>IFERROR(__xludf.DUMMYFUNCTION("GOOGLETRANSLATE($A759,""en"",""fr"")"),"Plateau (BJ)")</f>
        <v>Plateau (BJ)</v>
      </c>
      <c r="E759" s="9" t="str">
        <f>IFERROR(__xludf.DUMMYFUNCTION("GOOGLETRANSLATE($A759,""en"",""es"")"),"Meseta (BJ)")</f>
        <v>Meseta (BJ)</v>
      </c>
      <c r="F759" s="9" t="str">
        <f>IFERROR(__xludf.DUMMYFUNCTION("GOOGLETRANSLATE($A759,""en"",""it"")"),"Altopiano (BJ)")</f>
        <v>Altopiano (BJ)</v>
      </c>
      <c r="G759" s="9" t="str">
        <f>IFERROR(__xludf.DUMMYFUNCTION("GOOGLETRANSLATE($A759,""en"",""zh-cn"")"),"高原（北京）")</f>
        <v>高原（北京）</v>
      </c>
      <c r="H759" s="9" t="str">
        <f>IFERROR(__xludf.DUMMYFUNCTION("GOOGLETRANSLATE($A759,""en"",""ja"")"),"プラトー (BJ)")</f>
        <v>プラトー (BJ)</v>
      </c>
      <c r="I759" s="9" t="str">
        <f>IFERROR(__xludf.DUMMYFUNCTION("GOOGLETRANSLATE($A759,""en"",""ko"")"),"플래토(BJ)")</f>
        <v>플래토(BJ)</v>
      </c>
      <c r="J759" s="9" t="str">
        <f>IFERROR(__xludf.DUMMYFUNCTION("GOOGLETRANSLATE($A759,""en"",""pt-BR"")"),"Planalto (BJ)")</f>
        <v>Planalto (BJ)</v>
      </c>
    </row>
    <row r="760">
      <c r="A760" s="9" t="str">
        <f>IFERROR(__xludf.DUMMYFUNCTION("""COMPUTED_VALUE"""),"Alibori")</f>
        <v>Alibori</v>
      </c>
      <c r="B760" s="9" t="str">
        <f>IFERROR(__xludf.DUMMYFUNCTION("""COMPUTED_VALUE"""),"bj-al")</f>
        <v>bj-al</v>
      </c>
      <c r="C760" s="9" t="str">
        <f>IFERROR(__xludf.DUMMYFUNCTION("GOOGLETRANSLATE($A760,""en"",""de"")"),"Alibori")</f>
        <v>Alibori</v>
      </c>
      <c r="D760" s="9" t="str">
        <f>IFERROR(__xludf.DUMMYFUNCTION("GOOGLETRANSLATE($A760,""en"",""fr"")"),"Alibori")</f>
        <v>Alibori</v>
      </c>
      <c r="E760" s="9" t="str">
        <f>IFERROR(__xludf.DUMMYFUNCTION("GOOGLETRANSLATE($A760,""en"",""es"")"),"Alibori")</f>
        <v>Alibori</v>
      </c>
      <c r="F760" s="9" t="str">
        <f>IFERROR(__xludf.DUMMYFUNCTION("GOOGLETRANSLATE($A760,""en"",""it"")"),"Alibori")</f>
        <v>Alibori</v>
      </c>
      <c r="G760" s="9" t="str">
        <f>IFERROR(__xludf.DUMMYFUNCTION("GOOGLETRANSLATE($A760,""en"",""zh-cn"")"),"阿里博里")</f>
        <v>阿里博里</v>
      </c>
      <c r="H760" s="9" t="str">
        <f>IFERROR(__xludf.DUMMYFUNCTION("GOOGLETRANSLATE($A760,""en"",""ja"")"),"アリボリ")</f>
        <v>アリボリ</v>
      </c>
      <c r="I760" s="9" t="str">
        <f>IFERROR(__xludf.DUMMYFUNCTION("GOOGLETRANSLATE($A760,""en"",""ko"")"),"알리보리")</f>
        <v>알리보리</v>
      </c>
      <c r="J760" s="9" t="str">
        <f>IFERROR(__xludf.DUMMYFUNCTION("GOOGLETRANSLATE($A760,""en"",""pt-BR"")"),"Alíbori")</f>
        <v>Alíbori</v>
      </c>
    </row>
    <row r="761">
      <c r="A761" s="9" t="str">
        <f>IFERROR(__xludf.DUMMYFUNCTION("""COMPUTED_VALUE"""),"Kouffo")</f>
        <v>Kouffo</v>
      </c>
      <c r="B761" s="9" t="str">
        <f>IFERROR(__xludf.DUMMYFUNCTION("""COMPUTED_VALUE"""),"bj-ko")</f>
        <v>bj-ko</v>
      </c>
      <c r="C761" s="9" t="str">
        <f>IFERROR(__xludf.DUMMYFUNCTION("GOOGLETRANSLATE($A761,""en"",""de"")"),"Kouffo")</f>
        <v>Kouffo</v>
      </c>
      <c r="D761" s="9" t="str">
        <f>IFERROR(__xludf.DUMMYFUNCTION("GOOGLETRANSLATE($A761,""en"",""fr"")"),"Koufo")</f>
        <v>Koufo</v>
      </c>
      <c r="E761" s="9" t="str">
        <f>IFERROR(__xludf.DUMMYFUNCTION("GOOGLETRANSLATE($A761,""en"",""es"")"),"Kouffo")</f>
        <v>Kouffo</v>
      </c>
      <c r="F761" s="9" t="str">
        <f>IFERROR(__xludf.DUMMYFUNCTION("GOOGLETRANSLATE($A761,""en"",""it"")"),"Kouffo")</f>
        <v>Kouffo</v>
      </c>
      <c r="G761" s="9" t="str">
        <f>IFERROR(__xludf.DUMMYFUNCTION("GOOGLETRANSLATE($A761,""en"",""zh-cn"")"),"库福")</f>
        <v>库福</v>
      </c>
      <c r="H761" s="9" t="str">
        <f>IFERROR(__xludf.DUMMYFUNCTION("GOOGLETRANSLATE($A761,""en"",""ja"")"),"クッフォ")</f>
        <v>クッフォ</v>
      </c>
      <c r="I761" s="9" t="str">
        <f>IFERROR(__xludf.DUMMYFUNCTION("GOOGLETRANSLATE($A761,""en"",""ko"")"),"쿠포")</f>
        <v>쿠포</v>
      </c>
      <c r="J761" s="9" t="str">
        <f>IFERROR(__xludf.DUMMYFUNCTION("GOOGLETRANSLATE($A761,""en"",""pt-BR"")"),"Kouffo")</f>
        <v>Kouffo</v>
      </c>
    </row>
    <row r="762">
      <c r="A762" s="9" t="str">
        <f>IFERROR(__xludf.DUMMYFUNCTION("""COMPUTED_VALUE"""),"Trongsa")</f>
        <v>Trongsa</v>
      </c>
      <c r="B762" s="9" t="str">
        <f>IFERROR(__xludf.DUMMYFUNCTION("""COMPUTED_VALUE"""),"bt-32")</f>
        <v>bt-32</v>
      </c>
      <c r="C762" s="9" t="str">
        <f>IFERROR(__xludf.DUMMYFUNCTION("GOOGLETRANSLATE($A762,""en"",""de"")"),"Trongsa")</f>
        <v>Trongsa</v>
      </c>
      <c r="D762" s="9" t="str">
        <f>IFERROR(__xludf.DUMMYFUNCTION("GOOGLETRANSLATE($A762,""en"",""fr"")"),"Tongsa")</f>
        <v>Tongsa</v>
      </c>
      <c r="E762" s="9" t="str">
        <f>IFERROR(__xludf.DUMMYFUNCTION("GOOGLETRANSLATE($A762,""en"",""es"")"),"trongsa")</f>
        <v>trongsa</v>
      </c>
      <c r="F762" s="9" t="str">
        <f>IFERROR(__xludf.DUMMYFUNCTION("GOOGLETRANSLATE($A762,""en"",""it"")"),"Trongsa")</f>
        <v>Trongsa</v>
      </c>
      <c r="G762" s="9" t="str">
        <f>IFERROR(__xludf.DUMMYFUNCTION("GOOGLETRANSLATE($A762,""en"",""zh-cn"")"),"通萨")</f>
        <v>通萨</v>
      </c>
      <c r="H762" s="9" t="str">
        <f>IFERROR(__xludf.DUMMYFUNCTION("GOOGLETRANSLATE($A762,""en"",""ja"")"),"トンサ")</f>
        <v>トンサ</v>
      </c>
      <c r="I762" s="9" t="str">
        <f>IFERROR(__xludf.DUMMYFUNCTION("GOOGLETRANSLATE($A762,""en"",""ko"")"),"트롱사")</f>
        <v>트롱사</v>
      </c>
      <c r="J762" s="9" t="str">
        <f>IFERROR(__xludf.DUMMYFUNCTION("GOOGLETRANSLATE($A762,""en"",""pt-BR"")"),"Trongsa")</f>
        <v>Trongsa</v>
      </c>
    </row>
    <row r="763">
      <c r="A763" s="9" t="str">
        <f>IFERROR(__xludf.DUMMYFUNCTION("""COMPUTED_VALUE"""),"Gasa")</f>
        <v>Gasa</v>
      </c>
      <c r="B763" s="9" t="str">
        <f>IFERROR(__xludf.DUMMYFUNCTION("""COMPUTED_VALUE"""),"bt-ga")</f>
        <v>bt-ga</v>
      </c>
      <c r="C763" s="9" t="str">
        <f>IFERROR(__xludf.DUMMYFUNCTION("GOOGLETRANSLATE($A763,""en"",""de"")"),"Gasa")</f>
        <v>Gasa</v>
      </c>
      <c r="D763" s="9" t="str">
        <f>IFERROR(__xludf.DUMMYFUNCTION("GOOGLETRANSLATE($A763,""en"",""fr"")"),"Gasa")</f>
        <v>Gasa</v>
      </c>
      <c r="E763" s="9" t="str">
        <f>IFERROR(__xludf.DUMMYFUNCTION("GOOGLETRANSLATE($A763,""en"",""es"")"),"gasá")</f>
        <v>gasá</v>
      </c>
      <c r="F763" s="9" t="str">
        <f>IFERROR(__xludf.DUMMYFUNCTION("GOOGLETRANSLATE($A763,""en"",""it"")"),"Gasa")</f>
        <v>Gasa</v>
      </c>
      <c r="G763" s="9" t="str">
        <f>IFERROR(__xludf.DUMMYFUNCTION("GOOGLETRANSLATE($A763,""en"",""zh-cn"")"),"加萨")</f>
        <v>加萨</v>
      </c>
      <c r="H763" s="9" t="str">
        <f>IFERROR(__xludf.DUMMYFUNCTION("GOOGLETRANSLATE($A763,""en"",""ja"")"),"ガサ")</f>
        <v>ガサ</v>
      </c>
      <c r="I763" s="9" t="str">
        <f>IFERROR(__xludf.DUMMYFUNCTION("GOOGLETRANSLATE($A763,""en"",""ko"")"),"가사")</f>
        <v>가사</v>
      </c>
      <c r="J763" s="9" t="str">
        <f>IFERROR(__xludf.DUMMYFUNCTION("GOOGLETRANSLATE($A763,""en"",""pt-BR"")"),"Gasa")</f>
        <v>Gasa</v>
      </c>
    </row>
    <row r="764">
      <c r="A764" s="9" t="str">
        <f>IFERROR(__xludf.DUMMYFUNCTION("""COMPUTED_VALUE"""),"Trashigang")</f>
        <v>Trashigang</v>
      </c>
      <c r="B764" s="9" t="str">
        <f>IFERROR(__xludf.DUMMYFUNCTION("""COMPUTED_VALUE"""),"bt-41")</f>
        <v>bt-41</v>
      </c>
      <c r="C764" s="9" t="str">
        <f>IFERROR(__xludf.DUMMYFUNCTION("GOOGLETRANSLATE($A764,""en"",""de"")"),"Trashigang")</f>
        <v>Trashigang</v>
      </c>
      <c r="D764" s="9" t="str">
        <f>IFERROR(__xludf.DUMMYFUNCTION("GOOGLETRANSLATE($A764,""en"",""fr"")"),"Trashigang")</f>
        <v>Trashigang</v>
      </c>
      <c r="E764" s="9" t="str">
        <f>IFERROR(__xludf.DUMMYFUNCTION("GOOGLETRANSLATE($A764,""en"",""es"")"),"Trashigang")</f>
        <v>Trashigang</v>
      </c>
      <c r="F764" s="9" t="str">
        <f>IFERROR(__xludf.DUMMYFUNCTION("GOOGLETRANSLATE($A764,""en"",""it"")"),"Trashigang")</f>
        <v>Trashigang</v>
      </c>
      <c r="G764" s="9" t="str">
        <f>IFERROR(__xludf.DUMMYFUNCTION("GOOGLETRANSLATE($A764,""en"",""zh-cn"")"),"扎什冈")</f>
        <v>扎什冈</v>
      </c>
      <c r="H764" s="9" t="str">
        <f>IFERROR(__xludf.DUMMYFUNCTION("GOOGLETRANSLATE($A764,""en"",""ja"")"),"タシガン")</f>
        <v>タシガン</v>
      </c>
      <c r="I764" s="9" t="str">
        <f>IFERROR(__xludf.DUMMYFUNCTION("GOOGLETRANSLATE($A764,""en"",""ko"")"),"트라시강")</f>
        <v>트라시강</v>
      </c>
      <c r="J764" s="9" t="str">
        <f>IFERROR(__xludf.DUMMYFUNCTION("GOOGLETRANSLATE($A764,""en"",""pt-BR"")"),"Trashigang")</f>
        <v>Trashigang</v>
      </c>
    </row>
    <row r="765">
      <c r="A765" s="9" t="str">
        <f>IFERROR(__xludf.DUMMYFUNCTION("""COMPUTED_VALUE"""),"Monggar")</f>
        <v>Monggar</v>
      </c>
      <c r="B765" s="9" t="str">
        <f>IFERROR(__xludf.DUMMYFUNCTION("""COMPUTED_VALUE"""),"bt-42")</f>
        <v>bt-42</v>
      </c>
      <c r="C765" s="9" t="str">
        <f>IFERROR(__xludf.DUMMYFUNCTION("GOOGLETRANSLATE($A765,""en"",""de"")"),"Monggar")</f>
        <v>Monggar</v>
      </c>
      <c r="D765" s="9" t="str">
        <f>IFERROR(__xludf.DUMMYFUNCTION("GOOGLETRANSLATE($A765,""en"",""fr"")"),"Mongar")</f>
        <v>Mongar</v>
      </c>
      <c r="E765" s="9" t="str">
        <f>IFERROR(__xludf.DUMMYFUNCTION("GOOGLETRANSLATE($A765,""en"",""es"")"),"mongar")</f>
        <v>mongar</v>
      </c>
      <c r="F765" s="9" t="str">
        <f>IFERROR(__xludf.DUMMYFUNCTION("GOOGLETRANSLATE($A765,""en"",""it"")"),"Monggar")</f>
        <v>Monggar</v>
      </c>
      <c r="G765" s="9" t="str">
        <f>IFERROR(__xludf.DUMMYFUNCTION("GOOGLETRANSLATE($A765,""en"",""zh-cn"")"),"蒙加尔")</f>
        <v>蒙加尔</v>
      </c>
      <c r="H765" s="9" t="str">
        <f>IFERROR(__xludf.DUMMYFUNCTION("GOOGLETRANSLATE($A765,""en"",""ja"")"),"モンガル")</f>
        <v>モンガル</v>
      </c>
      <c r="I765" s="9" t="str">
        <f>IFERROR(__xludf.DUMMYFUNCTION("GOOGLETRANSLATE($A765,""en"",""ko"")"),"몽가르")</f>
        <v>몽가르</v>
      </c>
      <c r="J765" s="9" t="str">
        <f>IFERROR(__xludf.DUMMYFUNCTION("GOOGLETRANSLATE($A765,""en"",""pt-BR"")"),"Monggar")</f>
        <v>Monggar</v>
      </c>
    </row>
    <row r="766">
      <c r="A766" s="9" t="str">
        <f>IFERROR(__xludf.DUMMYFUNCTION("""COMPUTED_VALUE"""),"Samdrup Jongkha")</f>
        <v>Samdrup Jongkha</v>
      </c>
      <c r="B766" s="9" t="str">
        <f>IFERROR(__xludf.DUMMYFUNCTION("""COMPUTED_VALUE"""),"bt-45")</f>
        <v>bt-45</v>
      </c>
      <c r="C766" s="9" t="str">
        <f>IFERROR(__xludf.DUMMYFUNCTION("GOOGLETRANSLATE($A766,""en"",""de"")"),"Samdrup Jongkha")</f>
        <v>Samdrup Jongkha</v>
      </c>
      <c r="D766" s="9" t="str">
        <f>IFERROR(__xludf.DUMMYFUNCTION("GOOGLETRANSLATE($A766,""en"",""fr"")"),"Samdrup Jongkha")</f>
        <v>Samdrup Jongkha</v>
      </c>
      <c r="E766" s="9" t="str">
        <f>IFERROR(__xludf.DUMMYFUNCTION("GOOGLETRANSLATE($A766,""en"",""es"")"),"Samdrup Jongkha")</f>
        <v>Samdrup Jongkha</v>
      </c>
      <c r="F766" s="9" t="str">
        <f>IFERROR(__xludf.DUMMYFUNCTION("GOOGLETRANSLATE($A766,""en"",""it"")"),"Samdrup Jongkha")</f>
        <v>Samdrup Jongkha</v>
      </c>
      <c r="G766" s="9" t="str">
        <f>IFERROR(__xludf.DUMMYFUNCTION("GOOGLETRANSLATE($A766,""en"",""zh-cn"")"),"桑珠琼卡")</f>
        <v>桑珠琼卡</v>
      </c>
      <c r="H766" s="9" t="str">
        <f>IFERROR(__xludf.DUMMYFUNCTION("GOOGLETRANSLATE($A766,""en"",""ja"")"),"サムドゥプ・ジョンカ")</f>
        <v>サムドゥプ・ジョンカ</v>
      </c>
      <c r="I766" s="9" t="str">
        <f>IFERROR(__xludf.DUMMYFUNCTION("GOOGLETRANSLATE($A766,""en"",""ko"")"),"삼드럽 종카")</f>
        <v>삼드럽 종카</v>
      </c>
      <c r="J766" s="9" t="str">
        <f>IFERROR(__xludf.DUMMYFUNCTION("GOOGLETRANSLATE($A766,""en"",""pt-BR"")"),"Samdrup Jongkha")</f>
        <v>Samdrup Jongkha</v>
      </c>
    </row>
    <row r="767">
      <c r="A767" s="9" t="str">
        <f>IFERROR(__xludf.DUMMYFUNCTION("""COMPUTED_VALUE"""),"Bumthang")</f>
        <v>Bumthang</v>
      </c>
      <c r="B767" s="9" t="str">
        <f>IFERROR(__xludf.DUMMYFUNCTION("""COMPUTED_VALUE"""),"bt-33")</f>
        <v>bt-33</v>
      </c>
      <c r="C767" s="9" t="str">
        <f>IFERROR(__xludf.DUMMYFUNCTION("GOOGLETRANSLATE($A767,""en"",""de"")"),"Bumthang")</f>
        <v>Bumthang</v>
      </c>
      <c r="D767" s="9" t="str">
        <f>IFERROR(__xludf.DUMMYFUNCTION("GOOGLETRANSLATE($A767,""en"",""fr"")"),"Bumthang")</f>
        <v>Bumthang</v>
      </c>
      <c r="E767" s="9" t="str">
        <f>IFERROR(__xludf.DUMMYFUNCTION("GOOGLETRANSLATE($A767,""en"",""es"")"),"bumthang")</f>
        <v>bumthang</v>
      </c>
      <c r="F767" s="9" t="str">
        <f>IFERROR(__xludf.DUMMYFUNCTION("GOOGLETRANSLATE($A767,""en"",""it"")"),"Bumthang")</f>
        <v>Bumthang</v>
      </c>
      <c r="G767" s="9" t="str">
        <f>IFERROR(__xludf.DUMMYFUNCTION("GOOGLETRANSLATE($A767,""en"",""zh-cn"")"),"布姆唐")</f>
        <v>布姆唐</v>
      </c>
      <c r="H767" s="9" t="str">
        <f>IFERROR(__xludf.DUMMYFUNCTION("GOOGLETRANSLATE($A767,""en"",""ja"")"),"ブムタン")</f>
        <v>ブムタン</v>
      </c>
      <c r="I767" s="9" t="str">
        <f>IFERROR(__xludf.DUMMYFUNCTION("GOOGLETRANSLATE($A767,""en"",""ko"")"),"붐탕")</f>
        <v>붐탕</v>
      </c>
      <c r="J767" s="9" t="str">
        <f>IFERROR(__xludf.DUMMYFUNCTION("GOOGLETRANSLATE($A767,""en"",""pt-BR"")"),"Bumthang")</f>
        <v>Bumthang</v>
      </c>
    </row>
    <row r="768">
      <c r="A768" s="9" t="str">
        <f>IFERROR(__xludf.DUMMYFUNCTION("""COMPUTED_VALUE"""),"Chhukha")</f>
        <v>Chhukha</v>
      </c>
      <c r="B768" s="9" t="str">
        <f>IFERROR(__xludf.DUMMYFUNCTION("""COMPUTED_VALUE"""),"bt-12")</f>
        <v>bt-12</v>
      </c>
      <c r="C768" s="9" t="str">
        <f>IFERROR(__xludf.DUMMYFUNCTION("GOOGLETRANSLATE($A768,""en"",""de"")"),"Chhukha")</f>
        <v>Chhukha</v>
      </c>
      <c r="D768" s="9" t="str">
        <f>IFERROR(__xludf.DUMMYFUNCTION("GOOGLETRANSLATE($A768,""en"",""fr"")"),"Chhukha")</f>
        <v>Chhukha</v>
      </c>
      <c r="E768" s="9" t="str">
        <f>IFERROR(__xludf.DUMMYFUNCTION("GOOGLETRANSLATE($A768,""en"",""es"")"),"Chhukha")</f>
        <v>Chhukha</v>
      </c>
      <c r="F768" s="9" t="str">
        <f>IFERROR(__xludf.DUMMYFUNCTION("GOOGLETRANSLATE($A768,""en"",""it"")"),"Chhukha")</f>
        <v>Chhukha</v>
      </c>
      <c r="G768" s="9" t="str">
        <f>IFERROR(__xludf.DUMMYFUNCTION("GOOGLETRANSLATE($A768,""en"",""zh-cn"")"),"楚卡")</f>
        <v>楚卡</v>
      </c>
      <c r="H768" s="9" t="str">
        <f>IFERROR(__xludf.DUMMYFUNCTION("GOOGLETRANSLATE($A768,""en"",""ja"")"),"チュカ")</f>
        <v>チュカ</v>
      </c>
      <c r="I768" s="9" t="str">
        <f>IFERROR(__xludf.DUMMYFUNCTION("GOOGLETRANSLATE($A768,""en"",""ko"")"),"추카")</f>
        <v>추카</v>
      </c>
      <c r="J768" s="9" t="str">
        <f>IFERROR(__xludf.DUMMYFUNCTION("GOOGLETRANSLATE($A768,""en"",""pt-BR"")"),"Chukha")</f>
        <v>Chukha</v>
      </c>
    </row>
    <row r="769">
      <c r="A769" s="9" t="str">
        <f>IFERROR(__xludf.DUMMYFUNCTION("""COMPUTED_VALUE"""),"Ha")</f>
        <v>Ha</v>
      </c>
      <c r="B769" s="9" t="str">
        <f>IFERROR(__xludf.DUMMYFUNCTION("""COMPUTED_VALUE"""),"bt-13")</f>
        <v>bt-13</v>
      </c>
      <c r="C769" s="9" t="str">
        <f>IFERROR(__xludf.DUMMYFUNCTION("GOOGLETRANSLATE($A769,""en"",""de"")"),"Ha")</f>
        <v>Ha</v>
      </c>
      <c r="D769" s="9" t="str">
        <f>IFERROR(__xludf.DUMMYFUNCTION("GOOGLETRANSLATE($A769,""en"",""fr"")"),"Ha")</f>
        <v>Ha</v>
      </c>
      <c r="E769" s="9" t="str">
        <f>IFERROR(__xludf.DUMMYFUNCTION("GOOGLETRANSLATE($A769,""en"",""es"")"),"Ja")</f>
        <v>Ja</v>
      </c>
      <c r="F769" s="9" t="str">
        <f>IFERROR(__xludf.DUMMYFUNCTION("GOOGLETRANSLATE($A769,""en"",""it"")"),"Ah")</f>
        <v>Ah</v>
      </c>
      <c r="G769" s="9" t="str">
        <f>IFERROR(__xludf.DUMMYFUNCTION("GOOGLETRANSLATE($A769,""en"",""zh-cn"")"),"哈")</f>
        <v>哈</v>
      </c>
      <c r="H769" s="9" t="str">
        <f>IFERROR(__xludf.DUMMYFUNCTION("GOOGLETRANSLATE($A769,""en"",""ja"")"),"はぁ")</f>
        <v>はぁ</v>
      </c>
      <c r="I769" s="9" t="str">
        <f>IFERROR(__xludf.DUMMYFUNCTION("GOOGLETRANSLATE($A769,""en"",""ko"")"),"하아")</f>
        <v>하아</v>
      </c>
      <c r="J769" s="9" t="str">
        <f>IFERROR(__xludf.DUMMYFUNCTION("GOOGLETRANSLATE($A769,""en"",""pt-BR"")"),"Ha")</f>
        <v>Ha</v>
      </c>
    </row>
    <row r="770">
      <c r="A770" s="9" t="str">
        <f>IFERROR(__xludf.DUMMYFUNCTION("""COMPUTED_VALUE"""),"Pemagatshel")</f>
        <v>Pemagatshel</v>
      </c>
      <c r="B770" s="9" t="str">
        <f>IFERROR(__xludf.DUMMYFUNCTION("""COMPUTED_VALUE"""),"bt-43")</f>
        <v>bt-43</v>
      </c>
      <c r="C770" s="9" t="str">
        <f>IFERROR(__xludf.DUMMYFUNCTION("GOOGLETRANSLATE($A770,""en"",""de"")"),"Pemagatshel")</f>
        <v>Pemagatshel</v>
      </c>
      <c r="D770" s="9" t="str">
        <f>IFERROR(__xludf.DUMMYFUNCTION("GOOGLETRANSLATE($A770,""en"",""fr"")"),"Pémagatshel")</f>
        <v>Pémagatshel</v>
      </c>
      <c r="E770" s="9" t="str">
        <f>IFERROR(__xludf.DUMMYFUNCTION("GOOGLETRANSLATE($A770,""en"",""es"")"),"pemagatshel")</f>
        <v>pemagatshel</v>
      </c>
      <c r="F770" s="9" t="str">
        <f>IFERROR(__xludf.DUMMYFUNCTION("GOOGLETRANSLATE($A770,""en"",""it"")"),"Pemagatshel")</f>
        <v>Pemagatshel</v>
      </c>
      <c r="G770" s="9" t="str">
        <f>IFERROR(__xludf.DUMMYFUNCTION("GOOGLETRANSLATE($A770,""en"",""zh-cn"")"),"佩马加特谢尔")</f>
        <v>佩马加特谢尔</v>
      </c>
      <c r="H770" s="9" t="str">
        <f>IFERROR(__xludf.DUMMYFUNCTION("GOOGLETRANSLATE($A770,""en"",""ja"")"),"ペマガトシェル")</f>
        <v>ペマガトシェル</v>
      </c>
      <c r="I770" s="9" t="str">
        <f>IFERROR(__xludf.DUMMYFUNCTION("GOOGLETRANSLATE($A770,""en"",""ko"")"),"페마가셸")</f>
        <v>페마가셸</v>
      </c>
      <c r="J770" s="9" t="str">
        <f>IFERROR(__xludf.DUMMYFUNCTION("GOOGLETRANSLATE($A770,""en"",""pt-BR"")"),"Pemagatshel")</f>
        <v>Pemagatshel</v>
      </c>
    </row>
    <row r="771">
      <c r="A771" s="9" t="str">
        <f>IFERROR(__xludf.DUMMYFUNCTION("""COMPUTED_VALUE"""),"Zhemgang")</f>
        <v>Zhemgang</v>
      </c>
      <c r="B771" s="9" t="str">
        <f>IFERROR(__xludf.DUMMYFUNCTION("""COMPUTED_VALUE"""),"bt-34")</f>
        <v>bt-34</v>
      </c>
      <c r="C771" s="9" t="str">
        <f>IFERROR(__xludf.DUMMYFUNCTION("GOOGLETRANSLATE($A771,""en"",""de"")"),"Zhemgang")</f>
        <v>Zhemgang</v>
      </c>
      <c r="D771" s="9" t="str">
        <f>IFERROR(__xludf.DUMMYFUNCTION("GOOGLETRANSLATE($A771,""en"",""fr"")"),"Zhemgang")</f>
        <v>Zhemgang</v>
      </c>
      <c r="E771" s="9" t="str">
        <f>IFERROR(__xludf.DUMMYFUNCTION("GOOGLETRANSLATE($A771,""en"",""es"")"),"Zhemgang")</f>
        <v>Zhemgang</v>
      </c>
      <c r="F771" s="9" t="str">
        <f>IFERROR(__xludf.DUMMYFUNCTION("GOOGLETRANSLATE($A771,""en"",""it"")"),"Zhemgang")</f>
        <v>Zhemgang</v>
      </c>
      <c r="G771" s="9" t="str">
        <f>IFERROR(__xludf.DUMMYFUNCTION("GOOGLETRANSLATE($A771,""en"",""zh-cn"")"),"哲姆刚")</f>
        <v>哲姆刚</v>
      </c>
      <c r="H771" s="9" t="str">
        <f>IFERROR(__xludf.DUMMYFUNCTION("GOOGLETRANSLATE($A771,""en"",""ja"")"),"ジェムガン")</f>
        <v>ジェムガン</v>
      </c>
      <c r="I771" s="9" t="str">
        <f>IFERROR(__xludf.DUMMYFUNCTION("GOOGLETRANSLATE($A771,""en"",""ko"")"),"젬강")</f>
        <v>젬강</v>
      </c>
      <c r="J771" s="9" t="str">
        <f>IFERROR(__xludf.DUMMYFUNCTION("GOOGLETRANSLATE($A771,""en"",""pt-BR"")"),"Zhemgang")</f>
        <v>Zhemgang</v>
      </c>
    </row>
    <row r="772">
      <c r="A772" s="9" t="str">
        <f>IFERROR(__xludf.DUMMYFUNCTION("""COMPUTED_VALUE"""),"Tsirang")</f>
        <v>Tsirang</v>
      </c>
      <c r="B772" s="9" t="str">
        <f>IFERROR(__xludf.DUMMYFUNCTION("""COMPUTED_VALUE"""),"bt-21")</f>
        <v>bt-21</v>
      </c>
      <c r="C772" s="9" t="str">
        <f>IFERROR(__xludf.DUMMYFUNCTION("GOOGLETRANSLATE($A772,""en"",""de"")"),"Tsirang")</f>
        <v>Tsirang</v>
      </c>
      <c r="D772" s="9" t="str">
        <f>IFERROR(__xludf.DUMMYFUNCTION("GOOGLETRANSLATE($A772,""en"",""fr"")"),"Tsirang")</f>
        <v>Tsirang</v>
      </c>
      <c r="E772" s="9" t="str">
        <f>IFERROR(__xludf.DUMMYFUNCTION("GOOGLETRANSLATE($A772,""en"",""es"")"),"Tsirang")</f>
        <v>Tsirang</v>
      </c>
      <c r="F772" s="9" t="str">
        <f>IFERROR(__xludf.DUMMYFUNCTION("GOOGLETRANSLATE($A772,""en"",""it"")"),"Tsirang")</f>
        <v>Tsirang</v>
      </c>
      <c r="G772" s="9" t="str">
        <f>IFERROR(__xludf.DUMMYFUNCTION("GOOGLETRANSLATE($A772,""en"",""zh-cn"")"),"齐朗")</f>
        <v>齐朗</v>
      </c>
      <c r="H772" s="9" t="str">
        <f>IFERROR(__xludf.DUMMYFUNCTION("GOOGLETRANSLATE($A772,""en"",""ja"")"),"チラン")</f>
        <v>チラン</v>
      </c>
      <c r="I772" s="9" t="str">
        <f>IFERROR(__xludf.DUMMYFUNCTION("GOOGLETRANSLATE($A772,""en"",""ko"")"),"치랑")</f>
        <v>치랑</v>
      </c>
      <c r="J772" s="9" t="str">
        <f>IFERROR(__xludf.DUMMYFUNCTION("GOOGLETRANSLATE($A772,""en"",""pt-BR"")"),"Tsirang")</f>
        <v>Tsirang</v>
      </c>
    </row>
    <row r="773">
      <c r="A773" s="9" t="str">
        <f>IFERROR(__xludf.DUMMYFUNCTION("""COMPUTED_VALUE"""),"Paro")</f>
        <v>Paro</v>
      </c>
      <c r="B773" s="9" t="str">
        <f>IFERROR(__xludf.DUMMYFUNCTION("""COMPUTED_VALUE"""),"bt-11")</f>
        <v>bt-11</v>
      </c>
      <c r="C773" s="9" t="str">
        <f>IFERROR(__xludf.DUMMYFUNCTION("GOOGLETRANSLATE($A773,""en"",""de"")"),"Paro")</f>
        <v>Paro</v>
      </c>
      <c r="D773" s="9" t="str">
        <f>IFERROR(__xludf.DUMMYFUNCTION("GOOGLETRANSLATE($A773,""en"",""fr"")"),"Paro")</f>
        <v>Paro</v>
      </c>
      <c r="E773" s="9" t="str">
        <f>IFERROR(__xludf.DUMMYFUNCTION("GOOGLETRANSLATE($A773,""en"",""es"")"),"paro")</f>
        <v>paro</v>
      </c>
      <c r="F773" s="9" t="str">
        <f>IFERROR(__xludf.DUMMYFUNCTION("GOOGLETRANSLATE($A773,""en"",""it"")"),"Paro")</f>
        <v>Paro</v>
      </c>
      <c r="G773" s="9" t="str">
        <f>IFERROR(__xludf.DUMMYFUNCTION("GOOGLETRANSLATE($A773,""en"",""zh-cn"")"),"帕罗")</f>
        <v>帕罗</v>
      </c>
      <c r="H773" s="9" t="str">
        <f>IFERROR(__xludf.DUMMYFUNCTION("GOOGLETRANSLATE($A773,""en"",""ja"")"),"パロ")</f>
        <v>パロ</v>
      </c>
      <c r="I773" s="9" t="str">
        <f>IFERROR(__xludf.DUMMYFUNCTION("GOOGLETRANSLATE($A773,""en"",""ko"")"),"파로")</f>
        <v>파로</v>
      </c>
      <c r="J773" s="9" t="str">
        <f>IFERROR(__xludf.DUMMYFUNCTION("GOOGLETRANSLATE($A773,""en"",""pt-BR"")"),"Paro")</f>
        <v>Paro</v>
      </c>
    </row>
    <row r="774">
      <c r="A774" s="9" t="str">
        <f>IFERROR(__xludf.DUMMYFUNCTION("""COMPUTED_VALUE"""),"Trashi Yangtse")</f>
        <v>Trashi Yangtse</v>
      </c>
      <c r="B774" s="9" t="str">
        <f>IFERROR(__xludf.DUMMYFUNCTION("""COMPUTED_VALUE"""),"bt-ty")</f>
        <v>bt-ty</v>
      </c>
      <c r="C774" s="9" t="str">
        <f>IFERROR(__xludf.DUMMYFUNCTION("GOOGLETRANSLATE($A774,""en"",""de"")"),"Trashi Yangtse")</f>
        <v>Trashi Yangtse</v>
      </c>
      <c r="D774" s="9" t="str">
        <f>IFERROR(__xludf.DUMMYFUNCTION("GOOGLETRANSLATE($A774,""en"",""fr"")"),"Trashi Yangtsé")</f>
        <v>Trashi Yangtsé</v>
      </c>
      <c r="E774" s="9" t="str">
        <f>IFERROR(__xludf.DUMMYFUNCTION("GOOGLETRANSLATE($A774,""en"",""es"")"),"Trashi Yangtsé")</f>
        <v>Trashi Yangtsé</v>
      </c>
      <c r="F774" s="9" t="str">
        <f>IFERROR(__xludf.DUMMYFUNCTION("GOOGLETRANSLATE($A774,""en"",""it"")"),"Trashi Yangtse")</f>
        <v>Trashi Yangtse</v>
      </c>
      <c r="G774" s="9" t="str">
        <f>IFERROR(__xludf.DUMMYFUNCTION("GOOGLETRANSLATE($A774,""en"",""zh-cn"")"),"扎西长江")</f>
        <v>扎西长江</v>
      </c>
      <c r="H774" s="9" t="str">
        <f>IFERROR(__xludf.DUMMYFUNCTION("GOOGLETRANSLATE($A774,""en"",""ja"")"),"トラシ・ヤンツェ")</f>
        <v>トラシ・ヤンツェ</v>
      </c>
      <c r="I774" s="9" t="str">
        <f>IFERROR(__xludf.DUMMYFUNCTION("GOOGLETRANSLATE($A774,""en"",""ko"")"),"Trashi Yangtse")</f>
        <v>Trashi Yangtse</v>
      </c>
      <c r="J774" s="9" t="str">
        <f>IFERROR(__xludf.DUMMYFUNCTION("GOOGLETRANSLATE($A774,""en"",""pt-BR"")"),"Lixo Yangtse")</f>
        <v>Lixo Yangtse</v>
      </c>
    </row>
    <row r="775">
      <c r="A775" s="9" t="str">
        <f>IFERROR(__xludf.DUMMYFUNCTION("""COMPUTED_VALUE"""),"Punakha")</f>
        <v>Punakha</v>
      </c>
      <c r="B775" s="9" t="str">
        <f>IFERROR(__xludf.DUMMYFUNCTION("""COMPUTED_VALUE"""),"bt-23")</f>
        <v>bt-23</v>
      </c>
      <c r="C775" s="9" t="str">
        <f>IFERROR(__xludf.DUMMYFUNCTION("GOOGLETRANSLATE($A775,""en"",""de"")"),"Punakha")</f>
        <v>Punakha</v>
      </c>
      <c r="D775" s="9" t="str">
        <f>IFERROR(__xludf.DUMMYFUNCTION("GOOGLETRANSLATE($A775,""en"",""fr"")"),"Punakha")</f>
        <v>Punakha</v>
      </c>
      <c r="E775" s="9" t="str">
        <f>IFERROR(__xludf.DUMMYFUNCTION("GOOGLETRANSLATE($A775,""en"",""es"")"),"Punakha")</f>
        <v>Punakha</v>
      </c>
      <c r="F775" s="9" t="str">
        <f>IFERROR(__xludf.DUMMYFUNCTION("GOOGLETRANSLATE($A775,""en"",""it"")"),"Punakha")</f>
        <v>Punakha</v>
      </c>
      <c r="G775" s="9" t="str">
        <f>IFERROR(__xludf.DUMMYFUNCTION("GOOGLETRANSLATE($A775,""en"",""zh-cn"")"),"普那卡")</f>
        <v>普那卡</v>
      </c>
      <c r="H775" s="9" t="str">
        <f>IFERROR(__xludf.DUMMYFUNCTION("GOOGLETRANSLATE($A775,""en"",""ja"")"),"プナカ")</f>
        <v>プナカ</v>
      </c>
      <c r="I775" s="9" t="str">
        <f>IFERROR(__xludf.DUMMYFUNCTION("GOOGLETRANSLATE($A775,""en"",""ko"")"),"푸나카")</f>
        <v>푸나카</v>
      </c>
      <c r="J775" s="9" t="str">
        <f>IFERROR(__xludf.DUMMYFUNCTION("GOOGLETRANSLATE($A775,""en"",""pt-BR"")"),"Punakha")</f>
        <v>Punakha</v>
      </c>
    </row>
    <row r="776">
      <c r="A776" s="9" t="str">
        <f>IFERROR(__xludf.DUMMYFUNCTION("""COMPUTED_VALUE"""),"Lhuentse")</f>
        <v>Lhuentse</v>
      </c>
      <c r="B776" s="9" t="str">
        <f>IFERROR(__xludf.DUMMYFUNCTION("""COMPUTED_VALUE"""),"bt-44")</f>
        <v>bt-44</v>
      </c>
      <c r="C776" s="9" t="str">
        <f>IFERROR(__xludf.DUMMYFUNCTION("GOOGLETRANSLATE($A776,""en"",""de"")"),"Lhuentse")</f>
        <v>Lhuentse</v>
      </c>
      <c r="D776" s="9" t="str">
        <f>IFERROR(__xludf.DUMMYFUNCTION("GOOGLETRANSLATE($A776,""en"",""fr"")"),"Lhuentsé")</f>
        <v>Lhuentsé</v>
      </c>
      <c r="E776" s="9" t="str">
        <f>IFERROR(__xludf.DUMMYFUNCTION("GOOGLETRANSLATE($A776,""en"",""es"")"),"Lhuentse")</f>
        <v>Lhuentse</v>
      </c>
      <c r="F776" s="9" t="str">
        <f>IFERROR(__xludf.DUMMYFUNCTION("GOOGLETRANSLATE($A776,""en"",""it"")"),"Lhuentse")</f>
        <v>Lhuentse</v>
      </c>
      <c r="G776" s="9" t="str">
        <f>IFERROR(__xludf.DUMMYFUNCTION("GOOGLETRANSLATE($A776,""en"",""zh-cn"")"),"伦策")</f>
        <v>伦策</v>
      </c>
      <c r="H776" s="9" t="str">
        <f>IFERROR(__xludf.DUMMYFUNCTION("GOOGLETRANSLATE($A776,""en"",""ja"")"),"ルンツェ")</f>
        <v>ルンツェ</v>
      </c>
      <c r="I776" s="9" t="str">
        <f>IFERROR(__xludf.DUMMYFUNCTION("GOOGLETRANSLATE($A776,""en"",""ko"")"),"루엔체")</f>
        <v>루엔체</v>
      </c>
      <c r="J776" s="9" t="str">
        <f>IFERROR(__xludf.DUMMYFUNCTION("GOOGLETRANSLATE($A776,""en"",""pt-BR"")"),"Lhuentse")</f>
        <v>Lhuentse</v>
      </c>
    </row>
    <row r="777">
      <c r="A777" s="9" t="str">
        <f>IFERROR(__xludf.DUMMYFUNCTION("""COMPUTED_VALUE"""),"Dagana")</f>
        <v>Dagana</v>
      </c>
      <c r="B777" s="9" t="str">
        <f>IFERROR(__xludf.DUMMYFUNCTION("""COMPUTED_VALUE"""),"bt-22")</f>
        <v>bt-22</v>
      </c>
      <c r="C777" s="9" t="str">
        <f>IFERROR(__xludf.DUMMYFUNCTION("GOOGLETRANSLATE($A777,""en"",""de"")"),"Dagana")</f>
        <v>Dagana</v>
      </c>
      <c r="D777" s="9" t="str">
        <f>IFERROR(__xludf.DUMMYFUNCTION("GOOGLETRANSLATE($A777,""en"",""fr"")"),"Dagana")</f>
        <v>Dagana</v>
      </c>
      <c r="E777" s="9" t="str">
        <f>IFERROR(__xludf.DUMMYFUNCTION("GOOGLETRANSLATE($A777,""en"",""es"")"),"Daganá")</f>
        <v>Daganá</v>
      </c>
      <c r="F777" s="9" t="str">
        <f>IFERROR(__xludf.DUMMYFUNCTION("GOOGLETRANSLATE($A777,""en"",""it"")"),"Dagana")</f>
        <v>Dagana</v>
      </c>
      <c r="G777" s="9" t="str">
        <f>IFERROR(__xludf.DUMMYFUNCTION("GOOGLETRANSLATE($A777,""en"",""zh-cn"")"),"达加纳")</f>
        <v>达加纳</v>
      </c>
      <c r="H777" s="9" t="str">
        <f>IFERROR(__xludf.DUMMYFUNCTION("GOOGLETRANSLATE($A777,""en"",""ja"")"),"ダガナ")</f>
        <v>ダガナ</v>
      </c>
      <c r="I777" s="9" t="str">
        <f>IFERROR(__xludf.DUMMYFUNCTION("GOOGLETRANSLATE($A777,""en"",""ko"")"),"다가나")</f>
        <v>다가나</v>
      </c>
      <c r="J777" s="9" t="str">
        <f>IFERROR(__xludf.DUMMYFUNCTION("GOOGLETRANSLATE($A777,""en"",""pt-BR"")"),"Dagana")</f>
        <v>Dagana</v>
      </c>
    </row>
    <row r="778">
      <c r="A778" s="9" t="str">
        <f>IFERROR(__xludf.DUMMYFUNCTION("""COMPUTED_VALUE"""),"Sarpang")</f>
        <v>Sarpang</v>
      </c>
      <c r="B778" s="9" t="str">
        <f>IFERROR(__xludf.DUMMYFUNCTION("""COMPUTED_VALUE"""),"bt-31")</f>
        <v>bt-31</v>
      </c>
      <c r="C778" s="9" t="str">
        <f>IFERROR(__xludf.DUMMYFUNCTION("GOOGLETRANSLATE($A778,""en"",""de"")"),"Sarpang")</f>
        <v>Sarpang</v>
      </c>
      <c r="D778" s="9" t="str">
        <f>IFERROR(__xludf.DUMMYFUNCTION("GOOGLETRANSLATE($A778,""en"",""fr"")"),"Sarpang")</f>
        <v>Sarpang</v>
      </c>
      <c r="E778" s="9" t="str">
        <f>IFERROR(__xludf.DUMMYFUNCTION("GOOGLETRANSLATE($A778,""en"",""es"")"),"sarpang")</f>
        <v>sarpang</v>
      </c>
      <c r="F778" s="9" t="str">
        <f>IFERROR(__xludf.DUMMYFUNCTION("GOOGLETRANSLATE($A778,""en"",""it"")"),"Sarpang")</f>
        <v>Sarpang</v>
      </c>
      <c r="G778" s="9" t="str">
        <f>IFERROR(__xludf.DUMMYFUNCTION("GOOGLETRANSLATE($A778,""en"",""zh-cn"")"),"萨庞")</f>
        <v>萨庞</v>
      </c>
      <c r="H778" s="9" t="str">
        <f>IFERROR(__xludf.DUMMYFUNCTION("GOOGLETRANSLATE($A778,""en"",""ja"")"),"サルパン")</f>
        <v>サルパン</v>
      </c>
      <c r="I778" s="9" t="str">
        <f>IFERROR(__xludf.DUMMYFUNCTION("GOOGLETRANSLATE($A778,""en"",""ko"")"),"사르팡")</f>
        <v>사르팡</v>
      </c>
      <c r="J778" s="9" t="str">
        <f>IFERROR(__xludf.DUMMYFUNCTION("GOOGLETRANSLATE($A778,""en"",""pt-BR"")"),"Sarpang")</f>
        <v>Sarpang</v>
      </c>
    </row>
    <row r="779">
      <c r="A779" s="9" t="str">
        <f>IFERROR(__xludf.DUMMYFUNCTION("""COMPUTED_VALUE"""),"Samtse")</f>
        <v>Samtse</v>
      </c>
      <c r="B779" s="9" t="str">
        <f>IFERROR(__xludf.DUMMYFUNCTION("""COMPUTED_VALUE"""),"bt-14")</f>
        <v>bt-14</v>
      </c>
      <c r="C779" s="9" t="str">
        <f>IFERROR(__xludf.DUMMYFUNCTION("GOOGLETRANSLATE($A779,""en"",""de"")"),"Samtse")</f>
        <v>Samtse</v>
      </c>
      <c r="D779" s="9" t="str">
        <f>IFERROR(__xludf.DUMMYFUNCTION("GOOGLETRANSLATE($A779,""en"",""fr"")"),"Samtsé")</f>
        <v>Samtsé</v>
      </c>
      <c r="E779" s="9" t="str">
        <f>IFERROR(__xludf.DUMMYFUNCTION("GOOGLETRANSLATE($A779,""en"",""es"")"),"Samtse")</f>
        <v>Samtse</v>
      </c>
      <c r="F779" s="9" t="str">
        <f>IFERROR(__xludf.DUMMYFUNCTION("GOOGLETRANSLATE($A779,""en"",""it"")"),"Samtse")</f>
        <v>Samtse</v>
      </c>
      <c r="G779" s="9" t="str">
        <f>IFERROR(__xludf.DUMMYFUNCTION("GOOGLETRANSLATE($A779,""en"",""zh-cn"")"),"萨姆泽")</f>
        <v>萨姆泽</v>
      </c>
      <c r="H779" s="9" t="str">
        <f>IFERROR(__xludf.DUMMYFUNCTION("GOOGLETRANSLATE($A779,""en"",""ja"")"),"サムツェ")</f>
        <v>サムツェ</v>
      </c>
      <c r="I779" s="9" t="str">
        <f>IFERROR(__xludf.DUMMYFUNCTION("GOOGLETRANSLATE($A779,""en"",""ko"")"),"삼체")</f>
        <v>삼체</v>
      </c>
      <c r="J779" s="9" t="str">
        <f>IFERROR(__xludf.DUMMYFUNCTION("GOOGLETRANSLATE($A779,""en"",""pt-BR"")"),"Samtse")</f>
        <v>Samtse</v>
      </c>
    </row>
    <row r="780">
      <c r="A780" s="9" t="str">
        <f>IFERROR(__xludf.DUMMYFUNCTION("""COMPUTED_VALUE"""),"Thimphu")</f>
        <v>Thimphu</v>
      </c>
      <c r="B780" s="9" t="str">
        <f>IFERROR(__xludf.DUMMYFUNCTION("""COMPUTED_VALUE"""),"bt-15")</f>
        <v>bt-15</v>
      </c>
      <c r="C780" s="9" t="str">
        <f>IFERROR(__xludf.DUMMYFUNCTION("GOOGLETRANSLATE($A780,""en"",""de"")"),"Thimphu")</f>
        <v>Thimphu</v>
      </c>
      <c r="D780" s="9" t="str">
        <f>IFERROR(__xludf.DUMMYFUNCTION("GOOGLETRANSLATE($A780,""en"",""fr"")"),"Thimphou")</f>
        <v>Thimphou</v>
      </c>
      <c r="E780" s="9" t="str">
        <f>IFERROR(__xludf.DUMMYFUNCTION("GOOGLETRANSLATE($A780,""en"",""es"")"),"Timbu")</f>
        <v>Timbu</v>
      </c>
      <c r="F780" s="9" t="str">
        <f>IFERROR(__xludf.DUMMYFUNCTION("GOOGLETRANSLATE($A780,""en"",""it"")"),"Thimphu")</f>
        <v>Thimphu</v>
      </c>
      <c r="G780" s="9" t="str">
        <f>IFERROR(__xludf.DUMMYFUNCTION("GOOGLETRANSLATE($A780,""en"",""zh-cn"")"),"廷布")</f>
        <v>廷布</v>
      </c>
      <c r="H780" s="9" t="str">
        <f>IFERROR(__xludf.DUMMYFUNCTION("GOOGLETRANSLATE($A780,""en"",""ja"")"),"ティンプー")</f>
        <v>ティンプー</v>
      </c>
      <c r="I780" s="9" t="str">
        <f>IFERROR(__xludf.DUMMYFUNCTION("GOOGLETRANSLATE($A780,""en"",""ko"")"),"팀부")</f>
        <v>팀부</v>
      </c>
      <c r="J780" s="9" t="str">
        <f>IFERROR(__xludf.DUMMYFUNCTION("GOOGLETRANSLATE($A780,""en"",""pt-BR"")"),"Thimbu")</f>
        <v>Thimbu</v>
      </c>
    </row>
    <row r="781">
      <c r="A781" s="9" t="str">
        <f>IFERROR(__xludf.DUMMYFUNCTION("""COMPUTED_VALUE"""),"Wangdue Phodrang")</f>
        <v>Wangdue Phodrang</v>
      </c>
      <c r="B781" s="9" t="str">
        <f>IFERROR(__xludf.DUMMYFUNCTION("""COMPUTED_VALUE"""),"bt-24")</f>
        <v>bt-24</v>
      </c>
      <c r="C781" s="9" t="str">
        <f>IFERROR(__xludf.DUMMYFUNCTION("GOOGLETRANSLATE($A781,""en"",""de"")"),"Wangdue Phodrang")</f>
        <v>Wangdue Phodrang</v>
      </c>
      <c r="D781" s="9" t="str">
        <f>IFERROR(__xludf.DUMMYFUNCTION("GOOGLETRANSLATE($A781,""en"",""fr"")"),"Wangdue Phodrang")</f>
        <v>Wangdue Phodrang</v>
      </c>
      <c r="E781" s="9" t="str">
        <f>IFERROR(__xludf.DUMMYFUNCTION("GOOGLETRANSLATE($A781,""en"",""es"")"),"Wangdue Phodrang")</f>
        <v>Wangdue Phodrang</v>
      </c>
      <c r="F781" s="9" t="str">
        <f>IFERROR(__xludf.DUMMYFUNCTION("GOOGLETRANSLATE($A781,""en"",""it"")"),"Wangdue Phodrang")</f>
        <v>Wangdue Phodrang</v>
      </c>
      <c r="G781" s="9" t="str">
        <f>IFERROR(__xludf.DUMMYFUNCTION("GOOGLETRANSLATE($A781,""en"",""zh-cn"")"),"旺杜波德朗")</f>
        <v>旺杜波德朗</v>
      </c>
      <c r="H781" s="9" t="str">
        <f>IFERROR(__xludf.DUMMYFUNCTION("GOOGLETRANSLATE($A781,""en"",""ja"")"),"ワンドゥエ・ポダン")</f>
        <v>ワンドゥエ・ポダン</v>
      </c>
      <c r="I781" s="9" t="str">
        <f>IFERROR(__xludf.DUMMYFUNCTION("GOOGLETRANSLATE($A781,""en"",""ko"")"),"왕두에 포드랑")</f>
        <v>왕두에 포드랑</v>
      </c>
      <c r="J781" s="9" t="str">
        <f>IFERROR(__xludf.DUMMYFUNCTION("GOOGLETRANSLATE($A781,""en"",""pt-BR"")"),"Wangdue Phodrang")</f>
        <v>Wangdue Phodrang</v>
      </c>
    </row>
    <row r="782">
      <c r="A782" s="9" t="str">
        <f>IFERROR(__xludf.DUMMYFUNCTION("""COMPUTED_VALUE"""),"Lara")</f>
        <v>Lara</v>
      </c>
      <c r="B782" s="9" t="str">
        <f>IFERROR(__xludf.DUMMYFUNCTION("""COMPUTED_VALUE"""),"ve-k")</f>
        <v>ve-k</v>
      </c>
      <c r="C782" s="9" t="str">
        <f>IFERROR(__xludf.DUMMYFUNCTION("GOOGLETRANSLATE($A782,""en"",""de"")"),"Lara")</f>
        <v>Lara</v>
      </c>
      <c r="D782" s="9" t="str">
        <f>IFERROR(__xludf.DUMMYFUNCTION("GOOGLETRANSLATE($A782,""en"",""fr"")"),"Lara")</f>
        <v>Lara</v>
      </c>
      <c r="E782" s="9" t="str">
        <f>IFERROR(__xludf.DUMMYFUNCTION("GOOGLETRANSLATE($A782,""en"",""es"")"),"lara")</f>
        <v>lara</v>
      </c>
      <c r="F782" s="9" t="str">
        <f>IFERROR(__xludf.DUMMYFUNCTION("GOOGLETRANSLATE($A782,""en"",""it"")"),"Lara")</f>
        <v>Lara</v>
      </c>
      <c r="G782" s="9" t="str">
        <f>IFERROR(__xludf.DUMMYFUNCTION("GOOGLETRANSLATE($A782,""en"",""zh-cn"")"),"劳拉")</f>
        <v>劳拉</v>
      </c>
      <c r="H782" s="9" t="str">
        <f>IFERROR(__xludf.DUMMYFUNCTION("GOOGLETRANSLATE($A782,""en"",""ja"")"),"ララ")</f>
        <v>ララ</v>
      </c>
      <c r="I782" s="9" t="str">
        <f>IFERROR(__xludf.DUMMYFUNCTION("GOOGLETRANSLATE($A782,""en"",""ko"")"),"라라")</f>
        <v>라라</v>
      </c>
      <c r="J782" s="9" t="str">
        <f>IFERROR(__xludf.DUMMYFUNCTION("GOOGLETRANSLATE($A782,""en"",""pt-BR"")"),"Lara")</f>
        <v>Lara</v>
      </c>
    </row>
    <row r="783">
      <c r="A783" s="9" t="str">
        <f>IFERROR(__xludf.DUMMYFUNCTION("""COMPUTED_VALUE"""),"Trujillo")</f>
        <v>Trujillo</v>
      </c>
      <c r="B783" s="9" t="str">
        <f>IFERROR(__xludf.DUMMYFUNCTION("""COMPUTED_VALUE"""),"ve-t")</f>
        <v>ve-t</v>
      </c>
      <c r="C783" s="9" t="str">
        <f>IFERROR(__xludf.DUMMYFUNCTION("GOOGLETRANSLATE($A783,""en"",""de"")"),"Trujillo")</f>
        <v>Trujillo</v>
      </c>
      <c r="D783" s="9" t="str">
        <f>IFERROR(__xludf.DUMMYFUNCTION("GOOGLETRANSLATE($A783,""en"",""fr"")"),"Trujillo")</f>
        <v>Trujillo</v>
      </c>
      <c r="E783" s="9" t="str">
        <f>IFERROR(__xludf.DUMMYFUNCTION("GOOGLETRANSLATE($A783,""en"",""es"")"),"Trujillo")</f>
        <v>Trujillo</v>
      </c>
      <c r="F783" s="9" t="str">
        <f>IFERROR(__xludf.DUMMYFUNCTION("GOOGLETRANSLATE($A783,""en"",""it"")"),"Trujillo")</f>
        <v>Trujillo</v>
      </c>
      <c r="G783" s="9" t="str">
        <f>IFERROR(__xludf.DUMMYFUNCTION("GOOGLETRANSLATE($A783,""en"",""zh-cn"")"),"特鲁希略")</f>
        <v>特鲁希略</v>
      </c>
      <c r="H783" s="9" t="str">
        <f>IFERROR(__xludf.DUMMYFUNCTION("GOOGLETRANSLATE($A783,""en"",""ja"")"),"トルヒーリョ")</f>
        <v>トルヒーリョ</v>
      </c>
      <c r="I783" s="9" t="str">
        <f>IFERROR(__xludf.DUMMYFUNCTION("GOOGLETRANSLATE($A783,""en"",""ko"")"),"트루히요")</f>
        <v>트루히요</v>
      </c>
      <c r="J783" s="9" t="str">
        <f>IFERROR(__xludf.DUMMYFUNCTION("GOOGLETRANSLATE($A783,""en"",""pt-BR"")"),"Trujillo")</f>
        <v>Trujillo</v>
      </c>
    </row>
    <row r="784">
      <c r="A784" s="9" t="str">
        <f>IFERROR(__xludf.DUMMYFUNCTION("""COMPUTED_VALUE"""),"Apure")</f>
        <v>Apure</v>
      </c>
      <c r="B784" s="9" t="str">
        <f>IFERROR(__xludf.DUMMYFUNCTION("""COMPUTED_VALUE"""),"ve-c")</f>
        <v>ve-c</v>
      </c>
      <c r="C784" s="9" t="str">
        <f>IFERROR(__xludf.DUMMYFUNCTION("GOOGLETRANSLATE($A784,""en"",""de"")"),"Apure")</f>
        <v>Apure</v>
      </c>
      <c r="D784" s="9" t="str">
        <f>IFERROR(__xludf.DUMMYFUNCTION("GOOGLETRANSLATE($A784,""en"",""fr"")"),"Apure")</f>
        <v>Apure</v>
      </c>
      <c r="E784" s="9" t="str">
        <f>IFERROR(__xludf.DUMMYFUNCTION("GOOGLETRANSLATE($A784,""en"",""es"")"),"Apure")</f>
        <v>Apure</v>
      </c>
      <c r="F784" s="9" t="str">
        <f>IFERROR(__xludf.DUMMYFUNCTION("GOOGLETRANSLATE($A784,""en"",""it"")"),"Apuro")</f>
        <v>Apuro</v>
      </c>
      <c r="G784" s="9" t="str">
        <f>IFERROR(__xludf.DUMMYFUNCTION("GOOGLETRANSLATE($A784,""en"",""zh-cn"")"),"阿普雷")</f>
        <v>阿普雷</v>
      </c>
      <c r="H784" s="9" t="str">
        <f>IFERROR(__xludf.DUMMYFUNCTION("GOOGLETRANSLATE($A784,""en"",""ja"")"),"アピュア")</f>
        <v>アピュア</v>
      </c>
      <c r="I784" s="9" t="str">
        <f>IFERROR(__xludf.DUMMYFUNCTION("GOOGLETRANSLATE($A784,""en"",""ko"")"),"아퓨어")</f>
        <v>아퓨어</v>
      </c>
      <c r="J784" s="9" t="str">
        <f>IFERROR(__xludf.DUMMYFUNCTION("GOOGLETRANSLATE($A784,""en"",""pt-BR"")"),"Apuro")</f>
        <v>Apuro</v>
      </c>
    </row>
    <row r="785">
      <c r="A785" s="9" t="str">
        <f>IFERROR(__xludf.DUMMYFUNCTION("""COMPUTED_VALUE"""),"Falcón")</f>
        <v>Falcón</v>
      </c>
      <c r="B785" s="9" t="str">
        <f>IFERROR(__xludf.DUMMYFUNCTION("""COMPUTED_VALUE"""),"ve-i")</f>
        <v>ve-i</v>
      </c>
      <c r="C785" s="9" t="str">
        <f>IFERROR(__xludf.DUMMYFUNCTION("GOOGLETRANSLATE($A785,""en"",""de"")"),"Falke")</f>
        <v>Falke</v>
      </c>
      <c r="D785" s="9" t="str">
        <f>IFERROR(__xludf.DUMMYFUNCTION("GOOGLETRANSLATE($A785,""en"",""fr"")"),"Faucon")</f>
        <v>Faucon</v>
      </c>
      <c r="E785" s="9" t="str">
        <f>IFERROR(__xludf.DUMMYFUNCTION("GOOGLETRANSLATE($A785,""en"",""es"")"),"Halcón")</f>
        <v>Halcón</v>
      </c>
      <c r="F785" s="9" t="str">
        <f>IFERROR(__xludf.DUMMYFUNCTION("GOOGLETRANSLATE($A785,""en"",""it"")"),"Falco")</f>
        <v>Falco</v>
      </c>
      <c r="G785" s="9" t="str">
        <f>IFERROR(__xludf.DUMMYFUNCTION("GOOGLETRANSLATE($A785,""en"",""zh-cn"")"),"鹘")</f>
        <v>鹘</v>
      </c>
      <c r="H785" s="9" t="str">
        <f>IFERROR(__xludf.DUMMYFUNCTION("GOOGLETRANSLATE($A785,""en"",""ja"")"),"ファルコン")</f>
        <v>ファルコン</v>
      </c>
      <c r="I785" s="9" t="str">
        <f>IFERROR(__xludf.DUMMYFUNCTION("GOOGLETRANSLATE($A785,""en"",""ko"")"),"매")</f>
        <v>매</v>
      </c>
      <c r="J785" s="9" t="str">
        <f>IFERROR(__xludf.DUMMYFUNCTION("GOOGLETRANSLATE($A785,""en"",""pt-BR"")"),"Falcão")</f>
        <v>Falcão</v>
      </c>
    </row>
    <row r="786">
      <c r="A786" s="9" t="str">
        <f>IFERROR(__xludf.DUMMYFUNCTION("""COMPUTED_VALUE"""),"Amazonas (VE)")</f>
        <v>Amazonas (VE)</v>
      </c>
      <c r="B786" s="9" t="str">
        <f>IFERROR(__xludf.DUMMYFUNCTION("""COMPUTED_VALUE"""),"ve-z")</f>
        <v>ve-z</v>
      </c>
      <c r="C786" s="9" t="str">
        <f>IFERROR(__xludf.DUMMYFUNCTION("GOOGLETRANSLATE($A786,""en"",""de"")"),"Amazonas (VE)")</f>
        <v>Amazonas (VE)</v>
      </c>
      <c r="D786" s="9" t="str">
        <f>IFERROR(__xludf.DUMMYFUNCTION("GOOGLETRANSLATE($A786,""en"",""fr"")"),"Amazonas (VE)")</f>
        <v>Amazonas (VE)</v>
      </c>
      <c r="E786" s="9" t="str">
        <f>IFERROR(__xludf.DUMMYFUNCTION("GOOGLETRANSLATE($A786,""en"",""es"")"),"Amazonas (VE)")</f>
        <v>Amazonas (VE)</v>
      </c>
      <c r="F786" s="9" t="str">
        <f>IFERROR(__xludf.DUMMYFUNCTION("GOOGLETRANSLATE($A786,""en"",""it"")"),"Amazzonia (VE)")</f>
        <v>Amazzonia (VE)</v>
      </c>
      <c r="G786" s="9" t="str">
        <f>IFERROR(__xludf.DUMMYFUNCTION("GOOGLETRANSLATE($A786,""en"",""zh-cn"")"),"亚马逊 (VE)")</f>
        <v>亚马逊 (VE)</v>
      </c>
      <c r="H786" s="9" t="str">
        <f>IFERROR(__xludf.DUMMYFUNCTION("GOOGLETRANSLATE($A786,""en"",""ja"")"),"アマゾナス州 (VE)")</f>
        <v>アマゾナス州 (VE)</v>
      </c>
      <c r="I786" s="9" t="str">
        <f>IFERROR(__xludf.DUMMYFUNCTION("GOOGLETRANSLATE($A786,""en"",""ko"")"),"아마조나스(VE)")</f>
        <v>아마조나스(VE)</v>
      </c>
      <c r="J786" s="9" t="str">
        <f>IFERROR(__xludf.DUMMYFUNCTION("GOOGLETRANSLATE($A786,""en"",""pt-BR"")"),"Amazonas (VE)")</f>
        <v>Amazonas (VE)</v>
      </c>
    </row>
    <row r="787">
      <c r="A787" s="9" t="str">
        <f>IFERROR(__xludf.DUMMYFUNCTION("""COMPUTED_VALUE"""),"Portuguesa")</f>
        <v>Portuguesa</v>
      </c>
      <c r="B787" s="9" t="str">
        <f>IFERROR(__xludf.DUMMYFUNCTION("""COMPUTED_VALUE"""),"ve-p")</f>
        <v>ve-p</v>
      </c>
      <c r="C787" s="9" t="str">
        <f>IFERROR(__xludf.DUMMYFUNCTION("GOOGLETRANSLATE($A787,""en"",""de"")"),"Portugiesisch")</f>
        <v>Portugiesisch</v>
      </c>
      <c r="D787" s="9" t="str">
        <f>IFERROR(__xludf.DUMMYFUNCTION("GOOGLETRANSLATE($A787,""en"",""fr"")"),"Portugais")</f>
        <v>Portugais</v>
      </c>
      <c r="E787" s="9" t="str">
        <f>IFERROR(__xludf.DUMMYFUNCTION("GOOGLETRANSLATE($A787,""en"",""es"")"),"portuguesa")</f>
        <v>portuguesa</v>
      </c>
      <c r="F787" s="9" t="str">
        <f>IFERROR(__xludf.DUMMYFUNCTION("GOOGLETRANSLATE($A787,""en"",""it"")"),"Portoghese")</f>
        <v>Portoghese</v>
      </c>
      <c r="G787" s="9" t="str">
        <f>IFERROR(__xludf.DUMMYFUNCTION("GOOGLETRANSLATE($A787,""en"",""zh-cn"")"),"葡萄牙语")</f>
        <v>葡萄牙语</v>
      </c>
      <c r="H787" s="9" t="str">
        <f>IFERROR(__xludf.DUMMYFUNCTION("GOOGLETRANSLATE($A787,""en"",""ja"")"),"ポルトゲーザ")</f>
        <v>ポルトゲーザ</v>
      </c>
      <c r="I787" s="9" t="str">
        <f>IFERROR(__xludf.DUMMYFUNCTION("GOOGLETRANSLATE($A787,""en"",""ko"")"),"포르투갈어")</f>
        <v>포르투갈어</v>
      </c>
      <c r="J787" s="9" t="str">
        <f>IFERROR(__xludf.DUMMYFUNCTION("GOOGLETRANSLATE($A787,""en"",""pt-BR"")"),"Portuguesa")</f>
        <v>Portuguesa</v>
      </c>
    </row>
    <row r="788">
      <c r="A788" s="9" t="str">
        <f>IFERROR(__xludf.DUMMYFUNCTION("""COMPUTED_VALUE"""),"Vargas")</f>
        <v>Vargas</v>
      </c>
      <c r="B788" s="9" t="str">
        <f>IFERROR(__xludf.DUMMYFUNCTION("""COMPUTED_VALUE"""),"ve-x")</f>
        <v>ve-x</v>
      </c>
      <c r="C788" s="9" t="str">
        <f>IFERROR(__xludf.DUMMYFUNCTION("GOOGLETRANSLATE($A788,""en"",""de"")"),"Vargas")</f>
        <v>Vargas</v>
      </c>
      <c r="D788" s="9" t="str">
        <f>IFERROR(__xludf.DUMMYFUNCTION("GOOGLETRANSLATE($A788,""en"",""fr"")"),"Vargas")</f>
        <v>Vargas</v>
      </c>
      <c r="E788" s="9" t="str">
        <f>IFERROR(__xludf.DUMMYFUNCTION("GOOGLETRANSLATE($A788,""en"",""es"")"),"Vargas")</f>
        <v>Vargas</v>
      </c>
      <c r="F788" s="9" t="str">
        <f>IFERROR(__xludf.DUMMYFUNCTION("GOOGLETRANSLATE($A788,""en"",""it"")"),"Vargas")</f>
        <v>Vargas</v>
      </c>
      <c r="G788" s="9" t="str">
        <f>IFERROR(__xludf.DUMMYFUNCTION("GOOGLETRANSLATE($A788,""en"",""zh-cn"")"),"瓦尔加斯")</f>
        <v>瓦尔加斯</v>
      </c>
      <c r="H788" s="9" t="str">
        <f>IFERROR(__xludf.DUMMYFUNCTION("GOOGLETRANSLATE($A788,""en"",""ja"")"),"バルガス")</f>
        <v>バルガス</v>
      </c>
      <c r="I788" s="9" t="str">
        <f>IFERROR(__xludf.DUMMYFUNCTION("GOOGLETRANSLATE($A788,""en"",""ko"")"),"바르가스")</f>
        <v>바르가스</v>
      </c>
      <c r="J788" s="9" t="str">
        <f>IFERROR(__xludf.DUMMYFUNCTION("GOOGLETRANSLATE($A788,""en"",""pt-BR"")"),"Vargas")</f>
        <v>Vargas</v>
      </c>
    </row>
    <row r="789">
      <c r="A789" s="9" t="str">
        <f>IFERROR(__xludf.DUMMYFUNCTION("""COMPUTED_VALUE"""),"Guárico")</f>
        <v>Guárico</v>
      </c>
      <c r="B789" s="9" t="str">
        <f>IFERROR(__xludf.DUMMYFUNCTION("""COMPUTED_VALUE"""),"ve-j")</f>
        <v>ve-j</v>
      </c>
      <c r="C789" s="9" t="str">
        <f>IFERROR(__xludf.DUMMYFUNCTION("GOOGLETRANSLATE($A789,""en"",""de"")"),"Guárico")</f>
        <v>Guárico</v>
      </c>
      <c r="D789" s="9" t="str">
        <f>IFERROR(__xludf.DUMMYFUNCTION("GOOGLETRANSLATE($A789,""en"",""fr"")"),"Guarico")</f>
        <v>Guarico</v>
      </c>
      <c r="E789" s="9" t="str">
        <f>IFERROR(__xludf.DUMMYFUNCTION("GOOGLETRANSLATE($A789,""en"",""es"")"),"Guárico")</f>
        <v>Guárico</v>
      </c>
      <c r="F789" s="9" t="str">
        <f>IFERROR(__xludf.DUMMYFUNCTION("GOOGLETRANSLATE($A789,""en"",""it"")"),"Guarico")</f>
        <v>Guarico</v>
      </c>
      <c r="G789" s="9" t="str">
        <f>IFERROR(__xludf.DUMMYFUNCTION("GOOGLETRANSLATE($A789,""en"",""zh-cn"")"),"瓜里科")</f>
        <v>瓜里科</v>
      </c>
      <c r="H789" s="9" t="str">
        <f>IFERROR(__xludf.DUMMYFUNCTION("GOOGLETRANSLATE($A789,""en"",""ja"")"),"グアリコ")</f>
        <v>グアリコ</v>
      </c>
      <c r="I789" s="9" t="str">
        <f>IFERROR(__xludf.DUMMYFUNCTION("GOOGLETRANSLATE($A789,""en"",""ko"")"),"구아리코")</f>
        <v>구아리코</v>
      </c>
      <c r="J789" s="9" t="str">
        <f>IFERROR(__xludf.DUMMYFUNCTION("GOOGLETRANSLATE($A789,""en"",""pt-BR"")"),"Guárico")</f>
        <v>Guárico</v>
      </c>
    </row>
    <row r="790">
      <c r="A790" s="9" t="str">
        <f>IFERROR(__xludf.DUMMYFUNCTION("""COMPUTED_VALUE"""),"Mérida")</f>
        <v>Mérida</v>
      </c>
      <c r="B790" s="9" t="str">
        <f>IFERROR(__xludf.DUMMYFUNCTION("""COMPUTED_VALUE"""),"ve-l")</f>
        <v>ve-l</v>
      </c>
      <c r="C790" s="9" t="str">
        <f>IFERROR(__xludf.DUMMYFUNCTION("GOOGLETRANSLATE($A790,""en"",""de"")"),"Mérida")</f>
        <v>Mérida</v>
      </c>
      <c r="D790" s="9" t="str">
        <f>IFERROR(__xludf.DUMMYFUNCTION("GOOGLETRANSLATE($A790,""en"",""fr"")"),"Mérida")</f>
        <v>Mérida</v>
      </c>
      <c r="E790" s="9" t="str">
        <f>IFERROR(__xludf.DUMMYFUNCTION("GOOGLETRANSLATE($A790,""en"",""es"")"),"Mérida")</f>
        <v>Mérida</v>
      </c>
      <c r="F790" s="9" t="str">
        <f>IFERROR(__xludf.DUMMYFUNCTION("GOOGLETRANSLATE($A790,""en"",""it"")"),"Merida")</f>
        <v>Merida</v>
      </c>
      <c r="G790" s="9" t="str">
        <f>IFERROR(__xludf.DUMMYFUNCTION("GOOGLETRANSLATE($A790,""en"",""zh-cn"")"),"梅里达")</f>
        <v>梅里达</v>
      </c>
      <c r="H790" s="9" t="str">
        <f>IFERROR(__xludf.DUMMYFUNCTION("GOOGLETRANSLATE($A790,""en"",""ja"")"),"メリダ")</f>
        <v>メリダ</v>
      </c>
      <c r="I790" s="9" t="str">
        <f>IFERROR(__xludf.DUMMYFUNCTION("GOOGLETRANSLATE($A790,""en"",""ko"")"),"메리다")</f>
        <v>메리다</v>
      </c>
      <c r="J790" s="9" t="str">
        <f>IFERROR(__xludf.DUMMYFUNCTION("GOOGLETRANSLATE($A790,""en"",""pt-BR"")"),"Mérida")</f>
        <v>Mérida</v>
      </c>
    </row>
    <row r="791">
      <c r="A791" s="9" t="str">
        <f>IFERROR(__xludf.DUMMYFUNCTION("""COMPUTED_VALUE"""),"Aragua")</f>
        <v>Aragua</v>
      </c>
      <c r="B791" s="9" t="str">
        <f>IFERROR(__xludf.DUMMYFUNCTION("""COMPUTED_VALUE"""),"ve-d")</f>
        <v>ve-d</v>
      </c>
      <c r="C791" s="9" t="str">
        <f>IFERROR(__xludf.DUMMYFUNCTION("GOOGLETRANSLATE($A791,""en"",""de"")"),"Aragua")</f>
        <v>Aragua</v>
      </c>
      <c r="D791" s="9" t="str">
        <f>IFERROR(__xludf.DUMMYFUNCTION("GOOGLETRANSLATE($A791,""en"",""fr"")"),"Aragua")</f>
        <v>Aragua</v>
      </c>
      <c r="E791" s="9" t="str">
        <f>IFERROR(__xludf.DUMMYFUNCTION("GOOGLETRANSLATE($A791,""en"",""es"")"),"Aragua")</f>
        <v>Aragua</v>
      </c>
      <c r="F791" s="9" t="str">
        <f>IFERROR(__xludf.DUMMYFUNCTION("GOOGLETRANSLATE($A791,""en"",""it"")"),"Aragua")</f>
        <v>Aragua</v>
      </c>
      <c r="G791" s="9" t="str">
        <f>IFERROR(__xludf.DUMMYFUNCTION("GOOGLETRANSLATE($A791,""en"",""zh-cn"")"),"阿拉瓜")</f>
        <v>阿拉瓜</v>
      </c>
      <c r="H791" s="9" t="str">
        <f>IFERROR(__xludf.DUMMYFUNCTION("GOOGLETRANSLATE($A791,""en"",""ja"")"),"アラグア")</f>
        <v>アラグア</v>
      </c>
      <c r="I791" s="9" t="str">
        <f>IFERROR(__xludf.DUMMYFUNCTION("GOOGLETRANSLATE($A791,""en"",""ko"")"),"아라과")</f>
        <v>아라과</v>
      </c>
      <c r="J791" s="9" t="str">
        <f>IFERROR(__xludf.DUMMYFUNCTION("GOOGLETRANSLATE($A791,""en"",""pt-BR"")"),"Aragua")</f>
        <v>Aragua</v>
      </c>
    </row>
    <row r="792">
      <c r="A792" s="9" t="str">
        <f>IFERROR(__xludf.DUMMYFUNCTION("""COMPUTED_VALUE"""),"Delta Amacuro")</f>
        <v>Delta Amacuro</v>
      </c>
      <c r="B792" s="9" t="str">
        <f>IFERROR(__xludf.DUMMYFUNCTION("""COMPUTED_VALUE"""),"ve-y")</f>
        <v>ve-y</v>
      </c>
      <c r="C792" s="9" t="str">
        <f>IFERROR(__xludf.DUMMYFUNCTION("GOOGLETRANSLATE($A792,""en"",""de"")"),"Delta Amacuro")</f>
        <v>Delta Amacuro</v>
      </c>
      <c r="D792" s="9" t="str">
        <f>IFERROR(__xludf.DUMMYFUNCTION("GOOGLETRANSLATE($A792,""en"",""fr"")"),"Delta Amacuro")</f>
        <v>Delta Amacuro</v>
      </c>
      <c r="E792" s="9" t="str">
        <f>IFERROR(__xludf.DUMMYFUNCTION("GOOGLETRANSLATE($A792,""en"",""es"")"),"Delta Amacuro")</f>
        <v>Delta Amacuro</v>
      </c>
      <c r="F792" s="9" t="str">
        <f>IFERROR(__xludf.DUMMYFUNCTION("GOOGLETRANSLATE($A792,""en"",""it"")"),"Delta Amacuro")</f>
        <v>Delta Amacuro</v>
      </c>
      <c r="G792" s="9" t="str">
        <f>IFERROR(__xludf.DUMMYFUNCTION("GOOGLETRANSLATE($A792,""en"",""zh-cn"")"),"达美阿马库罗")</f>
        <v>达美阿马库罗</v>
      </c>
      <c r="H792" s="9" t="str">
        <f>IFERROR(__xludf.DUMMYFUNCTION("GOOGLETRANSLATE($A792,""en"",""ja"")"),"デルタ・アマクロ")</f>
        <v>デルタ・アマクロ</v>
      </c>
      <c r="I792" s="9" t="str">
        <f>IFERROR(__xludf.DUMMYFUNCTION("GOOGLETRANSLATE($A792,""en"",""ko"")"),"델타 아마쿠로")</f>
        <v>델타 아마쿠로</v>
      </c>
      <c r="J792" s="9" t="str">
        <f>IFERROR(__xludf.DUMMYFUNCTION("GOOGLETRANSLATE($A792,""en"",""pt-BR"")"),"Delta Amacuro")</f>
        <v>Delta Amacuro</v>
      </c>
    </row>
    <row r="793">
      <c r="A793" s="9" t="str">
        <f>IFERROR(__xludf.DUMMYFUNCTION("""COMPUTED_VALUE"""),"Monagas")</f>
        <v>Monagas</v>
      </c>
      <c r="B793" s="9" t="str">
        <f>IFERROR(__xludf.DUMMYFUNCTION("""COMPUTED_VALUE"""),"ve-n")</f>
        <v>ve-n</v>
      </c>
      <c r="C793" s="9" t="str">
        <f>IFERROR(__xludf.DUMMYFUNCTION("GOOGLETRANSLATE($A793,""en"",""de"")"),"Monagas")</f>
        <v>Monagas</v>
      </c>
      <c r="D793" s="9" t="str">
        <f>IFERROR(__xludf.DUMMYFUNCTION("GOOGLETRANSLATE($A793,""en"",""fr"")"),"Monagas")</f>
        <v>Monagas</v>
      </c>
      <c r="E793" s="9" t="str">
        <f>IFERROR(__xludf.DUMMYFUNCTION("GOOGLETRANSLATE($A793,""en"",""es"")"),"Monagas")</f>
        <v>Monagas</v>
      </c>
      <c r="F793" s="9" t="str">
        <f>IFERROR(__xludf.DUMMYFUNCTION("GOOGLETRANSLATE($A793,""en"",""it"")"),"Monaco")</f>
        <v>Monaco</v>
      </c>
      <c r="G793" s="9" t="str">
        <f>IFERROR(__xludf.DUMMYFUNCTION("GOOGLETRANSLATE($A793,""en"",""zh-cn"")"),"莫纳加斯")</f>
        <v>莫纳加斯</v>
      </c>
      <c r="H793" s="9" t="str">
        <f>IFERROR(__xludf.DUMMYFUNCTION("GOOGLETRANSLATE($A793,""en"",""ja"")"),"モナガス")</f>
        <v>モナガス</v>
      </c>
      <c r="I793" s="9" t="str">
        <f>IFERROR(__xludf.DUMMYFUNCTION("GOOGLETRANSLATE($A793,""en"",""ko"")"),"모나가스")</f>
        <v>모나가스</v>
      </c>
      <c r="J793" s="9" t="str">
        <f>IFERROR(__xludf.DUMMYFUNCTION("GOOGLETRANSLATE($A793,""en"",""pt-BR"")"),"Monagas")</f>
        <v>Monagas</v>
      </c>
    </row>
    <row r="794">
      <c r="A794" s="9" t="str">
        <f>IFERROR(__xludf.DUMMYFUNCTION("""COMPUTED_VALUE"""),"Distrito Capital")</f>
        <v>Distrito Capital</v>
      </c>
      <c r="B794" s="9" t="str">
        <f>IFERROR(__xludf.DUMMYFUNCTION("""COMPUTED_VALUE"""),"ve-a")</f>
        <v>ve-a</v>
      </c>
      <c r="C794" s="9" t="str">
        <f>IFERROR(__xludf.DUMMYFUNCTION("GOOGLETRANSLATE($A794,""en"",""de"")"),"Distrito Capital")</f>
        <v>Distrito Capital</v>
      </c>
      <c r="D794" s="9" t="str">
        <f>IFERROR(__xludf.DUMMYFUNCTION("GOOGLETRANSLATE($A794,""en"",""fr"")"),"District Capitale")</f>
        <v>District Capitale</v>
      </c>
      <c r="E794" s="9" t="str">
        <f>IFERROR(__xludf.DUMMYFUNCTION("GOOGLETRANSLATE($A794,""en"",""es"")"),"Distrito Capital")</f>
        <v>Distrito Capital</v>
      </c>
      <c r="F794" s="9" t="str">
        <f>IFERROR(__xludf.DUMMYFUNCTION("GOOGLETRANSLATE($A794,""en"",""it"")"),"Distretto Capitale")</f>
        <v>Distretto Capitale</v>
      </c>
      <c r="G794" s="9" t="str">
        <f>IFERROR(__xludf.DUMMYFUNCTION("GOOGLETRANSLATE($A794,""en"",""zh-cn"")"),"迪斯特里托资本")</f>
        <v>迪斯特里托资本</v>
      </c>
      <c r="H794" s="9" t="str">
        <f>IFERROR(__xludf.DUMMYFUNCTION("GOOGLETRANSLATE($A794,""en"",""ja"")"),"ディストリトキャピタル")</f>
        <v>ディストリトキャピタル</v>
      </c>
      <c r="I794" s="9" t="str">
        <f>IFERROR(__xludf.DUMMYFUNCTION("GOOGLETRANSLATE($A794,""en"",""ko"")"),"디스트리토 캐피탈")</f>
        <v>디스트리토 캐피탈</v>
      </c>
      <c r="J794" s="9" t="str">
        <f>IFERROR(__xludf.DUMMYFUNCTION("GOOGLETRANSLATE($A794,""en"",""pt-BR"")"),"Distrito Capital")</f>
        <v>Distrito Capital</v>
      </c>
    </row>
    <row r="795">
      <c r="A795" s="9" t="str">
        <f>IFERROR(__xludf.DUMMYFUNCTION("""COMPUTED_VALUE"""),"Barinas")</f>
        <v>Barinas</v>
      </c>
      <c r="B795" s="9" t="str">
        <f>IFERROR(__xludf.DUMMYFUNCTION("""COMPUTED_VALUE"""),"ve-e")</f>
        <v>ve-e</v>
      </c>
      <c r="C795" s="9" t="str">
        <f>IFERROR(__xludf.DUMMYFUNCTION("GOOGLETRANSLATE($A795,""en"",""de"")"),"Barinas")</f>
        <v>Barinas</v>
      </c>
      <c r="D795" s="9" t="str">
        <f>IFERROR(__xludf.DUMMYFUNCTION("GOOGLETRANSLATE($A795,""en"",""fr"")"),"Barinas")</f>
        <v>Barinas</v>
      </c>
      <c r="E795" s="9" t="str">
        <f>IFERROR(__xludf.DUMMYFUNCTION("GOOGLETRANSLATE($A795,""en"",""es"")"),"Barinas")</f>
        <v>Barinas</v>
      </c>
      <c r="F795" s="9" t="str">
        <f>IFERROR(__xludf.DUMMYFUNCTION("GOOGLETRANSLATE($A795,""en"",""it"")"),"Barinas")</f>
        <v>Barinas</v>
      </c>
      <c r="G795" s="9" t="str">
        <f>IFERROR(__xludf.DUMMYFUNCTION("GOOGLETRANSLATE($A795,""en"",""zh-cn"")"),"巴里纳斯")</f>
        <v>巴里纳斯</v>
      </c>
      <c r="H795" s="9" t="str">
        <f>IFERROR(__xludf.DUMMYFUNCTION("GOOGLETRANSLATE($A795,""en"",""ja"")"),"バリナス")</f>
        <v>バリナス</v>
      </c>
      <c r="I795" s="9" t="str">
        <f>IFERROR(__xludf.DUMMYFUNCTION("GOOGLETRANSLATE($A795,""en"",""ko"")"),"바리나스")</f>
        <v>바리나스</v>
      </c>
      <c r="J795" s="9" t="str">
        <f>IFERROR(__xludf.DUMMYFUNCTION("GOOGLETRANSLATE($A795,""en"",""pt-BR"")"),"Barinas")</f>
        <v>Barinas</v>
      </c>
    </row>
    <row r="796">
      <c r="A796" s="9" t="str">
        <f>IFERROR(__xludf.DUMMYFUNCTION("""COMPUTED_VALUE"""),"Cojedes")</f>
        <v>Cojedes</v>
      </c>
      <c r="B796" s="9" t="str">
        <f>IFERROR(__xludf.DUMMYFUNCTION("""COMPUTED_VALUE"""),"ve-h")</f>
        <v>ve-h</v>
      </c>
      <c r="C796" s="9" t="str">
        <f>IFERROR(__xludf.DUMMYFUNCTION("GOOGLETRANSLATE($A796,""en"",""de"")"),"Cojedes")</f>
        <v>Cojedes</v>
      </c>
      <c r="D796" s="9" t="str">
        <f>IFERROR(__xludf.DUMMYFUNCTION("GOOGLETRANSLATE($A796,""en"",""fr"")"),"Cojedes")</f>
        <v>Cojedes</v>
      </c>
      <c r="E796" s="9" t="str">
        <f>IFERROR(__xludf.DUMMYFUNCTION("GOOGLETRANSLATE($A796,""en"",""es"")"),"Cojedes")</f>
        <v>Cojedes</v>
      </c>
      <c r="F796" s="9" t="str">
        <f>IFERROR(__xludf.DUMMYFUNCTION("GOOGLETRANSLATE($A796,""en"",""it"")"),"Cojedes")</f>
        <v>Cojedes</v>
      </c>
      <c r="G796" s="9" t="str">
        <f>IFERROR(__xludf.DUMMYFUNCTION("GOOGLETRANSLATE($A796,""en"",""zh-cn"")"),"科赫德斯")</f>
        <v>科赫德斯</v>
      </c>
      <c r="H796" s="9" t="str">
        <f>IFERROR(__xludf.DUMMYFUNCTION("GOOGLETRANSLATE($A796,""en"",""ja"")"),"コヘデス")</f>
        <v>コヘデス</v>
      </c>
      <c r="I796" s="9" t="str">
        <f>IFERROR(__xludf.DUMMYFUNCTION("GOOGLETRANSLATE($A796,""en"",""ko"")"),"코헤데스")</f>
        <v>코헤데스</v>
      </c>
      <c r="J796" s="9" t="str">
        <f>IFERROR(__xludf.DUMMYFUNCTION("GOOGLETRANSLATE($A796,""en"",""pt-BR"")"),"Cojedes")</f>
        <v>Cojedes</v>
      </c>
    </row>
    <row r="797">
      <c r="A797" s="9" t="str">
        <f>IFERROR(__xludf.DUMMYFUNCTION("""COMPUTED_VALUE"""),"Zulia")</f>
        <v>Zulia</v>
      </c>
      <c r="B797" s="9" t="str">
        <f>IFERROR(__xludf.DUMMYFUNCTION("""COMPUTED_VALUE"""),"ve-v")</f>
        <v>ve-v</v>
      </c>
      <c r="C797" s="9" t="str">
        <f>IFERROR(__xludf.DUMMYFUNCTION("GOOGLETRANSLATE($A797,""en"",""de"")"),"Zulia")</f>
        <v>Zulia</v>
      </c>
      <c r="D797" s="9" t="str">
        <f>IFERROR(__xludf.DUMMYFUNCTION("GOOGLETRANSLATE($A797,""en"",""fr"")"),"Zulia")</f>
        <v>Zulia</v>
      </c>
      <c r="E797" s="9" t="str">
        <f>IFERROR(__xludf.DUMMYFUNCTION("GOOGLETRANSLATE($A797,""en"",""es"")"),"Zulia")</f>
        <v>Zulia</v>
      </c>
      <c r="F797" s="9" t="str">
        <f>IFERROR(__xludf.DUMMYFUNCTION("GOOGLETRANSLATE($A797,""en"",""it"")"),"Zulia")</f>
        <v>Zulia</v>
      </c>
      <c r="G797" s="9" t="str">
        <f>IFERROR(__xludf.DUMMYFUNCTION("GOOGLETRANSLATE($A797,""en"",""zh-cn"")"),"苏利亚")</f>
        <v>苏利亚</v>
      </c>
      <c r="H797" s="9" t="str">
        <f>IFERROR(__xludf.DUMMYFUNCTION("GOOGLETRANSLATE($A797,""en"",""ja"")"),"ズーリア")</f>
        <v>ズーリア</v>
      </c>
      <c r="I797" s="9" t="str">
        <f>IFERROR(__xludf.DUMMYFUNCTION("GOOGLETRANSLATE($A797,""en"",""ko"")"),"줄리아")</f>
        <v>줄리아</v>
      </c>
      <c r="J797" s="9" t="str">
        <f>IFERROR(__xludf.DUMMYFUNCTION("GOOGLETRANSLATE($A797,""en"",""pt-BR"")"),"Zulia")</f>
        <v>Zulia</v>
      </c>
    </row>
    <row r="798">
      <c r="A798" s="9" t="str">
        <f>IFERROR(__xludf.DUMMYFUNCTION("""COMPUTED_VALUE"""),"Nueva Esparta")</f>
        <v>Nueva Esparta</v>
      </c>
      <c r="B798" s="9" t="str">
        <f>IFERROR(__xludf.DUMMYFUNCTION("""COMPUTED_VALUE"""),"ve-o")</f>
        <v>ve-o</v>
      </c>
      <c r="C798" s="9" t="str">
        <f>IFERROR(__xludf.DUMMYFUNCTION("GOOGLETRANSLATE($A798,""en"",""de"")"),"Nueva Esparta")</f>
        <v>Nueva Esparta</v>
      </c>
      <c r="D798" s="9" t="str">
        <f>IFERROR(__xludf.DUMMYFUNCTION("GOOGLETRANSLATE($A798,""en"",""fr"")"),"Nouvelle Esparta")</f>
        <v>Nouvelle Esparta</v>
      </c>
      <c r="E798" s="9" t="str">
        <f>IFERROR(__xludf.DUMMYFUNCTION("GOOGLETRANSLATE($A798,""en"",""es"")"),"Nueva Esparta")</f>
        <v>Nueva Esparta</v>
      </c>
      <c r="F798" s="9" t="str">
        <f>IFERROR(__xludf.DUMMYFUNCTION("GOOGLETRANSLATE($A798,""en"",""it"")"),"Nuova Sparta")</f>
        <v>Nuova Sparta</v>
      </c>
      <c r="G798" s="9" t="str">
        <f>IFERROR(__xludf.DUMMYFUNCTION("GOOGLETRANSLATE($A798,""en"",""zh-cn"")"),"新埃斯巴达")</f>
        <v>新埃斯巴达</v>
      </c>
      <c r="H798" s="9" t="str">
        <f>IFERROR(__xludf.DUMMYFUNCTION("GOOGLETRANSLATE($A798,""en"",""ja"")"),"ヌエバ エスパルタ")</f>
        <v>ヌエバ エスパルタ</v>
      </c>
      <c r="I798" s="9" t="str">
        <f>IFERROR(__xludf.DUMMYFUNCTION("GOOGLETRANSLATE($A798,""en"",""ko"")"),"누에바 에스파르타")</f>
        <v>누에바 에스파르타</v>
      </c>
      <c r="J798" s="9" t="str">
        <f>IFERROR(__xludf.DUMMYFUNCTION("GOOGLETRANSLATE($A798,""en"",""pt-BR"")"),"Nova Esparta")</f>
        <v>Nova Esparta</v>
      </c>
    </row>
    <row r="799">
      <c r="A799" s="9" t="str">
        <f>IFERROR(__xludf.DUMMYFUNCTION("""COMPUTED_VALUE"""),"Anzoátegui")</f>
        <v>Anzoátegui</v>
      </c>
      <c r="B799" s="9" t="str">
        <f>IFERROR(__xludf.DUMMYFUNCTION("""COMPUTED_VALUE"""),"ve-b")</f>
        <v>ve-b</v>
      </c>
      <c r="C799" s="9" t="str">
        <f>IFERROR(__xludf.DUMMYFUNCTION("GOOGLETRANSLATE($A799,""en"",""de"")"),"Anzoátegui")</f>
        <v>Anzoátegui</v>
      </c>
      <c r="D799" s="9" t="str">
        <f>IFERROR(__xludf.DUMMYFUNCTION("GOOGLETRANSLATE($A799,""en"",""fr"")"),"Anzoategui")</f>
        <v>Anzoategui</v>
      </c>
      <c r="E799" s="9" t="str">
        <f>IFERROR(__xludf.DUMMYFUNCTION("GOOGLETRANSLATE($A799,""en"",""es"")"),"Anzoátegui")</f>
        <v>Anzoátegui</v>
      </c>
      <c r="F799" s="9" t="str">
        <f>IFERROR(__xludf.DUMMYFUNCTION("GOOGLETRANSLATE($A799,""en"",""it"")"),"Anzoátegui")</f>
        <v>Anzoátegui</v>
      </c>
      <c r="G799" s="9" t="str">
        <f>IFERROR(__xludf.DUMMYFUNCTION("GOOGLETRANSLATE($A799,""en"",""zh-cn"")"),"安索阿特吉")</f>
        <v>安索阿特吉</v>
      </c>
      <c r="H799" s="9" t="str">
        <f>IFERROR(__xludf.DUMMYFUNCTION("GOOGLETRANSLATE($A799,""en"",""ja"")"),"アンソアテギ")</f>
        <v>アンソアテギ</v>
      </c>
      <c r="I799" s="9" t="str">
        <f>IFERROR(__xludf.DUMMYFUNCTION("GOOGLETRANSLATE($A799,""en"",""ko"")"),"안소아테기")</f>
        <v>안소아테기</v>
      </c>
      <c r="J799" s="9" t="str">
        <f>IFERROR(__xludf.DUMMYFUNCTION("GOOGLETRANSLATE($A799,""en"",""pt-BR"")"),"Anzoátegui")</f>
        <v>Anzoátegui</v>
      </c>
    </row>
    <row r="800">
      <c r="A800" s="9" t="str">
        <f>IFERROR(__xludf.DUMMYFUNCTION("""COMPUTED_VALUE"""),"Bolívar (VE)")</f>
        <v>Bolívar (VE)</v>
      </c>
      <c r="B800" s="9" t="str">
        <f>IFERROR(__xludf.DUMMYFUNCTION("""COMPUTED_VALUE"""),"ve-f")</f>
        <v>ve-f</v>
      </c>
      <c r="C800" s="9" t="str">
        <f>IFERROR(__xludf.DUMMYFUNCTION("GOOGLETRANSLATE($A800,""en"",""de"")"),"Bolívar (VE)")</f>
        <v>Bolívar (VE)</v>
      </c>
      <c r="D800" s="9" t="str">
        <f>IFERROR(__xludf.DUMMYFUNCTION("GOOGLETRANSLATE($A800,""en"",""fr"")"),"Bolivar (VE)")</f>
        <v>Bolivar (VE)</v>
      </c>
      <c r="E800" s="9" t="str">
        <f>IFERROR(__xludf.DUMMYFUNCTION("GOOGLETRANSLATE($A800,""en"",""es"")"),"Bolívar (VE)")</f>
        <v>Bolívar (VE)</v>
      </c>
      <c r="F800" s="9" t="str">
        <f>IFERROR(__xludf.DUMMYFUNCTION("GOOGLETRANSLATE($A800,""en"",""it"")"),"Bolivar (VE)")</f>
        <v>Bolivar (VE)</v>
      </c>
      <c r="G800" s="9" t="str">
        <f>IFERROR(__xludf.DUMMYFUNCTION("GOOGLETRANSLATE($A800,""en"",""zh-cn"")"),"玻利瓦尔 (VE)")</f>
        <v>玻利瓦尔 (VE)</v>
      </c>
      <c r="H800" s="9" t="str">
        <f>IFERROR(__xludf.DUMMYFUNCTION("GOOGLETRANSLATE($A800,""en"",""ja"")"),"ボリバル (VE)")</f>
        <v>ボリバル (VE)</v>
      </c>
      <c r="I800" s="9" t="str">
        <f>IFERROR(__xludf.DUMMYFUNCTION("GOOGLETRANSLATE($A800,""en"",""ko"")"),"볼리바르(VE)")</f>
        <v>볼리바르(VE)</v>
      </c>
      <c r="J800" s="9" t="str">
        <f>IFERROR(__xludf.DUMMYFUNCTION("GOOGLETRANSLATE($A800,""en"",""pt-BR"")"),"Bolívar (VE)")</f>
        <v>Bolívar (VE)</v>
      </c>
    </row>
    <row r="801">
      <c r="A801" s="9" t="str">
        <f>IFERROR(__xludf.DUMMYFUNCTION("""COMPUTED_VALUE"""),"Yaracuy")</f>
        <v>Yaracuy</v>
      </c>
      <c r="B801" s="9" t="str">
        <f>IFERROR(__xludf.DUMMYFUNCTION("""COMPUTED_VALUE"""),"ve-u")</f>
        <v>ve-u</v>
      </c>
      <c r="C801" s="9" t="str">
        <f>IFERROR(__xludf.DUMMYFUNCTION("GOOGLETRANSLATE($A801,""en"",""de"")"),"Yaracuy")</f>
        <v>Yaracuy</v>
      </c>
      <c r="D801" s="9" t="str">
        <f>IFERROR(__xludf.DUMMYFUNCTION("GOOGLETRANSLATE($A801,""en"",""fr"")"),"Yaracuy")</f>
        <v>Yaracuy</v>
      </c>
      <c r="E801" s="9" t="str">
        <f>IFERROR(__xludf.DUMMYFUNCTION("GOOGLETRANSLATE($A801,""en"",""es"")"),"Yaracuy")</f>
        <v>Yaracuy</v>
      </c>
      <c r="F801" s="9" t="str">
        <f>IFERROR(__xludf.DUMMYFUNCTION("GOOGLETRANSLATE($A801,""en"",""it"")"),"Yaracuy")</f>
        <v>Yaracuy</v>
      </c>
      <c r="G801" s="9" t="str">
        <f>IFERROR(__xludf.DUMMYFUNCTION("GOOGLETRANSLATE($A801,""en"",""zh-cn"")"),"亚拉库伊")</f>
        <v>亚拉库伊</v>
      </c>
      <c r="H801" s="9" t="str">
        <f>IFERROR(__xludf.DUMMYFUNCTION("GOOGLETRANSLATE($A801,""en"",""ja"")"),"ヤラクイ")</f>
        <v>ヤラクイ</v>
      </c>
      <c r="I801" s="9" t="str">
        <f>IFERROR(__xludf.DUMMYFUNCTION("GOOGLETRANSLATE($A801,""en"",""ko"")"),"야라쿠이")</f>
        <v>야라쿠이</v>
      </c>
      <c r="J801" s="9" t="str">
        <f>IFERROR(__xludf.DUMMYFUNCTION("GOOGLETRANSLATE($A801,""en"",""pt-BR"")"),"Yaracuy")</f>
        <v>Yaracuy</v>
      </c>
    </row>
    <row r="802">
      <c r="A802" s="9" t="str">
        <f>IFERROR(__xludf.DUMMYFUNCTION("""COMPUTED_VALUE"""),"Sucre (VE)")</f>
        <v>Sucre (VE)</v>
      </c>
      <c r="B802" s="9" t="str">
        <f>IFERROR(__xludf.DUMMYFUNCTION("""COMPUTED_VALUE"""),"ve-r")</f>
        <v>ve-r</v>
      </c>
      <c r="C802" s="9" t="str">
        <f>IFERROR(__xludf.DUMMYFUNCTION("GOOGLETRANSLATE($A802,""en"",""de"")"),"Sucre (VE)")</f>
        <v>Sucre (VE)</v>
      </c>
      <c r="D802" s="9" t="str">
        <f>IFERROR(__xludf.DUMMYFUNCTION("GOOGLETRANSLATE($A802,""en"",""fr"")"),"Sucre (VE)")</f>
        <v>Sucre (VE)</v>
      </c>
      <c r="E802" s="9" t="str">
        <f>IFERROR(__xludf.DUMMYFUNCTION("GOOGLETRANSLATE($A802,""en"",""es"")"),"Sucre (VE)")</f>
        <v>Sucre (VE)</v>
      </c>
      <c r="F802" s="9" t="str">
        <f>IFERROR(__xludf.DUMMYFUNCTION("GOOGLETRANSLATE($A802,""en"",""it"")"),"Sucre (VE)")</f>
        <v>Sucre (VE)</v>
      </c>
      <c r="G802" s="9" t="str">
        <f>IFERROR(__xludf.DUMMYFUNCTION("GOOGLETRANSLATE($A802,""en"",""zh-cn"")"),"苏克雷 (VE)")</f>
        <v>苏克雷 (VE)</v>
      </c>
      <c r="H802" s="9" t="str">
        <f>IFERROR(__xludf.DUMMYFUNCTION("GOOGLETRANSLATE($A802,""en"",""ja"")"),"スクレ (VE)")</f>
        <v>スクレ (VE)</v>
      </c>
      <c r="I802" s="9" t="str">
        <f>IFERROR(__xludf.DUMMYFUNCTION("GOOGLETRANSLATE($A802,""en"",""ko"")"),"수크레(VE)")</f>
        <v>수크레(VE)</v>
      </c>
      <c r="J802" s="9" t="str">
        <f>IFERROR(__xludf.DUMMYFUNCTION("GOOGLETRANSLATE($A802,""en"",""pt-BR"")"),"Sucre (VE)")</f>
        <v>Sucre (VE)</v>
      </c>
    </row>
    <row r="803">
      <c r="A803" s="9" t="str">
        <f>IFERROR(__xludf.DUMMYFUNCTION("""COMPUTED_VALUE"""),"Dependencias Federales")</f>
        <v>Dependencias Federales</v>
      </c>
      <c r="B803" s="9" t="str">
        <f>IFERROR(__xludf.DUMMYFUNCTION("""COMPUTED_VALUE"""),"ve-w")</f>
        <v>ve-w</v>
      </c>
      <c r="C803" s="9" t="str">
        <f>IFERROR(__xludf.DUMMYFUNCTION("GOOGLETRANSLATE($A803,""en"",""de"")"),"Dependencias Federales")</f>
        <v>Dependencias Federales</v>
      </c>
      <c r="D803" s="9" t="str">
        <f>IFERROR(__xludf.DUMMYFUNCTION("GOOGLETRANSLATE($A803,""en"",""fr"")"),"Dépendances fédérales")</f>
        <v>Dépendances fédérales</v>
      </c>
      <c r="E803" s="9" t="str">
        <f>IFERROR(__xludf.DUMMYFUNCTION("GOOGLETRANSLATE($A803,""en"",""es"")"),"Dependencias Federales")</f>
        <v>Dependencias Federales</v>
      </c>
      <c r="F803" s="9" t="str">
        <f>IFERROR(__xludf.DUMMYFUNCTION("GOOGLETRANSLATE($A803,""en"",""it"")"),"Dipendenze federali")</f>
        <v>Dipendenze federali</v>
      </c>
      <c r="G803" s="9" t="str">
        <f>IFERROR(__xludf.DUMMYFUNCTION("GOOGLETRANSLATE($A803,""en"",""zh-cn"")"),"联邦属地")</f>
        <v>联邦属地</v>
      </c>
      <c r="H803" s="9" t="str">
        <f>IFERROR(__xludf.DUMMYFUNCTION("GOOGLETRANSLATE($A803,""en"",""ja"")"),"連邦属領")</f>
        <v>連邦属領</v>
      </c>
      <c r="I803" s="9" t="str">
        <f>IFERROR(__xludf.DUMMYFUNCTION("GOOGLETRANSLATE($A803,""en"",""ko"")"),"디펜덴시아스 연방")</f>
        <v>디펜덴시아스 연방</v>
      </c>
      <c r="J803" s="9" t="str">
        <f>IFERROR(__xludf.DUMMYFUNCTION("GOOGLETRANSLATE($A803,""en"",""pt-BR"")"),"Dependências Federais")</f>
        <v>Dependências Federais</v>
      </c>
    </row>
    <row r="804">
      <c r="A804" s="9" t="str">
        <f>IFERROR(__xludf.DUMMYFUNCTION("""COMPUTED_VALUE"""),"Carabobo")</f>
        <v>Carabobo</v>
      </c>
      <c r="B804" s="9" t="str">
        <f>IFERROR(__xludf.DUMMYFUNCTION("""COMPUTED_VALUE"""),"ve-g")</f>
        <v>ve-g</v>
      </c>
      <c r="C804" s="9" t="str">
        <f>IFERROR(__xludf.DUMMYFUNCTION("GOOGLETRANSLATE($A804,""en"",""de"")"),"Carabobo")</f>
        <v>Carabobo</v>
      </c>
      <c r="D804" s="9" t="str">
        <f>IFERROR(__xludf.DUMMYFUNCTION("GOOGLETRANSLATE($A804,""en"",""fr"")"),"Carabobo")</f>
        <v>Carabobo</v>
      </c>
      <c r="E804" s="9" t="str">
        <f>IFERROR(__xludf.DUMMYFUNCTION("GOOGLETRANSLATE($A804,""en"",""es"")"),"Carabobo")</f>
        <v>Carabobo</v>
      </c>
      <c r="F804" s="9" t="str">
        <f>IFERROR(__xludf.DUMMYFUNCTION("GOOGLETRANSLATE($A804,""en"",""it"")"),"Carabobo")</f>
        <v>Carabobo</v>
      </c>
      <c r="G804" s="9" t="str">
        <f>IFERROR(__xludf.DUMMYFUNCTION("GOOGLETRANSLATE($A804,""en"",""zh-cn"")"),"卡拉沃沃")</f>
        <v>卡拉沃沃</v>
      </c>
      <c r="H804" s="9" t="str">
        <f>IFERROR(__xludf.DUMMYFUNCTION("GOOGLETRANSLATE($A804,""en"",""ja"")"),"カラボボ")</f>
        <v>カラボボ</v>
      </c>
      <c r="I804" s="9" t="str">
        <f>IFERROR(__xludf.DUMMYFUNCTION("GOOGLETRANSLATE($A804,""en"",""ko"")"),"카라보보")</f>
        <v>카라보보</v>
      </c>
      <c r="J804" s="9" t="str">
        <f>IFERROR(__xludf.DUMMYFUNCTION("GOOGLETRANSLATE($A804,""en"",""pt-BR"")"),"Carabobo")</f>
        <v>Carabobo</v>
      </c>
    </row>
    <row r="805">
      <c r="A805" s="9" t="str">
        <f>IFERROR(__xludf.DUMMYFUNCTION("""COMPUTED_VALUE"""),"Miranda")</f>
        <v>Miranda</v>
      </c>
      <c r="B805" s="9" t="str">
        <f>IFERROR(__xludf.DUMMYFUNCTION("""COMPUTED_VALUE"""),"ve-m")</f>
        <v>ve-m</v>
      </c>
      <c r="C805" s="9" t="str">
        <f>IFERROR(__xludf.DUMMYFUNCTION("GOOGLETRANSLATE($A805,""en"",""de"")"),"Miranda")</f>
        <v>Miranda</v>
      </c>
      <c r="D805" s="9" t="str">
        <f>IFERROR(__xludf.DUMMYFUNCTION("GOOGLETRANSLATE($A805,""en"",""fr"")"),"Miranda")</f>
        <v>Miranda</v>
      </c>
      <c r="E805" s="9" t="str">
        <f>IFERROR(__xludf.DUMMYFUNCTION("GOOGLETRANSLATE($A805,""en"",""es"")"),"miranda")</f>
        <v>miranda</v>
      </c>
      <c r="F805" s="9" t="str">
        <f>IFERROR(__xludf.DUMMYFUNCTION("GOOGLETRANSLATE($A805,""en"",""it"")"),"Miranda")</f>
        <v>Miranda</v>
      </c>
      <c r="G805" s="9" t="str">
        <f>IFERROR(__xludf.DUMMYFUNCTION("GOOGLETRANSLATE($A805,""en"",""zh-cn"")"),"米兰达")</f>
        <v>米兰达</v>
      </c>
      <c r="H805" s="9" t="str">
        <f>IFERROR(__xludf.DUMMYFUNCTION("GOOGLETRANSLATE($A805,""en"",""ja"")"),"ミランダ")</f>
        <v>ミランダ</v>
      </c>
      <c r="I805" s="9" t="str">
        <f>IFERROR(__xludf.DUMMYFUNCTION("GOOGLETRANSLATE($A805,""en"",""ko"")"),"미란다")</f>
        <v>미란다</v>
      </c>
      <c r="J805" s="9" t="str">
        <f>IFERROR(__xludf.DUMMYFUNCTION("GOOGLETRANSLATE($A805,""en"",""pt-BR"")"),"Miranda")</f>
        <v>Miranda</v>
      </c>
    </row>
    <row r="806">
      <c r="A806" s="9" t="str">
        <f>IFERROR(__xludf.DUMMYFUNCTION("""COMPUTED_VALUE"""),"Táchira")</f>
        <v>Táchira</v>
      </c>
      <c r="B806" s="9" t="str">
        <f>IFERROR(__xludf.DUMMYFUNCTION("""COMPUTED_VALUE"""),"ve-s")</f>
        <v>ve-s</v>
      </c>
      <c r="C806" s="9" t="str">
        <f>IFERROR(__xludf.DUMMYFUNCTION("GOOGLETRANSLATE($A806,""en"",""de"")"),"Táchira")</f>
        <v>Táchira</v>
      </c>
      <c r="D806" s="9" t="str">
        <f>IFERROR(__xludf.DUMMYFUNCTION("GOOGLETRANSLATE($A806,""en"",""fr"")"),"Tachira")</f>
        <v>Tachira</v>
      </c>
      <c r="E806" s="9" t="str">
        <f>IFERROR(__xludf.DUMMYFUNCTION("GOOGLETRANSLATE($A806,""en"",""es"")"),"Táchira")</f>
        <v>Táchira</v>
      </c>
      <c r="F806" s="9" t="str">
        <f>IFERROR(__xludf.DUMMYFUNCTION("GOOGLETRANSLATE($A806,""en"",""it"")"),"Tachira")</f>
        <v>Tachira</v>
      </c>
      <c r="G806" s="9" t="str">
        <f>IFERROR(__xludf.DUMMYFUNCTION("GOOGLETRANSLATE($A806,""en"",""zh-cn"")"),"塔奇拉")</f>
        <v>塔奇拉</v>
      </c>
      <c r="H806" s="9" t="str">
        <f>IFERROR(__xludf.DUMMYFUNCTION("GOOGLETRANSLATE($A806,""en"",""ja"")"),"タチラ")</f>
        <v>タチラ</v>
      </c>
      <c r="I806" s="9" t="str">
        <f>IFERROR(__xludf.DUMMYFUNCTION("GOOGLETRANSLATE($A806,""en"",""ko"")"),"타치라")</f>
        <v>타치라</v>
      </c>
      <c r="J806" s="9" t="str">
        <f>IFERROR(__xludf.DUMMYFUNCTION("GOOGLETRANSLATE($A806,""en"",""pt-BR"")"),"Táchira")</f>
        <v>Táchira</v>
      </c>
    </row>
    <row r="807">
      <c r="A807" s="9" t="str">
        <f>IFERROR(__xludf.DUMMYFUNCTION("""COMPUTED_VALUE"""),"Bonaire (BQ)")</f>
        <v>Bonaire (BQ)</v>
      </c>
      <c r="B807" s="9" t="str">
        <f>IFERROR(__xludf.DUMMYFUNCTION("""COMPUTED_VALUE"""),"bq-bo")</f>
        <v>bq-bo</v>
      </c>
      <c r="C807" s="9" t="str">
        <f>IFERROR(__xludf.DUMMYFUNCTION("GOOGLETRANSLATE($A807,""en"",""de"")"),"Bonaire (BQ)")</f>
        <v>Bonaire (BQ)</v>
      </c>
      <c r="D807" s="9" t="str">
        <f>IFERROR(__xludf.DUMMYFUNCTION("GOOGLETRANSLATE($A807,""en"",""fr"")"),"Bonaire (BQ)")</f>
        <v>Bonaire (BQ)</v>
      </c>
      <c r="E807" s="9" t="str">
        <f>IFERROR(__xludf.DUMMYFUNCTION("GOOGLETRANSLATE($A807,""en"",""es"")"),"Bonaire (BQ)")</f>
        <v>Bonaire (BQ)</v>
      </c>
      <c r="F807" s="9" t="str">
        <f>IFERROR(__xludf.DUMMYFUNCTION("GOOGLETRANSLATE($A807,""en"",""it"")"),"Bonaire (BQ)")</f>
        <v>Bonaire (BQ)</v>
      </c>
      <c r="G807" s="9" t="str">
        <f>IFERROR(__xludf.DUMMYFUNCTION("GOOGLETRANSLATE($A807,""en"",""zh-cn"")"),"博内尔岛 (BQ)")</f>
        <v>博内尔岛 (BQ)</v>
      </c>
      <c r="H807" s="9" t="str">
        <f>IFERROR(__xludf.DUMMYFUNCTION("GOOGLETRANSLATE($A807,""en"",""ja"")"),"ボネール島 (BQ)")</f>
        <v>ボネール島 (BQ)</v>
      </c>
      <c r="I807" s="9" t="str">
        <f>IFERROR(__xludf.DUMMYFUNCTION("GOOGLETRANSLATE($A807,""en"",""ko"")"),"보네르 (BQ)")</f>
        <v>보네르 (BQ)</v>
      </c>
      <c r="J807" s="9" t="str">
        <f>IFERROR(__xludf.DUMMYFUNCTION("GOOGLETRANSLATE($A807,""en"",""pt-BR"")"),"Bonaire (BQ)")</f>
        <v>Bonaire (BQ)</v>
      </c>
    </row>
    <row r="808">
      <c r="A808" s="9" t="str">
        <f>IFERROR(__xludf.DUMMYFUNCTION("""COMPUTED_VALUE"""),"Saba (BQ)")</f>
        <v>Saba (BQ)</v>
      </c>
      <c r="B808" s="9" t="str">
        <f>IFERROR(__xludf.DUMMYFUNCTION("""COMPUTED_VALUE"""),"bq-sa")</f>
        <v>bq-sa</v>
      </c>
      <c r="C808" s="9" t="str">
        <f>IFERROR(__xludf.DUMMYFUNCTION("GOOGLETRANSLATE($A808,""en"",""de"")"),"Saba (BQ)")</f>
        <v>Saba (BQ)</v>
      </c>
      <c r="D808" s="9" t="str">
        <f>IFERROR(__xludf.DUMMYFUNCTION("GOOGLETRANSLATE($A808,""en"",""fr"")"),"Saba (BQ)")</f>
        <v>Saba (BQ)</v>
      </c>
      <c r="E808" s="9" t="str">
        <f>IFERROR(__xludf.DUMMYFUNCTION("GOOGLETRANSLATE($A808,""en"",""es"")"),"Sabá (BQ)")</f>
        <v>Sabá (BQ)</v>
      </c>
      <c r="F808" s="9" t="str">
        <f>IFERROR(__xludf.DUMMYFUNCTION("GOOGLETRANSLATE($A808,""en"",""it"")"),"Saba (BQ)")</f>
        <v>Saba (BQ)</v>
      </c>
      <c r="G808" s="9" t="str">
        <f>IFERROR(__xludf.DUMMYFUNCTION("GOOGLETRANSLATE($A808,""en"",""zh-cn"")"),"萨巴 (BQ)")</f>
        <v>萨巴 (BQ)</v>
      </c>
      <c r="H808" s="9" t="str">
        <f>IFERROR(__xludf.DUMMYFUNCTION("GOOGLETRANSLATE($A808,""en"",""ja"")"),"サバ（BQ）")</f>
        <v>サバ（BQ）</v>
      </c>
      <c r="I808" s="9" t="str">
        <f>IFERROR(__xludf.DUMMYFUNCTION("GOOGLETRANSLATE($A808,""en"",""ko"")"),"사바(BQ)")</f>
        <v>사바(BQ)</v>
      </c>
      <c r="J808" s="9" t="str">
        <f>IFERROR(__xludf.DUMMYFUNCTION("GOOGLETRANSLATE($A808,""en"",""pt-BR"")"),"Sabá (BQ)")</f>
        <v>Sabá (BQ)</v>
      </c>
    </row>
    <row r="809">
      <c r="A809" s="9" t="str">
        <f>IFERROR(__xludf.DUMMYFUNCTION("""COMPUTED_VALUE"""),"Sint Eustatius (BQ)")</f>
        <v>Sint Eustatius (BQ)</v>
      </c>
      <c r="B809" s="9" t="str">
        <f>IFERROR(__xludf.DUMMYFUNCTION("""COMPUTED_VALUE"""),"bq-se")</f>
        <v>bq-se</v>
      </c>
      <c r="C809" s="9" t="str">
        <f>IFERROR(__xludf.DUMMYFUNCTION("GOOGLETRANSLATE($A809,""en"",""de"")"),"Sint Eustatius (BQ)")</f>
        <v>Sint Eustatius (BQ)</v>
      </c>
      <c r="D809" s="9" t="str">
        <f>IFERROR(__xludf.DUMMYFUNCTION("GOOGLETRANSLATE($A809,""en"",""fr"")"),"Saint-Eustache (BQ)")</f>
        <v>Saint-Eustache (BQ)</v>
      </c>
      <c r="E809" s="9" t="str">
        <f>IFERROR(__xludf.DUMMYFUNCTION("GOOGLETRANSLATE($A809,""en"",""es"")"),"San Eustaquio (BQ)")</f>
        <v>San Eustaquio (BQ)</v>
      </c>
      <c r="F809" s="9" t="str">
        <f>IFERROR(__xludf.DUMMYFUNCTION("GOOGLETRANSLATE($A809,""en"",""it"")"),"Sint Eustatius (BQ)")</f>
        <v>Sint Eustatius (BQ)</v>
      </c>
      <c r="G809" s="9" t="str">
        <f>IFERROR(__xludf.DUMMYFUNCTION("GOOGLETRANSLATE($A809,""en"",""zh-cn"")"),"圣尤斯特歇斯 (BQ)")</f>
        <v>圣尤斯特歇斯 (BQ)</v>
      </c>
      <c r="H809" s="9" t="str">
        <f>IFERROR(__xludf.DUMMYFUNCTION("GOOGLETRANSLATE($A809,""en"",""ja"")"),"シント・ユースタティウス (BQ)")</f>
        <v>シント・ユースタティウス (BQ)</v>
      </c>
      <c r="I809" s="9" t="str">
        <f>IFERROR(__xludf.DUMMYFUNCTION("GOOGLETRANSLATE($A809,""en"",""ko"")"),"신트 유스타티우스(BQ)")</f>
        <v>신트 유스타티우스(BQ)</v>
      </c>
      <c r="J809" s="9" t="str">
        <f>IFERROR(__xludf.DUMMYFUNCTION("GOOGLETRANSLATE($A809,""en"",""pt-BR"")"),"Santo Eustáquio (BQ)")</f>
        <v>Santo Eustáquio (BQ)</v>
      </c>
    </row>
    <row r="810">
      <c r="A810" s="9" t="str">
        <f>IFERROR(__xludf.DUMMYFUNCTION("""COMPUTED_VALUE"""),"Zapadnohercegovački kanton")</f>
        <v>Zapadnohercegovački kanton</v>
      </c>
      <c r="B810" s="9" t="str">
        <f>IFERROR(__xludf.DUMMYFUNCTION("""COMPUTED_VALUE"""),"ba-08")</f>
        <v>ba-08</v>
      </c>
      <c r="C810" s="9" t="str">
        <f>IFERROR(__xludf.DUMMYFUNCTION("GOOGLETRANSLATE($A810,""en"",""de"")"),"Kanton Zapadnohercegovački")</f>
        <v>Kanton Zapadnohercegovački</v>
      </c>
      <c r="D810" s="9" t="str">
        <f>IFERROR(__xludf.DUMMYFUNCTION("GOOGLETRANSLATE($A810,""en"",""fr"")"),"Canton de Zapadnohercegovački")</f>
        <v>Canton de Zapadnohercegovački</v>
      </c>
      <c r="E810" s="9" t="str">
        <f>IFERROR(__xludf.DUMMYFUNCTION("GOOGLETRANSLATE($A810,""en"",""es"")"),"Kanton de Zapadnohercegovački")</f>
        <v>Kanton de Zapadnohercegovački</v>
      </c>
      <c r="F810" s="9" t="str">
        <f>IFERROR(__xludf.DUMMYFUNCTION("GOOGLETRANSLATE($A810,""en"",""it"")"),"Il cantone Zapadnohercegovački")</f>
        <v>Il cantone Zapadnohercegovački</v>
      </c>
      <c r="G810" s="9" t="str">
        <f>IFERROR(__xludf.DUMMYFUNCTION("GOOGLETRANSLATE($A810,""en"",""zh-cn"")"),"西北部地区")</f>
        <v>西北部地区</v>
      </c>
      <c r="H810" s="9" t="str">
        <f>IFERROR(__xludf.DUMMYFUNCTION("GOOGLETRANSLATE($A810,""en"",""ja"")"),"ザパドノヘルチェゴヴァチキ カントン")</f>
        <v>ザパドノヘルチェゴヴァチキ カントン</v>
      </c>
      <c r="I810" s="9" t="str">
        <f>IFERROR(__xludf.DUMMYFUNCTION("GOOGLETRANSLATE($A810,""en"",""ko"")"),"Zapadnohercegovački 칸톤")</f>
        <v>Zapadnohercegovački 칸톤</v>
      </c>
      <c r="J810" s="9" t="str">
        <f>IFERROR(__xludf.DUMMYFUNCTION("GOOGLETRANSLATE($A810,""en"",""pt-BR"")"),"Cantão Zapadnohercegovački")</f>
        <v>Cantão Zapadnohercegovački</v>
      </c>
    </row>
    <row r="811">
      <c r="A811" s="9" t="str">
        <f>IFERROR(__xludf.DUMMYFUNCTION("""COMPUTED_VALUE"""),"Hercegovačko-neretvanski kanton")</f>
        <v>Hercegovačko-neretvanski kanton</v>
      </c>
      <c r="B811" s="9" t="str">
        <f>IFERROR(__xludf.DUMMYFUNCTION("""COMPUTED_VALUE"""),"ba-07")</f>
        <v>ba-07</v>
      </c>
      <c r="C811" s="9" t="str">
        <f>IFERROR(__xludf.DUMMYFUNCTION("GOOGLETRANSLATE($A811,""en"",""de"")"),"Kanton Herzegowina-Neretvanski")</f>
        <v>Kanton Herzegowina-Neretvanski</v>
      </c>
      <c r="D811" s="9" t="str">
        <f>IFERROR(__xludf.DUMMYFUNCTION("GOOGLETRANSLATE($A811,""en"",""fr"")"),"Canton d'Hercegovačko-neretvanski")</f>
        <v>Canton d'Hercegovačko-neretvanski</v>
      </c>
      <c r="E811" s="9" t="str">
        <f>IFERROR(__xludf.DUMMYFUNCTION("GOOGLETRANSLATE($A811,""en"",""es"")"),"Cantón Hercegovačko-neretvanski")</f>
        <v>Cantón Hercegovačko-neretvanski</v>
      </c>
      <c r="F811" s="9" t="str">
        <f>IFERROR(__xludf.DUMMYFUNCTION("GOOGLETRANSLATE($A811,""en"",""it"")"),"Cantone Hercegovačko-neretvanski")</f>
        <v>Cantone Hercegovačko-neretvanski</v>
      </c>
      <c r="G811" s="9" t="str">
        <f>IFERROR(__xludf.DUMMYFUNCTION("GOOGLETRANSLATE($A811,""en"",""zh-cn"")"),"黑尔采哥瓦-内雷特瓦州")</f>
        <v>黑尔采哥瓦-内雷特瓦州</v>
      </c>
      <c r="H811" s="9" t="str">
        <f>IFERROR(__xludf.DUMMYFUNCTION("GOOGLETRANSLATE($A811,""en"",""ja"")"),"ヘルツェゴヴァチコ ネレトヴァンスキ カントン")</f>
        <v>ヘルツェゴヴァチコ ネレトヴァンスキ カントン</v>
      </c>
      <c r="I811" s="9" t="str">
        <f>IFERROR(__xludf.DUMMYFUNCTION("GOOGLETRANSLATE($A811,""en"",""ko"")"),"Hercegovačko-neretvanski 칸톤")</f>
        <v>Hercegovačko-neretvanski 칸톤</v>
      </c>
      <c r="J811" s="9" t="str">
        <f>IFERROR(__xludf.DUMMYFUNCTION("GOOGLETRANSLATE($A811,""en"",""pt-BR"")"),"Cantão Hercegovačko-neretvanski")</f>
        <v>Cantão Hercegovačko-neretvanski</v>
      </c>
    </row>
    <row r="812">
      <c r="A812" s="9" t="str">
        <f>IFERROR(__xludf.DUMMYFUNCTION("""COMPUTED_VALUE"""),"Brčko distrikt")</f>
        <v>Brčko distrikt</v>
      </c>
      <c r="B812" s="9" t="str">
        <f>IFERROR(__xludf.DUMMYFUNCTION("""COMPUTED_VALUE"""),"ba-brc")</f>
        <v>ba-brc</v>
      </c>
      <c r="C812" s="9" t="str">
        <f>IFERROR(__xludf.DUMMYFUNCTION("GOOGLETRANSLATE($A812,""en"",""de"")"),"Bezirk Brčko")</f>
        <v>Bezirk Brčko</v>
      </c>
      <c r="D812" s="9" t="str">
        <f>IFERROR(__xludf.DUMMYFUNCTION("GOOGLETRANSLATE($A812,""en"",""fr"")"),"District de Brčko")</f>
        <v>District de Brčko</v>
      </c>
      <c r="E812" s="9" t="str">
        <f>IFERROR(__xludf.DUMMYFUNCTION("GOOGLETRANSLATE($A812,""en"",""es"")"),"Distrito de Brčko")</f>
        <v>Distrito de Brčko</v>
      </c>
      <c r="F812" s="9" t="str">
        <f>IFERROR(__xludf.DUMMYFUNCTION("GOOGLETRANSLATE($A812,""en"",""it"")"),"Distretto di Brčko")</f>
        <v>Distretto di Brčko</v>
      </c>
      <c r="G812" s="9" t="str">
        <f>IFERROR(__xludf.DUMMYFUNCTION("GOOGLETRANSLATE($A812,""en"",""zh-cn"")"),"布尔奇科区")</f>
        <v>布尔奇科区</v>
      </c>
      <c r="H812" s="9" t="str">
        <f>IFERROR(__xludf.DUMMYFUNCTION("GOOGLETRANSLATE($A812,""en"",""ja"")"),"ブルチコ地区")</f>
        <v>ブルチコ地区</v>
      </c>
      <c r="I812" s="9" t="str">
        <f>IFERROR(__xludf.DUMMYFUNCTION("GOOGLETRANSLATE($A812,""en"",""ko"")"),"브르코 지구")</f>
        <v>브르코 지구</v>
      </c>
      <c r="J812" s="9" t="str">
        <f>IFERROR(__xludf.DUMMYFUNCTION("GOOGLETRANSLATE($A812,""en"",""pt-BR"")"),"Distrito de Brčko")</f>
        <v>Distrito de Brčko</v>
      </c>
    </row>
    <row r="813">
      <c r="A813" s="9" t="str">
        <f>IFERROR(__xludf.DUMMYFUNCTION("""COMPUTED_VALUE"""),"Zeničko-dobojski kanton")</f>
        <v>Zeničko-dobojski kanton</v>
      </c>
      <c r="B813" s="9" t="str">
        <f>IFERROR(__xludf.DUMMYFUNCTION("""COMPUTED_VALUE"""),"ba-04")</f>
        <v>ba-04</v>
      </c>
      <c r="C813" s="9" t="str">
        <f>IFERROR(__xludf.DUMMYFUNCTION("GOOGLETRANSLATE($A813,""en"",""de"")"),"Kanton Zeničko-dobojski")</f>
        <v>Kanton Zeničko-dobojski</v>
      </c>
      <c r="D813" s="9" t="str">
        <f>IFERROR(__xludf.DUMMYFUNCTION("GOOGLETRANSLATE($A813,""en"",""fr"")"),"Canton de Zeničko-dobojski")</f>
        <v>Canton de Zeničko-dobojski</v>
      </c>
      <c r="E813" s="9" t="str">
        <f>IFERROR(__xludf.DUMMYFUNCTION("GOOGLETRANSLATE($A813,""en"",""es"")"),"Cantón Zeničko-dobojski")</f>
        <v>Cantón Zeničko-dobojski</v>
      </c>
      <c r="F813" s="9" t="str">
        <f>IFERROR(__xludf.DUMMYFUNCTION("GOOGLETRANSLATE($A813,""en"",""it"")"),"Il cantone Zeničko-dobojski")</f>
        <v>Il cantone Zeničko-dobojski</v>
      </c>
      <c r="G813" s="9" t="str">
        <f>IFERROR(__xludf.DUMMYFUNCTION("GOOGLETRANSLATE($A813,""en"",""zh-cn"")"),"泽尼科多博伊斯基州")</f>
        <v>泽尼科多博伊斯基州</v>
      </c>
      <c r="H813" s="9" t="str">
        <f>IFERROR(__xludf.DUMMYFUNCTION("GOOGLETRANSLATE($A813,""en"",""ja"")"),"ゼニチコ ドボイスキ カントン")</f>
        <v>ゼニチコ ドボイスキ カントン</v>
      </c>
      <c r="I813" s="9" t="str">
        <f>IFERROR(__xludf.DUMMYFUNCTION("GOOGLETRANSLATE($A813,""en"",""ko"")"),"Zeničko-dobojski 칸톤")</f>
        <v>Zeničko-dobojski 칸톤</v>
      </c>
      <c r="J813" s="9" t="str">
        <f>IFERROR(__xludf.DUMMYFUNCTION("GOOGLETRANSLATE($A813,""en"",""pt-BR"")"),"Cantão Zeničko-dobojski")</f>
        <v>Cantão Zeničko-dobojski</v>
      </c>
    </row>
    <row r="814">
      <c r="A814" s="9" t="str">
        <f>IFERROR(__xludf.DUMMYFUNCTION("""COMPUTED_VALUE"""),"Srednjobosanski kanton")</f>
        <v>Srednjobosanski kanton</v>
      </c>
      <c r="B814" s="9" t="str">
        <f>IFERROR(__xludf.DUMMYFUNCTION("""COMPUTED_VALUE"""),"ba-06")</f>
        <v>ba-06</v>
      </c>
      <c r="C814" s="9" t="str">
        <f>IFERROR(__xludf.DUMMYFUNCTION("GOOGLETRANSLATE($A814,""en"",""de"")"),"Kanton Srednjobosanski")</f>
        <v>Kanton Srednjobosanski</v>
      </c>
      <c r="D814" s="9" t="str">
        <f>IFERROR(__xludf.DUMMYFUNCTION("GOOGLETRANSLATE($A814,""en"",""fr"")"),"Canton de Srednjobosanski")</f>
        <v>Canton de Srednjobosanski</v>
      </c>
      <c r="E814" s="9" t="str">
        <f>IFERROR(__xludf.DUMMYFUNCTION("GOOGLETRANSLATE($A814,""en"",""es"")"),"Cantón Srednjobosanski")</f>
        <v>Cantón Srednjobosanski</v>
      </c>
      <c r="F814" s="9" t="str">
        <f>IFERROR(__xludf.DUMMYFUNCTION("GOOGLETRANSLATE($A814,""en"",""it"")"),"Il cantone di Srednjobosanski")</f>
        <v>Il cantone di Srednjobosanski</v>
      </c>
      <c r="G814" s="9" t="str">
        <f>IFERROR(__xludf.DUMMYFUNCTION("GOOGLETRANSLATE($A814,""en"",""zh-cn"")"),"中州")</f>
        <v>中州</v>
      </c>
      <c r="H814" s="9" t="str">
        <f>IFERROR(__xludf.DUMMYFUNCTION("GOOGLETRANSLATE($A814,""en"",""ja"")"),"スレドジョボサンスキー カントン")</f>
        <v>スレドジョボサンスキー カントン</v>
      </c>
      <c r="I814" s="9" t="str">
        <f>IFERROR(__xludf.DUMMYFUNCTION("GOOGLETRANSLATE($A814,""en"",""ko"")"),"스레드노보산스키 칸톤")</f>
        <v>스레드노보산스키 칸톤</v>
      </c>
      <c r="J814" s="9" t="str">
        <f>IFERROR(__xludf.DUMMYFUNCTION("GOOGLETRANSLATE($A814,""en"",""pt-BR"")"),"Cantão de Srednjobosanski")</f>
        <v>Cantão de Srednjobosanski</v>
      </c>
    </row>
    <row r="815">
      <c r="A815" s="9" t="str">
        <f>IFERROR(__xludf.DUMMYFUNCTION("""COMPUTED_VALUE"""),"Kanton br. 10 (Livanjski kanton)")</f>
        <v>Kanton br. 10 (Livanjski kanton)</v>
      </c>
      <c r="B815" s="9" t="str">
        <f>IFERROR(__xludf.DUMMYFUNCTION("""COMPUTED_VALUE"""),"ba-10")</f>
        <v>ba-10</v>
      </c>
      <c r="C815" s="9" t="str">
        <f>IFERROR(__xludf.DUMMYFUNCTION("GOOGLETRANSLATE($A815,""en"",""de"")"),"Kanton br. 10 (Kanton Livanjski)")</f>
        <v>Kanton br. 10 (Kanton Livanjski)</v>
      </c>
      <c r="D815" s="9" t="str">
        <f>IFERROR(__xludf.DUMMYFUNCTION("GOOGLETRANSLATE($A815,""en"",""fr"")"),"Canton fr. 10 (canton de Livanjski)")</f>
        <v>Canton fr. 10 (canton de Livanjski)</v>
      </c>
      <c r="E815" s="9" t="str">
        <f>IFERROR(__xludf.DUMMYFUNCTION("GOOGLETRANSLATE($A815,""en"",""es"")"),"Kantón hermano. 10 (cantón de Livanjski)")</f>
        <v>Kantón hermano. 10 (cantón de Livanjski)</v>
      </c>
      <c r="F815" s="9" t="str">
        <f>IFERROR(__xludf.DUMMYFUNCTION("GOOGLETRANSLATE($A815,""en"",""it"")"),"Kanton fr. 10 (Cantone di Livanj)")</f>
        <v>Kanton fr. 10 (Cantone di Livanj)</v>
      </c>
      <c r="G815" s="9" t="str">
        <f>IFERROR(__xludf.DUMMYFUNCTION("GOOGLETRANSLATE($A815,""en"",""zh-cn"")"),"坎顿兄弟。 10（利万尼斯基坎顿）")</f>
        <v>坎顿兄弟。 10（利万尼斯基坎顿）</v>
      </c>
      <c r="H815" s="9" t="str">
        <f>IFERROR(__xludf.DUMMYFUNCTION("GOOGLETRANSLATE($A815,""en"",""ja"")"),"カントンbr. 10 (リヴァニスキー カントン)")</f>
        <v>カントンbr. 10 (リヴァニスキー カントン)</v>
      </c>
      <c r="I815" s="9" t="str">
        <f>IFERROR(__xludf.DUMMYFUNCTION("GOOGLETRANSLATE($A815,""en"",""ko"")"),"칸톤 br. 10 (리바니스키 칸톤)")</f>
        <v>칸톤 br. 10 (리바니스키 칸톤)</v>
      </c>
      <c r="J815" s="9" t="str">
        <f>IFERROR(__xludf.DUMMYFUNCTION("GOOGLETRANSLATE($A815,""en"",""pt-BR"")"),"Cantão br. 10 (cantão de Livanjski)")</f>
        <v>Cantão br. 10 (cantão de Livanjski)</v>
      </c>
    </row>
    <row r="816">
      <c r="A816" s="9" t="str">
        <f>IFERROR(__xludf.DUMMYFUNCTION("""COMPUTED_VALUE"""),"Tuzlanski kanton")</f>
        <v>Tuzlanski kanton</v>
      </c>
      <c r="B816" s="9" t="str">
        <f>IFERROR(__xludf.DUMMYFUNCTION("""COMPUTED_VALUE"""),"ba-03")</f>
        <v>ba-03</v>
      </c>
      <c r="C816" s="9" t="str">
        <f>IFERROR(__xludf.DUMMYFUNCTION("GOOGLETRANSLATE($A816,""en"",""de"")"),"Kanton Tuzlanski")</f>
        <v>Kanton Tuzlanski</v>
      </c>
      <c r="D816" s="9" t="str">
        <f>IFERROR(__xludf.DUMMYFUNCTION("GOOGLETRANSLATE($A816,""en"",""fr"")"),"Canton de Tuzlanski")</f>
        <v>Canton de Tuzlanski</v>
      </c>
      <c r="E816" s="9" t="str">
        <f>IFERROR(__xludf.DUMMYFUNCTION("GOOGLETRANSLATE($A816,""en"",""es"")"),"Cantón de Tuzlanski")</f>
        <v>Cantón de Tuzlanski</v>
      </c>
      <c r="F816" s="9" t="str">
        <f>IFERROR(__xludf.DUMMYFUNCTION("GOOGLETRANSLATE($A816,""en"",""it"")"),"Cantone di Tuzlański")</f>
        <v>Cantone di Tuzlański</v>
      </c>
      <c r="G816" s="9" t="str">
        <f>IFERROR(__xludf.DUMMYFUNCTION("GOOGLETRANSLATE($A816,""en"",""zh-cn"")"),"图兹兰州")</f>
        <v>图兹兰州</v>
      </c>
      <c r="H816" s="9" t="str">
        <f>IFERROR(__xludf.DUMMYFUNCTION("GOOGLETRANSLATE($A816,""en"",""ja"")"),"トゥズランスキー カントン")</f>
        <v>トゥズランスキー カントン</v>
      </c>
      <c r="I816" s="9" t="str">
        <f>IFERROR(__xludf.DUMMYFUNCTION("GOOGLETRANSLATE($A816,""en"",""ko"")"),"투즐란스키 칸톤")</f>
        <v>투즐란스키 칸톤</v>
      </c>
      <c r="J816" s="9" t="str">
        <f>IFERROR(__xludf.DUMMYFUNCTION("GOOGLETRANSLATE($A816,""en"",""pt-BR"")"),"Cantão de Tuzlanski")</f>
        <v>Cantão de Tuzlanski</v>
      </c>
    </row>
    <row r="817">
      <c r="A817" s="9" t="str">
        <f>IFERROR(__xludf.DUMMYFUNCTION("""COMPUTED_VALUE"""),"Bosansko-podrinjski kanton")</f>
        <v>Bosansko-podrinjski kanton</v>
      </c>
      <c r="B817" s="9" t="str">
        <f>IFERROR(__xludf.DUMMYFUNCTION("""COMPUTED_VALUE"""),"ba-05")</f>
        <v>ba-05</v>
      </c>
      <c r="C817" s="9" t="str">
        <f>IFERROR(__xludf.DUMMYFUNCTION("GOOGLETRANSLATE($A817,""en"",""de"")"),"Kanton Bosansko-podrinjski")</f>
        <v>Kanton Bosansko-podrinjski</v>
      </c>
      <c r="D817" s="9" t="str">
        <f>IFERROR(__xludf.DUMMYFUNCTION("GOOGLETRANSLATE($A817,""en"",""fr"")"),"Canton de Bosansko-podrinjski")</f>
        <v>Canton de Bosansko-podrinjski</v>
      </c>
      <c r="E817" s="9" t="str">
        <f>IFERROR(__xludf.DUMMYFUNCTION("GOOGLETRANSLATE($A817,""en"",""es"")"),"Cantón de Bosansko-podrinjski")</f>
        <v>Cantón de Bosansko-podrinjski</v>
      </c>
      <c r="F817" s="9" t="str">
        <f>IFERROR(__xludf.DUMMYFUNCTION("GOOGLETRANSLATE($A817,""en"",""it"")"),"Il cantone di Bosansko-podrinjski")</f>
        <v>Il cantone di Bosansko-podrinjski</v>
      </c>
      <c r="G817" s="9" t="str">
        <f>IFERROR(__xludf.DUMMYFUNCTION("GOOGLETRANSLATE($A817,""en"",""zh-cn"")"),"博桑斯科-波德林斯基州")</f>
        <v>博桑斯科-波德林斯基州</v>
      </c>
      <c r="H817" s="9" t="str">
        <f>IFERROR(__xludf.DUMMYFUNCTION("GOOGLETRANSLATE($A817,""en"",""ja"")"),"ボサンスコ ポドリンスキ カントン")</f>
        <v>ボサンスコ ポドリンスキ カントン</v>
      </c>
      <c r="I817" s="9" t="str">
        <f>IFERROR(__xludf.DUMMYFUNCTION("GOOGLETRANSLATE($A817,""en"",""ko"")"),"보산스코-포드린스키 칸톤")</f>
        <v>보산스코-포드린스키 칸톤</v>
      </c>
      <c r="J817" s="9" t="str">
        <f>IFERROR(__xludf.DUMMYFUNCTION("GOOGLETRANSLATE($A817,""en"",""pt-BR"")"),"Cantão de Bosansko-podrinjski")</f>
        <v>Cantão de Bosansko-podrinjski</v>
      </c>
    </row>
    <row r="818">
      <c r="A818" s="9" t="str">
        <f>IFERROR(__xludf.DUMMYFUNCTION("""COMPUTED_VALUE"""),"Federacija Bosna i Hercegovina")</f>
        <v>Federacija Bosna i Hercegovina</v>
      </c>
      <c r="B818" s="9" t="str">
        <f>IFERROR(__xludf.DUMMYFUNCTION("""COMPUTED_VALUE"""),"ba-bih")</f>
        <v>ba-bih</v>
      </c>
      <c r="C818" s="9" t="str">
        <f>IFERROR(__xludf.DUMMYFUNCTION("GOOGLETRANSLATE($A818,""en"",""de"")"),"Federacija Bosnien und Herzegowina")</f>
        <v>Federacija Bosnien und Herzegowina</v>
      </c>
      <c r="D818" s="9" t="str">
        <f>IFERROR(__xludf.DUMMYFUNCTION("GOOGLETRANSLATE($A818,""en"",""fr"")"),"Fédération de Bosnie-Herzégovine")</f>
        <v>Fédération de Bosnie-Herzégovine</v>
      </c>
      <c r="E818" s="9" t="str">
        <f>IFERROR(__xludf.DUMMYFUNCTION("GOOGLETRANSLATE($A818,""en"",""es"")"),"Federación Bosnia y Herzegovina")</f>
        <v>Federación Bosnia y Herzegovina</v>
      </c>
      <c r="F818" s="9" t="str">
        <f>IFERROR(__xludf.DUMMYFUNCTION("GOOGLETRANSLATE($A818,""en"",""it"")"),"Federacija Bosnia ed Erzegovina")</f>
        <v>Federacija Bosnia ed Erzegovina</v>
      </c>
      <c r="G818" s="9" t="str">
        <f>IFERROR(__xludf.DUMMYFUNCTION("GOOGLETRANSLATE($A818,""en"",""zh-cn"")"),"波斯尼亚和黑塞哥维那联邦")</f>
        <v>波斯尼亚和黑塞哥维那联邦</v>
      </c>
      <c r="H818" s="9" t="str">
        <f>IFERROR(__xludf.DUMMYFUNCTION("GOOGLETRANSLATE($A818,""en"",""ja"")"),"ボスナ・ヘルツェゴビナ連邦")</f>
        <v>ボスナ・ヘルツェゴビナ連邦</v>
      </c>
      <c r="I818" s="9" t="str">
        <f>IFERROR(__xludf.DUMMYFUNCTION("GOOGLETRANSLATE($A818,""en"",""ko"")"),"페데라치야 보스나 이 헤르체고비나")</f>
        <v>페데라치야 보스나 이 헤르체고비나</v>
      </c>
      <c r="J818" s="9" t="str">
        <f>IFERROR(__xludf.DUMMYFUNCTION("GOOGLETRANSLATE($A818,""en"",""pt-BR"")"),"Federação da Bósnia e Herzegovina")</f>
        <v>Federação da Bósnia e Herzegovina</v>
      </c>
    </row>
    <row r="819">
      <c r="A819" s="9" t="str">
        <f>IFERROR(__xludf.DUMMYFUNCTION("""COMPUTED_VALUE"""),"Kanton Sarajevo")</f>
        <v>Kanton Sarajevo</v>
      </c>
      <c r="B819" s="9" t="str">
        <f>IFERROR(__xludf.DUMMYFUNCTION("""COMPUTED_VALUE"""),"ba-09")</f>
        <v>ba-09</v>
      </c>
      <c r="C819" s="9" t="str">
        <f>IFERROR(__xludf.DUMMYFUNCTION("GOOGLETRANSLATE($A819,""en"",""de"")"),"Kanton Sarajevo")</f>
        <v>Kanton Sarajevo</v>
      </c>
      <c r="D819" s="9" t="str">
        <f>IFERROR(__xludf.DUMMYFUNCTION("GOOGLETRANSLATE($A819,""en"",""fr"")"),"Canton de Sarajevo")</f>
        <v>Canton de Sarajevo</v>
      </c>
      <c r="E819" s="9" t="str">
        <f>IFERROR(__xludf.DUMMYFUNCTION("GOOGLETRANSLATE($A819,""en"",""es"")"),"Cantón de Sarajevo")</f>
        <v>Cantón de Sarajevo</v>
      </c>
      <c r="F819" s="9" t="str">
        <f>IFERROR(__xludf.DUMMYFUNCTION("GOOGLETRANSLATE($A819,""en"",""it"")"),"Kanton Sarajevo")</f>
        <v>Kanton Sarajevo</v>
      </c>
      <c r="G819" s="9" t="str">
        <f>IFERROR(__xludf.DUMMYFUNCTION("GOOGLETRANSLATE($A819,""en"",""zh-cn"")"),"坎顿萨拉热窝")</f>
        <v>坎顿萨拉热窝</v>
      </c>
      <c r="H819" s="9" t="str">
        <f>IFERROR(__xludf.DUMMYFUNCTION("GOOGLETRANSLATE($A819,""en"",""ja"")"),"カントン・サラエボ")</f>
        <v>カントン・サラエボ</v>
      </c>
      <c r="I819" s="9" t="str">
        <f>IFERROR(__xludf.DUMMYFUNCTION("GOOGLETRANSLATE($A819,""en"",""ko"")"),"칸톤 사라예보")</f>
        <v>칸톤 사라예보</v>
      </c>
      <c r="J819" s="9" t="str">
        <f>IFERROR(__xludf.DUMMYFUNCTION("GOOGLETRANSLATE($A819,""en"",""pt-BR"")"),"Cantão Sarajevo")</f>
        <v>Cantão Sarajevo</v>
      </c>
    </row>
    <row r="820">
      <c r="A820" s="9" t="str">
        <f>IFERROR(__xludf.DUMMYFUNCTION("""COMPUTED_VALUE"""),"Posavski kanton")</f>
        <v>Posavski kanton</v>
      </c>
      <c r="B820" s="9" t="str">
        <f>IFERROR(__xludf.DUMMYFUNCTION("""COMPUTED_VALUE"""),"ba-02")</f>
        <v>ba-02</v>
      </c>
      <c r="C820" s="9" t="str">
        <f>IFERROR(__xludf.DUMMYFUNCTION("GOOGLETRANSLATE($A820,""en"",""de"")"),"Kanton Posavski")</f>
        <v>Kanton Posavski</v>
      </c>
      <c r="D820" s="9" t="str">
        <f>IFERROR(__xludf.DUMMYFUNCTION("GOOGLETRANSLATE($A820,""en"",""fr"")"),"Canton de Posavski")</f>
        <v>Canton de Posavski</v>
      </c>
      <c r="E820" s="9" t="str">
        <f>IFERROR(__xludf.DUMMYFUNCTION("GOOGLETRANSLATE($A820,""en"",""es"")"),"Cantón de Posavski")</f>
        <v>Cantón de Posavski</v>
      </c>
      <c r="F820" s="9" t="str">
        <f>IFERROR(__xludf.DUMMYFUNCTION("GOOGLETRANSLATE($A820,""en"",""it"")"),"Cantone Posavski")</f>
        <v>Cantone Posavski</v>
      </c>
      <c r="G820" s="9" t="str">
        <f>IFERROR(__xludf.DUMMYFUNCTION("GOOGLETRANSLATE($A820,""en"",""zh-cn"")"),"波萨夫斯基州")</f>
        <v>波萨夫斯基州</v>
      </c>
      <c r="H820" s="9" t="str">
        <f>IFERROR(__xludf.DUMMYFUNCTION("GOOGLETRANSLATE($A820,""en"",""ja"")"),"ポサフスキー カントン")</f>
        <v>ポサフスキー カントン</v>
      </c>
      <c r="I820" s="9" t="str">
        <f>IFERROR(__xludf.DUMMYFUNCTION("GOOGLETRANSLATE($A820,""en"",""ko"")"),"포사브스키 칸톤")</f>
        <v>포사브스키 칸톤</v>
      </c>
      <c r="J820" s="9" t="str">
        <f>IFERROR(__xludf.DUMMYFUNCTION("GOOGLETRANSLATE($A820,""en"",""pt-BR"")"),"Cantão de Posavski")</f>
        <v>Cantão de Posavski</v>
      </c>
    </row>
    <row r="821">
      <c r="A821" s="9" t="str">
        <f>IFERROR(__xludf.DUMMYFUNCTION("""COMPUTED_VALUE"""),"Unsko-sanski kanton")</f>
        <v>Unsko-sanski kanton</v>
      </c>
      <c r="B821" s="9" t="str">
        <f>IFERROR(__xludf.DUMMYFUNCTION("""COMPUTED_VALUE"""),"ba-01")</f>
        <v>ba-01</v>
      </c>
      <c r="C821" s="9" t="str">
        <f>IFERROR(__xludf.DUMMYFUNCTION("GOOGLETRANSLATE($A821,""en"",""de"")"),"Kanton Unsko-sanski")</f>
        <v>Kanton Unsko-sanski</v>
      </c>
      <c r="D821" s="9" t="str">
        <f>IFERROR(__xludf.DUMMYFUNCTION("GOOGLETRANSLATE($A821,""en"",""fr"")"),"Canton d'Unsko-sanski")</f>
        <v>Canton d'Unsko-sanski</v>
      </c>
      <c r="E821" s="9" t="str">
        <f>IFERROR(__xludf.DUMMYFUNCTION("GOOGLETRANSLATE($A821,""en"",""es"")"),"Cantón Unsko-sanski")</f>
        <v>Cantón Unsko-sanski</v>
      </c>
      <c r="F821" s="9" t="str">
        <f>IFERROR(__xludf.DUMMYFUNCTION("GOOGLETRANSLATE($A821,""en"",""it"")"),"Cantone Unsko-sanski")</f>
        <v>Cantone Unsko-sanski</v>
      </c>
      <c r="G821" s="9" t="str">
        <f>IFERROR(__xludf.DUMMYFUNCTION("GOOGLETRANSLATE($A821,""en"",""zh-cn"")"),"温斯科桑斯基坎顿")</f>
        <v>温斯科桑斯基坎顿</v>
      </c>
      <c r="H821" s="9" t="str">
        <f>IFERROR(__xludf.DUMMYFUNCTION("GOOGLETRANSLATE($A821,""en"",""ja"")"),"ウンスコ サンスキー カントン")</f>
        <v>ウンスコ サンスキー カントン</v>
      </c>
      <c r="I821" s="9" t="str">
        <f>IFERROR(__xludf.DUMMYFUNCTION("GOOGLETRANSLATE($A821,""en"",""ko"")"),"운스코-산스키 칸톤")</f>
        <v>운스코-산스키 칸톤</v>
      </c>
      <c r="J821" s="9" t="str">
        <f>IFERROR(__xludf.DUMMYFUNCTION("GOOGLETRANSLATE($A821,""en"",""pt-BR"")"),"Cantão Unsko-sanski")</f>
        <v>Cantão Unsko-sanski</v>
      </c>
    </row>
    <row r="822">
      <c r="A822" s="9" t="str">
        <f>IFERROR(__xludf.DUMMYFUNCTION("""COMPUTED_VALUE"""),"Republika Srpska")</f>
        <v>Republika Srpska</v>
      </c>
      <c r="B822" s="9" t="str">
        <f>IFERROR(__xludf.DUMMYFUNCTION("""COMPUTED_VALUE"""),"ba-srp")</f>
        <v>ba-srp</v>
      </c>
      <c r="C822" s="9" t="str">
        <f>IFERROR(__xludf.DUMMYFUNCTION("GOOGLETRANSLATE($A822,""en"",""de"")"),"Republika Srpska")</f>
        <v>Republika Srpska</v>
      </c>
      <c r="D822" s="9" t="str">
        <f>IFERROR(__xludf.DUMMYFUNCTION("GOOGLETRANSLATE($A822,""en"",""fr"")"),"Republika Srpska")</f>
        <v>Republika Srpska</v>
      </c>
      <c r="E822" s="9" t="str">
        <f>IFERROR(__xludf.DUMMYFUNCTION("GOOGLETRANSLATE($A822,""en"",""es"")"),"República Srpska")</f>
        <v>República Srpska</v>
      </c>
      <c r="F822" s="9" t="str">
        <f>IFERROR(__xludf.DUMMYFUNCTION("GOOGLETRANSLATE($A822,""en"",""it"")"),"Repubblica Srpska")</f>
        <v>Repubblica Srpska</v>
      </c>
      <c r="G822" s="9" t="str">
        <f>IFERROR(__xludf.DUMMYFUNCTION("GOOGLETRANSLATE($A822,""en"",""zh-cn"")"),"塞族共和国")</f>
        <v>塞族共和国</v>
      </c>
      <c r="H822" s="9" t="str">
        <f>IFERROR(__xludf.DUMMYFUNCTION("GOOGLETRANSLATE($A822,""en"",""ja"")"),"スルプスカ共和国")</f>
        <v>スルプスカ共和国</v>
      </c>
      <c r="I822" s="9" t="str">
        <f>IFERROR(__xludf.DUMMYFUNCTION("GOOGLETRANSLATE($A822,""en"",""ko"")"),"레푸블리카 스르프스카")</f>
        <v>레푸블리카 스르프스카</v>
      </c>
      <c r="J822" s="9" t="str">
        <f>IFERROR(__xludf.DUMMYFUNCTION("GOOGLETRANSLATE($A822,""en"",""pt-BR"")"),"República Srpska")</f>
        <v>República Srpska</v>
      </c>
    </row>
    <row r="823">
      <c r="A823" s="9" t="str">
        <f>IFERROR(__xludf.DUMMYFUNCTION("""COMPUTED_VALUE"""),"North West")</f>
        <v>North West</v>
      </c>
      <c r="B823" s="9" t="str">
        <f>IFERROR(__xludf.DUMMYFUNCTION("""COMPUTED_VALUE"""),"bw-nw")</f>
        <v>bw-nw</v>
      </c>
      <c r="C823" s="9" t="str">
        <f>IFERROR(__xludf.DUMMYFUNCTION("GOOGLETRANSLATE($A823,""en"",""de"")"),"Nordwesten")</f>
        <v>Nordwesten</v>
      </c>
      <c r="D823" s="9" t="str">
        <f>IFERROR(__xludf.DUMMYFUNCTION("GOOGLETRANSLATE($A823,""en"",""fr"")"),"Nord-Ouest")</f>
        <v>Nord-Ouest</v>
      </c>
      <c r="E823" s="9" t="str">
        <f>IFERROR(__xludf.DUMMYFUNCTION("GOOGLETRANSLATE($A823,""en"",""es"")"),"Noroeste")</f>
        <v>Noroeste</v>
      </c>
      <c r="F823" s="9" t="str">
        <f>IFERROR(__xludf.DUMMYFUNCTION("GOOGLETRANSLATE($A823,""en"",""it"")"),"Nord-ovest")</f>
        <v>Nord-ovest</v>
      </c>
      <c r="G823" s="9" t="str">
        <f>IFERROR(__xludf.DUMMYFUNCTION("GOOGLETRANSLATE($A823,""en"",""zh-cn"")"),"西北")</f>
        <v>西北</v>
      </c>
      <c r="H823" s="9" t="str">
        <f>IFERROR(__xludf.DUMMYFUNCTION("GOOGLETRANSLATE($A823,""en"",""ja"")"),"北西")</f>
        <v>北西</v>
      </c>
      <c r="I823" s="9" t="str">
        <f>IFERROR(__xludf.DUMMYFUNCTION("GOOGLETRANSLATE($A823,""en"",""ko"")"),"노스 웨스트")</f>
        <v>노스 웨스트</v>
      </c>
      <c r="J823" s="9" t="str">
        <f>IFERROR(__xludf.DUMMYFUNCTION("GOOGLETRANSLATE($A823,""en"",""pt-BR"")"),"Noroeste")</f>
        <v>Noroeste</v>
      </c>
    </row>
    <row r="824">
      <c r="A824" s="9" t="str">
        <f>IFERROR(__xludf.DUMMYFUNCTION("""COMPUTED_VALUE"""),"South East")</f>
        <v>South East</v>
      </c>
      <c r="B824" s="9" t="str">
        <f>IFERROR(__xludf.DUMMYFUNCTION("""COMPUTED_VALUE"""),"bw-se")</f>
        <v>bw-se</v>
      </c>
      <c r="C824" s="9" t="str">
        <f>IFERROR(__xludf.DUMMYFUNCTION("GOOGLETRANSLATE($A824,""en"",""de"")"),"Südosten")</f>
        <v>Südosten</v>
      </c>
      <c r="D824" s="9" t="str">
        <f>IFERROR(__xludf.DUMMYFUNCTION("GOOGLETRANSLATE($A824,""en"",""fr"")"),"Sud-Est")</f>
        <v>Sud-Est</v>
      </c>
      <c r="E824" s="9" t="str">
        <f>IFERROR(__xludf.DUMMYFUNCTION("GOOGLETRANSLATE($A824,""en"",""es"")"),"sureste")</f>
        <v>sureste</v>
      </c>
      <c r="F824" s="9" t="str">
        <f>IFERROR(__xludf.DUMMYFUNCTION("GOOGLETRANSLATE($A824,""en"",""it"")"),"Sud-est")</f>
        <v>Sud-est</v>
      </c>
      <c r="G824" s="9" t="str">
        <f>IFERROR(__xludf.DUMMYFUNCTION("GOOGLETRANSLATE($A824,""en"",""zh-cn"")"),"东南")</f>
        <v>东南</v>
      </c>
      <c r="H824" s="9" t="str">
        <f>IFERROR(__xludf.DUMMYFUNCTION("GOOGLETRANSLATE($A824,""en"",""ja"")"),"南東")</f>
        <v>南東</v>
      </c>
      <c r="I824" s="9" t="str">
        <f>IFERROR(__xludf.DUMMYFUNCTION("GOOGLETRANSLATE($A824,""en"",""ko"")"),"남동쪽")</f>
        <v>남동쪽</v>
      </c>
      <c r="J824" s="9" t="str">
        <f>IFERROR(__xludf.DUMMYFUNCTION("GOOGLETRANSLATE($A824,""en"",""pt-BR"")"),"Sudeste")</f>
        <v>Sudeste</v>
      </c>
    </row>
    <row r="825">
      <c r="A825" s="9" t="str">
        <f>IFERROR(__xludf.DUMMYFUNCTION("""COMPUTED_VALUE"""),"Ghanzi")</f>
        <v>Ghanzi</v>
      </c>
      <c r="B825" s="9" t="str">
        <f>IFERROR(__xludf.DUMMYFUNCTION("""COMPUTED_VALUE"""),"bw-gh")</f>
        <v>bw-gh</v>
      </c>
      <c r="C825" s="9" t="str">
        <f>IFERROR(__xludf.DUMMYFUNCTION("GOOGLETRANSLATE($A825,""en"",""de"")"),"Ghanzi")</f>
        <v>Ghanzi</v>
      </c>
      <c r="D825" s="9" t="str">
        <f>IFERROR(__xludf.DUMMYFUNCTION("GOOGLETRANSLATE($A825,""en"",""fr"")"),"Ghanzi")</f>
        <v>Ghanzi</v>
      </c>
      <c r="E825" s="9" t="str">
        <f>IFERROR(__xludf.DUMMYFUNCTION("GOOGLETRANSLATE($A825,""en"",""es"")"),"Ghanzi")</f>
        <v>Ghanzi</v>
      </c>
      <c r="F825" s="9" t="str">
        <f>IFERROR(__xludf.DUMMYFUNCTION("GOOGLETRANSLATE($A825,""en"",""it"")"),"Ghanzi")</f>
        <v>Ghanzi</v>
      </c>
      <c r="G825" s="9" t="str">
        <f>IFERROR(__xludf.DUMMYFUNCTION("GOOGLETRANSLATE($A825,""en"",""zh-cn"")"),"甘孜")</f>
        <v>甘孜</v>
      </c>
      <c r="H825" s="9" t="str">
        <f>IFERROR(__xludf.DUMMYFUNCTION("GOOGLETRANSLATE($A825,""en"",""ja"")"),"ガンジ")</f>
        <v>ガンジ</v>
      </c>
      <c r="I825" s="9" t="str">
        <f>IFERROR(__xludf.DUMMYFUNCTION("GOOGLETRANSLATE($A825,""en"",""ko"")"),"간지")</f>
        <v>간지</v>
      </c>
      <c r="J825" s="9" t="str">
        <f>IFERROR(__xludf.DUMMYFUNCTION("GOOGLETRANSLATE($A825,""en"",""pt-BR"")"),"Ganzi")</f>
        <v>Ganzi</v>
      </c>
    </row>
    <row r="826">
      <c r="A826" s="9" t="str">
        <f>IFERROR(__xludf.DUMMYFUNCTION("""COMPUTED_VALUE"""),"Kgalagadi")</f>
        <v>Kgalagadi</v>
      </c>
      <c r="B826" s="9" t="str">
        <f>IFERROR(__xludf.DUMMYFUNCTION("""COMPUTED_VALUE"""),"bw-kg")</f>
        <v>bw-kg</v>
      </c>
      <c r="C826" s="9" t="str">
        <f>IFERROR(__xludf.DUMMYFUNCTION("GOOGLETRANSLATE($A826,""en"",""de"")"),"Kgalagadi")</f>
        <v>Kgalagadi</v>
      </c>
      <c r="D826" s="9" t="str">
        <f>IFERROR(__xludf.DUMMYFUNCTION("GOOGLETRANSLATE($A826,""en"",""fr"")"),"Kgalagadi")</f>
        <v>Kgalagadi</v>
      </c>
      <c r="E826" s="9" t="str">
        <f>IFERROR(__xludf.DUMMYFUNCTION("GOOGLETRANSLATE($A826,""en"",""es"")"),"Kgalagadi")</f>
        <v>Kgalagadi</v>
      </c>
      <c r="F826" s="9" t="str">
        <f>IFERROR(__xludf.DUMMYFUNCTION("GOOGLETRANSLATE($A826,""en"",""it"")"),"Kgalagadi")</f>
        <v>Kgalagadi</v>
      </c>
      <c r="G826" s="9" t="str">
        <f>IFERROR(__xludf.DUMMYFUNCTION("GOOGLETRANSLATE($A826,""en"",""zh-cn"")"),"卡加拉加迪")</f>
        <v>卡加拉加迪</v>
      </c>
      <c r="H826" s="9" t="str">
        <f>IFERROR(__xludf.DUMMYFUNCTION("GOOGLETRANSLATE($A826,""en"",""ja"")"),"カラガディ")</f>
        <v>カラガディ</v>
      </c>
      <c r="I826" s="9" t="str">
        <f>IFERROR(__xludf.DUMMYFUNCTION("GOOGLETRANSLATE($A826,""en"",""ko"")"),"크갈라가디")</f>
        <v>크갈라가디</v>
      </c>
      <c r="J826" s="9" t="str">
        <f>IFERROR(__xludf.DUMMYFUNCTION("GOOGLETRANSLATE($A826,""en"",""pt-BR"")"),"Kgalagadi")</f>
        <v>Kgalagadi</v>
      </c>
    </row>
    <row r="827">
      <c r="A827" s="9" t="str">
        <f>IFERROR(__xludf.DUMMYFUNCTION("""COMPUTED_VALUE"""),"Chobe")</f>
        <v>Chobe</v>
      </c>
      <c r="B827" s="9" t="str">
        <f>IFERROR(__xludf.DUMMYFUNCTION("""COMPUTED_VALUE"""),"bw-ch")</f>
        <v>bw-ch</v>
      </c>
      <c r="C827" s="9" t="str">
        <f>IFERROR(__xludf.DUMMYFUNCTION("GOOGLETRANSLATE($A827,""en"",""de"")"),"Chobe")</f>
        <v>Chobe</v>
      </c>
      <c r="D827" s="9" t="str">
        <f>IFERROR(__xludf.DUMMYFUNCTION("GOOGLETRANSLATE($A827,""en"",""fr"")"),"Chobé")</f>
        <v>Chobé</v>
      </c>
      <c r="E827" s="9" t="str">
        <f>IFERROR(__xludf.DUMMYFUNCTION("GOOGLETRANSLATE($A827,""en"",""es"")"),"Chobe")</f>
        <v>Chobe</v>
      </c>
      <c r="F827" s="9" t="str">
        <f>IFERROR(__xludf.DUMMYFUNCTION("GOOGLETRANSLATE($A827,""en"",""it"")"),"Chobe")</f>
        <v>Chobe</v>
      </c>
      <c r="G827" s="9" t="str">
        <f>IFERROR(__xludf.DUMMYFUNCTION("GOOGLETRANSLATE($A827,""en"",""zh-cn"")"),"乔贝")</f>
        <v>乔贝</v>
      </c>
      <c r="H827" s="9" t="str">
        <f>IFERROR(__xludf.DUMMYFUNCTION("GOOGLETRANSLATE($A827,""en"",""ja"")"),"チョベ")</f>
        <v>チョベ</v>
      </c>
      <c r="I827" s="9" t="str">
        <f>IFERROR(__xludf.DUMMYFUNCTION("GOOGLETRANSLATE($A827,""en"",""ko"")"),"초베")</f>
        <v>초베</v>
      </c>
      <c r="J827" s="9" t="str">
        <f>IFERROR(__xludf.DUMMYFUNCTION("GOOGLETRANSLATE($A827,""en"",""pt-BR"")"),"Chobe")</f>
        <v>Chobe</v>
      </c>
    </row>
    <row r="828">
      <c r="A828" s="9" t="str">
        <f>IFERROR(__xludf.DUMMYFUNCTION("""COMPUTED_VALUE"""),"Gaborone")</f>
        <v>Gaborone</v>
      </c>
      <c r="B828" s="9" t="str">
        <f>IFERROR(__xludf.DUMMYFUNCTION("""COMPUTED_VALUE"""),"bw-ga")</f>
        <v>bw-ga</v>
      </c>
      <c r="C828" s="9" t="str">
        <f>IFERROR(__xludf.DUMMYFUNCTION("GOOGLETRANSLATE($A828,""en"",""de"")"),"Gaborone")</f>
        <v>Gaborone</v>
      </c>
      <c r="D828" s="9" t="str">
        <f>IFERROR(__xludf.DUMMYFUNCTION("GOOGLETRANSLATE($A828,""en"",""fr"")"),"Gaborone")</f>
        <v>Gaborone</v>
      </c>
      <c r="E828" s="9" t="str">
        <f>IFERROR(__xludf.DUMMYFUNCTION("GOOGLETRANSLATE($A828,""en"",""es"")"),"Gaborone")</f>
        <v>Gaborone</v>
      </c>
      <c r="F828" s="9" t="str">
        <f>IFERROR(__xludf.DUMMYFUNCTION("GOOGLETRANSLATE($A828,""en"",""it"")"),"Gaborone")</f>
        <v>Gaborone</v>
      </c>
      <c r="G828" s="9" t="str">
        <f>IFERROR(__xludf.DUMMYFUNCTION("GOOGLETRANSLATE($A828,""en"",""zh-cn"")"),"哈博罗内")</f>
        <v>哈博罗内</v>
      </c>
      <c r="H828" s="9" t="str">
        <f>IFERROR(__xludf.DUMMYFUNCTION("GOOGLETRANSLATE($A828,""en"",""ja"")"),"ハボローネ")</f>
        <v>ハボローネ</v>
      </c>
      <c r="I828" s="9" t="str">
        <f>IFERROR(__xludf.DUMMYFUNCTION("GOOGLETRANSLATE($A828,""en"",""ko"")"),"가보로네")</f>
        <v>가보로네</v>
      </c>
      <c r="J828" s="9" t="str">
        <f>IFERROR(__xludf.DUMMYFUNCTION("GOOGLETRANSLATE($A828,""en"",""pt-BR"")"),"Gaborone")</f>
        <v>Gaborone</v>
      </c>
    </row>
    <row r="829">
      <c r="A829" s="9" t="str">
        <f>IFERROR(__xludf.DUMMYFUNCTION("""COMPUTED_VALUE"""),"Francistown")</f>
        <v>Francistown</v>
      </c>
      <c r="B829" s="9" t="str">
        <f>IFERROR(__xludf.DUMMYFUNCTION("""COMPUTED_VALUE"""),"bw-fr")</f>
        <v>bw-fr</v>
      </c>
      <c r="C829" s="9" t="str">
        <f>IFERROR(__xludf.DUMMYFUNCTION("GOOGLETRANSLATE($A829,""en"",""de"")"),"Francistown")</f>
        <v>Francistown</v>
      </c>
      <c r="D829" s="9" t="str">
        <f>IFERROR(__xludf.DUMMYFUNCTION("GOOGLETRANSLATE($A829,""en"",""fr"")"),"Francistown")</f>
        <v>Francistown</v>
      </c>
      <c r="E829" s="9" t="str">
        <f>IFERROR(__xludf.DUMMYFUNCTION("GOOGLETRANSLATE($A829,""en"",""es"")"),"francistown")</f>
        <v>francistown</v>
      </c>
      <c r="F829" s="9" t="str">
        <f>IFERROR(__xludf.DUMMYFUNCTION("GOOGLETRANSLATE($A829,""en"",""it"")"),"Francistown")</f>
        <v>Francistown</v>
      </c>
      <c r="G829" s="9" t="str">
        <f>IFERROR(__xludf.DUMMYFUNCTION("GOOGLETRANSLATE($A829,""en"",""zh-cn"")"),"弗朗西斯敦")</f>
        <v>弗朗西斯敦</v>
      </c>
      <c r="H829" s="9" t="str">
        <f>IFERROR(__xludf.DUMMYFUNCTION("GOOGLETRANSLATE($A829,""en"",""ja"")"),"フランシスタウン")</f>
        <v>フランシスタウン</v>
      </c>
      <c r="I829" s="9" t="str">
        <f>IFERROR(__xludf.DUMMYFUNCTION("GOOGLETRANSLATE($A829,""en"",""ko"")"),"프랜시스타운")</f>
        <v>프랜시스타운</v>
      </c>
      <c r="J829" s="9" t="str">
        <f>IFERROR(__xludf.DUMMYFUNCTION("GOOGLETRANSLATE($A829,""en"",""pt-BR"")"),"Francistown")</f>
        <v>Francistown</v>
      </c>
    </row>
    <row r="830">
      <c r="A830" s="9" t="str">
        <f>IFERROR(__xludf.DUMMYFUNCTION("""COMPUTED_VALUE"""),"Jwaneng")</f>
        <v>Jwaneng</v>
      </c>
      <c r="B830" s="9" t="str">
        <f>IFERROR(__xludf.DUMMYFUNCTION("""COMPUTED_VALUE"""),"bw-jw")</f>
        <v>bw-jw</v>
      </c>
      <c r="C830" s="9" t="str">
        <f>IFERROR(__xludf.DUMMYFUNCTION("GOOGLETRANSLATE($A830,""en"",""de"")"),"Jwaneng")</f>
        <v>Jwaneng</v>
      </c>
      <c r="D830" s="9" t="str">
        <f>IFERROR(__xludf.DUMMYFUNCTION("GOOGLETRANSLATE($A830,""en"",""fr"")"),"Jwaneng")</f>
        <v>Jwaneng</v>
      </c>
      <c r="E830" s="9" t="str">
        <f>IFERROR(__xludf.DUMMYFUNCTION("GOOGLETRANSLATE($A830,""en"",""es"")"),"Jwaneng")</f>
        <v>Jwaneng</v>
      </c>
      <c r="F830" s="9" t="str">
        <f>IFERROR(__xludf.DUMMYFUNCTION("GOOGLETRANSLATE($A830,""en"",""it"")"),"Jwaneng")</f>
        <v>Jwaneng</v>
      </c>
      <c r="G830" s="9" t="str">
        <f>IFERROR(__xludf.DUMMYFUNCTION("GOOGLETRANSLATE($A830,""en"",""zh-cn"")"),"朱瓦能")</f>
        <v>朱瓦能</v>
      </c>
      <c r="H830" s="9" t="str">
        <f>IFERROR(__xludf.DUMMYFUNCTION("GOOGLETRANSLATE($A830,""en"",""ja"")"),"ジュワネン")</f>
        <v>ジュワネン</v>
      </c>
      <c r="I830" s="9" t="str">
        <f>IFERROR(__xludf.DUMMYFUNCTION("GOOGLETRANSLATE($A830,""en"",""ko"")"),"좌능")</f>
        <v>좌능</v>
      </c>
      <c r="J830" s="9" t="str">
        <f>IFERROR(__xludf.DUMMYFUNCTION("GOOGLETRANSLATE($A830,""en"",""pt-BR"")"),"Jwaneng")</f>
        <v>Jwaneng</v>
      </c>
    </row>
    <row r="831">
      <c r="A831" s="9" t="str">
        <f>IFERROR(__xludf.DUMMYFUNCTION("""COMPUTED_VALUE"""),"Selibe Phikwe")</f>
        <v>Selibe Phikwe</v>
      </c>
      <c r="B831" s="9" t="str">
        <f>IFERROR(__xludf.DUMMYFUNCTION("""COMPUTED_VALUE"""),"bw-sp")</f>
        <v>bw-sp</v>
      </c>
      <c r="C831" s="9" t="str">
        <f>IFERROR(__xludf.DUMMYFUNCTION("GOOGLETRANSLATE($A831,""en"",""de"")"),"Selibe Phikwe")</f>
        <v>Selibe Phikwe</v>
      </c>
      <c r="D831" s="9" t="str">
        <f>IFERROR(__xludf.DUMMYFUNCTION("GOOGLETRANSLATE($A831,""en"",""fr"")"),"Sélibé Phikwe")</f>
        <v>Sélibé Phikwe</v>
      </c>
      <c r="E831" s="9" t="str">
        <f>IFERROR(__xludf.DUMMYFUNCTION("GOOGLETRANSLATE($A831,""en"",""es"")"),"Selibe Phikwe")</f>
        <v>Selibe Phikwe</v>
      </c>
      <c r="F831" s="9" t="str">
        <f>IFERROR(__xludf.DUMMYFUNCTION("GOOGLETRANSLATE($A831,""en"",""it"")"),"Selibe Phikwe")</f>
        <v>Selibe Phikwe</v>
      </c>
      <c r="G831" s="9" t="str">
        <f>IFERROR(__xludf.DUMMYFUNCTION("GOOGLETRANSLATE($A831,""en"",""zh-cn"")"),"塞利贝·菲奎")</f>
        <v>塞利贝·菲奎</v>
      </c>
      <c r="H831" s="9" t="str">
        <f>IFERROR(__xludf.DUMMYFUNCTION("GOOGLETRANSLATE($A831,""en"",""ja"")"),"セリベ・ピクウェ")</f>
        <v>セリベ・ピクウェ</v>
      </c>
      <c r="I831" s="9" t="str">
        <f>IFERROR(__xludf.DUMMYFUNCTION("GOOGLETRANSLATE($A831,""en"",""ko"")"),"셀리베 피퀘")</f>
        <v>셀리베 피퀘</v>
      </c>
      <c r="J831" s="9" t="str">
        <f>IFERROR(__xludf.DUMMYFUNCTION("GOOGLETRANSLATE($A831,""en"",""pt-BR"")"),"Selibe Phikwe")</f>
        <v>Selibe Phikwe</v>
      </c>
    </row>
    <row r="832">
      <c r="A832" s="9" t="str">
        <f>IFERROR(__xludf.DUMMYFUNCTION("""COMPUTED_VALUE"""),"Lobatse")</f>
        <v>Lobatse</v>
      </c>
      <c r="B832" s="9" t="str">
        <f>IFERROR(__xludf.DUMMYFUNCTION("""COMPUTED_VALUE"""),"bw-lo")</f>
        <v>bw-lo</v>
      </c>
      <c r="C832" s="9" t="str">
        <f>IFERROR(__xludf.DUMMYFUNCTION("GOOGLETRANSLATE($A832,""en"",""de"")"),"Lobatse")</f>
        <v>Lobatse</v>
      </c>
      <c r="D832" s="9" t="str">
        <f>IFERROR(__xludf.DUMMYFUNCTION("GOOGLETRANSLATE($A832,""en"",""fr"")"),"Lobatsé")</f>
        <v>Lobatsé</v>
      </c>
      <c r="E832" s="9" t="str">
        <f>IFERROR(__xludf.DUMMYFUNCTION("GOOGLETRANSLATE($A832,""en"",""es"")"),"Lobatse")</f>
        <v>Lobatse</v>
      </c>
      <c r="F832" s="9" t="str">
        <f>IFERROR(__xludf.DUMMYFUNCTION("GOOGLETRANSLATE($A832,""en"",""it"")"),"Lobatse")</f>
        <v>Lobatse</v>
      </c>
      <c r="G832" s="9" t="str">
        <f>IFERROR(__xludf.DUMMYFUNCTION("GOOGLETRANSLATE($A832,""en"",""zh-cn"")"),"洛巴策")</f>
        <v>洛巴策</v>
      </c>
      <c r="H832" s="9" t="str">
        <f>IFERROR(__xludf.DUMMYFUNCTION("GOOGLETRANSLATE($A832,""en"",""ja"")"),"ロバツェ")</f>
        <v>ロバツェ</v>
      </c>
      <c r="I832" s="9" t="str">
        <f>IFERROR(__xludf.DUMMYFUNCTION("GOOGLETRANSLATE($A832,""en"",""ko"")"),"로바체")</f>
        <v>로바체</v>
      </c>
      <c r="J832" s="9" t="str">
        <f>IFERROR(__xludf.DUMMYFUNCTION("GOOGLETRANSLATE($A832,""en"",""pt-BR"")"),"Lobatse")</f>
        <v>Lobatse</v>
      </c>
    </row>
    <row r="833">
      <c r="A833" s="9" t="str">
        <f>IFERROR(__xludf.DUMMYFUNCTION("""COMPUTED_VALUE"""),"Sowa Town")</f>
        <v>Sowa Town</v>
      </c>
      <c r="B833" s="9" t="str">
        <f>IFERROR(__xludf.DUMMYFUNCTION("""COMPUTED_VALUE"""),"bw-st")</f>
        <v>bw-st</v>
      </c>
      <c r="C833" s="9" t="str">
        <f>IFERROR(__xludf.DUMMYFUNCTION("GOOGLETRANSLATE($A833,""en"",""de"")"),"Sowa-Stadt")</f>
        <v>Sowa-Stadt</v>
      </c>
      <c r="D833" s="9" t="str">
        <f>IFERROR(__xludf.DUMMYFUNCTION("GOOGLETRANSLATE($A833,""en"",""fr"")"),"bourgade")</f>
        <v>bourgade</v>
      </c>
      <c r="E833" s="9" t="str">
        <f>IFERROR(__xludf.DUMMYFUNCTION("GOOGLETRANSLATE($A833,""en"",""es"")"),"ciudad de sowa")</f>
        <v>ciudad de sowa</v>
      </c>
      <c r="F833" s="9" t="str">
        <f>IFERROR(__xludf.DUMMYFUNCTION("GOOGLETRANSLATE($A833,""en"",""it"")"),"Città di Sowa")</f>
        <v>Città di Sowa</v>
      </c>
      <c r="G833" s="9" t="str">
        <f>IFERROR(__xludf.DUMMYFUNCTION("GOOGLETRANSLATE($A833,""en"",""zh-cn"")"),"索瓦町")</f>
        <v>索瓦町</v>
      </c>
      <c r="H833" s="9" t="str">
        <f>IFERROR(__xludf.DUMMYFUNCTION("GOOGLETRANSLATE($A833,""en"",""ja"")"),"総和町")</f>
        <v>総和町</v>
      </c>
      <c r="I833" s="9" t="str">
        <f>IFERROR(__xludf.DUMMYFUNCTION("GOOGLETRANSLATE($A833,""en"",""ko"")"),"소와초")</f>
        <v>소와초</v>
      </c>
      <c r="J833" s="9" t="str">
        <f>IFERROR(__xludf.DUMMYFUNCTION("GOOGLETRANSLATE($A833,""en"",""pt-BR"")"),"Cidade de Sowa")</f>
        <v>Cidade de Sowa</v>
      </c>
    </row>
    <row r="834">
      <c r="A834" s="9" t="str">
        <f>IFERROR(__xludf.DUMMYFUNCTION("""COMPUTED_VALUE"""),"Central (BW)")</f>
        <v>Central (BW)</v>
      </c>
      <c r="B834" s="9" t="str">
        <f>IFERROR(__xludf.DUMMYFUNCTION("""COMPUTED_VALUE"""),"bw-ce")</f>
        <v>bw-ce</v>
      </c>
      <c r="C834" s="9" t="str">
        <f>IFERROR(__xludf.DUMMYFUNCTION("GOOGLETRANSLATE($A834,""en"",""de"")"),"Zentral (BW)")</f>
        <v>Zentral (BW)</v>
      </c>
      <c r="D834" s="9" t="str">
        <f>IFERROR(__xludf.DUMMYFUNCTION("GOOGLETRANSLATE($A834,""en"",""fr"")"),"Centrale (PC)")</f>
        <v>Centrale (PC)</v>
      </c>
      <c r="E834" s="9" t="str">
        <f>IFERROR(__xludf.DUMMYFUNCTION("GOOGLETRANSLATE($A834,""en"",""es"")"),"Central (BW)")</f>
        <v>Central (BW)</v>
      </c>
      <c r="F834" s="9" t="str">
        <f>IFERROR(__xludf.DUMMYFUNCTION("GOOGLETRANSLATE($A834,""en"",""it"")"),"Centrale (bianco e nero)")</f>
        <v>Centrale (bianco e nero)</v>
      </c>
      <c r="G834" s="9" t="str">
        <f>IFERROR(__xludf.DUMMYFUNCTION("GOOGLETRANSLATE($A834,""en"",""zh-cn"")"),"中环 (BW)")</f>
        <v>中环 (BW)</v>
      </c>
      <c r="H834" s="9" t="str">
        <f>IFERROR(__xludf.DUMMYFUNCTION("GOOGLETRANSLATE($A834,""en"",""ja"")"),"中部 (BW)")</f>
        <v>中部 (BW)</v>
      </c>
      <c r="I834" s="9" t="str">
        <f>IFERROR(__xludf.DUMMYFUNCTION("GOOGLETRANSLATE($A834,""en"",""ko"")"),"센트럴(BW)")</f>
        <v>센트럴(BW)</v>
      </c>
      <c r="J834" s="9" t="str">
        <f>IFERROR(__xludf.DUMMYFUNCTION("GOOGLETRANSLATE($A834,""en"",""pt-BR"")"),"Central (BW)")</f>
        <v>Central (BW)</v>
      </c>
    </row>
    <row r="835">
      <c r="A835" s="9" t="str">
        <f>IFERROR(__xludf.DUMMYFUNCTION("""COMPUTED_VALUE"""),"Kgatleng")</f>
        <v>Kgatleng</v>
      </c>
      <c r="B835" s="9" t="str">
        <f>IFERROR(__xludf.DUMMYFUNCTION("""COMPUTED_VALUE"""),"bw-kl")</f>
        <v>bw-kl</v>
      </c>
      <c r="C835" s="9" t="str">
        <f>IFERROR(__xludf.DUMMYFUNCTION("GOOGLETRANSLATE($A835,""en"",""de"")"),"Kgatleng")</f>
        <v>Kgatleng</v>
      </c>
      <c r="D835" s="9" t="str">
        <f>IFERROR(__xludf.DUMMYFUNCTION("GOOGLETRANSLATE($A835,""en"",""fr"")"),"Kgatleng")</f>
        <v>Kgatleng</v>
      </c>
      <c r="E835" s="9" t="str">
        <f>IFERROR(__xludf.DUMMYFUNCTION("GOOGLETRANSLATE($A835,""en"",""es"")"),"Kgatleng")</f>
        <v>Kgatleng</v>
      </c>
      <c r="F835" s="9" t="str">
        <f>IFERROR(__xludf.DUMMYFUNCTION("GOOGLETRANSLATE($A835,""en"",""it"")"),"Kgatleng")</f>
        <v>Kgatleng</v>
      </c>
      <c r="G835" s="9" t="str">
        <f>IFERROR(__xludf.DUMMYFUNCTION("GOOGLETRANSLATE($A835,""en"",""zh-cn"")"),"克加特伦")</f>
        <v>克加特伦</v>
      </c>
      <c r="H835" s="9" t="str">
        <f>IFERROR(__xludf.DUMMYFUNCTION("GOOGLETRANSLATE($A835,""en"",""ja"")"),"カトレン")</f>
        <v>カトレン</v>
      </c>
      <c r="I835" s="9" t="str">
        <f>IFERROR(__xludf.DUMMYFUNCTION("GOOGLETRANSLATE($A835,""en"",""ko"")"),"크가틀렝")</f>
        <v>크가틀렝</v>
      </c>
      <c r="J835" s="9" t="str">
        <f>IFERROR(__xludf.DUMMYFUNCTION("GOOGLETRANSLATE($A835,""en"",""pt-BR"")"),"Kgatleng")</f>
        <v>Kgatleng</v>
      </c>
    </row>
    <row r="836">
      <c r="A836" s="9" t="str">
        <f>IFERROR(__xludf.DUMMYFUNCTION("""COMPUTED_VALUE"""),"Kweneng")</f>
        <v>Kweneng</v>
      </c>
      <c r="B836" s="9" t="str">
        <f>IFERROR(__xludf.DUMMYFUNCTION("""COMPUTED_VALUE"""),"bw-kw")</f>
        <v>bw-kw</v>
      </c>
      <c r="C836" s="9" t="str">
        <f>IFERROR(__xludf.DUMMYFUNCTION("GOOGLETRANSLATE($A836,""en"",""de"")"),"Kweneng")</f>
        <v>Kweneng</v>
      </c>
      <c r="D836" s="9" t="str">
        <f>IFERROR(__xludf.DUMMYFUNCTION("GOOGLETRANSLATE($A836,""en"",""fr"")"),"Kweneng")</f>
        <v>Kweneng</v>
      </c>
      <c r="E836" s="9" t="str">
        <f>IFERROR(__xludf.DUMMYFUNCTION("GOOGLETRANSLATE($A836,""en"",""es"")"),"Kweneng")</f>
        <v>Kweneng</v>
      </c>
      <c r="F836" s="9" t="str">
        <f>IFERROR(__xludf.DUMMYFUNCTION("GOOGLETRANSLATE($A836,""en"",""it"")"),"Kweneng")</f>
        <v>Kweneng</v>
      </c>
      <c r="G836" s="9" t="str">
        <f>IFERROR(__xludf.DUMMYFUNCTION("GOOGLETRANSLATE($A836,""en"",""zh-cn"")"),"奎宁")</f>
        <v>奎宁</v>
      </c>
      <c r="H836" s="9" t="str">
        <f>IFERROR(__xludf.DUMMYFUNCTION("GOOGLETRANSLATE($A836,""en"",""ja"")"),"クウェネン")</f>
        <v>クウェネン</v>
      </c>
      <c r="I836" s="9" t="str">
        <f>IFERROR(__xludf.DUMMYFUNCTION("GOOGLETRANSLATE($A836,""en"",""ko"")"),"크웨엥")</f>
        <v>크웨엥</v>
      </c>
      <c r="J836" s="9" t="str">
        <f>IFERROR(__xludf.DUMMYFUNCTION("GOOGLETRANSLATE($A836,""en"",""pt-BR"")"),"Kweneng")</f>
        <v>Kweneng</v>
      </c>
    </row>
    <row r="837">
      <c r="A837" s="9" t="str">
        <f>IFERROR(__xludf.DUMMYFUNCTION("""COMPUTED_VALUE"""),"North East")</f>
        <v>North East</v>
      </c>
      <c r="B837" s="9" t="str">
        <f>IFERROR(__xludf.DUMMYFUNCTION("""COMPUTED_VALUE"""),"bw-ne")</f>
        <v>bw-ne</v>
      </c>
      <c r="C837" s="9" t="str">
        <f>IFERROR(__xludf.DUMMYFUNCTION("GOOGLETRANSLATE($A837,""en"",""de"")"),"Nordosten")</f>
        <v>Nordosten</v>
      </c>
      <c r="D837" s="9" t="str">
        <f>IFERROR(__xludf.DUMMYFUNCTION("GOOGLETRANSLATE($A837,""en"",""fr"")"),"Nord-Est")</f>
        <v>Nord-Est</v>
      </c>
      <c r="E837" s="9" t="str">
        <f>IFERROR(__xludf.DUMMYFUNCTION("GOOGLETRANSLATE($A837,""en"",""es"")"),"Noreste")</f>
        <v>Noreste</v>
      </c>
      <c r="F837" s="9" t="str">
        <f>IFERROR(__xludf.DUMMYFUNCTION("GOOGLETRANSLATE($A837,""en"",""it"")"),"Nord Est")</f>
        <v>Nord Est</v>
      </c>
      <c r="G837" s="9" t="str">
        <f>IFERROR(__xludf.DUMMYFUNCTION("GOOGLETRANSLATE($A837,""en"",""zh-cn"")"),"东北")</f>
        <v>东北</v>
      </c>
      <c r="H837" s="9" t="str">
        <f>IFERROR(__xludf.DUMMYFUNCTION("GOOGLETRANSLATE($A837,""en"",""ja"")"),"北東")</f>
        <v>北東</v>
      </c>
      <c r="I837" s="9" t="str">
        <f>IFERROR(__xludf.DUMMYFUNCTION("GOOGLETRANSLATE($A837,""en"",""ko"")"),"북동쪽")</f>
        <v>북동쪽</v>
      </c>
      <c r="J837" s="9" t="str">
        <f>IFERROR(__xludf.DUMMYFUNCTION("GOOGLETRANSLATE($A837,""en"",""pt-BR"")"),"Nordeste")</f>
        <v>Nordeste</v>
      </c>
    </row>
    <row r="838">
      <c r="A838" s="9" t="str">
        <f>IFERROR(__xludf.DUMMYFUNCTION("""COMPUTED_VALUE"""),"Southern (BW)")</f>
        <v>Southern (BW)</v>
      </c>
      <c r="B838" s="9" t="str">
        <f>IFERROR(__xludf.DUMMYFUNCTION("""COMPUTED_VALUE"""),"bw-so")</f>
        <v>bw-so</v>
      </c>
      <c r="C838" s="9" t="str">
        <f>IFERROR(__xludf.DUMMYFUNCTION("GOOGLETRANSLATE($A838,""en"",""de"")"),"Süd (BW)")</f>
        <v>Süd (BW)</v>
      </c>
      <c r="D838" s="9" t="str">
        <f>IFERROR(__xludf.DUMMYFUNCTION("GOOGLETRANSLATE($A838,""en"",""fr"")"),"Sud (BW)")</f>
        <v>Sud (BW)</v>
      </c>
      <c r="E838" s="9" t="str">
        <f>IFERROR(__xludf.DUMMYFUNCTION("GOOGLETRANSLATE($A838,""en"",""es"")"),"Sur (BW)")</f>
        <v>Sur (BW)</v>
      </c>
      <c r="F838" s="9" t="str">
        <f>IFERROR(__xludf.DUMMYFUNCTION("GOOGLETRANSLATE($A838,""en"",""it"")"),"Meridionale (bianco e nero)")</f>
        <v>Meridionale (bianco e nero)</v>
      </c>
      <c r="G838" s="9" t="str">
        <f>IFERROR(__xludf.DUMMYFUNCTION("GOOGLETRANSLATE($A838,""en"",""zh-cn"")"),"南部 (BW)")</f>
        <v>南部 (BW)</v>
      </c>
      <c r="H838" s="9" t="str">
        <f>IFERROR(__xludf.DUMMYFUNCTION("GOOGLETRANSLATE($A838,""en"",""ja"")"),"南部 (BW)")</f>
        <v>南部 (BW)</v>
      </c>
      <c r="I838" s="9" t="str">
        <f>IFERROR(__xludf.DUMMYFUNCTION("GOOGLETRANSLATE($A838,""en"",""ko"")"),"남부(BW)")</f>
        <v>남부(BW)</v>
      </c>
      <c r="J838" s="9" t="str">
        <f>IFERROR(__xludf.DUMMYFUNCTION("GOOGLETRANSLATE($A838,""en"",""pt-BR"")"),"Sul (BW)")</f>
        <v>Sul (BW)</v>
      </c>
    </row>
    <row r="839">
      <c r="A839" s="9" t="str">
        <f>IFERROR(__xludf.DUMMYFUNCTION("""COMPUTED_VALUE"""),"Espírito Santo")</f>
        <v>Espírito Santo</v>
      </c>
      <c r="B839" s="9" t="str">
        <f>IFERROR(__xludf.DUMMYFUNCTION("""COMPUTED_VALUE"""),"br-es")</f>
        <v>br-es</v>
      </c>
      <c r="C839" s="9" t="str">
        <f>IFERROR(__xludf.DUMMYFUNCTION("GOOGLETRANSLATE($A839,""en"",""de"")"),"Espírito Santo")</f>
        <v>Espírito Santo</v>
      </c>
      <c r="D839" s="9" t="str">
        <f>IFERROR(__xludf.DUMMYFUNCTION("GOOGLETRANSLATE($A839,""en"",""fr"")"),"Esprit Saint")</f>
        <v>Esprit Saint</v>
      </c>
      <c r="E839" s="9" t="str">
        <f>IFERROR(__xludf.DUMMYFUNCTION("GOOGLETRANSLATE($A839,""en"",""es"")"),"Espíritu Santo")</f>
        <v>Espíritu Santo</v>
      </c>
      <c r="F839" s="9" t="str">
        <f>IFERROR(__xludf.DUMMYFUNCTION("GOOGLETRANSLATE($A839,""en"",""it"")"),"Spirito Santo")</f>
        <v>Spirito Santo</v>
      </c>
      <c r="G839" s="9" t="str">
        <f>IFERROR(__xludf.DUMMYFUNCTION("GOOGLETRANSLATE($A839,""en"",""zh-cn"")"),"圣埃斯皮里图州")</f>
        <v>圣埃斯皮里图州</v>
      </c>
      <c r="H839" s="9" t="str">
        <f>IFERROR(__xludf.DUMMYFUNCTION("GOOGLETRANSLATE($A839,""en"",""ja"")"),"エスピリトサント島")</f>
        <v>エスピリトサント島</v>
      </c>
      <c r="I839" s="9" t="str">
        <f>IFERROR(__xludf.DUMMYFUNCTION("GOOGLETRANSLATE($A839,""en"",""ko"")"),"에스피리토 산투")</f>
        <v>에스피리토 산투</v>
      </c>
      <c r="J839" s="9" t="str">
        <f>IFERROR(__xludf.DUMMYFUNCTION("GOOGLETRANSLATE($A839,""en"",""pt-BR"")"),"Espírito Santo")</f>
        <v>Espírito Santo</v>
      </c>
    </row>
    <row r="840">
      <c r="A840" s="9" t="str">
        <f>IFERROR(__xludf.DUMMYFUNCTION("""COMPUTED_VALUE"""),"Roraima")</f>
        <v>Roraima</v>
      </c>
      <c r="B840" s="9" t="str">
        <f>IFERROR(__xludf.DUMMYFUNCTION("""COMPUTED_VALUE"""),"br-rr")</f>
        <v>br-rr</v>
      </c>
      <c r="C840" s="9" t="str">
        <f>IFERROR(__xludf.DUMMYFUNCTION("GOOGLETRANSLATE($A840,""en"",""de"")"),"Roraima")</f>
        <v>Roraima</v>
      </c>
      <c r="D840" s="9" t="str">
        <f>IFERROR(__xludf.DUMMYFUNCTION("GOOGLETRANSLATE($A840,""en"",""fr"")"),"Roraima")</f>
        <v>Roraima</v>
      </c>
      <c r="E840" s="9" t="str">
        <f>IFERROR(__xludf.DUMMYFUNCTION("GOOGLETRANSLATE($A840,""en"",""es"")"),"Roraima")</f>
        <v>Roraima</v>
      </c>
      <c r="F840" s="9" t="str">
        <f>IFERROR(__xludf.DUMMYFUNCTION("GOOGLETRANSLATE($A840,""en"",""it"")"),"Roraima")</f>
        <v>Roraima</v>
      </c>
      <c r="G840" s="9" t="str">
        <f>IFERROR(__xludf.DUMMYFUNCTION("GOOGLETRANSLATE($A840,""en"",""zh-cn"")"),"罗赖马州")</f>
        <v>罗赖马州</v>
      </c>
      <c r="H840" s="9" t="str">
        <f>IFERROR(__xludf.DUMMYFUNCTION("GOOGLETRANSLATE($A840,""en"",""ja"")"),"ロライマ")</f>
        <v>ロライマ</v>
      </c>
      <c r="I840" s="9" t="str">
        <f>IFERROR(__xludf.DUMMYFUNCTION("GOOGLETRANSLATE($A840,""en"",""ko"")"),"로라이마")</f>
        <v>로라이마</v>
      </c>
      <c r="J840" s="9" t="str">
        <f>IFERROR(__xludf.DUMMYFUNCTION("GOOGLETRANSLATE($A840,""en"",""pt-BR"")"),"Roraima")</f>
        <v>Roraima</v>
      </c>
    </row>
    <row r="841">
      <c r="A841" s="9" t="str">
        <f>IFERROR(__xludf.DUMMYFUNCTION("""COMPUTED_VALUE"""),"Amazonas (BR)")</f>
        <v>Amazonas (BR)</v>
      </c>
      <c r="B841" s="9" t="str">
        <f>IFERROR(__xludf.DUMMYFUNCTION("""COMPUTED_VALUE"""),"br-am")</f>
        <v>br-am</v>
      </c>
      <c r="C841" s="9" t="str">
        <f>IFERROR(__xludf.DUMMYFUNCTION("GOOGLETRANSLATE($A841,""en"",""de"")"),"Amazonas (BR)")</f>
        <v>Amazonas (BR)</v>
      </c>
      <c r="D841" s="9" t="str">
        <f>IFERROR(__xludf.DUMMYFUNCTION("GOOGLETRANSLATE($A841,""en"",""fr"")"),"Amazonas (BR)")</f>
        <v>Amazonas (BR)</v>
      </c>
      <c r="E841" s="9" t="str">
        <f>IFERROR(__xludf.DUMMYFUNCTION("GOOGLETRANSLATE($A841,""en"",""es"")"),"Amazonas (BR)")</f>
        <v>Amazonas (BR)</v>
      </c>
      <c r="F841" s="9" t="str">
        <f>IFERROR(__xludf.DUMMYFUNCTION("GOOGLETRANSLATE($A841,""en"",""it"")"),"Amazzonia (BR)")</f>
        <v>Amazzonia (BR)</v>
      </c>
      <c r="G841" s="9" t="str">
        <f>IFERROR(__xludf.DUMMYFUNCTION("GOOGLETRANSLATE($A841,""en"",""zh-cn"")"),"亚马逊（巴西）")</f>
        <v>亚马逊（巴西）</v>
      </c>
      <c r="H841" s="9" t="str">
        <f>IFERROR(__xludf.DUMMYFUNCTION("GOOGLETRANSLATE($A841,""en"",""ja"")"),"アマゾナス州（ブラジル）")</f>
        <v>アマゾナス州（ブラジル）</v>
      </c>
      <c r="I841" s="9" t="str">
        <f>IFERROR(__xludf.DUMMYFUNCTION("GOOGLETRANSLATE($A841,""en"",""ko"")"),"아마조나스(BR)")</f>
        <v>아마조나스(BR)</v>
      </c>
      <c r="J841" s="9" t="str">
        <f>IFERROR(__xludf.DUMMYFUNCTION("GOOGLETRANSLATE($A841,""en"",""pt-BR"")"),"Amazonas (BR)")</f>
        <v>Amazonas (BR)</v>
      </c>
    </row>
    <row r="842">
      <c r="A842" s="9" t="str">
        <f>IFERROR(__xludf.DUMMYFUNCTION("""COMPUTED_VALUE"""),"Mato Grosso do Sul")</f>
        <v>Mato Grosso do Sul</v>
      </c>
      <c r="B842" s="9" t="str">
        <f>IFERROR(__xludf.DUMMYFUNCTION("""COMPUTED_VALUE"""),"br-ms")</f>
        <v>br-ms</v>
      </c>
      <c r="C842" s="9" t="str">
        <f>IFERROR(__xludf.DUMMYFUNCTION("GOOGLETRANSLATE($A842,""en"",""de"")"),"Mato Grosso do Sul")</f>
        <v>Mato Grosso do Sul</v>
      </c>
      <c r="D842" s="9" t="str">
        <f>IFERROR(__xludf.DUMMYFUNCTION("GOOGLETRANSLATE($A842,""en"",""fr"")"),"Mato Grosso du Sud")</f>
        <v>Mato Grosso du Sud</v>
      </c>
      <c r="E842" s="9" t="str">
        <f>IFERROR(__xludf.DUMMYFUNCTION("GOOGLETRANSLATE($A842,""en"",""es"")"),"Mato Grosso del Sur")</f>
        <v>Mato Grosso del Sur</v>
      </c>
      <c r="F842" s="9" t="str">
        <f>IFERROR(__xludf.DUMMYFUNCTION("GOOGLETRANSLATE($A842,""en"",""it"")"),"Mato Grosso do Sul")</f>
        <v>Mato Grosso do Sul</v>
      </c>
      <c r="G842" s="9" t="str">
        <f>IFERROR(__xludf.DUMMYFUNCTION("GOOGLETRANSLATE($A842,""en"",""zh-cn"")"),"南马托格罗索州")</f>
        <v>南马托格罗索州</v>
      </c>
      <c r="H842" s="9" t="str">
        <f>IFERROR(__xludf.DUMMYFUNCTION("GOOGLETRANSLATE($A842,""en"",""ja"")"),"マットグロッソ・ド・スル州")</f>
        <v>マットグロッソ・ド・スル州</v>
      </c>
      <c r="I842" s="9" t="str">
        <f>IFERROR(__xludf.DUMMYFUNCTION("GOOGLETRANSLATE($A842,""en"",""ko"")"),"마투 그로소 두 술")</f>
        <v>마투 그로소 두 술</v>
      </c>
      <c r="J842" s="9" t="str">
        <f>IFERROR(__xludf.DUMMYFUNCTION("GOOGLETRANSLATE($A842,""en"",""pt-BR"")"),"Mato Grosso do Sul")</f>
        <v>Mato Grosso do Sul</v>
      </c>
    </row>
    <row r="843">
      <c r="A843" s="9" t="str">
        <f>IFERROR(__xludf.DUMMYFUNCTION("""COMPUTED_VALUE"""),"Piauí")</f>
        <v>Piauí</v>
      </c>
      <c r="B843" s="9" t="str">
        <f>IFERROR(__xludf.DUMMYFUNCTION("""COMPUTED_VALUE"""),"br-pi")</f>
        <v>br-pi</v>
      </c>
      <c r="C843" s="9" t="str">
        <f>IFERROR(__xludf.DUMMYFUNCTION("GOOGLETRANSLATE($A843,""en"",""de"")"),"Piauí")</f>
        <v>Piauí</v>
      </c>
      <c r="D843" s="9" t="str">
        <f>IFERROR(__xludf.DUMMYFUNCTION("GOOGLETRANSLATE($A843,""en"",""fr"")"),"Piauí")</f>
        <v>Piauí</v>
      </c>
      <c r="E843" s="9" t="str">
        <f>IFERROR(__xludf.DUMMYFUNCTION("GOOGLETRANSLATE($A843,""en"",""es"")"),"Piauí")</f>
        <v>Piauí</v>
      </c>
      <c r="F843" s="9" t="str">
        <f>IFERROR(__xludf.DUMMYFUNCTION("GOOGLETRANSLATE($A843,""en"",""it"")"),"Piauí")</f>
        <v>Piauí</v>
      </c>
      <c r="G843" s="9" t="str">
        <f>IFERROR(__xludf.DUMMYFUNCTION("GOOGLETRANSLATE($A843,""en"",""zh-cn"")"),"皮奥伊")</f>
        <v>皮奥伊</v>
      </c>
      <c r="H843" s="9" t="str">
        <f>IFERROR(__xludf.DUMMYFUNCTION("GOOGLETRANSLATE($A843,""en"",""ja"")"),"ピアウイ")</f>
        <v>ピアウイ</v>
      </c>
      <c r="I843" s="9" t="str">
        <f>IFERROR(__xludf.DUMMYFUNCTION("GOOGLETRANSLATE($A843,""en"",""ko"")"),"피아우이")</f>
        <v>피아우이</v>
      </c>
      <c r="J843" s="9" t="str">
        <f>IFERROR(__xludf.DUMMYFUNCTION("GOOGLETRANSLATE($A843,""en"",""pt-BR"")"),"Piauí")</f>
        <v>Piauí</v>
      </c>
    </row>
    <row r="844">
      <c r="A844" s="9" t="str">
        <f>IFERROR(__xludf.DUMMYFUNCTION("""COMPUTED_VALUE"""),"Goiás")</f>
        <v>Goiás</v>
      </c>
      <c r="B844" s="9" t="str">
        <f>IFERROR(__xludf.DUMMYFUNCTION("""COMPUTED_VALUE"""),"br-go")</f>
        <v>br-go</v>
      </c>
      <c r="C844" s="9" t="str">
        <f>IFERROR(__xludf.DUMMYFUNCTION("GOOGLETRANSLATE($A844,""en"",""de"")"),"Goias")</f>
        <v>Goias</v>
      </c>
      <c r="D844" s="9" t="str">
        <f>IFERROR(__xludf.DUMMYFUNCTION("GOOGLETRANSLATE($A844,""en"",""fr"")"),"Goias")</f>
        <v>Goias</v>
      </c>
      <c r="E844" s="9" t="str">
        <f>IFERROR(__xludf.DUMMYFUNCTION("GOOGLETRANSLATE($A844,""en"",""es"")"),"Goias")</f>
        <v>Goias</v>
      </c>
      <c r="F844" s="9" t="str">
        <f>IFERROR(__xludf.DUMMYFUNCTION("GOOGLETRANSLATE($A844,""en"",""it"")"),"Goias")</f>
        <v>Goias</v>
      </c>
      <c r="G844" s="9" t="str">
        <f>IFERROR(__xludf.DUMMYFUNCTION("GOOGLETRANSLATE($A844,""en"",""zh-cn"")"),"戈亚斯州")</f>
        <v>戈亚斯州</v>
      </c>
      <c r="H844" s="9" t="str">
        <f>IFERROR(__xludf.DUMMYFUNCTION("GOOGLETRANSLATE($A844,""en"",""ja"")"),"ゴイアス")</f>
        <v>ゴイアス</v>
      </c>
      <c r="I844" s="9" t="str">
        <f>IFERROR(__xludf.DUMMYFUNCTION("GOOGLETRANSLATE($A844,""en"",""ko"")"),"고이아스")</f>
        <v>고이아스</v>
      </c>
      <c r="J844" s="9" t="str">
        <f>IFERROR(__xludf.DUMMYFUNCTION("GOOGLETRANSLATE($A844,""en"",""pt-BR"")"),"Goiás")</f>
        <v>Goiás</v>
      </c>
    </row>
    <row r="845">
      <c r="A845" s="9" t="str">
        <f>IFERROR(__xludf.DUMMYFUNCTION("""COMPUTED_VALUE"""),"Maranhão")</f>
        <v>Maranhão</v>
      </c>
      <c r="B845" s="9" t="str">
        <f>IFERROR(__xludf.DUMMYFUNCTION("""COMPUTED_VALUE"""),"br-ma")</f>
        <v>br-ma</v>
      </c>
      <c r="C845" s="9" t="str">
        <f>IFERROR(__xludf.DUMMYFUNCTION("GOOGLETRANSLATE($A845,""en"",""de"")"),"Maranhão")</f>
        <v>Maranhão</v>
      </c>
      <c r="D845" s="9" t="str">
        <f>IFERROR(__xludf.DUMMYFUNCTION("GOOGLETRANSLATE($A845,""en"",""fr"")"),"Maranhão")</f>
        <v>Maranhão</v>
      </c>
      <c r="E845" s="9" t="str">
        <f>IFERROR(__xludf.DUMMYFUNCTION("GOOGLETRANSLATE($A845,""en"",""es"")"),"maranhao")</f>
        <v>maranhao</v>
      </c>
      <c r="F845" s="9" t="str">
        <f>IFERROR(__xludf.DUMMYFUNCTION("GOOGLETRANSLATE($A845,""en"",""it"")"),"Maranhao")</f>
        <v>Maranhao</v>
      </c>
      <c r="G845" s="9" t="str">
        <f>IFERROR(__xludf.DUMMYFUNCTION("GOOGLETRANSLATE($A845,""en"",""zh-cn"")"),"马拉尼昂州")</f>
        <v>马拉尼昂州</v>
      </c>
      <c r="H845" s="9" t="str">
        <f>IFERROR(__xludf.DUMMYFUNCTION("GOOGLETRANSLATE($A845,""en"",""ja"")"),"マラニョン")</f>
        <v>マラニョン</v>
      </c>
      <c r="I845" s="9" t="str">
        <f>IFERROR(__xludf.DUMMYFUNCTION("GOOGLETRANSLATE($A845,""en"",""ko"")"),"마라냥")</f>
        <v>마라냥</v>
      </c>
      <c r="J845" s="9" t="str">
        <f>IFERROR(__xludf.DUMMYFUNCTION("GOOGLETRANSLATE($A845,""en"",""pt-BR"")"),"Maranhão")</f>
        <v>Maranhão</v>
      </c>
    </row>
    <row r="846">
      <c r="A846" s="9" t="str">
        <f>IFERROR(__xludf.DUMMYFUNCTION("""COMPUTED_VALUE"""),"Pernambuco")</f>
        <v>Pernambuco</v>
      </c>
      <c r="B846" s="9" t="str">
        <f>IFERROR(__xludf.DUMMYFUNCTION("""COMPUTED_VALUE"""),"br-pe")</f>
        <v>br-pe</v>
      </c>
      <c r="C846" s="9" t="str">
        <f>IFERROR(__xludf.DUMMYFUNCTION("GOOGLETRANSLATE($A846,""en"",""de"")"),"Fernambuk")</f>
        <v>Fernambuk</v>
      </c>
      <c r="D846" s="9" t="str">
        <f>IFERROR(__xludf.DUMMYFUNCTION("GOOGLETRANSLATE($A846,""en"",""fr"")"),"Pernambouc")</f>
        <v>Pernambouc</v>
      </c>
      <c r="E846" s="9" t="str">
        <f>IFERROR(__xludf.DUMMYFUNCTION("GOOGLETRANSLATE($A846,""en"",""es"")"),"Pernambuco")</f>
        <v>Pernambuco</v>
      </c>
      <c r="F846" s="9" t="str">
        <f>IFERROR(__xludf.DUMMYFUNCTION("GOOGLETRANSLATE($A846,""en"",""it"")"),"Pernambuco")</f>
        <v>Pernambuco</v>
      </c>
      <c r="G846" s="9" t="str">
        <f>IFERROR(__xludf.DUMMYFUNCTION("GOOGLETRANSLATE($A846,""en"",""zh-cn"")"),"伯南布哥州")</f>
        <v>伯南布哥州</v>
      </c>
      <c r="H846" s="9" t="str">
        <f>IFERROR(__xludf.DUMMYFUNCTION("GOOGLETRANSLATE($A846,""en"",""ja"")"),"ペルナンブコ州")</f>
        <v>ペルナンブコ州</v>
      </c>
      <c r="I846" s="9" t="str">
        <f>IFERROR(__xludf.DUMMYFUNCTION("GOOGLETRANSLATE($A846,""en"",""ko"")"),"페르남부쿠")</f>
        <v>페르남부쿠</v>
      </c>
      <c r="J846" s="9" t="str">
        <f>IFERROR(__xludf.DUMMYFUNCTION("GOOGLETRANSLATE($A846,""en"",""pt-BR"")"),"Pernambucano")</f>
        <v>Pernambucano</v>
      </c>
    </row>
    <row r="847">
      <c r="A847" s="9" t="str">
        <f>IFERROR(__xludf.DUMMYFUNCTION("""COMPUTED_VALUE"""),"Rondônia")</f>
        <v>Rondônia</v>
      </c>
      <c r="B847" s="9" t="str">
        <f>IFERROR(__xludf.DUMMYFUNCTION("""COMPUTED_VALUE"""),"br-ro")</f>
        <v>br-ro</v>
      </c>
      <c r="C847" s="9" t="str">
        <f>IFERROR(__xludf.DUMMYFUNCTION("GOOGLETRANSLATE($A847,""en"",""de"")"),"Rondônia")</f>
        <v>Rondônia</v>
      </c>
      <c r="D847" s="9" t="str">
        <f>IFERROR(__xludf.DUMMYFUNCTION("GOOGLETRANSLATE($A847,""en"",""fr"")"),"Rondonia")</f>
        <v>Rondonia</v>
      </c>
      <c r="E847" s="9" t="str">
        <f>IFERROR(__xludf.DUMMYFUNCTION("GOOGLETRANSLATE($A847,""en"",""es"")"),"Rondonia")</f>
        <v>Rondonia</v>
      </c>
      <c r="F847" s="9" t="str">
        <f>IFERROR(__xludf.DUMMYFUNCTION("GOOGLETRANSLATE($A847,""en"",""it"")"),"Rondônia")</f>
        <v>Rondônia</v>
      </c>
      <c r="G847" s="9" t="str">
        <f>IFERROR(__xludf.DUMMYFUNCTION("GOOGLETRANSLATE($A847,""en"",""zh-cn"")"),"朗多尼亚")</f>
        <v>朗多尼亚</v>
      </c>
      <c r="H847" s="9" t="str">
        <f>IFERROR(__xludf.DUMMYFUNCTION("GOOGLETRANSLATE($A847,""en"",""ja"")"),"ロンドニア")</f>
        <v>ロンドニア</v>
      </c>
      <c r="I847" s="9" t="str">
        <f>IFERROR(__xludf.DUMMYFUNCTION("GOOGLETRANSLATE($A847,""en"",""ko"")"),"혼도니아")</f>
        <v>혼도니아</v>
      </c>
      <c r="J847" s="9" t="str">
        <f>IFERROR(__xludf.DUMMYFUNCTION("GOOGLETRANSLATE($A847,""en"",""pt-BR"")"),"Rondônia")</f>
        <v>Rondônia</v>
      </c>
    </row>
    <row r="848">
      <c r="A848" s="9" t="str">
        <f>IFERROR(__xludf.DUMMYFUNCTION("""COMPUTED_VALUE"""),"Rio de Janeiro")</f>
        <v>Rio de Janeiro</v>
      </c>
      <c r="B848" s="9" t="str">
        <f>IFERROR(__xludf.DUMMYFUNCTION("""COMPUTED_VALUE"""),"br-rj")</f>
        <v>br-rj</v>
      </c>
      <c r="C848" s="9" t="str">
        <f>IFERROR(__xludf.DUMMYFUNCTION("GOOGLETRANSLATE($A848,""en"",""de"")"),"Rio de Janeiro")</f>
        <v>Rio de Janeiro</v>
      </c>
      <c r="D848" s="9" t="str">
        <f>IFERROR(__xludf.DUMMYFUNCTION("GOOGLETRANSLATE($A848,""en"",""fr"")"),"Rio de Janeiro")</f>
        <v>Rio de Janeiro</v>
      </c>
      <c r="E848" s="9" t="str">
        <f>IFERROR(__xludf.DUMMYFUNCTION("GOOGLETRANSLATE($A848,""en"",""es"")"),"Río de Janeiro")</f>
        <v>Río de Janeiro</v>
      </c>
      <c r="F848" s="9" t="str">
        <f>IFERROR(__xludf.DUMMYFUNCTION("GOOGLETRANSLATE($A848,""en"",""it"")"),"Rio de Janeiro")</f>
        <v>Rio de Janeiro</v>
      </c>
      <c r="G848" s="9" t="str">
        <f>IFERROR(__xludf.DUMMYFUNCTION("GOOGLETRANSLATE($A848,""en"",""zh-cn"")"),"里约热内卢")</f>
        <v>里约热内卢</v>
      </c>
      <c r="H848" s="9" t="str">
        <f>IFERROR(__xludf.DUMMYFUNCTION("GOOGLETRANSLATE($A848,""en"",""ja"")"),"リオデジャネイロ")</f>
        <v>リオデジャネイロ</v>
      </c>
      <c r="I848" s="9" t="str">
        <f>IFERROR(__xludf.DUMMYFUNCTION("GOOGLETRANSLATE($A848,""en"",""ko"")"),"리우데자네이루")</f>
        <v>리우데자네이루</v>
      </c>
      <c r="J848" s="9" t="str">
        <f>IFERROR(__xludf.DUMMYFUNCTION("GOOGLETRANSLATE($A848,""en"",""pt-BR"")"),"Rio de Janeiro")</f>
        <v>Rio de Janeiro</v>
      </c>
    </row>
    <row r="849">
      <c r="A849" s="9" t="str">
        <f>IFERROR(__xludf.DUMMYFUNCTION("""COMPUTED_VALUE"""),"Alagoas")</f>
        <v>Alagoas</v>
      </c>
      <c r="B849" s="9" t="str">
        <f>IFERROR(__xludf.DUMMYFUNCTION("""COMPUTED_VALUE"""),"br-al")</f>
        <v>br-al</v>
      </c>
      <c r="C849" s="9" t="str">
        <f>IFERROR(__xludf.DUMMYFUNCTION("GOOGLETRANSLATE($A849,""en"",""de"")"),"Alagoas")</f>
        <v>Alagoas</v>
      </c>
      <c r="D849" s="9" t="str">
        <f>IFERROR(__xludf.DUMMYFUNCTION("GOOGLETRANSLATE($A849,""en"",""fr"")"),"Alagoas")</f>
        <v>Alagoas</v>
      </c>
      <c r="E849" s="9" t="str">
        <f>IFERROR(__xludf.DUMMYFUNCTION("GOOGLETRANSLATE($A849,""en"",""es"")"),"Alagoas")</f>
        <v>Alagoas</v>
      </c>
      <c r="F849" s="9" t="str">
        <f>IFERROR(__xludf.DUMMYFUNCTION("GOOGLETRANSLATE($A849,""en"",""it"")"),"Alagoas")</f>
        <v>Alagoas</v>
      </c>
      <c r="G849" s="9" t="str">
        <f>IFERROR(__xludf.DUMMYFUNCTION("GOOGLETRANSLATE($A849,""en"",""zh-cn"")"),"阿拉戈斯")</f>
        <v>阿拉戈斯</v>
      </c>
      <c r="H849" s="9" t="str">
        <f>IFERROR(__xludf.DUMMYFUNCTION("GOOGLETRANSLATE($A849,""en"",""ja"")"),"アラゴアス")</f>
        <v>アラゴアス</v>
      </c>
      <c r="I849" s="9" t="str">
        <f>IFERROR(__xludf.DUMMYFUNCTION("GOOGLETRANSLATE($A849,""en"",""ko"")"),"알라고아스")</f>
        <v>알라고아스</v>
      </c>
      <c r="J849" s="9" t="str">
        <f>IFERROR(__xludf.DUMMYFUNCTION("GOOGLETRANSLATE($A849,""en"",""pt-BR"")"),"Alagoas")</f>
        <v>Alagoas</v>
      </c>
    </row>
    <row r="850">
      <c r="A850" s="9" t="str">
        <f>IFERROR(__xludf.DUMMYFUNCTION("""COMPUTED_VALUE"""),"Rio Grande do Norte")</f>
        <v>Rio Grande do Norte</v>
      </c>
      <c r="B850" s="9" t="str">
        <f>IFERROR(__xludf.DUMMYFUNCTION("""COMPUTED_VALUE"""),"br-rn")</f>
        <v>br-rn</v>
      </c>
      <c r="C850" s="9" t="str">
        <f>IFERROR(__xludf.DUMMYFUNCTION("GOOGLETRANSLATE($A850,""en"",""de"")"),"Rio Grande do Norte")</f>
        <v>Rio Grande do Norte</v>
      </c>
      <c r="D850" s="9" t="str">
        <f>IFERROR(__xludf.DUMMYFUNCTION("GOOGLETRANSLATE($A850,""en"",""fr"")"),"Rio Grande do Norte")</f>
        <v>Rio Grande do Norte</v>
      </c>
      <c r="E850" s="9" t="str">
        <f>IFERROR(__xludf.DUMMYFUNCTION("GOOGLETRANSLATE($A850,""en"",""es"")"),"Río Grande del Norte")</f>
        <v>Río Grande del Norte</v>
      </c>
      <c r="F850" s="9" t="str">
        <f>IFERROR(__xludf.DUMMYFUNCTION("GOOGLETRANSLATE($A850,""en"",""it"")"),"Rio Grande do Norte")</f>
        <v>Rio Grande do Norte</v>
      </c>
      <c r="G850" s="9" t="str">
        <f>IFERROR(__xludf.DUMMYFUNCTION("GOOGLETRANSLATE($A850,""en"",""zh-cn"")"),"北里奥格兰德州")</f>
        <v>北里奥格兰德州</v>
      </c>
      <c r="H850" s="9" t="str">
        <f>IFERROR(__xludf.DUMMYFUNCTION("GOOGLETRANSLATE($A850,""en"",""ja"")"),"リオグランデ・ド・ノルテ")</f>
        <v>リオグランデ・ド・ノルテ</v>
      </c>
      <c r="I850" s="9" t="str">
        <f>IFERROR(__xludf.DUMMYFUNCTION("GOOGLETRANSLATE($A850,""en"",""ko"")"),"리오 그란데 두 노르테")</f>
        <v>리오 그란데 두 노르테</v>
      </c>
      <c r="J850" s="9" t="str">
        <f>IFERROR(__xludf.DUMMYFUNCTION("GOOGLETRANSLATE($A850,""en"",""pt-BR"")"),"Rio Grande do Norte")</f>
        <v>Rio Grande do Norte</v>
      </c>
    </row>
    <row r="851">
      <c r="A851" s="9" t="str">
        <f>IFERROR(__xludf.DUMMYFUNCTION("""COMPUTED_VALUE"""),"Sergipe")</f>
        <v>Sergipe</v>
      </c>
      <c r="B851" s="9" t="str">
        <f>IFERROR(__xludf.DUMMYFUNCTION("""COMPUTED_VALUE"""),"br-se")</f>
        <v>br-se</v>
      </c>
      <c r="C851" s="9" t="str">
        <f>IFERROR(__xludf.DUMMYFUNCTION("GOOGLETRANSLATE($A851,""en"",""de"")"),"Sergipe")</f>
        <v>Sergipe</v>
      </c>
      <c r="D851" s="9" t="str">
        <f>IFERROR(__xludf.DUMMYFUNCTION("GOOGLETRANSLATE($A851,""en"",""fr"")"),"Sergipe")</f>
        <v>Sergipe</v>
      </c>
      <c r="E851" s="9" t="str">
        <f>IFERROR(__xludf.DUMMYFUNCTION("GOOGLETRANSLATE($A851,""en"",""es"")"),"Sergipe")</f>
        <v>Sergipe</v>
      </c>
      <c r="F851" s="9" t="str">
        <f>IFERROR(__xludf.DUMMYFUNCTION("GOOGLETRANSLATE($A851,""en"",""it"")"),"Sergipe")</f>
        <v>Sergipe</v>
      </c>
      <c r="G851" s="9" t="str">
        <f>IFERROR(__xludf.DUMMYFUNCTION("GOOGLETRANSLATE($A851,""en"",""zh-cn"")"),"塞尔希培")</f>
        <v>塞尔希培</v>
      </c>
      <c r="H851" s="9" t="str">
        <f>IFERROR(__xludf.DUMMYFUNCTION("GOOGLETRANSLATE($A851,""en"",""ja"")"),"セルジッペ")</f>
        <v>セルジッペ</v>
      </c>
      <c r="I851" s="9" t="str">
        <f>IFERROR(__xludf.DUMMYFUNCTION("GOOGLETRANSLATE($A851,""en"",""ko"")"),"세르지페")</f>
        <v>세르지페</v>
      </c>
      <c r="J851" s="9" t="str">
        <f>IFERROR(__xludf.DUMMYFUNCTION("GOOGLETRANSLATE($A851,""en"",""pt-BR"")"),"Sergipe")</f>
        <v>Sergipe</v>
      </c>
    </row>
    <row r="852">
      <c r="A852" s="9" t="str">
        <f>IFERROR(__xludf.DUMMYFUNCTION("""COMPUTED_VALUE"""),"Federal District (BR)")</f>
        <v>Federal District (BR)</v>
      </c>
      <c r="B852" s="9" t="str">
        <f>IFERROR(__xludf.DUMMYFUNCTION("""COMPUTED_VALUE"""),"br-df")</f>
        <v>br-df</v>
      </c>
      <c r="C852" s="9" t="str">
        <f>IFERROR(__xludf.DUMMYFUNCTION("GOOGLETRANSLATE($A852,""en"",""de"")"),"Bundesdistrikt (BR)")</f>
        <v>Bundesdistrikt (BR)</v>
      </c>
      <c r="D852" s="9" t="str">
        <f>IFERROR(__xludf.DUMMYFUNCTION("GOOGLETRANSLATE($A852,""en"",""fr"")"),"District fédéral (BR)")</f>
        <v>District fédéral (BR)</v>
      </c>
      <c r="E852" s="9" t="str">
        <f>IFERROR(__xludf.DUMMYFUNCTION("GOOGLETRANSLATE($A852,""en"",""es"")"),"Distrito Federal (BR)")</f>
        <v>Distrito Federal (BR)</v>
      </c>
      <c r="F852" s="9" t="str">
        <f>IFERROR(__xludf.DUMMYFUNCTION("GOOGLETRANSLATE($A852,""en"",""it"")"),"Distretto Federale (BR)")</f>
        <v>Distretto Federale (BR)</v>
      </c>
      <c r="G852" s="9" t="str">
        <f>IFERROR(__xludf.DUMMYFUNCTION("GOOGLETRANSLATE($A852,""en"",""zh-cn"")"),"联邦区（巴西）")</f>
        <v>联邦区（巴西）</v>
      </c>
      <c r="H852" s="9" t="str">
        <f>IFERROR(__xludf.DUMMYFUNCTION("GOOGLETRANSLATE($A852,""en"",""ja"")"),"連邦管区 (BR)")</f>
        <v>連邦管区 (BR)</v>
      </c>
      <c r="I852" s="9" t="str">
        <f>IFERROR(__xludf.DUMMYFUNCTION("GOOGLETRANSLATE($A852,""en"",""ko"")"),"연방 지구(BR)")</f>
        <v>연방 지구(BR)</v>
      </c>
      <c r="J852" s="9" t="str">
        <f>IFERROR(__xludf.DUMMYFUNCTION("GOOGLETRANSLATE($A852,""en"",""pt-BR"")"),"Distrito Federal (BR)")</f>
        <v>Distrito Federal (BR)</v>
      </c>
    </row>
    <row r="853">
      <c r="A853" s="9" t="str">
        <f>IFERROR(__xludf.DUMMYFUNCTION("""COMPUTED_VALUE"""),"Rio Grande do Sul")</f>
        <v>Rio Grande do Sul</v>
      </c>
      <c r="B853" s="9" t="str">
        <f>IFERROR(__xludf.DUMMYFUNCTION("""COMPUTED_VALUE"""),"br-rs")</f>
        <v>br-rs</v>
      </c>
      <c r="C853" s="9" t="str">
        <f>IFERROR(__xludf.DUMMYFUNCTION("GOOGLETRANSLATE($A853,""en"",""de"")"),"Rio Grande do Sul")</f>
        <v>Rio Grande do Sul</v>
      </c>
      <c r="D853" s="9" t="str">
        <f>IFERROR(__xludf.DUMMYFUNCTION("GOOGLETRANSLATE($A853,""en"",""fr"")"),"Rio Grande do Sul")</f>
        <v>Rio Grande do Sul</v>
      </c>
      <c r="E853" s="9" t="str">
        <f>IFERROR(__xludf.DUMMYFUNCTION("GOOGLETRANSLATE($A853,""en"",""es"")"),"Río Grande del Sur")</f>
        <v>Río Grande del Sur</v>
      </c>
      <c r="F853" s="9" t="str">
        <f>IFERROR(__xludf.DUMMYFUNCTION("GOOGLETRANSLATE($A853,""en"",""it"")"),"Rio Grande do Sul")</f>
        <v>Rio Grande do Sul</v>
      </c>
      <c r="G853" s="9" t="str">
        <f>IFERROR(__xludf.DUMMYFUNCTION("GOOGLETRANSLATE($A853,""en"",""zh-cn"")"),"南里奥格兰德州")</f>
        <v>南里奥格兰德州</v>
      </c>
      <c r="H853" s="9" t="str">
        <f>IFERROR(__xludf.DUMMYFUNCTION("GOOGLETRANSLATE($A853,""en"",""ja"")"),"リオグランデドスル")</f>
        <v>リオグランデドスル</v>
      </c>
      <c r="I853" s="9" t="str">
        <f>IFERROR(__xludf.DUMMYFUNCTION("GOOGLETRANSLATE($A853,""en"",""ko"")"),"히우그란지두술")</f>
        <v>히우그란지두술</v>
      </c>
      <c r="J853" s="9" t="str">
        <f>IFERROR(__xludf.DUMMYFUNCTION("GOOGLETRANSLATE($A853,""en"",""pt-BR"")"),"Rio Grande do Sul")</f>
        <v>Rio Grande do Sul</v>
      </c>
    </row>
    <row r="854">
      <c r="A854" s="9" t="str">
        <f>IFERROR(__xludf.DUMMYFUNCTION("""COMPUTED_VALUE"""),"Ceará")</f>
        <v>Ceará</v>
      </c>
      <c r="B854" s="9" t="str">
        <f>IFERROR(__xludf.DUMMYFUNCTION("""COMPUTED_VALUE"""),"br-ce")</f>
        <v>br-ce</v>
      </c>
      <c r="C854" s="9" t="str">
        <f>IFERROR(__xludf.DUMMYFUNCTION("GOOGLETRANSLATE($A854,""en"",""de"")"),"Ceará")</f>
        <v>Ceará</v>
      </c>
      <c r="D854" s="9" t="str">
        <f>IFERROR(__xludf.DUMMYFUNCTION("GOOGLETRANSLATE($A854,""en"",""fr"")"),"Ceara")</f>
        <v>Ceara</v>
      </c>
      <c r="E854" s="9" t="str">
        <f>IFERROR(__xludf.DUMMYFUNCTION("GOOGLETRANSLATE($A854,""en"",""es"")"),"Ceará")</f>
        <v>Ceará</v>
      </c>
      <c r="F854" s="9" t="str">
        <f>IFERROR(__xludf.DUMMYFUNCTION("GOOGLETRANSLATE($A854,""en"",""it"")"),"Ceará")</f>
        <v>Ceará</v>
      </c>
      <c r="G854" s="9" t="str">
        <f>IFERROR(__xludf.DUMMYFUNCTION("GOOGLETRANSLATE($A854,""en"",""zh-cn"")"),"塞阿拉")</f>
        <v>塞阿拉</v>
      </c>
      <c r="H854" s="9" t="str">
        <f>IFERROR(__xludf.DUMMYFUNCTION("GOOGLETRANSLATE($A854,""en"",""ja"")"),"セアラ")</f>
        <v>セアラ</v>
      </c>
      <c r="I854" s="9" t="str">
        <f>IFERROR(__xludf.DUMMYFUNCTION("GOOGLETRANSLATE($A854,""en"",""ko"")"),"세아라")</f>
        <v>세아라</v>
      </c>
      <c r="J854" s="9" t="str">
        <f>IFERROR(__xludf.DUMMYFUNCTION("GOOGLETRANSLATE($A854,""en"",""pt-BR"")"),"Ceará")</f>
        <v>Ceará</v>
      </c>
    </row>
    <row r="855">
      <c r="A855" s="9" t="str">
        <f>IFERROR(__xludf.DUMMYFUNCTION("""COMPUTED_VALUE"""),"Santa Catarina (BR)")</f>
        <v>Santa Catarina (BR)</v>
      </c>
      <c r="B855" s="9" t="str">
        <f>IFERROR(__xludf.DUMMYFUNCTION("""COMPUTED_VALUE"""),"br-sc")</f>
        <v>br-sc</v>
      </c>
      <c r="C855" s="9" t="str">
        <f>IFERROR(__xludf.DUMMYFUNCTION("GOOGLETRANSLATE($A855,""en"",""de"")"),"Santa Catarina (BR)")</f>
        <v>Santa Catarina (BR)</v>
      </c>
      <c r="D855" s="9" t="str">
        <f>IFERROR(__xludf.DUMMYFUNCTION("GOOGLETRANSLATE($A855,""en"",""fr"")"),"Santa Catarina (BR)")</f>
        <v>Santa Catarina (BR)</v>
      </c>
      <c r="E855" s="9" t="str">
        <f>IFERROR(__xludf.DUMMYFUNCTION("GOOGLETRANSLATE($A855,""en"",""es"")"),"Santa Catarina (BR)")</f>
        <v>Santa Catarina (BR)</v>
      </c>
      <c r="F855" s="9" t="str">
        <f>IFERROR(__xludf.DUMMYFUNCTION("GOOGLETRANSLATE($A855,""en"",""it"")"),"Santa Catarina (BR)")</f>
        <v>Santa Catarina (BR)</v>
      </c>
      <c r="G855" s="9" t="str">
        <f>IFERROR(__xludf.DUMMYFUNCTION("GOOGLETRANSLATE($A855,""en"",""zh-cn"")"),"圣卡塔琳娜州 (巴西)")</f>
        <v>圣卡塔琳娜州 (巴西)</v>
      </c>
      <c r="H855" s="9" t="str">
        <f>IFERROR(__xludf.DUMMYFUNCTION("GOOGLETRANSLATE($A855,""en"",""ja"")"),"サンタカタリーナ州（BR）")</f>
        <v>サンタカタリーナ州（BR）</v>
      </c>
      <c r="I855" s="9" t="str">
        <f>IFERROR(__xludf.DUMMYFUNCTION("GOOGLETRANSLATE($A855,""en"",""ko"")"),"산타카타리나(BR)")</f>
        <v>산타카타리나(BR)</v>
      </c>
      <c r="J855" s="9" t="str">
        <f>IFERROR(__xludf.DUMMYFUNCTION("GOOGLETRANSLATE($A855,""en"",""pt-BR"")"),"Santa Catarina (BR)")</f>
        <v>Santa Catarina (BR)</v>
      </c>
    </row>
    <row r="856">
      <c r="A856" s="9" t="str">
        <f>IFERROR(__xludf.DUMMYFUNCTION("""COMPUTED_VALUE"""),"Amapá")</f>
        <v>Amapá</v>
      </c>
      <c r="B856" s="9" t="str">
        <f>IFERROR(__xludf.DUMMYFUNCTION("""COMPUTED_VALUE"""),"br-ap")</f>
        <v>br-ap</v>
      </c>
      <c r="C856" s="9" t="str">
        <f>IFERROR(__xludf.DUMMYFUNCTION("GOOGLETRANSLATE($A856,""en"",""de"")"),"Amapá")</f>
        <v>Amapá</v>
      </c>
      <c r="D856" s="9" t="str">
        <f>IFERROR(__xludf.DUMMYFUNCTION("GOOGLETRANSLATE($A856,""en"",""fr"")"),"Amapa")</f>
        <v>Amapa</v>
      </c>
      <c r="E856" s="9" t="str">
        <f>IFERROR(__xludf.DUMMYFUNCTION("GOOGLETRANSLATE($A856,""en"",""es"")"),"Amapa")</f>
        <v>Amapa</v>
      </c>
      <c r="F856" s="9" t="str">
        <f>IFERROR(__xludf.DUMMYFUNCTION("GOOGLETRANSLATE($A856,""en"",""it"")"),"Amapa")</f>
        <v>Amapa</v>
      </c>
      <c r="G856" s="9" t="str">
        <f>IFERROR(__xludf.DUMMYFUNCTION("GOOGLETRANSLATE($A856,""en"",""zh-cn"")"),"阿马帕")</f>
        <v>阿马帕</v>
      </c>
      <c r="H856" s="9" t="str">
        <f>IFERROR(__xludf.DUMMYFUNCTION("GOOGLETRANSLATE($A856,""en"",""ja"")"),"アマパ")</f>
        <v>アマパ</v>
      </c>
      <c r="I856" s="9" t="str">
        <f>IFERROR(__xludf.DUMMYFUNCTION("GOOGLETRANSLATE($A856,""en"",""ko"")"),"아마파")</f>
        <v>아마파</v>
      </c>
      <c r="J856" s="9" t="str">
        <f>IFERROR(__xludf.DUMMYFUNCTION("GOOGLETRANSLATE($A856,""en"",""pt-BR"")"),"Amapá")</f>
        <v>Amapá</v>
      </c>
    </row>
    <row r="857">
      <c r="A857" s="9" t="str">
        <f>IFERROR(__xludf.DUMMYFUNCTION("""COMPUTED_VALUE"""),"Bahia")</f>
        <v>Bahia</v>
      </c>
      <c r="B857" s="9" t="str">
        <f>IFERROR(__xludf.DUMMYFUNCTION("""COMPUTED_VALUE"""),"br-ba")</f>
        <v>br-ba</v>
      </c>
      <c r="C857" s="9" t="str">
        <f>IFERROR(__xludf.DUMMYFUNCTION("GOOGLETRANSLATE($A857,""en"",""de"")"),"Bahia")</f>
        <v>Bahia</v>
      </c>
      <c r="D857" s="9" t="str">
        <f>IFERROR(__xludf.DUMMYFUNCTION("GOOGLETRANSLATE($A857,""en"",""fr"")"),"Bahía")</f>
        <v>Bahía</v>
      </c>
      <c r="E857" s="9" t="str">
        <f>IFERROR(__xludf.DUMMYFUNCTION("GOOGLETRANSLATE($A857,""en"",""es"")"),"Bahía")</f>
        <v>Bahía</v>
      </c>
      <c r="F857" s="9" t="str">
        <f>IFERROR(__xludf.DUMMYFUNCTION("GOOGLETRANSLATE($A857,""en"",""it"")"),"Baia")</f>
        <v>Baia</v>
      </c>
      <c r="G857" s="9" t="str">
        <f>IFERROR(__xludf.DUMMYFUNCTION("GOOGLETRANSLATE($A857,""en"",""zh-cn"")"),"巴伊亚")</f>
        <v>巴伊亚</v>
      </c>
      <c r="H857" s="9" t="str">
        <f>IFERROR(__xludf.DUMMYFUNCTION("GOOGLETRANSLATE($A857,""en"",""ja"")"),"バイア州")</f>
        <v>バイア州</v>
      </c>
      <c r="I857" s="9" t="str">
        <f>IFERROR(__xludf.DUMMYFUNCTION("GOOGLETRANSLATE($A857,""en"",""ko"")"),"바이아")</f>
        <v>바이아</v>
      </c>
      <c r="J857" s="9" t="str">
        <f>IFERROR(__xludf.DUMMYFUNCTION("GOOGLETRANSLATE($A857,""en"",""pt-BR"")"),"Bahia")</f>
        <v>Bahia</v>
      </c>
    </row>
    <row r="858">
      <c r="A858" s="9" t="str">
        <f>IFERROR(__xludf.DUMMYFUNCTION("""COMPUTED_VALUE"""),"Pará")</f>
        <v>Pará</v>
      </c>
      <c r="B858" s="9" t="str">
        <f>IFERROR(__xludf.DUMMYFUNCTION("""COMPUTED_VALUE"""),"br-pa")</f>
        <v>br-pa</v>
      </c>
      <c r="C858" s="9" t="str">
        <f>IFERROR(__xludf.DUMMYFUNCTION("GOOGLETRANSLATE($A858,""en"",""de"")"),"Pará")</f>
        <v>Pará</v>
      </c>
      <c r="D858" s="9" t="str">
        <f>IFERROR(__xludf.DUMMYFUNCTION("GOOGLETRANSLATE($A858,""en"",""fr"")"),"Para")</f>
        <v>Para</v>
      </c>
      <c r="E858" s="9" t="str">
        <f>IFERROR(__xludf.DUMMYFUNCTION("GOOGLETRANSLATE($A858,""en"",""es"")"),"Paraca")</f>
        <v>Paraca</v>
      </c>
      <c r="F858" s="9" t="str">
        <f>IFERROR(__xludf.DUMMYFUNCTION("GOOGLETRANSLATE($A858,""en"",""it"")"),"Parà")</f>
        <v>Parà</v>
      </c>
      <c r="G858" s="9" t="str">
        <f>IFERROR(__xludf.DUMMYFUNCTION("GOOGLETRANSLATE($A858,""en"",""zh-cn"")"),"帕拉州")</f>
        <v>帕拉州</v>
      </c>
      <c r="H858" s="9" t="str">
        <f>IFERROR(__xludf.DUMMYFUNCTION("GOOGLETRANSLATE($A858,""en"",""ja"")"),"パラー州")</f>
        <v>パラー州</v>
      </c>
      <c r="I858" s="9" t="str">
        <f>IFERROR(__xludf.DUMMYFUNCTION("GOOGLETRANSLATE($A858,""en"",""ko"")"),"파라")</f>
        <v>파라</v>
      </c>
      <c r="J858" s="9" t="str">
        <f>IFERROR(__xludf.DUMMYFUNCTION("GOOGLETRANSLATE($A858,""en"",""pt-BR"")"),"Pára")</f>
        <v>Pára</v>
      </c>
    </row>
    <row r="859">
      <c r="A859" s="9" t="str">
        <f>IFERROR(__xludf.DUMMYFUNCTION("""COMPUTED_VALUE"""),"Acre")</f>
        <v>Acre</v>
      </c>
      <c r="B859" s="9" t="str">
        <f>IFERROR(__xludf.DUMMYFUNCTION("""COMPUTED_VALUE"""),"br-ac")</f>
        <v>br-ac</v>
      </c>
      <c r="C859" s="9" t="str">
        <f>IFERROR(__xludf.DUMMYFUNCTION("GOOGLETRANSLATE($A859,""en"",""de"")"),"Acre")</f>
        <v>Acre</v>
      </c>
      <c r="D859" s="9" t="str">
        <f>IFERROR(__xludf.DUMMYFUNCTION("GOOGLETRANSLATE($A859,""en"",""fr"")"),"Acre")</f>
        <v>Acre</v>
      </c>
      <c r="E859" s="9" t="str">
        <f>IFERROR(__xludf.DUMMYFUNCTION("GOOGLETRANSLATE($A859,""en"",""es"")"),"Acre")</f>
        <v>Acre</v>
      </c>
      <c r="F859" s="9" t="str">
        <f>IFERROR(__xludf.DUMMYFUNCTION("GOOGLETRANSLATE($A859,""en"",""it"")"),"Acri")</f>
        <v>Acri</v>
      </c>
      <c r="G859" s="9" t="str">
        <f>IFERROR(__xludf.DUMMYFUNCTION("GOOGLETRANSLATE($A859,""en"",""zh-cn"")"),"英亩")</f>
        <v>英亩</v>
      </c>
      <c r="H859" s="9" t="str">
        <f>IFERROR(__xludf.DUMMYFUNCTION("GOOGLETRANSLATE($A859,""en"",""ja"")"),"エーカー")</f>
        <v>エーカー</v>
      </c>
      <c r="I859" s="9" t="str">
        <f>IFERROR(__xludf.DUMMYFUNCTION("GOOGLETRANSLATE($A859,""en"",""ko"")"),"에이커")</f>
        <v>에이커</v>
      </c>
      <c r="J859" s="9" t="str">
        <f>IFERROR(__xludf.DUMMYFUNCTION("GOOGLETRANSLATE($A859,""en"",""pt-BR"")"),"Acre")</f>
        <v>Acre</v>
      </c>
    </row>
    <row r="860">
      <c r="A860" s="9" t="str">
        <f>IFERROR(__xludf.DUMMYFUNCTION("""COMPUTED_VALUE"""),"Mato Grosso")</f>
        <v>Mato Grosso</v>
      </c>
      <c r="B860" s="9" t="str">
        <f>IFERROR(__xludf.DUMMYFUNCTION("""COMPUTED_VALUE"""),"br-mt")</f>
        <v>br-mt</v>
      </c>
      <c r="C860" s="9" t="str">
        <f>IFERROR(__xludf.DUMMYFUNCTION("GOOGLETRANSLATE($A860,""en"",""de"")"),"Mato Grosso")</f>
        <v>Mato Grosso</v>
      </c>
      <c r="D860" s="9" t="str">
        <f>IFERROR(__xludf.DUMMYFUNCTION("GOOGLETRANSLATE($A860,""en"",""fr"")"),"Mato Grosso")</f>
        <v>Mato Grosso</v>
      </c>
      <c r="E860" s="9" t="str">
        <f>IFERROR(__xludf.DUMMYFUNCTION("GOOGLETRANSLATE($A860,""en"",""es"")"),"Mato Grosso")</f>
        <v>Mato Grosso</v>
      </c>
      <c r="F860" s="9" t="str">
        <f>IFERROR(__xludf.DUMMYFUNCTION("GOOGLETRANSLATE($A860,""en"",""it"")"),"Mato Grosso")</f>
        <v>Mato Grosso</v>
      </c>
      <c r="G860" s="9" t="str">
        <f>IFERROR(__xludf.DUMMYFUNCTION("GOOGLETRANSLATE($A860,""en"",""zh-cn"")"),"马托格罗索州")</f>
        <v>马托格罗索州</v>
      </c>
      <c r="H860" s="9" t="str">
        <f>IFERROR(__xludf.DUMMYFUNCTION("GOOGLETRANSLATE($A860,""en"",""ja"")"),"マトグロッソ")</f>
        <v>マトグロッソ</v>
      </c>
      <c r="I860" s="9" t="str">
        <f>IFERROR(__xludf.DUMMYFUNCTION("GOOGLETRANSLATE($A860,""en"",""ko"")"),"마투 그로소")</f>
        <v>마투 그로소</v>
      </c>
      <c r="J860" s="9" t="str">
        <f>IFERROR(__xludf.DUMMYFUNCTION("GOOGLETRANSLATE($A860,""en"",""pt-BR"")"),"Mato Grosso")</f>
        <v>Mato Grosso</v>
      </c>
    </row>
    <row r="861">
      <c r="A861" s="9" t="str">
        <f>IFERROR(__xludf.DUMMYFUNCTION("""COMPUTED_VALUE"""),"Paraná")</f>
        <v>Paraná</v>
      </c>
      <c r="B861" s="9" t="str">
        <f>IFERROR(__xludf.DUMMYFUNCTION("""COMPUTED_VALUE"""),"br-pr")</f>
        <v>br-pr</v>
      </c>
      <c r="C861" s="9" t="str">
        <f>IFERROR(__xludf.DUMMYFUNCTION("GOOGLETRANSLATE($A861,""en"",""de"")"),"Paraná")</f>
        <v>Paraná</v>
      </c>
      <c r="D861" s="9" t="str">
        <f>IFERROR(__xludf.DUMMYFUNCTION("GOOGLETRANSLATE($A861,""en"",""fr"")"),"Paraná")</f>
        <v>Paraná</v>
      </c>
      <c r="E861" s="9" t="str">
        <f>IFERROR(__xludf.DUMMYFUNCTION("GOOGLETRANSLATE($A861,""en"",""es"")"),"Paraná")</f>
        <v>Paraná</v>
      </c>
      <c r="F861" s="9" t="str">
        <f>IFERROR(__xludf.DUMMYFUNCTION("GOOGLETRANSLATE($A861,""en"",""it"")"),"Parana")</f>
        <v>Parana</v>
      </c>
      <c r="G861" s="9" t="str">
        <f>IFERROR(__xludf.DUMMYFUNCTION("GOOGLETRANSLATE($A861,""en"",""zh-cn"")"),"巴拉那州")</f>
        <v>巴拉那州</v>
      </c>
      <c r="H861" s="9" t="str">
        <f>IFERROR(__xludf.DUMMYFUNCTION("GOOGLETRANSLATE($A861,""en"",""ja"")"),"パラナ州")</f>
        <v>パラナ州</v>
      </c>
      <c r="I861" s="9" t="str">
        <f>IFERROR(__xludf.DUMMYFUNCTION("GOOGLETRANSLATE($A861,""en"",""ko"")"),"파라나")</f>
        <v>파라나</v>
      </c>
      <c r="J861" s="9" t="str">
        <f>IFERROR(__xludf.DUMMYFUNCTION("GOOGLETRANSLATE($A861,""en"",""pt-BR"")"),"Paraná")</f>
        <v>Paraná</v>
      </c>
    </row>
    <row r="862">
      <c r="A862" s="9" t="str">
        <f>IFERROR(__xludf.DUMMYFUNCTION("""COMPUTED_VALUE"""),"Paraíba")</f>
        <v>Paraíba</v>
      </c>
      <c r="B862" s="9" t="str">
        <f>IFERROR(__xludf.DUMMYFUNCTION("""COMPUTED_VALUE"""),"br-pb")</f>
        <v>br-pb</v>
      </c>
      <c r="C862" s="9" t="str">
        <f>IFERROR(__xludf.DUMMYFUNCTION("GOOGLETRANSLATE($A862,""en"",""de"")"),"Paraíba")</f>
        <v>Paraíba</v>
      </c>
      <c r="D862" s="9" t="str">
        <f>IFERROR(__xludf.DUMMYFUNCTION("GOOGLETRANSLATE($A862,""en"",""fr"")"),"Paraíba")</f>
        <v>Paraíba</v>
      </c>
      <c r="E862" s="9" t="str">
        <f>IFERROR(__xludf.DUMMYFUNCTION("GOOGLETRANSLATE($A862,""en"",""es"")"),"Paraíba")</f>
        <v>Paraíba</v>
      </c>
      <c r="F862" s="9" t="str">
        <f>IFERROR(__xludf.DUMMYFUNCTION("GOOGLETRANSLATE($A862,""en"",""it"")"),"Paraíba")</f>
        <v>Paraíba</v>
      </c>
      <c r="G862" s="9" t="str">
        <f>IFERROR(__xludf.DUMMYFUNCTION("GOOGLETRANSLATE($A862,""en"",""zh-cn"")"),"帕拉伊巴")</f>
        <v>帕拉伊巴</v>
      </c>
      <c r="H862" s="9" t="str">
        <f>IFERROR(__xludf.DUMMYFUNCTION("GOOGLETRANSLATE($A862,""en"",""ja"")"),"パライバ")</f>
        <v>パライバ</v>
      </c>
      <c r="I862" s="9" t="str">
        <f>IFERROR(__xludf.DUMMYFUNCTION("GOOGLETRANSLATE($A862,""en"",""ko"")"),"파라이바")</f>
        <v>파라이바</v>
      </c>
      <c r="J862" s="9" t="str">
        <f>IFERROR(__xludf.DUMMYFUNCTION("GOOGLETRANSLATE($A862,""en"",""pt-BR"")"),"Paraíba")</f>
        <v>Paraíba</v>
      </c>
    </row>
    <row r="863">
      <c r="A863" s="9" t="str">
        <f>IFERROR(__xludf.DUMMYFUNCTION("""COMPUTED_VALUE"""),"São Paulo")</f>
        <v>São Paulo</v>
      </c>
      <c r="B863" s="9" t="str">
        <f>IFERROR(__xludf.DUMMYFUNCTION("""COMPUTED_VALUE"""),"br-sp")</f>
        <v>br-sp</v>
      </c>
      <c r="C863" s="9" t="str">
        <f>IFERROR(__xludf.DUMMYFUNCTION("GOOGLETRANSLATE($A863,""en"",""de"")"),"São Paulo")</f>
        <v>São Paulo</v>
      </c>
      <c r="D863" s="9" t="str">
        <f>IFERROR(__xludf.DUMMYFUNCTION("GOOGLETRANSLATE($A863,""en"",""fr"")"),"São Paulo")</f>
        <v>São Paulo</v>
      </c>
      <c r="E863" s="9" t="str">
        <f>IFERROR(__xludf.DUMMYFUNCTION("GOOGLETRANSLATE($A863,""en"",""es"")"),"São Paulo")</f>
        <v>São Paulo</v>
      </c>
      <c r="F863" s="9" t="str">
        <f>IFERROR(__xludf.DUMMYFUNCTION("GOOGLETRANSLATE($A863,""en"",""it"")"),"San Paolo")</f>
        <v>San Paolo</v>
      </c>
      <c r="G863" s="9" t="str">
        <f>IFERROR(__xludf.DUMMYFUNCTION("GOOGLETRANSLATE($A863,""en"",""zh-cn"")"),"圣保罗")</f>
        <v>圣保罗</v>
      </c>
      <c r="H863" s="9" t="str">
        <f>IFERROR(__xludf.DUMMYFUNCTION("GOOGLETRANSLATE($A863,""en"",""ja"")"),"サンパウロ")</f>
        <v>サンパウロ</v>
      </c>
      <c r="I863" s="9" t="str">
        <f>IFERROR(__xludf.DUMMYFUNCTION("GOOGLETRANSLATE($A863,""en"",""ko"")"),"상파울루")</f>
        <v>상파울루</v>
      </c>
      <c r="J863" s="9" t="str">
        <f>IFERROR(__xludf.DUMMYFUNCTION("GOOGLETRANSLATE($A863,""en"",""pt-BR"")"),"São Paulo")</f>
        <v>São Paulo</v>
      </c>
    </row>
    <row r="864">
      <c r="A864" s="9" t="str">
        <f>IFERROR(__xludf.DUMMYFUNCTION("""COMPUTED_VALUE"""),"Tocantins")</f>
        <v>Tocantins</v>
      </c>
      <c r="B864" s="9" t="str">
        <f>IFERROR(__xludf.DUMMYFUNCTION("""COMPUTED_VALUE"""),"br-to")</f>
        <v>br-to</v>
      </c>
      <c r="C864" s="9" t="str">
        <f>IFERROR(__xludf.DUMMYFUNCTION("GOOGLETRANSLATE($A864,""en"",""de"")"),"Tocantins")</f>
        <v>Tocantins</v>
      </c>
      <c r="D864" s="9" t="str">
        <f>IFERROR(__xludf.DUMMYFUNCTION("GOOGLETRANSLATE($A864,""en"",""fr"")"),"Tocantins")</f>
        <v>Tocantins</v>
      </c>
      <c r="E864" s="9" t="str">
        <f>IFERROR(__xludf.DUMMYFUNCTION("GOOGLETRANSLATE($A864,""en"",""es"")"),"Tocantins")</f>
        <v>Tocantins</v>
      </c>
      <c r="F864" s="9" t="str">
        <f>IFERROR(__xludf.DUMMYFUNCTION("GOOGLETRANSLATE($A864,""en"",""it"")"),"Tocantins")</f>
        <v>Tocantins</v>
      </c>
      <c r="G864" s="9" t="str">
        <f>IFERROR(__xludf.DUMMYFUNCTION("GOOGLETRANSLATE($A864,""en"",""zh-cn"")"),"托坎廷斯")</f>
        <v>托坎廷斯</v>
      </c>
      <c r="H864" s="9" t="str">
        <f>IFERROR(__xludf.DUMMYFUNCTION("GOOGLETRANSLATE($A864,""en"",""ja"")"),"トカンティンス")</f>
        <v>トカンティンス</v>
      </c>
      <c r="I864" s="9" t="str">
        <f>IFERROR(__xludf.DUMMYFUNCTION("GOOGLETRANSLATE($A864,""en"",""ko"")"),"토칸틴")</f>
        <v>토칸틴</v>
      </c>
      <c r="J864" s="9" t="str">
        <f>IFERROR(__xludf.DUMMYFUNCTION("GOOGLETRANSLATE($A864,""en"",""pt-BR"")"),"Tocantins")</f>
        <v>Tocantins</v>
      </c>
    </row>
    <row r="865">
      <c r="A865" s="9" t="str">
        <f>IFERROR(__xludf.DUMMYFUNCTION("""COMPUTED_VALUE"""),"Minas Gerais")</f>
        <v>Minas Gerais</v>
      </c>
      <c r="B865" s="9" t="str">
        <f>IFERROR(__xludf.DUMMYFUNCTION("""COMPUTED_VALUE"""),"br-mg")</f>
        <v>br-mg</v>
      </c>
      <c r="C865" s="9" t="str">
        <f>IFERROR(__xludf.DUMMYFUNCTION("GOOGLETRANSLATE($A865,""en"",""de"")"),"Minas Gerais")</f>
        <v>Minas Gerais</v>
      </c>
      <c r="D865" s="9" t="str">
        <f>IFERROR(__xludf.DUMMYFUNCTION("GOOGLETRANSLATE($A865,""en"",""fr"")"),"Minas Gerais")</f>
        <v>Minas Gerais</v>
      </c>
      <c r="E865" s="9" t="str">
        <f>IFERROR(__xludf.DUMMYFUNCTION("GOOGLETRANSLATE($A865,""en"",""es"")"),"Minas Gerais")</f>
        <v>Minas Gerais</v>
      </c>
      <c r="F865" s="9" t="str">
        <f>IFERROR(__xludf.DUMMYFUNCTION("GOOGLETRANSLATE($A865,""en"",""it"")"),"Minas Gerais")</f>
        <v>Minas Gerais</v>
      </c>
      <c r="G865" s="9" t="str">
        <f>IFERROR(__xludf.DUMMYFUNCTION("GOOGLETRANSLATE($A865,""en"",""zh-cn"")"),"米纳斯吉拉斯州")</f>
        <v>米纳斯吉拉斯州</v>
      </c>
      <c r="H865" s="9" t="str">
        <f>IFERROR(__xludf.DUMMYFUNCTION("GOOGLETRANSLATE($A865,""en"",""ja"")"),"ミナスジェライス州")</f>
        <v>ミナスジェライス州</v>
      </c>
      <c r="I865" s="9" t="str">
        <f>IFERROR(__xludf.DUMMYFUNCTION("GOOGLETRANSLATE($A865,""en"",""ko"")"),"미나스 제라이스")</f>
        <v>미나스 제라이스</v>
      </c>
      <c r="J865" s="9" t="str">
        <f>IFERROR(__xludf.DUMMYFUNCTION("GOOGLETRANSLATE($A865,""en"",""pt-BR"")"),"Minas Gerais")</f>
        <v>Minas Gerais</v>
      </c>
    </row>
    <row r="866">
      <c r="A866" s="9" t="str">
        <f>IFERROR(__xludf.DUMMYFUNCTION("""COMPUTED_VALUE"""),"Tutong")</f>
        <v>Tutong</v>
      </c>
      <c r="B866" s="9" t="str">
        <f>IFERROR(__xludf.DUMMYFUNCTION("""COMPUTED_VALUE"""),"bn-tu")</f>
        <v>bn-tu</v>
      </c>
      <c r="C866" s="9" t="str">
        <f>IFERROR(__xludf.DUMMYFUNCTION("GOOGLETRANSLATE($A866,""en"",""de"")"),"Tutong")</f>
        <v>Tutong</v>
      </c>
      <c r="D866" s="9" t="str">
        <f>IFERROR(__xludf.DUMMYFUNCTION("GOOGLETRANSLATE($A866,""en"",""fr"")"),"Tutong")</f>
        <v>Tutong</v>
      </c>
      <c r="E866" s="9" t="str">
        <f>IFERROR(__xludf.DUMMYFUNCTION("GOOGLETRANSLATE($A866,""en"",""es"")"),"Tutong")</f>
        <v>Tutong</v>
      </c>
      <c r="F866" s="9" t="str">
        <f>IFERROR(__xludf.DUMMYFUNCTION("GOOGLETRANSLATE($A866,""en"",""it"")"),"Tutong")</f>
        <v>Tutong</v>
      </c>
      <c r="G866" s="9" t="str">
        <f>IFERROR(__xludf.DUMMYFUNCTION("GOOGLETRANSLATE($A866,""en"",""zh-cn"")"),"都东")</f>
        <v>都东</v>
      </c>
      <c r="H866" s="9" t="str">
        <f>IFERROR(__xludf.DUMMYFUNCTION("GOOGLETRANSLATE($A866,""en"",""ja"")"),"トゥトン")</f>
        <v>トゥトン</v>
      </c>
      <c r="I866" s="9" t="str">
        <f>IFERROR(__xludf.DUMMYFUNCTION("GOOGLETRANSLATE($A866,""en"",""ko"")"),"투통")</f>
        <v>투통</v>
      </c>
      <c r="J866" s="9" t="str">
        <f>IFERROR(__xludf.DUMMYFUNCTION("GOOGLETRANSLATE($A866,""en"",""pt-BR"")"),"Tutong")</f>
        <v>Tutong</v>
      </c>
    </row>
    <row r="867">
      <c r="A867" s="9" t="str">
        <f>IFERROR(__xludf.DUMMYFUNCTION("""COMPUTED_VALUE"""),"Brunei-Muara")</f>
        <v>Brunei-Muara</v>
      </c>
      <c r="B867" s="9" t="str">
        <f>IFERROR(__xludf.DUMMYFUNCTION("""COMPUTED_VALUE"""),"bn-bm")</f>
        <v>bn-bm</v>
      </c>
      <c r="C867" s="9" t="str">
        <f>IFERROR(__xludf.DUMMYFUNCTION("GOOGLETRANSLATE($A867,""en"",""de"")"),"Brunei-Muara")</f>
        <v>Brunei-Muara</v>
      </c>
      <c r="D867" s="9" t="str">
        <f>IFERROR(__xludf.DUMMYFUNCTION("GOOGLETRANSLATE($A867,""en"",""fr"")"),"Brunei-Muara")</f>
        <v>Brunei-Muara</v>
      </c>
      <c r="E867" s="9" t="str">
        <f>IFERROR(__xludf.DUMMYFUNCTION("GOOGLETRANSLATE($A867,""en"",""es"")"),"Brunei-Muara")</f>
        <v>Brunei-Muara</v>
      </c>
      <c r="F867" s="9" t="str">
        <f>IFERROR(__xludf.DUMMYFUNCTION("GOOGLETRANSLATE($A867,""en"",""it"")"),"Brunei-Muara")</f>
        <v>Brunei-Muara</v>
      </c>
      <c r="G867" s="9" t="str">
        <f>IFERROR(__xludf.DUMMYFUNCTION("GOOGLETRANSLATE($A867,""en"",""zh-cn"")"),"文莱-摩拉县")</f>
        <v>文莱-摩拉县</v>
      </c>
      <c r="H867" s="9" t="str">
        <f>IFERROR(__xludf.DUMMYFUNCTION("GOOGLETRANSLATE($A867,""en"",""ja"")"),"ブルネイ・ムアラ")</f>
        <v>ブルネイ・ムアラ</v>
      </c>
      <c r="I867" s="9" t="str">
        <f>IFERROR(__xludf.DUMMYFUNCTION("GOOGLETRANSLATE($A867,""en"",""ko"")"),"브루나이무아라")</f>
        <v>브루나이무아라</v>
      </c>
      <c r="J867" s="9" t="str">
        <f>IFERROR(__xludf.DUMMYFUNCTION("GOOGLETRANSLATE($A867,""en"",""pt-BR"")"),"Brunei-Muara")</f>
        <v>Brunei-Muara</v>
      </c>
    </row>
    <row r="868">
      <c r="A868" s="9" t="str">
        <f>IFERROR(__xludf.DUMMYFUNCTION("""COMPUTED_VALUE"""),"Temburong")</f>
        <v>Temburong</v>
      </c>
      <c r="B868" s="9" t="str">
        <f>IFERROR(__xludf.DUMMYFUNCTION("""COMPUTED_VALUE"""),"bn-te")</f>
        <v>bn-te</v>
      </c>
      <c r="C868" s="9" t="str">
        <f>IFERROR(__xludf.DUMMYFUNCTION("GOOGLETRANSLATE($A868,""en"",""de"")"),"Temburong")</f>
        <v>Temburong</v>
      </c>
      <c r="D868" s="9" t="str">
        <f>IFERROR(__xludf.DUMMYFUNCTION("GOOGLETRANSLATE($A868,""en"",""fr"")"),"Temburong")</f>
        <v>Temburong</v>
      </c>
      <c r="E868" s="9" t="str">
        <f>IFERROR(__xludf.DUMMYFUNCTION("GOOGLETRANSLATE($A868,""en"",""es"")"),"Temburong")</f>
        <v>Temburong</v>
      </c>
      <c r="F868" s="9" t="str">
        <f>IFERROR(__xludf.DUMMYFUNCTION("GOOGLETRANSLATE($A868,""en"",""it"")"),"Temburong")</f>
        <v>Temburong</v>
      </c>
      <c r="G868" s="9" t="str">
        <f>IFERROR(__xludf.DUMMYFUNCTION("GOOGLETRANSLATE($A868,""en"",""zh-cn"")"),"淡布隆")</f>
        <v>淡布隆</v>
      </c>
      <c r="H868" s="9" t="str">
        <f>IFERROR(__xludf.DUMMYFUNCTION("GOOGLETRANSLATE($A868,""en"",""ja"")"),"テンブロン")</f>
        <v>テンブロン</v>
      </c>
      <c r="I868" s="9" t="str">
        <f>IFERROR(__xludf.DUMMYFUNCTION("GOOGLETRANSLATE($A868,""en"",""ko"")"),"템부롱")</f>
        <v>템부롱</v>
      </c>
      <c r="J868" s="9" t="str">
        <f>IFERROR(__xludf.DUMMYFUNCTION("GOOGLETRANSLATE($A868,""en"",""pt-BR"")"),"Temburong")</f>
        <v>Temburong</v>
      </c>
    </row>
    <row r="869">
      <c r="A869" s="9" t="str">
        <f>IFERROR(__xludf.DUMMYFUNCTION("""COMPUTED_VALUE"""),"Belait")</f>
        <v>Belait</v>
      </c>
      <c r="B869" s="9" t="str">
        <f>IFERROR(__xludf.DUMMYFUNCTION("""COMPUTED_VALUE"""),"bn-be")</f>
        <v>bn-be</v>
      </c>
      <c r="C869" s="9" t="str">
        <f>IFERROR(__xludf.DUMMYFUNCTION("GOOGLETRANSLATE($A869,""en"",""de"")"),"Belait")</f>
        <v>Belait</v>
      </c>
      <c r="D869" s="9" t="str">
        <f>IFERROR(__xludf.DUMMYFUNCTION("GOOGLETRANSLATE($A869,""en"",""fr"")"),"Belait")</f>
        <v>Belait</v>
      </c>
      <c r="E869" s="9" t="str">
        <f>IFERROR(__xludf.DUMMYFUNCTION("GOOGLETRANSLATE($A869,""en"",""es"")"),"belait")</f>
        <v>belait</v>
      </c>
      <c r="F869" s="9" t="str">
        <f>IFERROR(__xludf.DUMMYFUNCTION("GOOGLETRANSLATE($A869,""en"",""it"")"),"Belait")</f>
        <v>Belait</v>
      </c>
      <c r="G869" s="9" t="str">
        <f>IFERROR(__xludf.DUMMYFUNCTION("GOOGLETRANSLATE($A869,""en"",""zh-cn"")"),"马来奕")</f>
        <v>马来奕</v>
      </c>
      <c r="H869" s="9" t="str">
        <f>IFERROR(__xludf.DUMMYFUNCTION("GOOGLETRANSLATE($A869,""en"",""ja"")"),"ブライト")</f>
        <v>ブライト</v>
      </c>
      <c r="I869" s="9" t="str">
        <f>IFERROR(__xludf.DUMMYFUNCTION("GOOGLETRANSLATE($A869,""en"",""ko"")"),"벨라잇")</f>
        <v>벨라잇</v>
      </c>
      <c r="J869" s="9" t="str">
        <f>IFERROR(__xludf.DUMMYFUNCTION("GOOGLETRANSLATE($A869,""en"",""pt-BR"")"),"Belait")</f>
        <v>Belait</v>
      </c>
    </row>
    <row r="870">
      <c r="A870" s="9" t="str">
        <f>IFERROR(__xludf.DUMMYFUNCTION("""COMPUTED_VALUE"""),"Pernik")</f>
        <v>Pernik</v>
      </c>
      <c r="B870" s="9" t="str">
        <f>IFERROR(__xludf.DUMMYFUNCTION("""COMPUTED_VALUE"""),"bg-14")</f>
        <v>bg-14</v>
      </c>
      <c r="C870" s="9" t="str">
        <f>IFERROR(__xludf.DUMMYFUNCTION("GOOGLETRANSLATE($A870,""en"",""de"")"),"Pernik")</f>
        <v>Pernik</v>
      </c>
      <c r="D870" s="9" t="str">
        <f>IFERROR(__xludf.DUMMYFUNCTION("GOOGLETRANSLATE($A870,""en"",""fr"")"),"Pernik")</f>
        <v>Pernik</v>
      </c>
      <c r="E870" s="9" t="str">
        <f>IFERROR(__xludf.DUMMYFUNCTION("GOOGLETRANSLATE($A870,""en"",""es"")"),"Pernik")</f>
        <v>Pernik</v>
      </c>
      <c r="F870" s="9" t="str">
        <f>IFERROR(__xludf.DUMMYFUNCTION("GOOGLETRANSLATE($A870,""en"",""it"")"),"Pernik")</f>
        <v>Pernik</v>
      </c>
      <c r="G870" s="9" t="str">
        <f>IFERROR(__xludf.DUMMYFUNCTION("GOOGLETRANSLATE($A870,""en"",""zh-cn"")"),"佩尔尼克")</f>
        <v>佩尔尼克</v>
      </c>
      <c r="H870" s="9" t="str">
        <f>IFERROR(__xludf.DUMMYFUNCTION("GOOGLETRANSLATE($A870,""en"",""ja"")"),"ペルニク")</f>
        <v>ペルニク</v>
      </c>
      <c r="I870" s="9" t="str">
        <f>IFERROR(__xludf.DUMMYFUNCTION("GOOGLETRANSLATE($A870,""en"",""ko"")"),"페르니크")</f>
        <v>페르니크</v>
      </c>
      <c r="J870" s="9" t="str">
        <f>IFERROR(__xludf.DUMMYFUNCTION("GOOGLETRANSLATE($A870,""en"",""pt-BR"")"),"Pernik")</f>
        <v>Pernik</v>
      </c>
    </row>
    <row r="871">
      <c r="A871" s="9" t="str">
        <f>IFERROR(__xludf.DUMMYFUNCTION("""COMPUTED_VALUE"""),"Pleven")</f>
        <v>Pleven</v>
      </c>
      <c r="B871" s="9" t="str">
        <f>IFERROR(__xludf.DUMMYFUNCTION("""COMPUTED_VALUE"""),"bg-15")</f>
        <v>bg-15</v>
      </c>
      <c r="C871" s="9" t="str">
        <f>IFERROR(__xludf.DUMMYFUNCTION("GOOGLETRANSLATE($A871,""en"",""de"")"),"Plewen")</f>
        <v>Plewen</v>
      </c>
      <c r="D871" s="9" t="str">
        <f>IFERROR(__xludf.DUMMYFUNCTION("GOOGLETRANSLATE($A871,""en"",""fr"")"),"Pleven")</f>
        <v>Pleven</v>
      </c>
      <c r="E871" s="9" t="str">
        <f>IFERROR(__xludf.DUMMYFUNCTION("GOOGLETRANSLATE($A871,""en"",""es"")"),"pleven")</f>
        <v>pleven</v>
      </c>
      <c r="F871" s="9" t="str">
        <f>IFERROR(__xludf.DUMMYFUNCTION("GOOGLETRANSLATE($A871,""en"",""it"")"),"Pleven")</f>
        <v>Pleven</v>
      </c>
      <c r="G871" s="9" t="str">
        <f>IFERROR(__xludf.DUMMYFUNCTION("GOOGLETRANSLATE($A871,""en"",""zh-cn"")"),"普列文")</f>
        <v>普列文</v>
      </c>
      <c r="H871" s="9" t="str">
        <f>IFERROR(__xludf.DUMMYFUNCTION("GOOGLETRANSLATE($A871,""en"",""ja"")"),"プレブン")</f>
        <v>プレブン</v>
      </c>
      <c r="I871" s="9" t="str">
        <f>IFERROR(__xludf.DUMMYFUNCTION("GOOGLETRANSLATE($A871,""en"",""ko"")"),"플레벤")</f>
        <v>플레벤</v>
      </c>
      <c r="J871" s="9" t="str">
        <f>IFERROR(__xludf.DUMMYFUNCTION("GOOGLETRANSLATE($A871,""en"",""pt-BR"")"),"Pleven")</f>
        <v>Pleven</v>
      </c>
    </row>
    <row r="872">
      <c r="A872" s="9" t="str">
        <f>IFERROR(__xludf.DUMMYFUNCTION("""COMPUTED_VALUE"""),"Montana (BG)")</f>
        <v>Montana (BG)</v>
      </c>
      <c r="B872" s="9" t="str">
        <f>IFERROR(__xludf.DUMMYFUNCTION("""COMPUTED_VALUE"""),"bg-12")</f>
        <v>bg-12</v>
      </c>
      <c r="C872" s="9" t="str">
        <f>IFERROR(__xludf.DUMMYFUNCTION("GOOGLETRANSLATE($A872,""en"",""de"")"),"Montana (BG)")</f>
        <v>Montana (BG)</v>
      </c>
      <c r="D872" s="9" t="str">
        <f>IFERROR(__xludf.DUMMYFUNCTION("GOOGLETRANSLATE($A872,""en"",""fr"")"),"Montana (BG)")</f>
        <v>Montana (BG)</v>
      </c>
      <c r="E872" s="9" t="str">
        <f>IFERROR(__xludf.DUMMYFUNCTION("GOOGLETRANSLATE($A872,""en"",""es"")"),"Montana (BG)")</f>
        <v>Montana (BG)</v>
      </c>
      <c r="F872" s="9" t="str">
        <f>IFERROR(__xludf.DUMMYFUNCTION("GOOGLETRANSLATE($A872,""en"",""it"")"),"Montana (BG)")</f>
        <v>Montana (BG)</v>
      </c>
      <c r="G872" s="9" t="str">
        <f>IFERROR(__xludf.DUMMYFUNCTION("GOOGLETRANSLATE($A872,""en"",""zh-cn"")"),"蒙大拿 (BG)")</f>
        <v>蒙大拿 (BG)</v>
      </c>
      <c r="H872" s="9" t="str">
        <f>IFERROR(__xludf.DUMMYFUNCTION("GOOGLETRANSLATE($A872,""en"",""ja"")"),"モンタナ州 (BG)")</f>
        <v>モンタナ州 (BG)</v>
      </c>
      <c r="I872" s="9" t="str">
        <f>IFERROR(__xludf.DUMMYFUNCTION("GOOGLETRANSLATE($A872,""en"",""ko"")"),"몬타나(BG)")</f>
        <v>몬타나(BG)</v>
      </c>
      <c r="J872" s="9" t="str">
        <f>IFERROR(__xludf.DUMMYFUNCTION("GOOGLETRANSLATE($A872,""en"",""pt-BR"")"),"Montana (BG)")</f>
        <v>Montana (BG)</v>
      </c>
    </row>
    <row r="873">
      <c r="A873" s="9" t="str">
        <f>IFERROR(__xludf.DUMMYFUNCTION("""COMPUTED_VALUE"""),"Pazardzhik")</f>
        <v>Pazardzhik</v>
      </c>
      <c r="B873" s="9" t="str">
        <f>IFERROR(__xludf.DUMMYFUNCTION("""COMPUTED_VALUE"""),"bg-13")</f>
        <v>bg-13</v>
      </c>
      <c r="C873" s="9" t="str">
        <f>IFERROR(__xludf.DUMMYFUNCTION("GOOGLETRANSLATE($A873,""en"",""de"")"),"Pasardschik")</f>
        <v>Pasardschik</v>
      </c>
      <c r="D873" s="9" t="str">
        <f>IFERROR(__xludf.DUMMYFUNCTION("GOOGLETRANSLATE($A873,""en"",""fr"")"),"Pazardjik")</f>
        <v>Pazardjik</v>
      </c>
      <c r="E873" s="9" t="str">
        <f>IFERROR(__xludf.DUMMYFUNCTION("GOOGLETRANSLATE($A873,""en"",""es"")"),"Pazardzhik")</f>
        <v>Pazardzhik</v>
      </c>
      <c r="F873" s="9" t="str">
        <f>IFERROR(__xludf.DUMMYFUNCTION("GOOGLETRANSLATE($A873,""en"",""it"")"),"Pazardžik")</f>
        <v>Pazardžik</v>
      </c>
      <c r="G873" s="9" t="str">
        <f>IFERROR(__xludf.DUMMYFUNCTION("GOOGLETRANSLATE($A873,""en"",""zh-cn"")"),"帕扎尔吉克")</f>
        <v>帕扎尔吉克</v>
      </c>
      <c r="H873" s="9" t="str">
        <f>IFERROR(__xludf.DUMMYFUNCTION("GOOGLETRANSLATE($A873,""en"",""ja"")"),"パザルジク")</f>
        <v>パザルジク</v>
      </c>
      <c r="I873" s="9" t="str">
        <f>IFERROR(__xludf.DUMMYFUNCTION("GOOGLETRANSLATE($A873,""en"",""ko"")"),"파자르지크")</f>
        <v>파자르지크</v>
      </c>
      <c r="J873" s="9" t="str">
        <f>IFERROR(__xludf.DUMMYFUNCTION("GOOGLETRANSLATE($A873,""en"",""pt-BR"")"),"Pazardzhik")</f>
        <v>Pazardzhik</v>
      </c>
    </row>
    <row r="874">
      <c r="A874" s="9" t="str">
        <f>IFERROR(__xludf.DUMMYFUNCTION("""COMPUTED_VALUE"""),"Kyustendil")</f>
        <v>Kyustendil</v>
      </c>
      <c r="B874" s="9" t="str">
        <f>IFERROR(__xludf.DUMMYFUNCTION("""COMPUTED_VALUE"""),"bg-10")</f>
        <v>bg-10</v>
      </c>
      <c r="C874" s="9" t="str">
        <f>IFERROR(__xludf.DUMMYFUNCTION("GOOGLETRANSLATE($A874,""en"",""de"")"),"Kjustendil")</f>
        <v>Kjustendil</v>
      </c>
      <c r="D874" s="9" t="str">
        <f>IFERROR(__xludf.DUMMYFUNCTION("GOOGLETRANSLATE($A874,""en"",""fr"")"),"Kyoustendil")</f>
        <v>Kyoustendil</v>
      </c>
      <c r="E874" s="9" t="str">
        <f>IFERROR(__xludf.DUMMYFUNCTION("GOOGLETRANSLATE($A874,""en"",""es"")"),"Kyustendil")</f>
        <v>Kyustendil</v>
      </c>
      <c r="F874" s="9" t="str">
        <f>IFERROR(__xludf.DUMMYFUNCTION("GOOGLETRANSLATE($A874,""en"",""it"")"),"Kyustendil")</f>
        <v>Kyustendil</v>
      </c>
      <c r="G874" s="9" t="str">
        <f>IFERROR(__xludf.DUMMYFUNCTION("GOOGLETRANSLATE($A874,""en"",""zh-cn"")"),"丘斯滕迪尔")</f>
        <v>丘斯滕迪尔</v>
      </c>
      <c r="H874" s="9" t="str">
        <f>IFERROR(__xludf.DUMMYFUNCTION("GOOGLETRANSLATE($A874,""en"",""ja"")"),"キュステンディル")</f>
        <v>キュステンディル</v>
      </c>
      <c r="I874" s="9" t="str">
        <f>IFERROR(__xludf.DUMMYFUNCTION("GOOGLETRANSLATE($A874,""en"",""ko"")"),"큐스텐딜")</f>
        <v>큐스텐딜</v>
      </c>
      <c r="J874" s="9" t="str">
        <f>IFERROR(__xludf.DUMMYFUNCTION("GOOGLETRANSLATE($A874,""en"",""pt-BR"")"),"Kyustendil")</f>
        <v>Kyustendil</v>
      </c>
    </row>
    <row r="875">
      <c r="A875" s="9" t="str">
        <f>IFERROR(__xludf.DUMMYFUNCTION("""COMPUTED_VALUE"""),"Lovech")</f>
        <v>Lovech</v>
      </c>
      <c r="B875" s="9" t="str">
        <f>IFERROR(__xludf.DUMMYFUNCTION("""COMPUTED_VALUE"""),"bg-11")</f>
        <v>bg-11</v>
      </c>
      <c r="C875" s="9" t="str">
        <f>IFERROR(__xludf.DUMMYFUNCTION("GOOGLETRANSLATE($A875,""en"",""de"")"),"Lovech")</f>
        <v>Lovech</v>
      </c>
      <c r="D875" s="9" t="str">
        <f>IFERROR(__xludf.DUMMYFUNCTION("GOOGLETRANSLATE($A875,""en"",""fr"")"),"Lovetch")</f>
        <v>Lovetch</v>
      </c>
      <c r="E875" s="9" t="str">
        <f>IFERROR(__xludf.DUMMYFUNCTION("GOOGLETRANSLATE($A875,""en"",""es"")"),"Lóvch")</f>
        <v>Lóvch</v>
      </c>
      <c r="F875" s="9" t="str">
        <f>IFERROR(__xludf.DUMMYFUNCTION("GOOGLETRANSLATE($A875,""en"",""it"")"),"Lovech")</f>
        <v>Lovech</v>
      </c>
      <c r="G875" s="9" t="str">
        <f>IFERROR(__xludf.DUMMYFUNCTION("GOOGLETRANSLATE($A875,""en"",""zh-cn"")"),"洛维奇")</f>
        <v>洛维奇</v>
      </c>
      <c r="H875" s="9" t="str">
        <f>IFERROR(__xludf.DUMMYFUNCTION("GOOGLETRANSLATE($A875,""en"",""ja"")"),"ロヴェチ")</f>
        <v>ロヴェチ</v>
      </c>
      <c r="I875" s="9" t="str">
        <f>IFERROR(__xludf.DUMMYFUNCTION("GOOGLETRANSLATE($A875,""en"",""ko"")"),"로베치")</f>
        <v>로베치</v>
      </c>
      <c r="J875" s="9" t="str">
        <f>IFERROR(__xludf.DUMMYFUNCTION("GOOGLETRANSLATE($A875,""en"",""pt-BR"")"),"Lovech")</f>
        <v>Lovech</v>
      </c>
    </row>
    <row r="876">
      <c r="A876" s="9" t="str">
        <f>IFERROR(__xludf.DUMMYFUNCTION("""COMPUTED_VALUE"""),"Dobrich")</f>
        <v>Dobrich</v>
      </c>
      <c r="B876" s="9" t="str">
        <f>IFERROR(__xludf.DUMMYFUNCTION("""COMPUTED_VALUE"""),"bg-08")</f>
        <v>bg-08</v>
      </c>
      <c r="C876" s="9" t="str">
        <f>IFERROR(__xludf.DUMMYFUNCTION("GOOGLETRANSLATE($A876,""en"",""de"")"),"Dobritsch")</f>
        <v>Dobritsch</v>
      </c>
      <c r="D876" s="9" t="str">
        <f>IFERROR(__xludf.DUMMYFUNCTION("GOOGLETRANSLATE($A876,""en"",""fr"")"),"Dobritch")</f>
        <v>Dobritch</v>
      </c>
      <c r="E876" s="9" t="str">
        <f>IFERROR(__xludf.DUMMYFUNCTION("GOOGLETRANSLATE($A876,""en"",""es"")"),"Dóbrich")</f>
        <v>Dóbrich</v>
      </c>
      <c r="F876" s="9" t="str">
        <f>IFERROR(__xludf.DUMMYFUNCTION("GOOGLETRANSLATE($A876,""en"",""it"")"),"Dobric")</f>
        <v>Dobric</v>
      </c>
      <c r="G876" s="9" t="str">
        <f>IFERROR(__xludf.DUMMYFUNCTION("GOOGLETRANSLATE($A876,""en"",""zh-cn"")"),"多布里奇")</f>
        <v>多布里奇</v>
      </c>
      <c r="H876" s="9" t="str">
        <f>IFERROR(__xludf.DUMMYFUNCTION("GOOGLETRANSLATE($A876,""en"",""ja"")"),"ドブリッチ")</f>
        <v>ドブリッチ</v>
      </c>
      <c r="I876" s="9" t="str">
        <f>IFERROR(__xludf.DUMMYFUNCTION("GOOGLETRANSLATE($A876,""en"",""ko"")"),"도브리치")</f>
        <v>도브리치</v>
      </c>
      <c r="J876" s="9" t="str">
        <f>IFERROR(__xludf.DUMMYFUNCTION("GOOGLETRANSLATE($A876,""en"",""pt-BR"")"),"Dobrich")</f>
        <v>Dobrich</v>
      </c>
    </row>
    <row r="877">
      <c r="A877" s="9" t="str">
        <f>IFERROR(__xludf.DUMMYFUNCTION("""COMPUTED_VALUE"""),"Kardzhali")</f>
        <v>Kardzhali</v>
      </c>
      <c r="B877" s="9" t="str">
        <f>IFERROR(__xludf.DUMMYFUNCTION("""COMPUTED_VALUE"""),"bg-09")</f>
        <v>bg-09</v>
      </c>
      <c r="C877" s="9" t="str">
        <f>IFERROR(__xludf.DUMMYFUNCTION("GOOGLETRANSLATE($A877,""en"",""de"")"),"Kardschali")</f>
        <v>Kardschali</v>
      </c>
      <c r="D877" s="9" t="str">
        <f>IFERROR(__xludf.DUMMYFUNCTION("GOOGLETRANSLATE($A877,""en"",""fr"")"),"Kardjali")</f>
        <v>Kardjali</v>
      </c>
      <c r="E877" s="9" t="str">
        <f>IFERROR(__xludf.DUMMYFUNCTION("GOOGLETRANSLATE($A877,""en"",""es"")"),"Kardzhali")</f>
        <v>Kardzhali</v>
      </c>
      <c r="F877" s="9" t="str">
        <f>IFERROR(__xludf.DUMMYFUNCTION("GOOGLETRANSLATE($A877,""en"",""it"")"),"Kardzhali")</f>
        <v>Kardzhali</v>
      </c>
      <c r="G877" s="9" t="str">
        <f>IFERROR(__xludf.DUMMYFUNCTION("GOOGLETRANSLATE($A877,""en"",""zh-cn"")"),"克尔贾利")</f>
        <v>克尔贾利</v>
      </c>
      <c r="H877" s="9" t="str">
        <f>IFERROR(__xludf.DUMMYFUNCTION("GOOGLETRANSLATE($A877,""en"",""ja"")"),"クルジャリ")</f>
        <v>クルジャリ</v>
      </c>
      <c r="I877" s="9" t="str">
        <f>IFERROR(__xludf.DUMMYFUNCTION("GOOGLETRANSLATE($A877,""en"",""ko"")"),"카르잘리")</f>
        <v>카르잘리</v>
      </c>
      <c r="J877" s="9" t="str">
        <f>IFERROR(__xludf.DUMMYFUNCTION("GOOGLETRANSLATE($A877,""en"",""pt-BR"")"),"Kardzhali")</f>
        <v>Kardzhali</v>
      </c>
    </row>
    <row r="878">
      <c r="A878" s="9" t="str">
        <f>IFERROR(__xludf.DUMMYFUNCTION("""COMPUTED_VALUE"""),"Ruse (BG)")</f>
        <v>Ruse (BG)</v>
      </c>
      <c r="B878" s="9" t="str">
        <f>IFERROR(__xludf.DUMMYFUNCTION("""COMPUTED_VALUE"""),"bg-18")</f>
        <v>bg-18</v>
      </c>
      <c r="C878" s="9" t="str">
        <f>IFERROR(__xludf.DUMMYFUNCTION("GOOGLETRANSLATE($A878,""en"",""de"")"),"Russe (BG)")</f>
        <v>Russe (BG)</v>
      </c>
      <c r="D878" s="9" t="str">
        <f>IFERROR(__xludf.DUMMYFUNCTION("GOOGLETRANSLATE($A878,""en"",""fr"")"),"Roussé (BG)")</f>
        <v>Roussé (BG)</v>
      </c>
      <c r="E878" s="9" t="str">
        <f>IFERROR(__xludf.DUMMYFUNCTION("GOOGLETRANSLATE($A878,""en"",""es"")"),"Astucia (BG)")</f>
        <v>Astucia (BG)</v>
      </c>
      <c r="F878" s="9" t="str">
        <f>IFERROR(__xludf.DUMMYFUNCTION("GOOGLETRANSLATE($A878,""en"",""it"")"),"Ruse (BG)")</f>
        <v>Ruse (BG)</v>
      </c>
      <c r="G878" s="9" t="str">
        <f>IFERROR(__xludf.DUMMYFUNCTION("GOOGLETRANSLATE($A878,""en"",""zh-cn"")"),"鲁塞 (BG)")</f>
        <v>鲁塞 (BG)</v>
      </c>
      <c r="H878" s="9" t="str">
        <f>IFERROR(__xludf.DUMMYFUNCTION("GOOGLETRANSLATE($A878,""en"",""ja"")"),"ルセ（BG）")</f>
        <v>ルセ（BG）</v>
      </c>
      <c r="I878" s="9" t="str">
        <f>IFERROR(__xludf.DUMMYFUNCTION("GOOGLETRANSLATE($A878,""en"",""ko"")"),"루세(BG)")</f>
        <v>루세(BG)</v>
      </c>
      <c r="J878" s="9" t="str">
        <f>IFERROR(__xludf.DUMMYFUNCTION("GOOGLETRANSLATE($A878,""en"",""pt-BR"")"),"Ruse (BG)")</f>
        <v>Ruse (BG)</v>
      </c>
    </row>
    <row r="879">
      <c r="A879" s="9" t="str">
        <f>IFERROR(__xludf.DUMMYFUNCTION("""COMPUTED_VALUE"""),"Plovdiv")</f>
        <v>Plovdiv</v>
      </c>
      <c r="B879" s="9" t="str">
        <f>IFERROR(__xludf.DUMMYFUNCTION("""COMPUTED_VALUE"""),"bg-16")</f>
        <v>bg-16</v>
      </c>
      <c r="C879" s="9" t="str">
        <f>IFERROR(__xludf.DUMMYFUNCTION("GOOGLETRANSLATE($A879,""en"",""de"")"),"Plowdiw")</f>
        <v>Plowdiw</v>
      </c>
      <c r="D879" s="9" t="str">
        <f>IFERROR(__xludf.DUMMYFUNCTION("GOOGLETRANSLATE($A879,""en"",""fr"")"),"Plovdiv")</f>
        <v>Plovdiv</v>
      </c>
      <c r="E879" s="9" t="str">
        <f>IFERROR(__xludf.DUMMYFUNCTION("GOOGLETRANSLATE($A879,""en"",""es"")"),"Plovdiv")</f>
        <v>Plovdiv</v>
      </c>
      <c r="F879" s="9" t="str">
        <f>IFERROR(__xludf.DUMMYFUNCTION("GOOGLETRANSLATE($A879,""en"",""it"")"),"Plovdiv")</f>
        <v>Plovdiv</v>
      </c>
      <c r="G879" s="9" t="str">
        <f>IFERROR(__xludf.DUMMYFUNCTION("GOOGLETRANSLATE($A879,""en"",""zh-cn"")"),"普罗夫迪夫")</f>
        <v>普罗夫迪夫</v>
      </c>
      <c r="H879" s="9" t="str">
        <f>IFERROR(__xludf.DUMMYFUNCTION("GOOGLETRANSLATE($A879,""en"",""ja"")"),"プロブディフ")</f>
        <v>プロブディフ</v>
      </c>
      <c r="I879" s="9" t="str">
        <f>IFERROR(__xludf.DUMMYFUNCTION("GOOGLETRANSLATE($A879,""en"",""ko"")"),"플로브디프")</f>
        <v>플로브디프</v>
      </c>
      <c r="J879" s="9" t="str">
        <f>IFERROR(__xludf.DUMMYFUNCTION("GOOGLETRANSLATE($A879,""en"",""pt-BR"")"),"Plovdiv")</f>
        <v>Plovdiv</v>
      </c>
    </row>
    <row r="880">
      <c r="A880" s="9" t="str">
        <f>IFERROR(__xludf.DUMMYFUNCTION("""COMPUTED_VALUE"""),"Razgrad")</f>
        <v>Razgrad</v>
      </c>
      <c r="B880" s="9" t="str">
        <f>IFERROR(__xludf.DUMMYFUNCTION("""COMPUTED_VALUE"""),"bg-17")</f>
        <v>bg-17</v>
      </c>
      <c r="C880" s="9" t="str">
        <f>IFERROR(__xludf.DUMMYFUNCTION("GOOGLETRANSLATE($A880,""en"",""de"")"),"Razgrad")</f>
        <v>Razgrad</v>
      </c>
      <c r="D880" s="9" t="str">
        <f>IFERROR(__xludf.DUMMYFUNCTION("GOOGLETRANSLATE($A880,""en"",""fr"")"),"Razgrad")</f>
        <v>Razgrad</v>
      </c>
      <c r="E880" s="9" t="str">
        <f>IFERROR(__xludf.DUMMYFUNCTION("GOOGLETRANSLATE($A880,""en"",""es"")"),"Razgrad")</f>
        <v>Razgrad</v>
      </c>
      <c r="F880" s="9" t="str">
        <f>IFERROR(__xludf.DUMMYFUNCTION("GOOGLETRANSLATE($A880,""en"",""it"")"),"Razgrad")</f>
        <v>Razgrad</v>
      </c>
      <c r="G880" s="9" t="str">
        <f>IFERROR(__xludf.DUMMYFUNCTION("GOOGLETRANSLATE($A880,""en"",""zh-cn"")"),"拉兹格勒")</f>
        <v>拉兹格勒</v>
      </c>
      <c r="H880" s="9" t="str">
        <f>IFERROR(__xludf.DUMMYFUNCTION("GOOGLETRANSLATE($A880,""en"",""ja"")"),"ラズグラド")</f>
        <v>ラズグラド</v>
      </c>
      <c r="I880" s="9" t="str">
        <f>IFERROR(__xludf.DUMMYFUNCTION("GOOGLETRANSLATE($A880,""en"",""ko"")"),"라즈그라드")</f>
        <v>라즈그라드</v>
      </c>
      <c r="J880" s="9" t="str">
        <f>IFERROR(__xludf.DUMMYFUNCTION("GOOGLETRANSLATE($A880,""en"",""pt-BR"")"),"Razgrad")</f>
        <v>Razgrad</v>
      </c>
    </row>
    <row r="881">
      <c r="A881" s="9" t="str">
        <f>IFERROR(__xludf.DUMMYFUNCTION("""COMPUTED_VALUE"""),"Targovishte")</f>
        <v>Targovishte</v>
      </c>
      <c r="B881" s="9" t="str">
        <f>IFERROR(__xludf.DUMMYFUNCTION("""COMPUTED_VALUE"""),"bg-25")</f>
        <v>bg-25</v>
      </c>
      <c r="C881" s="9" t="str">
        <f>IFERROR(__xludf.DUMMYFUNCTION("GOOGLETRANSLATE($A881,""en"",""de"")"),"Targowischte")</f>
        <v>Targowischte</v>
      </c>
      <c r="D881" s="9" t="str">
        <f>IFERROR(__xludf.DUMMYFUNCTION("GOOGLETRANSLATE($A881,""en"",""fr"")"),"Targovichté")</f>
        <v>Targovichté</v>
      </c>
      <c r="E881" s="9" t="str">
        <f>IFERROR(__xludf.DUMMYFUNCTION("GOOGLETRANSLATE($A881,""en"",""es"")"),"Targóvishte")</f>
        <v>Targóvishte</v>
      </c>
      <c r="F881" s="9" t="str">
        <f>IFERROR(__xludf.DUMMYFUNCTION("GOOGLETRANSLATE($A881,""en"",""it"")"),"Targovishte")</f>
        <v>Targovishte</v>
      </c>
      <c r="G881" s="9" t="str">
        <f>IFERROR(__xludf.DUMMYFUNCTION("GOOGLETRANSLATE($A881,""en"",""zh-cn"")"),"特尔戈维什特")</f>
        <v>特尔戈维什特</v>
      </c>
      <c r="H881" s="9" t="str">
        <f>IFERROR(__xludf.DUMMYFUNCTION("GOOGLETRANSLATE($A881,""en"",""ja"")"),"トゥルゴヴィシュテ")</f>
        <v>トゥルゴヴィシュテ</v>
      </c>
      <c r="I881" s="9" t="str">
        <f>IFERROR(__xludf.DUMMYFUNCTION("GOOGLETRANSLATE($A881,""en"",""ko"")"),"타르고비쉬테")</f>
        <v>타르고비쉬테</v>
      </c>
      <c r="J881" s="9" t="str">
        <f>IFERROR(__xludf.DUMMYFUNCTION("GOOGLETRANSLATE($A881,""en"",""pt-BR"")"),"Targovishte")</f>
        <v>Targovishte</v>
      </c>
    </row>
    <row r="882">
      <c r="A882" s="9" t="str">
        <f>IFERROR(__xludf.DUMMYFUNCTION("""COMPUTED_VALUE"""),"Haskovo")</f>
        <v>Haskovo</v>
      </c>
      <c r="B882" s="9" t="str">
        <f>IFERROR(__xludf.DUMMYFUNCTION("""COMPUTED_VALUE"""),"bg-26")</f>
        <v>bg-26</v>
      </c>
      <c r="C882" s="9" t="str">
        <f>IFERROR(__xludf.DUMMYFUNCTION("GOOGLETRANSLATE($A882,""en"",""de"")"),"Chaskowo")</f>
        <v>Chaskowo</v>
      </c>
      <c r="D882" s="9" t="str">
        <f>IFERROR(__xludf.DUMMYFUNCTION("GOOGLETRANSLATE($A882,""en"",""fr"")"),"Haskovo")</f>
        <v>Haskovo</v>
      </c>
      <c r="E882" s="9" t="str">
        <f>IFERROR(__xludf.DUMMYFUNCTION("GOOGLETRANSLATE($A882,""en"",""es"")"),"Jáskovo")</f>
        <v>Jáskovo</v>
      </c>
      <c r="F882" s="9" t="str">
        <f>IFERROR(__xludf.DUMMYFUNCTION("GOOGLETRANSLATE($A882,""en"",""it"")"),"Haskovo")</f>
        <v>Haskovo</v>
      </c>
      <c r="G882" s="9" t="str">
        <f>IFERROR(__xludf.DUMMYFUNCTION("GOOGLETRANSLATE($A882,""en"",""zh-cn"")"),"哈斯科沃")</f>
        <v>哈斯科沃</v>
      </c>
      <c r="H882" s="9" t="str">
        <f>IFERROR(__xludf.DUMMYFUNCTION("GOOGLETRANSLATE($A882,""en"",""ja"")"),"ハスコボ")</f>
        <v>ハスコボ</v>
      </c>
      <c r="I882" s="9" t="str">
        <f>IFERROR(__xludf.DUMMYFUNCTION("GOOGLETRANSLATE($A882,""en"",""ko"")"),"하스코보")</f>
        <v>하스코보</v>
      </c>
      <c r="J882" s="9" t="str">
        <f>IFERROR(__xludf.DUMMYFUNCTION("GOOGLETRANSLATE($A882,""en"",""pt-BR"")"),"Haskovo")</f>
        <v>Haskovo</v>
      </c>
    </row>
    <row r="883">
      <c r="A883" s="9" t="str">
        <f>IFERROR(__xludf.DUMMYFUNCTION("""COMPUTED_VALUE"""),"Sofia")</f>
        <v>Sofia</v>
      </c>
      <c r="B883" s="9" t="str">
        <f>IFERROR(__xludf.DUMMYFUNCTION("""COMPUTED_VALUE"""),"bg-23")</f>
        <v>bg-23</v>
      </c>
      <c r="C883" s="9" t="str">
        <f>IFERROR(__xludf.DUMMYFUNCTION("GOOGLETRANSLATE($A883,""en"",""de"")"),"Sofia")</f>
        <v>Sofia</v>
      </c>
      <c r="D883" s="9" t="str">
        <f>IFERROR(__xludf.DUMMYFUNCTION("GOOGLETRANSLATE($A883,""en"",""fr"")"),"Sofia")</f>
        <v>Sofia</v>
      </c>
      <c r="E883" s="9" t="str">
        <f>IFERROR(__xludf.DUMMYFUNCTION("GOOGLETRANSLATE($A883,""en"",""es"")"),"Sofía")</f>
        <v>Sofía</v>
      </c>
      <c r="F883" s="9" t="str">
        <f>IFERROR(__xludf.DUMMYFUNCTION("GOOGLETRANSLATE($A883,""en"",""it"")"),"Sofia")</f>
        <v>Sofia</v>
      </c>
      <c r="G883" s="9" t="str">
        <f>IFERROR(__xludf.DUMMYFUNCTION("GOOGLETRANSLATE($A883,""en"",""zh-cn"")"),"索菲亚")</f>
        <v>索菲亚</v>
      </c>
      <c r="H883" s="9" t="str">
        <f>IFERROR(__xludf.DUMMYFUNCTION("GOOGLETRANSLATE($A883,""en"",""ja"")"),"ソフィア")</f>
        <v>ソフィア</v>
      </c>
      <c r="I883" s="9" t="str">
        <f>IFERROR(__xludf.DUMMYFUNCTION("GOOGLETRANSLATE($A883,""en"",""ko"")"),"소피아")</f>
        <v>소피아</v>
      </c>
      <c r="J883" s="9" t="str">
        <f>IFERROR(__xludf.DUMMYFUNCTION("GOOGLETRANSLATE($A883,""en"",""pt-BR"")"),"Sófia")</f>
        <v>Sófia</v>
      </c>
    </row>
    <row r="884">
      <c r="A884" s="9" t="str">
        <f>IFERROR(__xludf.DUMMYFUNCTION("""COMPUTED_VALUE"""),"Stara Zagora")</f>
        <v>Stara Zagora</v>
      </c>
      <c r="B884" s="9" t="str">
        <f>IFERROR(__xludf.DUMMYFUNCTION("""COMPUTED_VALUE"""),"bg-24")</f>
        <v>bg-24</v>
      </c>
      <c r="C884" s="9" t="str">
        <f>IFERROR(__xludf.DUMMYFUNCTION("GOOGLETRANSLATE($A884,""en"",""de"")"),"Stara Sagora")</f>
        <v>Stara Sagora</v>
      </c>
      <c r="D884" s="9" t="str">
        <f>IFERROR(__xludf.DUMMYFUNCTION("GOOGLETRANSLATE($A884,""en"",""fr"")"),"Stara Zagora")</f>
        <v>Stara Zagora</v>
      </c>
      <c r="E884" s="9" t="str">
        <f>IFERROR(__xludf.DUMMYFUNCTION("GOOGLETRANSLATE($A884,""en"",""es"")"),"Stara Zagora")</f>
        <v>Stara Zagora</v>
      </c>
      <c r="F884" s="9" t="str">
        <f>IFERROR(__xludf.DUMMYFUNCTION("GOOGLETRANSLATE($A884,""en"",""it"")"),"Stara Zagora")</f>
        <v>Stara Zagora</v>
      </c>
      <c r="G884" s="9" t="str">
        <f>IFERROR(__xludf.DUMMYFUNCTION("GOOGLETRANSLATE($A884,""en"",""zh-cn"")"),"旧扎戈拉")</f>
        <v>旧扎戈拉</v>
      </c>
      <c r="H884" s="9" t="str">
        <f>IFERROR(__xludf.DUMMYFUNCTION("GOOGLETRANSLATE($A884,""en"",""ja"")"),"スタラ・ザゴラ")</f>
        <v>スタラ・ザゴラ</v>
      </c>
      <c r="I884" s="9" t="str">
        <f>IFERROR(__xludf.DUMMYFUNCTION("GOOGLETRANSLATE($A884,""en"",""ko"")"),"스타라 자고라")</f>
        <v>스타라 자고라</v>
      </c>
      <c r="J884" s="9" t="str">
        <f>IFERROR(__xludf.DUMMYFUNCTION("GOOGLETRANSLATE($A884,""en"",""pt-BR"")"),"Stara Zagora")</f>
        <v>Stara Zagora</v>
      </c>
    </row>
    <row r="885">
      <c r="A885" s="9" t="str">
        <f>IFERROR(__xludf.DUMMYFUNCTION("""COMPUTED_VALUE"""),"Smolyan")</f>
        <v>Smolyan</v>
      </c>
      <c r="B885" s="9" t="str">
        <f>IFERROR(__xludf.DUMMYFUNCTION("""COMPUTED_VALUE"""),"bg-21")</f>
        <v>bg-21</v>
      </c>
      <c r="C885" s="9" t="str">
        <f>IFERROR(__xludf.DUMMYFUNCTION("GOOGLETRANSLATE($A885,""en"",""de"")"),"Smoljan")</f>
        <v>Smoljan</v>
      </c>
      <c r="D885" s="9" t="str">
        <f>IFERROR(__xludf.DUMMYFUNCTION("GOOGLETRANSLATE($A885,""en"",""fr"")"),"Smolyan")</f>
        <v>Smolyan</v>
      </c>
      <c r="E885" s="9" t="str">
        <f>IFERROR(__xludf.DUMMYFUNCTION("GOOGLETRANSLATE($A885,""en"",""es"")"),"Smolyan")</f>
        <v>Smolyan</v>
      </c>
      <c r="F885" s="9" t="str">
        <f>IFERROR(__xludf.DUMMYFUNCTION("GOOGLETRANSLATE($A885,""en"",""it"")"),"Smolyan")</f>
        <v>Smolyan</v>
      </c>
      <c r="G885" s="9" t="str">
        <f>IFERROR(__xludf.DUMMYFUNCTION("GOOGLETRANSLATE($A885,""en"",""zh-cn"")"),"斯莫良")</f>
        <v>斯莫良</v>
      </c>
      <c r="H885" s="9" t="str">
        <f>IFERROR(__xludf.DUMMYFUNCTION("GOOGLETRANSLATE($A885,""en"",""ja"")"),"スモーリャン")</f>
        <v>スモーリャン</v>
      </c>
      <c r="I885" s="9" t="str">
        <f>IFERROR(__xludf.DUMMYFUNCTION("GOOGLETRANSLATE($A885,""en"",""ko"")"),"스몰리안")</f>
        <v>스몰리안</v>
      </c>
      <c r="J885" s="9" t="str">
        <f>IFERROR(__xludf.DUMMYFUNCTION("GOOGLETRANSLATE($A885,""en"",""pt-BR"")"),"Smolyan")</f>
        <v>Smolyan</v>
      </c>
    </row>
    <row r="886">
      <c r="A886" s="9" t="str">
        <f>IFERROR(__xludf.DUMMYFUNCTION("""COMPUTED_VALUE"""),"Sofia (stolitsa)")</f>
        <v>Sofia (stolitsa)</v>
      </c>
      <c r="B886" s="9" t="str">
        <f>IFERROR(__xludf.DUMMYFUNCTION("""COMPUTED_VALUE"""),"bg-22")</f>
        <v>bg-22</v>
      </c>
      <c r="C886" s="9" t="str">
        <f>IFERROR(__xludf.DUMMYFUNCTION("GOOGLETRANSLATE($A886,""en"",""de"")"),"Sofia (stolitsa)")</f>
        <v>Sofia (stolitsa)</v>
      </c>
      <c r="D886" s="9" t="str">
        <f>IFERROR(__xludf.DUMMYFUNCTION("GOOGLETRANSLATE($A886,""en"",""fr"")"),"Sofia (stolitsa)")</f>
        <v>Sofia (stolitsa)</v>
      </c>
      <c r="E886" s="9" t="str">
        <f>IFERROR(__xludf.DUMMYFUNCTION("GOOGLETRANSLATE($A886,""en"",""es"")"),"Sofía (stolitsa)")</f>
        <v>Sofía (stolitsa)</v>
      </c>
      <c r="F886" s="9" t="str">
        <f>IFERROR(__xludf.DUMMYFUNCTION("GOOGLETRANSLATE($A886,""en"",""it"")"),"Sofia (stolitsa)")</f>
        <v>Sofia (stolitsa)</v>
      </c>
      <c r="G886" s="9" t="str">
        <f>IFERROR(__xludf.DUMMYFUNCTION("GOOGLETRANSLATE($A886,""en"",""zh-cn"")"),"索菲亚 (stolitsa)")</f>
        <v>索菲亚 (stolitsa)</v>
      </c>
      <c r="H886" s="9" t="str">
        <f>IFERROR(__xludf.DUMMYFUNCTION("GOOGLETRANSLATE($A886,""en"",""ja"")"),"ソフィア (ストリッツァ)")</f>
        <v>ソフィア (ストリッツァ)</v>
      </c>
      <c r="I886" s="9" t="str">
        <f>IFERROR(__xludf.DUMMYFUNCTION("GOOGLETRANSLATE($A886,""en"",""ko"")"),"소피아 (stolitsa)")</f>
        <v>소피아 (stolitsa)</v>
      </c>
      <c r="J886" s="9" t="str">
        <f>IFERROR(__xludf.DUMMYFUNCTION("GOOGLETRANSLATE($A886,""en"",""pt-BR"")"),"Sofia (stolitsa)")</f>
        <v>Sofia (stolitsa)</v>
      </c>
    </row>
    <row r="887">
      <c r="A887" s="9" t="str">
        <f>IFERROR(__xludf.DUMMYFUNCTION("""COMPUTED_VALUE"""),"Silistra")</f>
        <v>Silistra</v>
      </c>
      <c r="B887" s="9" t="str">
        <f>IFERROR(__xludf.DUMMYFUNCTION("""COMPUTED_VALUE"""),"bg-19")</f>
        <v>bg-19</v>
      </c>
      <c r="C887" s="9" t="str">
        <f>IFERROR(__xludf.DUMMYFUNCTION("GOOGLETRANSLATE($A887,""en"",""de"")"),"Silistra")</f>
        <v>Silistra</v>
      </c>
      <c r="D887" s="9" t="str">
        <f>IFERROR(__xludf.DUMMYFUNCTION("GOOGLETRANSLATE($A887,""en"",""fr"")"),"Silistra")</f>
        <v>Silistra</v>
      </c>
      <c r="E887" s="9" t="str">
        <f>IFERROR(__xludf.DUMMYFUNCTION("GOOGLETRANSLATE($A887,""en"",""es"")"),"Silistra")</f>
        <v>Silistra</v>
      </c>
      <c r="F887" s="9" t="str">
        <f>IFERROR(__xludf.DUMMYFUNCTION("GOOGLETRANSLATE($A887,""en"",""it"")"),"Silistra")</f>
        <v>Silistra</v>
      </c>
      <c r="G887" s="9" t="str">
        <f>IFERROR(__xludf.DUMMYFUNCTION("GOOGLETRANSLATE($A887,""en"",""zh-cn"")"),"西利斯特拉")</f>
        <v>西利斯特拉</v>
      </c>
      <c r="H887" s="9" t="str">
        <f>IFERROR(__xludf.DUMMYFUNCTION("GOOGLETRANSLATE($A887,""en"",""ja"")"),"シリストラ")</f>
        <v>シリストラ</v>
      </c>
      <c r="I887" s="9" t="str">
        <f>IFERROR(__xludf.DUMMYFUNCTION("GOOGLETRANSLATE($A887,""en"",""ko"")"),"실리스트라")</f>
        <v>실리스트라</v>
      </c>
      <c r="J887" s="9" t="str">
        <f>IFERROR(__xludf.DUMMYFUNCTION("GOOGLETRANSLATE($A887,""en"",""pt-BR"")"),"Silistra")</f>
        <v>Silistra</v>
      </c>
    </row>
    <row r="888">
      <c r="A888" s="9" t="str">
        <f>IFERROR(__xludf.DUMMYFUNCTION("""COMPUTED_VALUE"""),"Sliven")</f>
        <v>Sliven</v>
      </c>
      <c r="B888" s="9" t="str">
        <f>IFERROR(__xludf.DUMMYFUNCTION("""COMPUTED_VALUE"""),"bg-20")</f>
        <v>bg-20</v>
      </c>
      <c r="C888" s="9" t="str">
        <f>IFERROR(__xludf.DUMMYFUNCTION("GOOGLETRANSLATE($A888,""en"",""de"")"),"Sliven")</f>
        <v>Sliven</v>
      </c>
      <c r="D888" s="9" t="str">
        <f>IFERROR(__xludf.DUMMYFUNCTION("GOOGLETRANSLATE($A888,""en"",""fr"")"),"Sliven")</f>
        <v>Sliven</v>
      </c>
      <c r="E888" s="9" t="str">
        <f>IFERROR(__xludf.DUMMYFUNCTION("GOOGLETRANSLATE($A888,""en"",""es"")"),"sliven")</f>
        <v>sliven</v>
      </c>
      <c r="F888" s="9" t="str">
        <f>IFERROR(__xludf.DUMMYFUNCTION("GOOGLETRANSLATE($A888,""en"",""it"")"),"Sliven")</f>
        <v>Sliven</v>
      </c>
      <c r="G888" s="9" t="str">
        <f>IFERROR(__xludf.DUMMYFUNCTION("GOOGLETRANSLATE($A888,""en"",""zh-cn"")"),"斯利文")</f>
        <v>斯利文</v>
      </c>
      <c r="H888" s="9" t="str">
        <f>IFERROR(__xludf.DUMMYFUNCTION("GOOGLETRANSLATE($A888,""en"",""ja"")"),"スリブン")</f>
        <v>スリブン</v>
      </c>
      <c r="I888" s="9" t="str">
        <f>IFERROR(__xludf.DUMMYFUNCTION("GOOGLETRANSLATE($A888,""en"",""ko"")"),"슬리벤")</f>
        <v>슬리벤</v>
      </c>
      <c r="J888" s="9" t="str">
        <f>IFERROR(__xludf.DUMMYFUNCTION("GOOGLETRANSLATE($A888,""en"",""pt-BR"")"),"Sliven")</f>
        <v>Sliven</v>
      </c>
    </row>
    <row r="889">
      <c r="A889" s="9" t="str">
        <f>IFERROR(__xludf.DUMMYFUNCTION("""COMPUTED_VALUE"""),"Shumen")</f>
        <v>Shumen</v>
      </c>
      <c r="B889" s="9" t="str">
        <f>IFERROR(__xludf.DUMMYFUNCTION("""COMPUTED_VALUE"""),"bg-27")</f>
        <v>bg-27</v>
      </c>
      <c r="C889" s="9" t="str">
        <f>IFERROR(__xludf.DUMMYFUNCTION("GOOGLETRANSLATE($A889,""en"",""de"")"),"Schumen")</f>
        <v>Schumen</v>
      </c>
      <c r="D889" s="9" t="str">
        <f>IFERROR(__xludf.DUMMYFUNCTION("GOOGLETRANSLATE($A889,""en"",""fr"")"),"Choumen")</f>
        <v>Choumen</v>
      </c>
      <c r="E889" s="9" t="str">
        <f>IFERROR(__xludf.DUMMYFUNCTION("GOOGLETRANSLATE($A889,""en"",""es"")"),"Shumen")</f>
        <v>Shumen</v>
      </c>
      <c r="F889" s="9" t="str">
        <f>IFERROR(__xludf.DUMMYFUNCTION("GOOGLETRANSLATE($A889,""en"",""it"")"),"Shumen")</f>
        <v>Shumen</v>
      </c>
      <c r="G889" s="9" t="str">
        <f>IFERROR(__xludf.DUMMYFUNCTION("GOOGLETRANSLATE($A889,""en"",""zh-cn"")"),"树门")</f>
        <v>树门</v>
      </c>
      <c r="H889" s="9" t="str">
        <f>IFERROR(__xludf.DUMMYFUNCTION("GOOGLETRANSLATE($A889,""en"",""ja"")"),"シュメン")</f>
        <v>シュメン</v>
      </c>
      <c r="I889" s="9" t="str">
        <f>IFERROR(__xludf.DUMMYFUNCTION("GOOGLETRANSLATE($A889,""en"",""ko"")"),"슈멘")</f>
        <v>슈멘</v>
      </c>
      <c r="J889" s="9" t="str">
        <f>IFERROR(__xludf.DUMMYFUNCTION("GOOGLETRANSLATE($A889,""en"",""pt-BR"")"),"Shumen")</f>
        <v>Shumen</v>
      </c>
    </row>
    <row r="890">
      <c r="A890" s="9" t="str">
        <f>IFERROR(__xludf.DUMMYFUNCTION("""COMPUTED_VALUE"""),"Yambol")</f>
        <v>Yambol</v>
      </c>
      <c r="B890" s="9" t="str">
        <f>IFERROR(__xludf.DUMMYFUNCTION("""COMPUTED_VALUE"""),"bg-28")</f>
        <v>bg-28</v>
      </c>
      <c r="C890" s="9" t="str">
        <f>IFERROR(__xludf.DUMMYFUNCTION("GOOGLETRANSLATE($A890,""en"",""de"")"),"Jambol")</f>
        <v>Jambol</v>
      </c>
      <c r="D890" s="9" t="str">
        <f>IFERROR(__xludf.DUMMYFUNCTION("GOOGLETRANSLATE($A890,""en"",""fr"")"),"Yambol")</f>
        <v>Yambol</v>
      </c>
      <c r="E890" s="9" t="str">
        <f>IFERROR(__xludf.DUMMYFUNCTION("GOOGLETRANSLATE($A890,""en"",""es"")"),"Yámbol")</f>
        <v>Yámbol</v>
      </c>
      <c r="F890" s="9" t="str">
        <f>IFERROR(__xludf.DUMMYFUNCTION("GOOGLETRANSLATE($A890,""en"",""it"")"),"Yambol")</f>
        <v>Yambol</v>
      </c>
      <c r="G890" s="9" t="str">
        <f>IFERROR(__xludf.DUMMYFUNCTION("GOOGLETRANSLATE($A890,""en"",""zh-cn"")"),"扬博尔")</f>
        <v>扬博尔</v>
      </c>
      <c r="H890" s="9" t="str">
        <f>IFERROR(__xludf.DUMMYFUNCTION("GOOGLETRANSLATE($A890,""en"",""ja"")"),"ヤンボル")</f>
        <v>ヤンボル</v>
      </c>
      <c r="I890" s="9" t="str">
        <f>IFERROR(__xludf.DUMMYFUNCTION("GOOGLETRANSLATE($A890,""en"",""ko"")"),"얌볼")</f>
        <v>얌볼</v>
      </c>
      <c r="J890" s="9" t="str">
        <f>IFERROR(__xludf.DUMMYFUNCTION("GOOGLETRANSLATE($A890,""en"",""pt-BR"")"),"Iambol")</f>
        <v>Iambol</v>
      </c>
    </row>
    <row r="891">
      <c r="A891" s="9" t="str">
        <f>IFERROR(__xludf.DUMMYFUNCTION("""COMPUTED_VALUE"""),"Gabrovo")</f>
        <v>Gabrovo</v>
      </c>
      <c r="B891" s="9" t="str">
        <f>IFERROR(__xludf.DUMMYFUNCTION("""COMPUTED_VALUE"""),"bg-07")</f>
        <v>bg-07</v>
      </c>
      <c r="C891" s="9" t="str">
        <f>IFERROR(__xludf.DUMMYFUNCTION("GOOGLETRANSLATE($A891,""en"",""de"")"),"Gabrovo")</f>
        <v>Gabrovo</v>
      </c>
      <c r="D891" s="9" t="str">
        <f>IFERROR(__xludf.DUMMYFUNCTION("GOOGLETRANSLATE($A891,""en"",""fr"")"),"Gabrovo")</f>
        <v>Gabrovo</v>
      </c>
      <c r="E891" s="9" t="str">
        <f>IFERROR(__xludf.DUMMYFUNCTION("GOOGLETRANSLATE($A891,""en"",""es"")"),"Gabrovo")</f>
        <v>Gabrovo</v>
      </c>
      <c r="F891" s="9" t="str">
        <f>IFERROR(__xludf.DUMMYFUNCTION("GOOGLETRANSLATE($A891,""en"",""it"")"),"Gabrovo")</f>
        <v>Gabrovo</v>
      </c>
      <c r="G891" s="9" t="str">
        <f>IFERROR(__xludf.DUMMYFUNCTION("GOOGLETRANSLATE($A891,""en"",""zh-cn"")"),"加布罗沃")</f>
        <v>加布罗沃</v>
      </c>
      <c r="H891" s="9" t="str">
        <f>IFERROR(__xludf.DUMMYFUNCTION("GOOGLETRANSLATE($A891,""en"",""ja"")"),"ガブロヴォ")</f>
        <v>ガブロヴォ</v>
      </c>
      <c r="I891" s="9" t="str">
        <f>IFERROR(__xludf.DUMMYFUNCTION("GOOGLETRANSLATE($A891,""en"",""ko"")"),"가브로보")</f>
        <v>가브로보</v>
      </c>
      <c r="J891" s="9" t="str">
        <f>IFERROR(__xludf.DUMMYFUNCTION("GOOGLETRANSLATE($A891,""en"",""pt-BR"")"),"Gabrovo")</f>
        <v>Gabrovo</v>
      </c>
    </row>
    <row r="892">
      <c r="A892" s="9" t="str">
        <f>IFERROR(__xludf.DUMMYFUNCTION("""COMPUTED_VALUE"""),"Vidin")</f>
        <v>Vidin</v>
      </c>
      <c r="B892" s="9" t="str">
        <f>IFERROR(__xludf.DUMMYFUNCTION("""COMPUTED_VALUE"""),"bg-05")</f>
        <v>bg-05</v>
      </c>
      <c r="C892" s="9" t="str">
        <f>IFERROR(__xludf.DUMMYFUNCTION("GOOGLETRANSLATE($A892,""en"",""de"")"),"Widin")</f>
        <v>Widin</v>
      </c>
      <c r="D892" s="9" t="str">
        <f>IFERROR(__xludf.DUMMYFUNCTION("GOOGLETRANSLATE($A892,""en"",""fr"")"),"Vidin")</f>
        <v>Vidin</v>
      </c>
      <c r="E892" s="9" t="str">
        <f>IFERROR(__xludf.DUMMYFUNCTION("GOOGLETRANSLATE($A892,""en"",""es"")"),"vidin")</f>
        <v>vidin</v>
      </c>
      <c r="F892" s="9" t="str">
        <f>IFERROR(__xludf.DUMMYFUNCTION("GOOGLETRANSLATE($A892,""en"",""it"")"),"Vidin")</f>
        <v>Vidin</v>
      </c>
      <c r="G892" s="9" t="str">
        <f>IFERROR(__xludf.DUMMYFUNCTION("GOOGLETRANSLATE($A892,""en"",""zh-cn"")"),"维丁")</f>
        <v>维丁</v>
      </c>
      <c r="H892" s="9" t="str">
        <f>IFERROR(__xludf.DUMMYFUNCTION("GOOGLETRANSLATE($A892,""en"",""ja"")"),"ヴィディン")</f>
        <v>ヴィディン</v>
      </c>
      <c r="I892" s="9" t="str">
        <f>IFERROR(__xludf.DUMMYFUNCTION("GOOGLETRANSLATE($A892,""en"",""ko"")"),"비딘")</f>
        <v>비딘</v>
      </c>
      <c r="J892" s="9" t="str">
        <f>IFERROR(__xludf.DUMMYFUNCTION("GOOGLETRANSLATE($A892,""en"",""pt-BR"")"),"Vidin")</f>
        <v>Vidin</v>
      </c>
    </row>
    <row r="893">
      <c r="A893" s="9" t="str">
        <f>IFERROR(__xludf.DUMMYFUNCTION("""COMPUTED_VALUE"""),"Vratsa")</f>
        <v>Vratsa</v>
      </c>
      <c r="B893" s="9" t="str">
        <f>IFERROR(__xludf.DUMMYFUNCTION("""COMPUTED_VALUE"""),"bg-06")</f>
        <v>bg-06</v>
      </c>
      <c r="C893" s="9" t="str">
        <f>IFERROR(__xludf.DUMMYFUNCTION("GOOGLETRANSLATE($A893,""en"",""de"")"),"Wraza")</f>
        <v>Wraza</v>
      </c>
      <c r="D893" s="9" t="str">
        <f>IFERROR(__xludf.DUMMYFUNCTION("GOOGLETRANSLATE($A893,""en"",""fr"")"),"Vratsa")</f>
        <v>Vratsa</v>
      </c>
      <c r="E893" s="9" t="str">
        <f>IFERROR(__xludf.DUMMYFUNCTION("GOOGLETRANSLATE($A893,""en"",""es"")"),"Vratsa")</f>
        <v>Vratsa</v>
      </c>
      <c r="F893" s="9" t="str">
        <f>IFERROR(__xludf.DUMMYFUNCTION("GOOGLETRANSLATE($A893,""en"",""it"")"),"Vratsa")</f>
        <v>Vratsa</v>
      </c>
      <c r="G893" s="9" t="str">
        <f>IFERROR(__xludf.DUMMYFUNCTION("GOOGLETRANSLATE($A893,""en"",""zh-cn"")"),"弗拉察")</f>
        <v>弗拉察</v>
      </c>
      <c r="H893" s="9" t="str">
        <f>IFERROR(__xludf.DUMMYFUNCTION("GOOGLETRANSLATE($A893,""en"",""ja"")"),"ヴラツァ")</f>
        <v>ヴラツァ</v>
      </c>
      <c r="I893" s="9" t="str">
        <f>IFERROR(__xludf.DUMMYFUNCTION("GOOGLETRANSLATE($A893,""en"",""ko"")"),"브라차")</f>
        <v>브라차</v>
      </c>
      <c r="J893" s="9" t="str">
        <f>IFERROR(__xludf.DUMMYFUNCTION("GOOGLETRANSLATE($A893,""en"",""pt-BR"")"),"Vratsa")</f>
        <v>Vratsa</v>
      </c>
    </row>
    <row r="894">
      <c r="A894" s="9" t="str">
        <f>IFERROR(__xludf.DUMMYFUNCTION("""COMPUTED_VALUE"""),"Varna")</f>
        <v>Varna</v>
      </c>
      <c r="B894" s="9" t="str">
        <f>IFERROR(__xludf.DUMMYFUNCTION("""COMPUTED_VALUE"""),"bg-03")</f>
        <v>bg-03</v>
      </c>
      <c r="C894" s="9" t="str">
        <f>IFERROR(__xludf.DUMMYFUNCTION("GOOGLETRANSLATE($A894,""en"",""de"")"),"Warna")</f>
        <v>Warna</v>
      </c>
      <c r="D894" s="9" t="str">
        <f>IFERROR(__xludf.DUMMYFUNCTION("GOOGLETRANSLATE($A894,""en"",""fr"")"),"Varna")</f>
        <v>Varna</v>
      </c>
      <c r="E894" s="9" t="str">
        <f>IFERROR(__xludf.DUMMYFUNCTION("GOOGLETRANSLATE($A894,""en"",""es"")"),"Varna")</f>
        <v>Varna</v>
      </c>
      <c r="F894" s="9" t="str">
        <f>IFERROR(__xludf.DUMMYFUNCTION("GOOGLETRANSLATE($A894,""en"",""it"")"),"Varna")</f>
        <v>Varna</v>
      </c>
      <c r="G894" s="9" t="str">
        <f>IFERROR(__xludf.DUMMYFUNCTION("GOOGLETRANSLATE($A894,""en"",""zh-cn"")"),"瓦尔纳")</f>
        <v>瓦尔纳</v>
      </c>
      <c r="H894" s="9" t="str">
        <f>IFERROR(__xludf.DUMMYFUNCTION("GOOGLETRANSLATE($A894,""en"",""ja"")"),"ヴァルナ")</f>
        <v>ヴァルナ</v>
      </c>
      <c r="I894" s="9" t="str">
        <f>IFERROR(__xludf.DUMMYFUNCTION("GOOGLETRANSLATE($A894,""en"",""ko"")"),"바르나")</f>
        <v>바르나</v>
      </c>
      <c r="J894" s="9" t="str">
        <f>IFERROR(__xludf.DUMMYFUNCTION("GOOGLETRANSLATE($A894,""en"",""pt-BR"")"),"Varna")</f>
        <v>Varna</v>
      </c>
    </row>
    <row r="895">
      <c r="A895" s="9" t="str">
        <f>IFERROR(__xludf.DUMMYFUNCTION("""COMPUTED_VALUE"""),"Veliko Tarnovo")</f>
        <v>Veliko Tarnovo</v>
      </c>
      <c r="B895" s="9" t="str">
        <f>IFERROR(__xludf.DUMMYFUNCTION("""COMPUTED_VALUE"""),"bg-04")</f>
        <v>bg-04</v>
      </c>
      <c r="C895" s="9" t="str">
        <f>IFERROR(__xludf.DUMMYFUNCTION("GOOGLETRANSLATE($A895,""en"",""de"")"),"Weliko Tarnowo")</f>
        <v>Weliko Tarnowo</v>
      </c>
      <c r="D895" s="9" t="str">
        <f>IFERROR(__xludf.DUMMYFUNCTION("GOOGLETRANSLATE($A895,""en"",""fr"")"),"Veliko Tarnovo")</f>
        <v>Veliko Tarnovo</v>
      </c>
      <c r="E895" s="9" t="str">
        <f>IFERROR(__xludf.DUMMYFUNCTION("GOOGLETRANSLATE($A895,""en"",""es"")"),"Veliko Tarnovo")</f>
        <v>Veliko Tarnovo</v>
      </c>
      <c r="F895" s="9" t="str">
        <f>IFERROR(__xludf.DUMMYFUNCTION("GOOGLETRANSLATE($A895,""en"",""it"")"),"Veliko Tarnovo")</f>
        <v>Veliko Tarnovo</v>
      </c>
      <c r="G895" s="9" t="str">
        <f>IFERROR(__xludf.DUMMYFUNCTION("GOOGLETRANSLATE($A895,""en"",""zh-cn"")"),"大特尔诺沃")</f>
        <v>大特尔诺沃</v>
      </c>
      <c r="H895" s="9" t="str">
        <f>IFERROR(__xludf.DUMMYFUNCTION("GOOGLETRANSLATE($A895,""en"",""ja"")"),"ヴェリコ タルノヴォ")</f>
        <v>ヴェリコ タルノヴォ</v>
      </c>
      <c r="I895" s="9" t="str">
        <f>IFERROR(__xludf.DUMMYFUNCTION("GOOGLETRANSLATE($A895,""en"",""ko"")"),"벨리코 타르노보")</f>
        <v>벨리코 타르노보</v>
      </c>
      <c r="J895" s="9" t="str">
        <f>IFERROR(__xludf.DUMMYFUNCTION("GOOGLETRANSLATE($A895,""en"",""pt-BR"")"),"Veliko Tarnovo")</f>
        <v>Veliko Tarnovo</v>
      </c>
    </row>
    <row r="896">
      <c r="A896" s="9" t="str">
        <f>IFERROR(__xludf.DUMMYFUNCTION("""COMPUTED_VALUE"""),"Blagoevgrad")</f>
        <v>Blagoevgrad</v>
      </c>
      <c r="B896" s="9" t="str">
        <f>IFERROR(__xludf.DUMMYFUNCTION("""COMPUTED_VALUE"""),"bg-01")</f>
        <v>bg-01</v>
      </c>
      <c r="C896" s="9" t="str">
        <f>IFERROR(__xludf.DUMMYFUNCTION("GOOGLETRANSLATE($A896,""en"",""de"")"),"Blagoewgrad")</f>
        <v>Blagoewgrad</v>
      </c>
      <c r="D896" s="9" t="str">
        <f>IFERROR(__xludf.DUMMYFUNCTION("GOOGLETRANSLATE($A896,""en"",""fr"")"),"Blagoevgrad")</f>
        <v>Blagoevgrad</v>
      </c>
      <c r="E896" s="9" t="str">
        <f>IFERROR(__xludf.DUMMYFUNCTION("GOOGLETRANSLATE($A896,""en"",""es"")"),"Blagóevgrado")</f>
        <v>Blagóevgrado</v>
      </c>
      <c r="F896" s="9" t="str">
        <f>IFERROR(__xludf.DUMMYFUNCTION("GOOGLETRANSLATE($A896,""en"",""it"")"),"Blagoevgrad")</f>
        <v>Blagoevgrad</v>
      </c>
      <c r="G896" s="9" t="str">
        <f>IFERROR(__xludf.DUMMYFUNCTION("GOOGLETRANSLATE($A896,""en"",""zh-cn"")"),"布拉戈耶夫格勒")</f>
        <v>布拉戈耶夫格勒</v>
      </c>
      <c r="H896" s="9" t="str">
        <f>IFERROR(__xludf.DUMMYFUNCTION("GOOGLETRANSLATE($A896,""en"",""ja"")"),"ブラゴエヴグラト")</f>
        <v>ブラゴエヴグラト</v>
      </c>
      <c r="I896" s="9" t="str">
        <f>IFERROR(__xludf.DUMMYFUNCTION("GOOGLETRANSLATE($A896,""en"",""ko"")"),"블라고예브그라드")</f>
        <v>블라고예브그라드</v>
      </c>
      <c r="J896" s="9" t="str">
        <f>IFERROR(__xludf.DUMMYFUNCTION("GOOGLETRANSLATE($A896,""en"",""pt-BR"")"),"Blagoevgrad")</f>
        <v>Blagoevgrad</v>
      </c>
    </row>
    <row r="897">
      <c r="A897" s="9" t="str">
        <f>IFERROR(__xludf.DUMMYFUNCTION("""COMPUTED_VALUE"""),"Burgas")</f>
        <v>Burgas</v>
      </c>
      <c r="B897" s="9" t="str">
        <f>IFERROR(__xludf.DUMMYFUNCTION("""COMPUTED_VALUE"""),"bg-02")</f>
        <v>bg-02</v>
      </c>
      <c r="C897" s="9" t="str">
        <f>IFERROR(__xludf.DUMMYFUNCTION("GOOGLETRANSLATE($A897,""en"",""de"")"),"Burgas")</f>
        <v>Burgas</v>
      </c>
      <c r="D897" s="9" t="str">
        <f>IFERROR(__xludf.DUMMYFUNCTION("GOOGLETRANSLATE($A897,""en"",""fr"")"),"Bourgas")</f>
        <v>Bourgas</v>
      </c>
      <c r="E897" s="9" t="str">
        <f>IFERROR(__xludf.DUMMYFUNCTION("GOOGLETRANSLATE($A897,""en"",""es"")"),"Burgas")</f>
        <v>Burgas</v>
      </c>
      <c r="F897" s="9" t="str">
        <f>IFERROR(__xludf.DUMMYFUNCTION("GOOGLETRANSLATE($A897,""en"",""it"")"),"Burgas")</f>
        <v>Burgas</v>
      </c>
      <c r="G897" s="9" t="str">
        <f>IFERROR(__xludf.DUMMYFUNCTION("GOOGLETRANSLATE($A897,""en"",""zh-cn"")"),"布尔加斯")</f>
        <v>布尔加斯</v>
      </c>
      <c r="H897" s="9" t="str">
        <f>IFERROR(__xludf.DUMMYFUNCTION("GOOGLETRANSLATE($A897,""en"",""ja"")"),"ブルガス")</f>
        <v>ブルガス</v>
      </c>
      <c r="I897" s="9" t="str">
        <f>IFERROR(__xludf.DUMMYFUNCTION("GOOGLETRANSLATE($A897,""en"",""ko"")"),"부르가스")</f>
        <v>부르가스</v>
      </c>
      <c r="J897" s="9" t="str">
        <f>IFERROR(__xludf.DUMMYFUNCTION("GOOGLETRANSLATE($A897,""en"",""pt-BR"")"),"Burgas")</f>
        <v>Burgas</v>
      </c>
    </row>
    <row r="898">
      <c r="A898" s="9" t="str">
        <f>IFERROR(__xludf.DUMMYFUNCTION("""COMPUTED_VALUE"""),"Mouhoun")</f>
        <v>Mouhoun</v>
      </c>
      <c r="B898" s="9" t="str">
        <f>IFERROR(__xludf.DUMMYFUNCTION("""COMPUTED_VALUE"""),"bf-mou")</f>
        <v>bf-mou</v>
      </c>
      <c r="C898" s="9" t="str">
        <f>IFERROR(__xludf.DUMMYFUNCTION("GOOGLETRANSLATE($A898,""en"",""de"")"),"Mouhoun")</f>
        <v>Mouhoun</v>
      </c>
      <c r="D898" s="9" t="str">
        <f>IFERROR(__xludf.DUMMYFUNCTION("GOOGLETRANSLATE($A898,""en"",""fr"")"),"Mouhoun")</f>
        <v>Mouhoun</v>
      </c>
      <c r="E898" s="9" t="str">
        <f>IFERROR(__xludf.DUMMYFUNCTION("GOOGLETRANSLATE($A898,""en"",""es"")"),"Mouhoun")</f>
        <v>Mouhoun</v>
      </c>
      <c r="F898" s="9" t="str">
        <f>IFERROR(__xludf.DUMMYFUNCTION("GOOGLETRANSLATE($A898,""en"",""it"")"),"Mouhoun")</f>
        <v>Mouhoun</v>
      </c>
      <c r="G898" s="9" t="str">
        <f>IFERROR(__xludf.DUMMYFUNCTION("GOOGLETRANSLATE($A898,""en"",""zh-cn"")"),"莫洪")</f>
        <v>莫洪</v>
      </c>
      <c r="H898" s="9" t="str">
        <f>IFERROR(__xludf.DUMMYFUNCTION("GOOGLETRANSLATE($A898,""en"",""ja"")"),"モウフン")</f>
        <v>モウフン</v>
      </c>
      <c r="I898" s="9" t="str">
        <f>IFERROR(__xludf.DUMMYFUNCTION("GOOGLETRANSLATE($A898,""en"",""ko"")"),"무훈")</f>
        <v>무훈</v>
      </c>
      <c r="J898" s="9" t="str">
        <f>IFERROR(__xludf.DUMMYFUNCTION("GOOGLETRANSLATE($A898,""en"",""pt-BR"")"),"Mouhoun")</f>
        <v>Mouhoun</v>
      </c>
    </row>
    <row r="899">
      <c r="A899" s="9" t="str">
        <f>IFERROR(__xludf.DUMMYFUNCTION("""COMPUTED_VALUE"""),"Poni")</f>
        <v>Poni</v>
      </c>
      <c r="B899" s="9" t="str">
        <f>IFERROR(__xludf.DUMMYFUNCTION("""COMPUTED_VALUE"""),"bf-pon")</f>
        <v>bf-pon</v>
      </c>
      <c r="C899" s="9" t="str">
        <f>IFERROR(__xludf.DUMMYFUNCTION("GOOGLETRANSLATE($A899,""en"",""de"")"),"Poni")</f>
        <v>Poni</v>
      </c>
      <c r="D899" s="9" t="str">
        <f>IFERROR(__xludf.DUMMYFUNCTION("GOOGLETRANSLATE($A899,""en"",""fr"")"),"Pony")</f>
        <v>Pony</v>
      </c>
      <c r="E899" s="9" t="str">
        <f>IFERROR(__xludf.DUMMYFUNCTION("GOOGLETRANSLATE($A899,""en"",""es"")"),"pony")</f>
        <v>pony</v>
      </c>
      <c r="F899" s="9" t="str">
        <f>IFERROR(__xludf.DUMMYFUNCTION("GOOGLETRANSLATE($A899,""en"",""it"")"),"Poni")</f>
        <v>Poni</v>
      </c>
      <c r="G899" s="9" t="str">
        <f>IFERROR(__xludf.DUMMYFUNCTION("GOOGLETRANSLATE($A899,""en"",""zh-cn"")"),"波尼")</f>
        <v>波尼</v>
      </c>
      <c r="H899" s="9" t="str">
        <f>IFERROR(__xludf.DUMMYFUNCTION("GOOGLETRANSLATE($A899,""en"",""ja"")"),"ポニ")</f>
        <v>ポニ</v>
      </c>
      <c r="I899" s="9" t="str">
        <f>IFERROR(__xludf.DUMMYFUNCTION("GOOGLETRANSLATE($A899,""en"",""ko"")"),"포니")</f>
        <v>포니</v>
      </c>
      <c r="J899" s="9" t="str">
        <f>IFERROR(__xludf.DUMMYFUNCTION("GOOGLETRANSLATE($A899,""en"",""pt-BR"")"),"Poni")</f>
        <v>Poni</v>
      </c>
    </row>
    <row r="900">
      <c r="A900" s="9" t="str">
        <f>IFERROR(__xludf.DUMMYFUNCTION("""COMPUTED_VALUE"""),"Soum")</f>
        <v>Soum</v>
      </c>
      <c r="B900" s="9" t="str">
        <f>IFERROR(__xludf.DUMMYFUNCTION("""COMPUTED_VALUE"""),"bf-som")</f>
        <v>bf-som</v>
      </c>
      <c r="C900" s="9" t="str">
        <f>IFERROR(__xludf.DUMMYFUNCTION("GOOGLETRANSLATE($A900,""en"",""de"")"),"Soum")</f>
        <v>Soum</v>
      </c>
      <c r="D900" s="9" t="str">
        <f>IFERROR(__xludf.DUMMYFUNCTION("GOOGLETRANSLATE($A900,""en"",""fr"")"),"Soum")</f>
        <v>Soum</v>
      </c>
      <c r="E900" s="9" t="str">
        <f>IFERROR(__xludf.DUMMYFUNCTION("GOOGLETRANSLATE($A900,""en"",""es"")"),"Soum")</f>
        <v>Soum</v>
      </c>
      <c r="F900" s="9" t="str">
        <f>IFERROR(__xludf.DUMMYFUNCTION("GOOGLETRANSLATE($A900,""en"",""it"")"),"Soum")</f>
        <v>Soum</v>
      </c>
      <c r="G900" s="9" t="str">
        <f>IFERROR(__xludf.DUMMYFUNCTION("GOOGLETRANSLATE($A900,""en"",""zh-cn"")"),"苏姆")</f>
        <v>苏姆</v>
      </c>
      <c r="H900" s="9" t="str">
        <f>IFERROR(__xludf.DUMMYFUNCTION("GOOGLETRANSLATE($A900,""en"",""ja"")"),"スーム")</f>
        <v>スーム</v>
      </c>
      <c r="I900" s="9" t="str">
        <f>IFERROR(__xludf.DUMMYFUNCTION("GOOGLETRANSLATE($A900,""en"",""ko"")"),"숨")</f>
        <v>숨</v>
      </c>
      <c r="J900" s="9" t="str">
        <f>IFERROR(__xludf.DUMMYFUNCTION("GOOGLETRANSLATE($A900,""en"",""pt-BR"")"),"Sou")</f>
        <v>Sou</v>
      </c>
    </row>
    <row r="901">
      <c r="A901" s="9" t="str">
        <f>IFERROR(__xludf.DUMMYFUNCTION("""COMPUTED_VALUE"""),"Hauts-Bassins")</f>
        <v>Hauts-Bassins</v>
      </c>
      <c r="B901" s="9" t="str">
        <f>IFERROR(__xludf.DUMMYFUNCTION("""COMPUTED_VALUE"""),"bf-09")</f>
        <v>bf-09</v>
      </c>
      <c r="C901" s="9" t="str">
        <f>IFERROR(__xludf.DUMMYFUNCTION("GOOGLETRANSLATE($A901,""en"",""de"")"),"Hauts-Bassins")</f>
        <v>Hauts-Bassins</v>
      </c>
      <c r="D901" s="9" t="str">
        <f>IFERROR(__xludf.DUMMYFUNCTION("GOOGLETRANSLATE($A901,""en"",""fr"")"),"Hauts-Bassins")</f>
        <v>Hauts-Bassins</v>
      </c>
      <c r="E901" s="9" t="str">
        <f>IFERROR(__xludf.DUMMYFUNCTION("GOOGLETRANSLATE($A901,""en"",""es"")"),"Altas Cuencas")</f>
        <v>Altas Cuencas</v>
      </c>
      <c r="F901" s="9" t="str">
        <f>IFERROR(__xludf.DUMMYFUNCTION("GOOGLETRANSLATE($A901,""en"",""it"")"),"Alti Bacini")</f>
        <v>Alti Bacini</v>
      </c>
      <c r="G901" s="9" t="str">
        <f>IFERROR(__xludf.DUMMYFUNCTION("GOOGLETRANSLATE($A901,""en"",""zh-cn"")"),"上盆地")</f>
        <v>上盆地</v>
      </c>
      <c r="H901" s="9" t="str">
        <f>IFERROR(__xludf.DUMMYFUNCTION("GOOGLETRANSLATE($A901,""en"",""ja"")"),"オー＝バッサン")</f>
        <v>オー＝バッサン</v>
      </c>
      <c r="I901" s="9" t="str">
        <f>IFERROR(__xludf.DUMMYFUNCTION("GOOGLETRANSLATE($A901,""en"",""ko"")"),"오바생(Hauts-Bassins)")</f>
        <v>오바생(Hauts-Bassins)</v>
      </c>
      <c r="J901" s="9" t="str">
        <f>IFERROR(__xludf.DUMMYFUNCTION("GOOGLETRANSLATE($A901,""en"",""pt-BR"")"),"Hauts-Bassins")</f>
        <v>Hauts-Bassins</v>
      </c>
    </row>
    <row r="902">
      <c r="A902" s="9" t="str">
        <f>IFERROR(__xludf.DUMMYFUNCTION("""COMPUTED_VALUE"""),"Koulpélogo")</f>
        <v>Koulpélogo</v>
      </c>
      <c r="B902" s="9" t="str">
        <f>IFERROR(__xludf.DUMMYFUNCTION("""COMPUTED_VALUE"""),"bf-kop")</f>
        <v>bf-kop</v>
      </c>
      <c r="C902" s="9" t="str">
        <f>IFERROR(__xludf.DUMMYFUNCTION("GOOGLETRANSLATE($A902,""en"",""de"")"),"Koulpélogo")</f>
        <v>Koulpélogo</v>
      </c>
      <c r="D902" s="9" t="str">
        <f>IFERROR(__xludf.DUMMYFUNCTION("GOOGLETRANSLATE($A902,""en"",""fr"")"),"Koulpélogo")</f>
        <v>Koulpélogo</v>
      </c>
      <c r="E902" s="9" t="str">
        <f>IFERROR(__xludf.DUMMYFUNCTION("GOOGLETRANSLATE($A902,""en"",""es"")"),"Koulpélogo")</f>
        <v>Koulpélogo</v>
      </c>
      <c r="F902" s="9" t="str">
        <f>IFERROR(__xludf.DUMMYFUNCTION("GOOGLETRANSLATE($A902,""en"",""it"")"),"Koulpelogo")</f>
        <v>Koulpelogo</v>
      </c>
      <c r="G902" s="9" t="str">
        <f>IFERROR(__xludf.DUMMYFUNCTION("GOOGLETRANSLATE($A902,""en"",""zh-cn"")"),"库尔佩洛戈")</f>
        <v>库尔佩洛戈</v>
      </c>
      <c r="H902" s="9" t="str">
        <f>IFERROR(__xludf.DUMMYFUNCTION("GOOGLETRANSLATE($A902,""en"",""ja"")"),"コルペのロゴ")</f>
        <v>コルペのロゴ</v>
      </c>
      <c r="I902" s="9" t="str">
        <f>IFERROR(__xludf.DUMMYFUNCTION("GOOGLETRANSLATE($A902,""en"",""ko"")"),"쿨펠로고")</f>
        <v>쿨펠로고</v>
      </c>
      <c r="J902" s="9" t="str">
        <f>IFERROR(__xludf.DUMMYFUNCTION("GOOGLETRANSLATE($A902,""en"",""pt-BR"")"),"Koulpélogo")</f>
        <v>Koulpélogo</v>
      </c>
    </row>
    <row r="903">
      <c r="A903" s="9" t="str">
        <f>IFERROR(__xludf.DUMMYFUNCTION("""COMPUTED_VALUE"""),"Boulgou")</f>
        <v>Boulgou</v>
      </c>
      <c r="B903" s="9" t="str">
        <f>IFERROR(__xludf.DUMMYFUNCTION("""COMPUTED_VALUE"""),"bf-blg")</f>
        <v>bf-blg</v>
      </c>
      <c r="C903" s="9" t="str">
        <f>IFERROR(__xludf.DUMMYFUNCTION("GOOGLETRANSLATE($A903,""en"",""de"")"),"Boulgou")</f>
        <v>Boulgou</v>
      </c>
      <c r="D903" s="9" t="str">
        <f>IFERROR(__xludf.DUMMYFUNCTION("GOOGLETRANSLATE($A903,""en"",""fr"")"),"Boulgou")</f>
        <v>Boulgou</v>
      </c>
      <c r="E903" s="9" t="str">
        <f>IFERROR(__xludf.DUMMYFUNCTION("GOOGLETRANSLATE($A903,""en"",""es"")"),"boulgou")</f>
        <v>boulgou</v>
      </c>
      <c r="F903" s="9" t="str">
        <f>IFERROR(__xludf.DUMMYFUNCTION("GOOGLETRANSLATE($A903,""en"",""it"")"),"Boulgou")</f>
        <v>Boulgou</v>
      </c>
      <c r="G903" s="9" t="str">
        <f>IFERROR(__xludf.DUMMYFUNCTION("GOOGLETRANSLATE($A903,""en"",""zh-cn"")"),"布尔古")</f>
        <v>布尔古</v>
      </c>
      <c r="H903" s="9" t="str">
        <f>IFERROR(__xludf.DUMMYFUNCTION("GOOGLETRANSLATE($A903,""en"",""ja"")"),"ブルグー")</f>
        <v>ブルグー</v>
      </c>
      <c r="I903" s="9" t="str">
        <f>IFERROR(__xludf.DUMMYFUNCTION("GOOGLETRANSLATE($A903,""en"",""ko"")"),"불구")</f>
        <v>불구</v>
      </c>
      <c r="J903" s="9" t="str">
        <f>IFERROR(__xludf.DUMMYFUNCTION("GOOGLETRANSLATE($A903,""en"",""pt-BR"")"),"Boulgou")</f>
        <v>Boulgou</v>
      </c>
    </row>
    <row r="904">
      <c r="A904" s="9" t="str">
        <f>IFERROR(__xludf.DUMMYFUNCTION("""COMPUTED_VALUE"""),"Comoé Province")</f>
        <v>Comoé Province</v>
      </c>
      <c r="B904" s="9" t="str">
        <f>IFERROR(__xludf.DUMMYFUNCTION("""COMPUTED_VALUE"""),"bf-com")</f>
        <v>bf-com</v>
      </c>
      <c r="C904" s="9" t="str">
        <f>IFERROR(__xludf.DUMMYFUNCTION("GOOGLETRANSLATE($A904,""en"",""de"")"),"Provinz Comoé")</f>
        <v>Provinz Comoé</v>
      </c>
      <c r="D904" s="9" t="str">
        <f>IFERROR(__xludf.DUMMYFUNCTION("GOOGLETRANSLATE($A904,""en"",""fr"")"),"Province de la Comoé")</f>
        <v>Province de la Comoé</v>
      </c>
      <c r="E904" s="9" t="str">
        <f>IFERROR(__xludf.DUMMYFUNCTION("GOOGLETRANSLATE($A904,""en"",""es"")"),"Provincia de Comoé")</f>
        <v>Provincia de Comoé</v>
      </c>
      <c r="F904" s="9" t="str">
        <f>IFERROR(__xludf.DUMMYFUNCTION("GOOGLETRANSLATE($A904,""en"",""it"")"),"Provincia di Comoé")</f>
        <v>Provincia di Comoé</v>
      </c>
      <c r="G904" s="9" t="str">
        <f>IFERROR(__xludf.DUMMYFUNCTION("GOOGLETRANSLATE($A904,""en"",""zh-cn"")"),"科莫埃省")</f>
        <v>科莫埃省</v>
      </c>
      <c r="H904" s="9" t="str">
        <f>IFERROR(__xludf.DUMMYFUNCTION("GOOGLETRANSLATE($A904,""en"",""ja"")"),"コモエ県")</f>
        <v>コモエ県</v>
      </c>
      <c r="I904" s="9" t="str">
        <f>IFERROR(__xludf.DUMMYFUNCTION("GOOGLETRANSLATE($A904,""en"",""ko"")"),"코모에 주")</f>
        <v>코모에 주</v>
      </c>
      <c r="J904" s="9" t="str">
        <f>IFERROR(__xludf.DUMMYFUNCTION("GOOGLETRANSLATE($A904,""en"",""pt-BR"")"),"Província de Comoé")</f>
        <v>Província de Comoé</v>
      </c>
    </row>
    <row r="905">
      <c r="A905" s="9" t="str">
        <f>IFERROR(__xludf.DUMMYFUNCTION("""COMPUTED_VALUE"""),"Gnagna")</f>
        <v>Gnagna</v>
      </c>
      <c r="B905" s="9" t="str">
        <f>IFERROR(__xludf.DUMMYFUNCTION("""COMPUTED_VALUE"""),"bf-gna")</f>
        <v>bf-gna</v>
      </c>
      <c r="C905" s="9" t="str">
        <f>IFERROR(__xludf.DUMMYFUNCTION("GOOGLETRANSLATE($A905,""en"",""de"")"),"Gnagna")</f>
        <v>Gnagna</v>
      </c>
      <c r="D905" s="9" t="str">
        <f>IFERROR(__xludf.DUMMYFUNCTION("GOOGLETRANSLATE($A905,""en"",""fr"")"),"Gnagna")</f>
        <v>Gnagna</v>
      </c>
      <c r="E905" s="9" t="str">
        <f>IFERROR(__xludf.DUMMYFUNCTION("GOOGLETRANSLATE($A905,""en"",""es"")"),"gnagna")</f>
        <v>gnagna</v>
      </c>
      <c r="F905" s="9" t="str">
        <f>IFERROR(__xludf.DUMMYFUNCTION("GOOGLETRANSLATE($A905,""en"",""it"")"),"Ggnagna")</f>
        <v>Ggnagna</v>
      </c>
      <c r="G905" s="9" t="str">
        <f>IFERROR(__xludf.DUMMYFUNCTION("GOOGLETRANSLATE($A905,""en"",""zh-cn"")"),"尼亚尼亚")</f>
        <v>尼亚尼亚</v>
      </c>
      <c r="H905" s="9" t="str">
        <f>IFERROR(__xludf.DUMMYFUNCTION("GOOGLETRANSLATE($A905,""en"",""ja"")"),"グナニャ")</f>
        <v>グナニャ</v>
      </c>
      <c r="I905" s="9" t="str">
        <f>IFERROR(__xludf.DUMMYFUNCTION("GOOGLETRANSLATE($A905,""en"",""ko"")"),"그나냐")</f>
        <v>그나냐</v>
      </c>
      <c r="J905" s="9" t="str">
        <f>IFERROR(__xludf.DUMMYFUNCTION("GOOGLETRANSLATE($A905,""en"",""pt-BR"")"),"Gnagna")</f>
        <v>Gnagna</v>
      </c>
    </row>
    <row r="906">
      <c r="A906" s="9" t="str">
        <f>IFERROR(__xludf.DUMMYFUNCTION("""COMPUTED_VALUE"""),"Kénédougou")</f>
        <v>Kénédougou</v>
      </c>
      <c r="B906" s="9" t="str">
        <f>IFERROR(__xludf.DUMMYFUNCTION("""COMPUTED_VALUE"""),"bf-ken")</f>
        <v>bf-ken</v>
      </c>
      <c r="C906" s="9" t="str">
        <f>IFERROR(__xludf.DUMMYFUNCTION("GOOGLETRANSLATE($A906,""en"",""de"")"),"Kénédougou")</f>
        <v>Kénédougou</v>
      </c>
      <c r="D906" s="9" t="str">
        <f>IFERROR(__xludf.DUMMYFUNCTION("GOOGLETRANSLATE($A906,""en"",""fr"")"),"Kénédougou")</f>
        <v>Kénédougou</v>
      </c>
      <c r="E906" s="9" t="str">
        <f>IFERROR(__xludf.DUMMYFUNCTION("GOOGLETRANSLATE($A906,""en"",""es"")"),"Kenédougou")</f>
        <v>Kenédougou</v>
      </c>
      <c r="F906" s="9" t="str">
        <f>IFERROR(__xludf.DUMMYFUNCTION("GOOGLETRANSLATE($A906,""en"",""it"")"),"Kénédougou")</f>
        <v>Kénédougou</v>
      </c>
      <c r="G906" s="9" t="str">
        <f>IFERROR(__xludf.DUMMYFUNCTION("GOOGLETRANSLATE($A906,""en"",""zh-cn"")"),"凯内杜古")</f>
        <v>凯内杜古</v>
      </c>
      <c r="H906" s="9" t="str">
        <f>IFERROR(__xludf.DUMMYFUNCTION("GOOGLETRANSLATE($A906,""en"",""ja"")"),"ケネドゥグー")</f>
        <v>ケネドゥグー</v>
      </c>
      <c r="I906" s="9" t="str">
        <f>IFERROR(__xludf.DUMMYFUNCTION("GOOGLETRANSLATE($A906,""en"",""ko"")"),"케네두구")</f>
        <v>케네두구</v>
      </c>
      <c r="J906" s="9" t="str">
        <f>IFERROR(__xludf.DUMMYFUNCTION("GOOGLETRANSLATE($A906,""en"",""pt-BR"")"),"Kénédougou")</f>
        <v>Kénédougou</v>
      </c>
    </row>
    <row r="907">
      <c r="A907" s="9" t="str">
        <f>IFERROR(__xludf.DUMMYFUNCTION("""COMPUTED_VALUE"""),"Kourwéogo")</f>
        <v>Kourwéogo</v>
      </c>
      <c r="B907" s="9" t="str">
        <f>IFERROR(__xludf.DUMMYFUNCTION("""COMPUTED_VALUE"""),"bf-kow")</f>
        <v>bf-kow</v>
      </c>
      <c r="C907" s="9" t="str">
        <f>IFERROR(__xludf.DUMMYFUNCTION("GOOGLETRANSLATE($A907,""en"",""de"")"),"Kourwéogo")</f>
        <v>Kourwéogo</v>
      </c>
      <c r="D907" s="9" t="str">
        <f>IFERROR(__xludf.DUMMYFUNCTION("GOOGLETRANSLATE($A907,""en"",""fr"")"),"Kourwéogo")</f>
        <v>Kourwéogo</v>
      </c>
      <c r="E907" s="9" t="str">
        <f>IFERROR(__xludf.DUMMYFUNCTION("GOOGLETRANSLATE($A907,""en"",""es"")"),"Kourwéogo")</f>
        <v>Kourwéogo</v>
      </c>
      <c r="F907" s="9" t="str">
        <f>IFERROR(__xludf.DUMMYFUNCTION("GOOGLETRANSLATE($A907,""en"",""it"")"),"Kourweogo")</f>
        <v>Kourweogo</v>
      </c>
      <c r="G907" s="9" t="str">
        <f>IFERROR(__xludf.DUMMYFUNCTION("GOOGLETRANSLATE($A907,""en"",""zh-cn"")"),"库尔韦奥戈")</f>
        <v>库尔韦奥戈</v>
      </c>
      <c r="H907" s="9" t="str">
        <f>IFERROR(__xludf.DUMMYFUNCTION("GOOGLETRANSLATE($A907,""en"",""ja"")"),"クルウェオゴ")</f>
        <v>クルウェオゴ</v>
      </c>
      <c r="I907" s="9" t="str">
        <f>IFERROR(__xludf.DUMMYFUNCTION("GOOGLETRANSLATE($A907,""en"",""ko"")"),"쿠르웨오고")</f>
        <v>쿠르웨오고</v>
      </c>
      <c r="J907" s="9" t="str">
        <f>IFERROR(__xludf.DUMMYFUNCTION("GOOGLETRANSLATE($A907,""en"",""pt-BR"")"),"Kourwéogo")</f>
        <v>Kourwéogo</v>
      </c>
    </row>
    <row r="908">
      <c r="A908" s="9" t="str">
        <f>IFERROR(__xludf.DUMMYFUNCTION("""COMPUTED_VALUE"""),"Yatenga")</f>
        <v>Yatenga</v>
      </c>
      <c r="B908" s="9" t="str">
        <f>IFERROR(__xludf.DUMMYFUNCTION("""COMPUTED_VALUE"""),"bf-yat")</f>
        <v>bf-yat</v>
      </c>
      <c r="C908" s="9" t="str">
        <f>IFERROR(__xludf.DUMMYFUNCTION("GOOGLETRANSLATE($A908,""en"",""de"")"),"Yatenga")</f>
        <v>Yatenga</v>
      </c>
      <c r="D908" s="9" t="str">
        <f>IFERROR(__xludf.DUMMYFUNCTION("GOOGLETRANSLATE($A908,""en"",""fr"")"),"Yatenga")</f>
        <v>Yatenga</v>
      </c>
      <c r="E908" s="9" t="str">
        <f>IFERROR(__xludf.DUMMYFUNCTION("GOOGLETRANSLATE($A908,""en"",""es"")"),"Yatenga")</f>
        <v>Yatenga</v>
      </c>
      <c r="F908" s="9" t="str">
        <f>IFERROR(__xludf.DUMMYFUNCTION("GOOGLETRANSLATE($A908,""en"",""it"")"),"Yatenga")</f>
        <v>Yatenga</v>
      </c>
      <c r="G908" s="9" t="str">
        <f>IFERROR(__xludf.DUMMYFUNCTION("GOOGLETRANSLATE($A908,""en"",""zh-cn"")"),"亚滕加")</f>
        <v>亚滕加</v>
      </c>
      <c r="H908" s="9" t="str">
        <f>IFERROR(__xludf.DUMMYFUNCTION("GOOGLETRANSLATE($A908,""en"",""ja"")"),"ヤテンガ")</f>
        <v>ヤテンガ</v>
      </c>
      <c r="I908" s="9" t="str">
        <f>IFERROR(__xludf.DUMMYFUNCTION("GOOGLETRANSLATE($A908,""en"",""ko"")"),"야텡가")</f>
        <v>야텡가</v>
      </c>
      <c r="J908" s="9" t="str">
        <f>IFERROR(__xludf.DUMMYFUNCTION("GOOGLETRANSLATE($A908,""en"",""pt-BR"")"),"Yatenga")</f>
        <v>Yatenga</v>
      </c>
    </row>
    <row r="909">
      <c r="A909" s="9" t="str">
        <f>IFERROR(__xludf.DUMMYFUNCTION("""COMPUTED_VALUE"""),"Boucle du Mouhoun")</f>
        <v>Boucle du Mouhoun</v>
      </c>
      <c r="B909" s="9" t="str">
        <f>IFERROR(__xludf.DUMMYFUNCTION("""COMPUTED_VALUE"""),"bf-01")</f>
        <v>bf-01</v>
      </c>
      <c r="C909" s="9" t="str">
        <f>IFERROR(__xludf.DUMMYFUNCTION("GOOGLETRANSLATE($A909,""en"",""de"")"),"Boucle du Mouhoun")</f>
        <v>Boucle du Mouhoun</v>
      </c>
      <c r="D909" s="9" t="str">
        <f>IFERROR(__xludf.DUMMYFUNCTION("GOOGLETRANSLATE($A909,""en"",""fr"")"),"Boucle du Mouhoun")</f>
        <v>Boucle du Mouhoun</v>
      </c>
      <c r="E909" s="9" t="str">
        <f>IFERROR(__xludf.DUMMYFUNCTION("GOOGLETRANSLATE($A909,""en"",""es"")"),"Boucle du Mouhoun")</f>
        <v>Boucle du Mouhoun</v>
      </c>
      <c r="F909" s="9" t="str">
        <f>IFERROR(__xludf.DUMMYFUNCTION("GOOGLETRANSLATE($A909,""en"",""it"")"),"Boucle du Mouhoun")</f>
        <v>Boucle du Mouhoun</v>
      </c>
      <c r="G909" s="9" t="str">
        <f>IFERROR(__xludf.DUMMYFUNCTION("GOOGLETRANSLATE($A909,""en"",""zh-cn"")"),"莫霍恩毛圈")</f>
        <v>莫霍恩毛圈</v>
      </c>
      <c r="H909" s="9" t="str">
        <f>IFERROR(__xludf.DUMMYFUNCTION("GOOGLETRANSLATE($A909,""en"",""ja"")"),"ブークレ・デュ・ムフン")</f>
        <v>ブークレ・デュ・ムフン</v>
      </c>
      <c r="I909" s="9" t="str">
        <f>IFERROR(__xludf.DUMMYFUNCTION("GOOGLETRANSLATE($A909,""en"",""ko"")"),"부클 뒤 무훈")</f>
        <v>부클 뒤 무훈</v>
      </c>
      <c r="J909" s="9" t="str">
        <f>IFERROR(__xludf.DUMMYFUNCTION("GOOGLETRANSLATE($A909,""en"",""pt-BR"")"),"Bouclé du Mouhoun")</f>
        <v>Bouclé du Mouhoun</v>
      </c>
    </row>
    <row r="910">
      <c r="A910" s="9" t="str">
        <f>IFERROR(__xludf.DUMMYFUNCTION("""COMPUTED_VALUE"""),"Nahouri")</f>
        <v>Nahouri</v>
      </c>
      <c r="B910" s="9" t="str">
        <f>IFERROR(__xludf.DUMMYFUNCTION("""COMPUTED_VALUE"""),"bf-nao")</f>
        <v>bf-nao</v>
      </c>
      <c r="C910" s="9" t="str">
        <f>IFERROR(__xludf.DUMMYFUNCTION("GOOGLETRANSLATE($A910,""en"",""de"")"),"Nahouri")</f>
        <v>Nahouri</v>
      </c>
      <c r="D910" s="9" t="str">
        <f>IFERROR(__xludf.DUMMYFUNCTION("GOOGLETRANSLATE($A910,""en"",""fr"")"),"Nahouri")</f>
        <v>Nahouri</v>
      </c>
      <c r="E910" s="9" t="str">
        <f>IFERROR(__xludf.DUMMYFUNCTION("GOOGLETRANSLATE($A910,""en"",""es"")"),"nahurí")</f>
        <v>nahurí</v>
      </c>
      <c r="F910" s="9" t="str">
        <f>IFERROR(__xludf.DUMMYFUNCTION("GOOGLETRANSLATE($A910,""en"",""it"")"),"Nahouri")</f>
        <v>Nahouri</v>
      </c>
      <c r="G910" s="9" t="str">
        <f>IFERROR(__xludf.DUMMYFUNCTION("GOOGLETRANSLATE($A910,""en"",""zh-cn"")"),"纳胡里")</f>
        <v>纳胡里</v>
      </c>
      <c r="H910" s="9" t="str">
        <f>IFERROR(__xludf.DUMMYFUNCTION("GOOGLETRANSLATE($A910,""en"",""ja"")"),"ナホウリ")</f>
        <v>ナホウリ</v>
      </c>
      <c r="I910" s="9" t="str">
        <f>IFERROR(__xludf.DUMMYFUNCTION("GOOGLETRANSLATE($A910,""en"",""ko"")"),"나후리")</f>
        <v>나후리</v>
      </c>
      <c r="J910" s="9" t="str">
        <f>IFERROR(__xludf.DUMMYFUNCTION("GOOGLETRANSLATE($A910,""en"",""pt-BR"")"),"Nahouri")</f>
        <v>Nahouri</v>
      </c>
    </row>
    <row r="911">
      <c r="A911" s="9" t="str">
        <f>IFERROR(__xludf.DUMMYFUNCTION("""COMPUTED_VALUE"""),"Noumbiel")</f>
        <v>Noumbiel</v>
      </c>
      <c r="B911" s="9" t="str">
        <f>IFERROR(__xludf.DUMMYFUNCTION("""COMPUTED_VALUE"""),"bf-nou")</f>
        <v>bf-nou</v>
      </c>
      <c r="C911" s="9" t="str">
        <f>IFERROR(__xludf.DUMMYFUNCTION("GOOGLETRANSLATE($A911,""en"",""de"")"),"Noumbiel")</f>
        <v>Noumbiel</v>
      </c>
      <c r="D911" s="9" t="str">
        <f>IFERROR(__xludf.DUMMYFUNCTION("GOOGLETRANSLATE($A911,""en"",""fr"")"),"Noumbiel")</f>
        <v>Noumbiel</v>
      </c>
      <c r="E911" s="9" t="str">
        <f>IFERROR(__xludf.DUMMYFUNCTION("GOOGLETRANSLATE($A911,""en"",""es"")"),"Noumbiel")</f>
        <v>Noumbiel</v>
      </c>
      <c r="F911" s="9" t="str">
        <f>IFERROR(__xludf.DUMMYFUNCTION("GOOGLETRANSLATE($A911,""en"",""it"")"),"Noumbiel")</f>
        <v>Noumbiel</v>
      </c>
      <c r="G911" s="9" t="str">
        <f>IFERROR(__xludf.DUMMYFUNCTION("GOOGLETRANSLATE($A911,""en"",""zh-cn"")"),"努姆比尔")</f>
        <v>努姆比尔</v>
      </c>
      <c r="H911" s="9" t="str">
        <f>IFERROR(__xludf.DUMMYFUNCTION("GOOGLETRANSLATE($A911,""en"",""ja"")"),"ヌンビエル")</f>
        <v>ヌンビエル</v>
      </c>
      <c r="I911" s="9" t="str">
        <f>IFERROR(__xludf.DUMMYFUNCTION("GOOGLETRANSLATE($A911,""en"",""ko"")"),"누비엘")</f>
        <v>누비엘</v>
      </c>
      <c r="J911" s="9" t="str">
        <f>IFERROR(__xludf.DUMMYFUNCTION("GOOGLETRANSLATE($A911,""en"",""pt-BR"")"),"Numbiel")</f>
        <v>Numbiel</v>
      </c>
    </row>
    <row r="912">
      <c r="A912" s="9" t="str">
        <f>IFERROR(__xludf.DUMMYFUNCTION("""COMPUTED_VALUE"""),"Gourma")</f>
        <v>Gourma</v>
      </c>
      <c r="B912" s="9" t="str">
        <f>IFERROR(__xludf.DUMMYFUNCTION("""COMPUTED_VALUE"""),"bf-gou")</f>
        <v>bf-gou</v>
      </c>
      <c r="C912" s="9" t="str">
        <f>IFERROR(__xludf.DUMMYFUNCTION("GOOGLETRANSLATE($A912,""en"",""de"")"),"Gourma")</f>
        <v>Gourma</v>
      </c>
      <c r="D912" s="9" t="str">
        <f>IFERROR(__xludf.DUMMYFUNCTION("GOOGLETRANSLATE($A912,""en"",""fr"")"),"Gourma")</f>
        <v>Gourma</v>
      </c>
      <c r="E912" s="9" t="str">
        <f>IFERROR(__xludf.DUMMYFUNCTION("GOOGLETRANSLATE($A912,""en"",""es"")"),"gourma")</f>
        <v>gourma</v>
      </c>
      <c r="F912" s="9" t="str">
        <f>IFERROR(__xludf.DUMMYFUNCTION("GOOGLETRANSLATE($A912,""en"",""it"")"),"Gourma")</f>
        <v>Gourma</v>
      </c>
      <c r="G912" s="9" t="str">
        <f>IFERROR(__xludf.DUMMYFUNCTION("GOOGLETRANSLATE($A912,""en"",""zh-cn"")"),"古尔马")</f>
        <v>古尔马</v>
      </c>
      <c r="H912" s="9" t="str">
        <f>IFERROR(__xludf.DUMMYFUNCTION("GOOGLETRANSLATE($A912,""en"",""ja"")"),"グルマ")</f>
        <v>グルマ</v>
      </c>
      <c r="I912" s="9" t="str">
        <f>IFERROR(__xludf.DUMMYFUNCTION("GOOGLETRANSLATE($A912,""en"",""ko"")"),"구르마")</f>
        <v>구르마</v>
      </c>
      <c r="J912" s="9" t="str">
        <f>IFERROR(__xludf.DUMMYFUNCTION("GOOGLETRANSLATE($A912,""en"",""pt-BR"")"),"Gourma")</f>
        <v>Gourma</v>
      </c>
    </row>
    <row r="913">
      <c r="A913" s="9" t="str">
        <f>IFERROR(__xludf.DUMMYFUNCTION("""COMPUTED_VALUE"""),"Kompienga")</f>
        <v>Kompienga</v>
      </c>
      <c r="B913" s="9" t="str">
        <f>IFERROR(__xludf.DUMMYFUNCTION("""COMPUTED_VALUE"""),"bf-kmp")</f>
        <v>bf-kmp</v>
      </c>
      <c r="C913" s="9" t="str">
        <f>IFERROR(__xludf.DUMMYFUNCTION("GOOGLETRANSLATE($A913,""en"",""de"")"),"Kompienga")</f>
        <v>Kompienga</v>
      </c>
      <c r="D913" s="9" t="str">
        <f>IFERROR(__xludf.DUMMYFUNCTION("GOOGLETRANSLATE($A913,""en"",""fr"")"),"Kompienga")</f>
        <v>Kompienga</v>
      </c>
      <c r="E913" s="9" t="str">
        <f>IFERROR(__xludf.DUMMYFUNCTION("GOOGLETRANSLATE($A913,""en"",""es"")"),"Kompienga")</f>
        <v>Kompienga</v>
      </c>
      <c r="F913" s="9" t="str">
        <f>IFERROR(__xludf.DUMMYFUNCTION("GOOGLETRANSLATE($A913,""en"",""it"")"),"Compienga")</f>
        <v>Compienga</v>
      </c>
      <c r="G913" s="9" t="str">
        <f>IFERROR(__xludf.DUMMYFUNCTION("GOOGLETRANSLATE($A913,""en"",""zh-cn"")"),"孔皮恩加")</f>
        <v>孔皮恩加</v>
      </c>
      <c r="H913" s="9" t="str">
        <f>IFERROR(__xludf.DUMMYFUNCTION("GOOGLETRANSLATE($A913,""en"",""ja"")"),"コンピエンガ")</f>
        <v>コンピエンガ</v>
      </c>
      <c r="I913" s="9" t="str">
        <f>IFERROR(__xludf.DUMMYFUNCTION("GOOGLETRANSLATE($A913,""en"",""ko"")"),"콤피엔가")</f>
        <v>콤피엔가</v>
      </c>
      <c r="J913" s="9" t="str">
        <f>IFERROR(__xludf.DUMMYFUNCTION("GOOGLETRANSLATE($A913,""en"",""pt-BR"")"),"Kompienga")</f>
        <v>Kompienga</v>
      </c>
    </row>
    <row r="914">
      <c r="A914" s="9" t="str">
        <f>IFERROR(__xludf.DUMMYFUNCTION("""COMPUTED_VALUE"""),"Ioba")</f>
        <v>Ioba</v>
      </c>
      <c r="B914" s="9" t="str">
        <f>IFERROR(__xludf.DUMMYFUNCTION("""COMPUTED_VALUE"""),"bf-iob")</f>
        <v>bf-iob</v>
      </c>
      <c r="C914" s="9" t="str">
        <f>IFERROR(__xludf.DUMMYFUNCTION("GOOGLETRANSLATE($A914,""en"",""de"")"),"Ioba")</f>
        <v>Ioba</v>
      </c>
      <c r="D914" s="9" t="str">
        <f>IFERROR(__xludf.DUMMYFUNCTION("GOOGLETRANSLATE($A914,""en"",""fr"")"),"Ioba")</f>
        <v>Ioba</v>
      </c>
      <c r="E914" s="9" t="str">
        <f>IFERROR(__xludf.DUMMYFUNCTION("GOOGLETRANSLATE($A914,""en"",""es"")"),"Yoba")</f>
        <v>Yoba</v>
      </c>
      <c r="F914" s="9" t="str">
        <f>IFERROR(__xludf.DUMMYFUNCTION("GOOGLETRANSLATE($A914,""en"",""it"")"),"Ioba")</f>
        <v>Ioba</v>
      </c>
      <c r="G914" s="9" t="str">
        <f>IFERROR(__xludf.DUMMYFUNCTION("GOOGLETRANSLATE($A914,""en"",""zh-cn"")"),"约巴")</f>
        <v>约巴</v>
      </c>
      <c r="H914" s="9" t="str">
        <f>IFERROR(__xludf.DUMMYFUNCTION("GOOGLETRANSLATE($A914,""en"",""ja"")"),"イオバ")</f>
        <v>イオバ</v>
      </c>
      <c r="I914" s="9" t="str">
        <f>IFERROR(__xludf.DUMMYFUNCTION("GOOGLETRANSLATE($A914,""en"",""ko"")"),"이오바")</f>
        <v>이오바</v>
      </c>
      <c r="J914" s="9" t="str">
        <f>IFERROR(__xludf.DUMMYFUNCTION("GOOGLETRANSLATE($A914,""en"",""pt-BR"")"),"Iobá")</f>
        <v>Iobá</v>
      </c>
    </row>
    <row r="915">
      <c r="A915" s="9" t="str">
        <f>IFERROR(__xludf.DUMMYFUNCTION("""COMPUTED_VALUE"""),"Nord (BF)")</f>
        <v>Nord (BF)</v>
      </c>
      <c r="B915" s="9" t="str">
        <f>IFERROR(__xludf.DUMMYFUNCTION("""COMPUTED_VALUE"""),"bf-10")</f>
        <v>bf-10</v>
      </c>
      <c r="C915" s="9" t="str">
        <f>IFERROR(__xludf.DUMMYFUNCTION("GOOGLETRANSLATE($A915,""en"",""de"")"),"Nord (BF)")</f>
        <v>Nord (BF)</v>
      </c>
      <c r="D915" s="9" t="str">
        <f>IFERROR(__xludf.DUMMYFUNCTION("GOOGLETRANSLATE($A915,""en"",""fr"")"),"Nord (BF)")</f>
        <v>Nord (BF)</v>
      </c>
      <c r="E915" s="9" t="str">
        <f>IFERROR(__xludf.DUMMYFUNCTION("GOOGLETRANSLATE($A915,""en"",""es"")"),"Norte (BF)")</f>
        <v>Norte (BF)</v>
      </c>
      <c r="F915" s="9" t="str">
        <f>IFERROR(__xludf.DUMMYFUNCTION("GOOGLETRANSLATE($A915,""en"",""it"")"),"Nord (BF)")</f>
        <v>Nord (BF)</v>
      </c>
      <c r="G915" s="9" t="str">
        <f>IFERROR(__xludf.DUMMYFUNCTION("GOOGLETRANSLATE($A915,""en"",""zh-cn"")"),"北 (BF)")</f>
        <v>北 (BF)</v>
      </c>
      <c r="H915" s="9" t="str">
        <f>IFERROR(__xludf.DUMMYFUNCTION("GOOGLETRANSLATE($A915,""en"",""ja"")"),"ノルド(BF)")</f>
        <v>ノルド(BF)</v>
      </c>
      <c r="I915" s="9" t="str">
        <f>IFERROR(__xludf.DUMMYFUNCTION("GOOGLETRANSLATE($A915,""en"",""ko"")"),"노드(BF)")</f>
        <v>노드(BF)</v>
      </c>
      <c r="J915" s="9" t="str">
        <f>IFERROR(__xludf.DUMMYFUNCTION("GOOGLETRANSLATE($A915,""en"",""pt-BR"")"),"Norte (BF)")</f>
        <v>Norte (BF)</v>
      </c>
    </row>
    <row r="916">
      <c r="A916" s="9" t="str">
        <f>IFERROR(__xludf.DUMMYFUNCTION("""COMPUTED_VALUE"""),"Nayala")</f>
        <v>Nayala</v>
      </c>
      <c r="B916" s="9" t="str">
        <f>IFERROR(__xludf.DUMMYFUNCTION("""COMPUTED_VALUE"""),"bf-nay")</f>
        <v>bf-nay</v>
      </c>
      <c r="C916" s="9" t="str">
        <f>IFERROR(__xludf.DUMMYFUNCTION("GOOGLETRANSLATE($A916,""en"",""de"")"),"Nayala")</f>
        <v>Nayala</v>
      </c>
      <c r="D916" s="9" t="str">
        <f>IFERROR(__xludf.DUMMYFUNCTION("GOOGLETRANSLATE($A916,""en"",""fr"")"),"Nayala")</f>
        <v>Nayala</v>
      </c>
      <c r="E916" s="9" t="str">
        <f>IFERROR(__xludf.DUMMYFUNCTION("GOOGLETRANSLATE($A916,""en"",""es"")"),"Nayala")</f>
        <v>Nayala</v>
      </c>
      <c r="F916" s="9" t="str">
        <f>IFERROR(__xludf.DUMMYFUNCTION("GOOGLETRANSLATE($A916,""en"",""it"")"),"Nayala")</f>
        <v>Nayala</v>
      </c>
      <c r="G916" s="9" t="str">
        <f>IFERROR(__xludf.DUMMYFUNCTION("GOOGLETRANSLATE($A916,""en"",""zh-cn"")"),"纳亚拉")</f>
        <v>纳亚拉</v>
      </c>
      <c r="H916" s="9" t="str">
        <f>IFERROR(__xludf.DUMMYFUNCTION("GOOGLETRANSLATE($A916,""en"",""ja"")"),"ナヤラ")</f>
        <v>ナヤラ</v>
      </c>
      <c r="I916" s="9" t="str">
        <f>IFERROR(__xludf.DUMMYFUNCTION("GOOGLETRANSLATE($A916,""en"",""ko"")"),"나얄라")</f>
        <v>나얄라</v>
      </c>
      <c r="J916" s="9" t="str">
        <f>IFERROR(__xludf.DUMMYFUNCTION("GOOGLETRANSLATE($A916,""en"",""pt-BR"")"),"Nayala")</f>
        <v>Nayala</v>
      </c>
    </row>
    <row r="917">
      <c r="A917" s="9" t="str">
        <f>IFERROR(__xludf.DUMMYFUNCTION("""COMPUTED_VALUE"""),"Sanmatenga")</f>
        <v>Sanmatenga</v>
      </c>
      <c r="B917" s="9" t="str">
        <f>IFERROR(__xludf.DUMMYFUNCTION("""COMPUTED_VALUE"""),"bf-smt")</f>
        <v>bf-smt</v>
      </c>
      <c r="C917" s="9" t="str">
        <f>IFERROR(__xludf.DUMMYFUNCTION("GOOGLETRANSLATE($A917,""en"",""de"")"),"Sanmatenga")</f>
        <v>Sanmatenga</v>
      </c>
      <c r="D917" s="9" t="str">
        <f>IFERROR(__xludf.DUMMYFUNCTION("GOOGLETRANSLATE($A917,""en"",""fr"")"),"Sanmatenga")</f>
        <v>Sanmatenga</v>
      </c>
      <c r="E917" s="9" t="str">
        <f>IFERROR(__xludf.DUMMYFUNCTION("GOOGLETRANSLATE($A917,""en"",""es"")"),"Sanmatenga")</f>
        <v>Sanmatenga</v>
      </c>
      <c r="F917" s="9" t="str">
        <f>IFERROR(__xludf.DUMMYFUNCTION("GOOGLETRANSLATE($A917,""en"",""it"")"),"Sanmatenga")</f>
        <v>Sanmatenga</v>
      </c>
      <c r="G917" s="9" t="str">
        <f>IFERROR(__xludf.DUMMYFUNCTION("GOOGLETRANSLATE($A917,""en"",""zh-cn"")"),"桑马滕加")</f>
        <v>桑马滕加</v>
      </c>
      <c r="H917" s="9" t="str">
        <f>IFERROR(__xludf.DUMMYFUNCTION("GOOGLETRANSLATE($A917,""en"",""ja"")"),"サンマテンガ")</f>
        <v>サンマテンガ</v>
      </c>
      <c r="I917" s="9" t="str">
        <f>IFERROR(__xludf.DUMMYFUNCTION("GOOGLETRANSLATE($A917,""en"",""ko"")"),"산마텡가")</f>
        <v>산마텡가</v>
      </c>
      <c r="J917" s="9" t="str">
        <f>IFERROR(__xludf.DUMMYFUNCTION("GOOGLETRANSLATE($A917,""en"",""pt-BR"")"),"Sanmatenga")</f>
        <v>Sanmatenga</v>
      </c>
    </row>
    <row r="918">
      <c r="A918" s="9" t="str">
        <f>IFERROR(__xludf.DUMMYFUNCTION("""COMPUTED_VALUE"""),"Komondjari")</f>
        <v>Komondjari</v>
      </c>
      <c r="B918" s="9" t="str">
        <f>IFERROR(__xludf.DUMMYFUNCTION("""COMPUTED_VALUE"""),"bf-kmf")</f>
        <v>bf-kmf</v>
      </c>
      <c r="C918" s="9" t="str">
        <f>IFERROR(__xludf.DUMMYFUNCTION("GOOGLETRANSLATE($A918,""en"",""de"")"),"Komondjari")</f>
        <v>Komondjari</v>
      </c>
      <c r="D918" s="9" t="str">
        <f>IFERROR(__xludf.DUMMYFUNCTION("GOOGLETRANSLATE($A918,""en"",""fr"")"),"Komondjari")</f>
        <v>Komondjari</v>
      </c>
      <c r="E918" s="9" t="str">
        <f>IFERROR(__xludf.DUMMYFUNCTION("GOOGLETRANSLATE($A918,""en"",""es"")"),"Komondjari")</f>
        <v>Komondjari</v>
      </c>
      <c r="F918" s="9" t="str">
        <f>IFERROR(__xludf.DUMMYFUNCTION("GOOGLETRANSLATE($A918,""en"",""it"")"),"Komondjari")</f>
        <v>Komondjari</v>
      </c>
      <c r="G918" s="9" t="str">
        <f>IFERROR(__xludf.DUMMYFUNCTION("GOOGLETRANSLATE($A918,""en"",""zh-cn"")"),"科蒙贾里")</f>
        <v>科蒙贾里</v>
      </c>
      <c r="H918" s="9" t="str">
        <f>IFERROR(__xludf.DUMMYFUNCTION("GOOGLETRANSLATE($A918,""en"",""ja"")"),"コモンジャリ")</f>
        <v>コモンジャリ</v>
      </c>
      <c r="I918" s="9" t="str">
        <f>IFERROR(__xludf.DUMMYFUNCTION("GOOGLETRANSLATE($A918,""en"",""ko"")"),"코몬자리")</f>
        <v>코몬자리</v>
      </c>
      <c r="J918" s="9" t="str">
        <f>IFERROR(__xludf.DUMMYFUNCTION("GOOGLETRANSLATE($A918,""en"",""pt-BR"")"),"Komondjari")</f>
        <v>Komondjari</v>
      </c>
    </row>
    <row r="919">
      <c r="A919" s="9" t="str">
        <f>IFERROR(__xludf.DUMMYFUNCTION("""COMPUTED_VALUE"""),"Centre (BF)")</f>
        <v>Centre (BF)</v>
      </c>
      <c r="B919" s="9" t="str">
        <f>IFERROR(__xludf.DUMMYFUNCTION("""COMPUTED_VALUE"""),"bf-03")</f>
        <v>bf-03</v>
      </c>
      <c r="C919" s="9" t="str">
        <f>IFERROR(__xludf.DUMMYFUNCTION("GOOGLETRANSLATE($A919,""en"",""de"")"),"Zentrum (BF)")</f>
        <v>Zentrum (BF)</v>
      </c>
      <c r="D919" s="9" t="str">
        <f>IFERROR(__xludf.DUMMYFUNCTION("GOOGLETRANSLATE($A919,""en"",""fr"")"),"Centre (BF)")</f>
        <v>Centre (BF)</v>
      </c>
      <c r="E919" s="9" t="str">
        <f>IFERROR(__xludf.DUMMYFUNCTION("GOOGLETRANSLATE($A919,""en"",""es"")"),"Centro (BF)")</f>
        <v>Centro (BF)</v>
      </c>
      <c r="F919" s="9" t="str">
        <f>IFERROR(__xludf.DUMMYFUNCTION("GOOGLETRANSLATE($A919,""en"",""it"")"),"Centro (BF)")</f>
        <v>Centro (BF)</v>
      </c>
      <c r="G919" s="9" t="str">
        <f>IFERROR(__xludf.DUMMYFUNCTION("GOOGLETRANSLATE($A919,""en"",""zh-cn"")"),"中心（BF）")</f>
        <v>中心（BF）</v>
      </c>
      <c r="H919" s="9" t="str">
        <f>IFERROR(__xludf.DUMMYFUNCTION("GOOGLETRANSLATE($A919,""en"",""ja"")"),"センター(BF)")</f>
        <v>センター(BF)</v>
      </c>
      <c r="I919" s="9" t="str">
        <f>IFERROR(__xludf.DUMMYFUNCTION("GOOGLETRANSLATE($A919,""en"",""ko"")"),"센터(BF)")</f>
        <v>센터(BF)</v>
      </c>
      <c r="J919" s="9" t="str">
        <f>IFERROR(__xludf.DUMMYFUNCTION("GOOGLETRANSLATE($A919,""en"",""pt-BR"")"),"Centro (BF)")</f>
        <v>Centro (BF)</v>
      </c>
    </row>
    <row r="920">
      <c r="A920" s="9" t="str">
        <f>IFERROR(__xludf.DUMMYFUNCTION("""COMPUTED_VALUE"""),"Bougouriba")</f>
        <v>Bougouriba</v>
      </c>
      <c r="B920" s="9" t="str">
        <f>IFERROR(__xludf.DUMMYFUNCTION("""COMPUTED_VALUE"""),"bf-bgr")</f>
        <v>bf-bgr</v>
      </c>
      <c r="C920" s="9" t="str">
        <f>IFERROR(__xludf.DUMMYFUNCTION("GOOGLETRANSLATE($A920,""en"",""de"")"),"Bougouriba")</f>
        <v>Bougouriba</v>
      </c>
      <c r="D920" s="9" t="str">
        <f>IFERROR(__xludf.DUMMYFUNCTION("GOOGLETRANSLATE($A920,""en"",""fr"")"),"Bougouriba")</f>
        <v>Bougouriba</v>
      </c>
      <c r="E920" s="9" t="str">
        <f>IFERROR(__xludf.DUMMYFUNCTION("GOOGLETRANSLATE($A920,""en"",""es"")"),"Bougouriba")</f>
        <v>Bougouriba</v>
      </c>
      <c r="F920" s="9" t="str">
        <f>IFERROR(__xludf.DUMMYFUNCTION("GOOGLETRANSLATE($A920,""en"",""it"")"),"Bougouriba")</f>
        <v>Bougouriba</v>
      </c>
      <c r="G920" s="9" t="str">
        <f>IFERROR(__xludf.DUMMYFUNCTION("GOOGLETRANSLATE($A920,""en"",""zh-cn"")"),"布古里巴")</f>
        <v>布古里巴</v>
      </c>
      <c r="H920" s="9" t="str">
        <f>IFERROR(__xludf.DUMMYFUNCTION("GOOGLETRANSLATE($A920,""en"",""ja"")"),"ブゴリバ")</f>
        <v>ブゴリバ</v>
      </c>
      <c r="I920" s="9" t="str">
        <f>IFERROR(__xludf.DUMMYFUNCTION("GOOGLETRANSLATE($A920,""en"",""ko"")"),"부구리바")</f>
        <v>부구리바</v>
      </c>
      <c r="J920" s="9" t="str">
        <f>IFERROR(__xludf.DUMMYFUNCTION("GOOGLETRANSLATE($A920,""en"",""pt-BR"")"),"Bougouriba")</f>
        <v>Bougouriba</v>
      </c>
    </row>
    <row r="921">
      <c r="A921" s="9" t="str">
        <f>IFERROR(__xludf.DUMMYFUNCTION("""COMPUTED_VALUE"""),"Sud-Ouest")</f>
        <v>Sud-Ouest</v>
      </c>
      <c r="B921" s="9" t="str">
        <f>IFERROR(__xludf.DUMMYFUNCTION("""COMPUTED_VALUE"""),"bf-13")</f>
        <v>bf-13</v>
      </c>
      <c r="C921" s="9" t="str">
        <f>IFERROR(__xludf.DUMMYFUNCTION("GOOGLETRANSLATE($A921,""en"",""de"")"),"Sud-Ouest")</f>
        <v>Sud-Ouest</v>
      </c>
      <c r="D921" s="9" t="str">
        <f>IFERROR(__xludf.DUMMYFUNCTION("GOOGLETRANSLATE($A921,""en"",""fr"")"),"Sud-Ouest")</f>
        <v>Sud-Ouest</v>
      </c>
      <c r="E921" s="9" t="str">
        <f>IFERROR(__xludf.DUMMYFUNCTION("GOOGLETRANSLATE($A921,""en"",""es"")"),"Sudeste")</f>
        <v>Sudeste</v>
      </c>
      <c r="F921" s="9" t="str">
        <f>IFERROR(__xludf.DUMMYFUNCTION("GOOGLETRANSLATE($A921,""en"",""it"")"),"Sud-Ovest")</f>
        <v>Sud-Ovest</v>
      </c>
      <c r="G921" s="9" t="str">
        <f>IFERROR(__xludf.DUMMYFUNCTION("GOOGLETRANSLATE($A921,""en"",""zh-cn"")"),"西南")</f>
        <v>西南</v>
      </c>
      <c r="H921" s="9" t="str">
        <f>IFERROR(__xludf.DUMMYFUNCTION("GOOGLETRANSLATE($A921,""en"",""ja"")"),"南西")</f>
        <v>南西</v>
      </c>
      <c r="I921" s="9" t="str">
        <f>IFERROR(__xludf.DUMMYFUNCTION("GOOGLETRANSLATE($A921,""en"",""ko"")"),"남서부")</f>
        <v>남서부</v>
      </c>
      <c r="J921" s="9" t="str">
        <f>IFERROR(__xludf.DUMMYFUNCTION("GOOGLETRANSLATE($A921,""en"",""pt-BR"")"),"Sul-Oeste")</f>
        <v>Sul-Oeste</v>
      </c>
    </row>
    <row r="922">
      <c r="A922" s="9" t="str">
        <f>IFERROR(__xludf.DUMMYFUNCTION("""COMPUTED_VALUE"""),"Centre-Est")</f>
        <v>Centre-Est</v>
      </c>
      <c r="B922" s="9" t="str">
        <f>IFERROR(__xludf.DUMMYFUNCTION("""COMPUTED_VALUE"""),"bf-04")</f>
        <v>bf-04</v>
      </c>
      <c r="C922" s="9" t="str">
        <f>IFERROR(__xludf.DUMMYFUNCTION("GOOGLETRANSLATE($A922,""en"",""de"")"),"Mitte-Ost")</f>
        <v>Mitte-Ost</v>
      </c>
      <c r="D922" s="9" t="str">
        <f>IFERROR(__xludf.DUMMYFUNCTION("GOOGLETRANSLATE($A922,""en"",""fr"")"),"Centre-Est")</f>
        <v>Centre-Est</v>
      </c>
      <c r="E922" s="9" t="str">
        <f>IFERROR(__xludf.DUMMYFUNCTION("GOOGLETRANSLATE($A922,""en"",""es"")"),"Centro-Este")</f>
        <v>Centro-Este</v>
      </c>
      <c r="F922" s="9" t="str">
        <f>IFERROR(__xludf.DUMMYFUNCTION("GOOGLETRANSLATE($A922,""en"",""it"")"),"Centro-Est")</f>
        <v>Centro-Est</v>
      </c>
      <c r="G922" s="9" t="str">
        <f>IFERROR(__xludf.DUMMYFUNCTION("GOOGLETRANSLATE($A922,""en"",""zh-cn"")"),"中东部")</f>
        <v>中东部</v>
      </c>
      <c r="H922" s="9" t="str">
        <f>IFERROR(__xludf.DUMMYFUNCTION("GOOGLETRANSLATE($A922,""en"",""ja"")"),"センターエスト")</f>
        <v>センターエスト</v>
      </c>
      <c r="I922" s="9" t="str">
        <f>IFERROR(__xludf.DUMMYFUNCTION("GOOGLETRANSLATE($A922,""en"",""ko"")"),"중부동부")</f>
        <v>중부동부</v>
      </c>
      <c r="J922" s="9" t="str">
        <f>IFERROR(__xludf.DUMMYFUNCTION("GOOGLETRANSLATE($A922,""en"",""pt-BR"")"),"Centro-Est")</f>
        <v>Centro-Est</v>
      </c>
    </row>
    <row r="923">
      <c r="A923" s="9" t="str">
        <f>IFERROR(__xludf.DUMMYFUNCTION("""COMPUTED_VALUE"""),"Plateau-Central")</f>
        <v>Plateau-Central</v>
      </c>
      <c r="B923" s="9" t="str">
        <f>IFERROR(__xludf.DUMMYFUNCTION("""COMPUTED_VALUE"""),"bf-11")</f>
        <v>bf-11</v>
      </c>
      <c r="C923" s="9" t="str">
        <f>IFERROR(__xludf.DUMMYFUNCTION("GOOGLETRANSLATE($A923,""en"",""de"")"),"Plateau-Zentral")</f>
        <v>Plateau-Zentral</v>
      </c>
      <c r="D923" s="9" t="str">
        <f>IFERROR(__xludf.DUMMYFUNCTION("GOOGLETRANSLATE($A923,""en"",""fr"")"),"Plateau-Central")</f>
        <v>Plateau-Central</v>
      </c>
      <c r="E923" s="9" t="str">
        <f>IFERROR(__xludf.DUMMYFUNCTION("GOOGLETRANSLATE($A923,""en"",""es"")"),"Meseta-Central")</f>
        <v>Meseta-Central</v>
      </c>
      <c r="F923" s="9" t="str">
        <f>IFERROR(__xludf.DUMMYFUNCTION("GOOGLETRANSLATE($A923,""en"",""it"")"),"Altopiano Centrale")</f>
        <v>Altopiano Centrale</v>
      </c>
      <c r="G923" s="9" t="str">
        <f>IFERROR(__xludf.DUMMYFUNCTION("GOOGLETRANSLATE($A923,""en"",""zh-cn"")"),"高原中部")</f>
        <v>高原中部</v>
      </c>
      <c r="H923" s="9" t="str">
        <f>IFERROR(__xludf.DUMMYFUNCTION("GOOGLETRANSLATE($A923,""en"",""ja"")"),"高原中央")</f>
        <v>高原中央</v>
      </c>
      <c r="I923" s="9" t="str">
        <f>IFERROR(__xludf.DUMMYFUNCTION("GOOGLETRANSLATE($A923,""en"",""ko"")"),"고원-중앙")</f>
        <v>고원-중앙</v>
      </c>
      <c r="J923" s="9" t="str">
        <f>IFERROR(__xludf.DUMMYFUNCTION("GOOGLETRANSLATE($A923,""en"",""pt-BR"")"),"Planalto-Central")</f>
        <v>Planalto-Central</v>
      </c>
    </row>
    <row r="924">
      <c r="A924" s="9" t="str">
        <f>IFERROR(__xludf.DUMMYFUNCTION("""COMPUTED_VALUE"""),"Zondoma")</f>
        <v>Zondoma</v>
      </c>
      <c r="B924" s="9" t="str">
        <f>IFERROR(__xludf.DUMMYFUNCTION("""COMPUTED_VALUE"""),"bf-zon")</f>
        <v>bf-zon</v>
      </c>
      <c r="C924" s="9" t="str">
        <f>IFERROR(__xludf.DUMMYFUNCTION("GOOGLETRANSLATE($A924,""en"",""de"")"),"Zondoma")</f>
        <v>Zondoma</v>
      </c>
      <c r="D924" s="9" t="str">
        <f>IFERROR(__xludf.DUMMYFUNCTION("GOOGLETRANSLATE($A924,""en"",""fr"")"),"Zondome")</f>
        <v>Zondome</v>
      </c>
      <c r="E924" s="9" t="str">
        <f>IFERROR(__xludf.DUMMYFUNCTION("GOOGLETRANSLATE($A924,""en"",""es"")"),"Zondoma")</f>
        <v>Zondoma</v>
      </c>
      <c r="F924" s="9" t="str">
        <f>IFERROR(__xludf.DUMMYFUNCTION("GOOGLETRANSLATE($A924,""en"",""it"")"),"Zondoma")</f>
        <v>Zondoma</v>
      </c>
      <c r="G924" s="9" t="str">
        <f>IFERROR(__xludf.DUMMYFUNCTION("GOOGLETRANSLATE($A924,""en"",""zh-cn"")"),"宗多玛")</f>
        <v>宗多玛</v>
      </c>
      <c r="H924" s="9" t="str">
        <f>IFERROR(__xludf.DUMMYFUNCTION("GOOGLETRANSLATE($A924,""en"",""ja"")"),"ゾンドマ")</f>
        <v>ゾンドマ</v>
      </c>
      <c r="I924" s="9" t="str">
        <f>IFERROR(__xludf.DUMMYFUNCTION("GOOGLETRANSLATE($A924,""en"",""ko"")"),"존도마")</f>
        <v>존도마</v>
      </c>
      <c r="J924" s="9" t="str">
        <f>IFERROR(__xludf.DUMMYFUNCTION("GOOGLETRANSLATE($A924,""en"",""pt-BR"")"),"Zondoma")</f>
        <v>Zondoma</v>
      </c>
    </row>
    <row r="925">
      <c r="A925" s="9" t="str">
        <f>IFERROR(__xludf.DUMMYFUNCTION("""COMPUTED_VALUE"""),"Banwa")</f>
        <v>Banwa</v>
      </c>
      <c r="B925" s="9" t="str">
        <f>IFERROR(__xludf.DUMMYFUNCTION("""COMPUTED_VALUE"""),"bf-ban")</f>
        <v>bf-ban</v>
      </c>
      <c r="C925" s="9" t="str">
        <f>IFERROR(__xludf.DUMMYFUNCTION("GOOGLETRANSLATE($A925,""en"",""de"")"),"Banwa")</f>
        <v>Banwa</v>
      </c>
      <c r="D925" s="9" t="str">
        <f>IFERROR(__xludf.DUMMYFUNCTION("GOOGLETRANSLATE($A925,""en"",""fr"")"),"Banwa")</f>
        <v>Banwa</v>
      </c>
      <c r="E925" s="9" t="str">
        <f>IFERROR(__xludf.DUMMYFUNCTION("GOOGLETRANSLATE($A925,""en"",""es"")"),"Banwa")</f>
        <v>Banwa</v>
      </c>
      <c r="F925" s="9" t="str">
        <f>IFERROR(__xludf.DUMMYFUNCTION("GOOGLETRANSLATE($A925,""en"",""it"")"),"Banwa")</f>
        <v>Banwa</v>
      </c>
      <c r="G925" s="9" t="str">
        <f>IFERROR(__xludf.DUMMYFUNCTION("GOOGLETRANSLATE($A925,""en"",""zh-cn"")"),"半瓦")</f>
        <v>半瓦</v>
      </c>
      <c r="H925" s="9" t="str">
        <f>IFERROR(__xludf.DUMMYFUNCTION("GOOGLETRANSLATE($A925,""en"",""ja"")"),"バンワ")</f>
        <v>バンワ</v>
      </c>
      <c r="I925" s="9" t="str">
        <f>IFERROR(__xludf.DUMMYFUNCTION("GOOGLETRANSLATE($A925,""en"",""ko"")"),"반와")</f>
        <v>반와</v>
      </c>
      <c r="J925" s="9" t="str">
        <f>IFERROR(__xludf.DUMMYFUNCTION("GOOGLETRANSLATE($A925,""en"",""pt-BR"")"),"Banwa")</f>
        <v>Banwa</v>
      </c>
    </row>
    <row r="926">
      <c r="A926" s="9" t="str">
        <f>IFERROR(__xludf.DUMMYFUNCTION("""COMPUTED_VALUE"""),"Sissili")</f>
        <v>Sissili</v>
      </c>
      <c r="B926" s="9" t="str">
        <f>IFERROR(__xludf.DUMMYFUNCTION("""COMPUTED_VALUE"""),"bf-sis")</f>
        <v>bf-sis</v>
      </c>
      <c r="C926" s="9" t="str">
        <f>IFERROR(__xludf.DUMMYFUNCTION("GOOGLETRANSLATE($A926,""en"",""de"")"),"Sissili")</f>
        <v>Sissili</v>
      </c>
      <c r="D926" s="9" t="str">
        <f>IFERROR(__xludf.DUMMYFUNCTION("GOOGLETRANSLATE($A926,""en"",""fr"")"),"Sissili")</f>
        <v>Sissili</v>
      </c>
      <c r="E926" s="9" t="str">
        <f>IFERROR(__xludf.DUMMYFUNCTION("GOOGLETRANSLATE($A926,""en"",""es"")"),"Sisili")</f>
        <v>Sisili</v>
      </c>
      <c r="F926" s="9" t="str">
        <f>IFERROR(__xludf.DUMMYFUNCTION("GOOGLETRANSLATE($A926,""en"",""it"")"),"Sissili")</f>
        <v>Sissili</v>
      </c>
      <c r="G926" s="9" t="str">
        <f>IFERROR(__xludf.DUMMYFUNCTION("GOOGLETRANSLATE($A926,""en"",""zh-cn"")"),"西西里")</f>
        <v>西西里</v>
      </c>
      <c r="H926" s="9" t="str">
        <f>IFERROR(__xludf.DUMMYFUNCTION("GOOGLETRANSLATE($A926,""en"",""ja"")"),"シシリ")</f>
        <v>シシリ</v>
      </c>
      <c r="I926" s="9" t="str">
        <f>IFERROR(__xludf.DUMMYFUNCTION("GOOGLETRANSLATE($A926,""en"",""ko"")"),"시실리")</f>
        <v>시실리</v>
      </c>
      <c r="J926" s="9" t="str">
        <f>IFERROR(__xludf.DUMMYFUNCTION("GOOGLETRANSLATE($A926,""en"",""pt-BR"")"),"Sissili")</f>
        <v>Sissili</v>
      </c>
    </row>
    <row r="927">
      <c r="A927" s="9" t="str">
        <f>IFERROR(__xludf.DUMMYFUNCTION("""COMPUTED_VALUE"""),"Zoundwéogo")</f>
        <v>Zoundwéogo</v>
      </c>
      <c r="B927" s="9" t="str">
        <f>IFERROR(__xludf.DUMMYFUNCTION("""COMPUTED_VALUE"""),"bf-zou")</f>
        <v>bf-zou</v>
      </c>
      <c r="C927" s="9" t="str">
        <f>IFERROR(__xludf.DUMMYFUNCTION("GOOGLETRANSLATE($A927,""en"",""de"")"),"Zoundwéogo")</f>
        <v>Zoundwéogo</v>
      </c>
      <c r="D927" s="9" t="str">
        <f>IFERROR(__xludf.DUMMYFUNCTION("GOOGLETRANSLATE($A927,""en"",""fr"")"),"Zoundwéogo")</f>
        <v>Zoundwéogo</v>
      </c>
      <c r="E927" s="9" t="str">
        <f>IFERROR(__xludf.DUMMYFUNCTION("GOOGLETRANSLATE($A927,""en"",""es"")"),"Zoundwéogo")</f>
        <v>Zoundwéogo</v>
      </c>
      <c r="F927" s="9" t="str">
        <f>IFERROR(__xludf.DUMMYFUNCTION("GOOGLETRANSLATE($A927,""en"",""it"")"),"Zoundweogo")</f>
        <v>Zoundweogo</v>
      </c>
      <c r="G927" s="9" t="str">
        <f>IFERROR(__xludf.DUMMYFUNCTION("GOOGLETRANSLATE($A927,""en"",""zh-cn"")"),"赞德韦奥戈")</f>
        <v>赞德韦奥戈</v>
      </c>
      <c r="H927" s="9" t="str">
        <f>IFERROR(__xludf.DUMMYFUNCTION("GOOGLETRANSLATE($A927,""en"",""ja"")"),"ゾウンドウェオゴ")</f>
        <v>ゾウンドウェオゴ</v>
      </c>
      <c r="I927" s="9" t="str">
        <f>IFERROR(__xludf.DUMMYFUNCTION("GOOGLETRANSLATE($A927,""en"",""ko"")"),"Zoundwéogo")</f>
        <v>Zoundwéogo</v>
      </c>
      <c r="J927" s="9" t="str">
        <f>IFERROR(__xludf.DUMMYFUNCTION("GOOGLETRANSLATE($A927,""en"",""pt-BR"")"),"Zoundwéogo")</f>
        <v>Zoundwéogo</v>
      </c>
    </row>
    <row r="928">
      <c r="A928" s="9" t="str">
        <f>IFERROR(__xludf.DUMMYFUNCTION("""COMPUTED_VALUE"""),"Bam")</f>
        <v>Bam</v>
      </c>
      <c r="B928" s="9" t="str">
        <f>IFERROR(__xludf.DUMMYFUNCTION("""COMPUTED_VALUE"""),"bf-bam")</f>
        <v>bf-bam</v>
      </c>
      <c r="C928" s="9" t="str">
        <f>IFERROR(__xludf.DUMMYFUNCTION("GOOGLETRANSLATE($A928,""en"",""de"")"),"Bam")</f>
        <v>Bam</v>
      </c>
      <c r="D928" s="9" t="str">
        <f>IFERROR(__xludf.DUMMYFUNCTION("GOOGLETRANSLATE($A928,""en"",""fr"")"),"Boum")</f>
        <v>Boum</v>
      </c>
      <c r="E928" s="9" t="str">
        <f>IFERROR(__xludf.DUMMYFUNCTION("GOOGLETRANSLATE($A928,""en"",""es"")"),"Bam")</f>
        <v>Bam</v>
      </c>
      <c r="F928" s="9" t="str">
        <f>IFERROR(__xludf.DUMMYFUNCTION("GOOGLETRANSLATE($A928,""en"",""it"")"),"Bam")</f>
        <v>Bam</v>
      </c>
      <c r="G928" s="9" t="str">
        <f>IFERROR(__xludf.DUMMYFUNCTION("GOOGLETRANSLATE($A928,""en"",""zh-cn"")"),"巴姆")</f>
        <v>巴姆</v>
      </c>
      <c r="H928" s="9" t="str">
        <f>IFERROR(__xludf.DUMMYFUNCTION("GOOGLETRANSLATE($A928,""en"",""ja"")"),"バム")</f>
        <v>バム</v>
      </c>
      <c r="I928" s="9" t="str">
        <f>IFERROR(__xludf.DUMMYFUNCTION("GOOGLETRANSLATE($A928,""en"",""ko"")"),"밤")</f>
        <v>밤</v>
      </c>
      <c r="J928" s="9" t="str">
        <f>IFERROR(__xludf.DUMMYFUNCTION("GOOGLETRANSLATE($A928,""en"",""pt-BR"")"),"Bam")</f>
        <v>Bam</v>
      </c>
    </row>
    <row r="929">
      <c r="A929" s="9" t="str">
        <f>IFERROR(__xludf.DUMMYFUNCTION("""COMPUTED_VALUE"""),"Balé")</f>
        <v>Balé</v>
      </c>
      <c r="B929" s="9" t="str">
        <f>IFERROR(__xludf.DUMMYFUNCTION("""COMPUTED_VALUE"""),"bf-bal")</f>
        <v>bf-bal</v>
      </c>
      <c r="C929" s="9" t="str">
        <f>IFERROR(__xludf.DUMMYFUNCTION("GOOGLETRANSLATE($A929,""en"",""de"")"),"Ballen")</f>
        <v>Ballen</v>
      </c>
      <c r="D929" s="9" t="str">
        <f>IFERROR(__xludf.DUMMYFUNCTION("GOOGLETRANSLATE($A929,""en"",""fr"")"),"Balle")</f>
        <v>Balle</v>
      </c>
      <c r="E929" s="9" t="str">
        <f>IFERROR(__xludf.DUMMYFUNCTION("GOOGLETRANSLATE($A929,""en"",""es"")"),"Bala")</f>
        <v>Bala</v>
      </c>
      <c r="F929" s="9" t="str">
        <f>IFERROR(__xludf.DUMMYFUNCTION("GOOGLETRANSLATE($A929,""en"",""it"")"),"Balla")</f>
        <v>Balla</v>
      </c>
      <c r="G929" s="9" t="str">
        <f>IFERROR(__xludf.DUMMYFUNCTION("GOOGLETRANSLATE($A929,""en"",""zh-cn"")"),"包")</f>
        <v>包</v>
      </c>
      <c r="H929" s="9" t="str">
        <f>IFERROR(__xludf.DUMMYFUNCTION("GOOGLETRANSLATE($A929,""en"",""ja"")"),"バレ")</f>
        <v>バレ</v>
      </c>
      <c r="I929" s="9" t="str">
        <f>IFERROR(__xludf.DUMMYFUNCTION("GOOGLETRANSLATE($A929,""en"",""ko"")"),"곤포")</f>
        <v>곤포</v>
      </c>
      <c r="J929" s="9" t="str">
        <f>IFERROR(__xludf.DUMMYFUNCTION("GOOGLETRANSLATE($A929,""en"",""pt-BR"")"),"Fardo")</f>
        <v>Fardo</v>
      </c>
    </row>
    <row r="930">
      <c r="A930" s="9" t="str">
        <f>IFERROR(__xludf.DUMMYFUNCTION("""COMPUTED_VALUE"""),"Kadiogo")</f>
        <v>Kadiogo</v>
      </c>
      <c r="B930" s="9" t="str">
        <f>IFERROR(__xludf.DUMMYFUNCTION("""COMPUTED_VALUE"""),"bf-kad")</f>
        <v>bf-kad</v>
      </c>
      <c r="C930" s="9" t="str">
        <f>IFERROR(__xludf.DUMMYFUNCTION("GOOGLETRANSLATE($A930,""en"",""de"")"),"Kadiogo")</f>
        <v>Kadiogo</v>
      </c>
      <c r="D930" s="9" t="str">
        <f>IFERROR(__xludf.DUMMYFUNCTION("GOOGLETRANSLATE($A930,""en"",""fr"")"),"Kadiogo")</f>
        <v>Kadiogo</v>
      </c>
      <c r="E930" s="9" t="str">
        <f>IFERROR(__xludf.DUMMYFUNCTION("GOOGLETRANSLATE($A930,""en"",""es"")"),"Kadiogo")</f>
        <v>Kadiogo</v>
      </c>
      <c r="F930" s="9" t="str">
        <f>IFERROR(__xludf.DUMMYFUNCTION("GOOGLETRANSLATE($A930,""en"",""it"")"),"Kadiogo")</f>
        <v>Kadiogo</v>
      </c>
      <c r="G930" s="9" t="str">
        <f>IFERROR(__xludf.DUMMYFUNCTION("GOOGLETRANSLATE($A930,""en"",""zh-cn"")"),"卡迪奥戈")</f>
        <v>卡迪奥戈</v>
      </c>
      <c r="H930" s="9" t="str">
        <f>IFERROR(__xludf.DUMMYFUNCTION("GOOGLETRANSLATE($A930,""en"",""ja"")"),"カディオゴ")</f>
        <v>カディオゴ</v>
      </c>
      <c r="I930" s="9" t="str">
        <f>IFERROR(__xludf.DUMMYFUNCTION("GOOGLETRANSLATE($A930,""en"",""ko"")"),"카디오고")</f>
        <v>카디오고</v>
      </c>
      <c r="J930" s="9" t="str">
        <f>IFERROR(__xludf.DUMMYFUNCTION("GOOGLETRANSLATE($A930,""en"",""pt-BR"")"),"Kadiogo")</f>
        <v>Kadiogo</v>
      </c>
    </row>
    <row r="931">
      <c r="A931" s="9" t="str">
        <f>IFERROR(__xludf.DUMMYFUNCTION("""COMPUTED_VALUE"""),"Tapoa")</f>
        <v>Tapoa</v>
      </c>
      <c r="B931" s="9" t="str">
        <f>IFERROR(__xludf.DUMMYFUNCTION("""COMPUTED_VALUE"""),"bf-tap")</f>
        <v>bf-tap</v>
      </c>
      <c r="C931" s="9" t="str">
        <f>IFERROR(__xludf.DUMMYFUNCTION("GOOGLETRANSLATE($A931,""en"",""de"")"),"Tapoa")</f>
        <v>Tapoa</v>
      </c>
      <c r="D931" s="9" t="str">
        <f>IFERROR(__xludf.DUMMYFUNCTION("GOOGLETRANSLATE($A931,""en"",""fr"")"),"Tapoa")</f>
        <v>Tapoa</v>
      </c>
      <c r="E931" s="9" t="str">
        <f>IFERROR(__xludf.DUMMYFUNCTION("GOOGLETRANSLATE($A931,""en"",""es"")"),"Tapoa")</f>
        <v>Tapoa</v>
      </c>
      <c r="F931" s="9" t="str">
        <f>IFERROR(__xludf.DUMMYFUNCTION("GOOGLETRANSLATE($A931,""en"",""it"")"),"Tapoa")</f>
        <v>Tapoa</v>
      </c>
      <c r="G931" s="9" t="str">
        <f>IFERROR(__xludf.DUMMYFUNCTION("GOOGLETRANSLATE($A931,""en"",""zh-cn"")"),"塔波阿")</f>
        <v>塔波阿</v>
      </c>
      <c r="H931" s="9" t="str">
        <f>IFERROR(__xludf.DUMMYFUNCTION("GOOGLETRANSLATE($A931,""en"",""ja"")"),"タポア")</f>
        <v>タポア</v>
      </c>
      <c r="I931" s="9" t="str">
        <f>IFERROR(__xludf.DUMMYFUNCTION("GOOGLETRANSLATE($A931,""en"",""ko"")"),"타포아")</f>
        <v>타포아</v>
      </c>
      <c r="J931" s="9" t="str">
        <f>IFERROR(__xludf.DUMMYFUNCTION("GOOGLETRANSLATE($A931,""en"",""pt-BR"")"),"Tapoá")</f>
        <v>Tapoá</v>
      </c>
    </row>
    <row r="932">
      <c r="A932" s="9" t="str">
        <f>IFERROR(__xludf.DUMMYFUNCTION("""COMPUTED_VALUE"""),"Yagha")</f>
        <v>Yagha</v>
      </c>
      <c r="B932" s="9" t="str">
        <f>IFERROR(__xludf.DUMMYFUNCTION("""COMPUTED_VALUE"""),"bf-yag")</f>
        <v>bf-yag</v>
      </c>
      <c r="C932" s="9" t="str">
        <f>IFERROR(__xludf.DUMMYFUNCTION("GOOGLETRANSLATE($A932,""en"",""de"")"),"Yagha")</f>
        <v>Yagha</v>
      </c>
      <c r="D932" s="9" t="str">
        <f>IFERROR(__xludf.DUMMYFUNCTION("GOOGLETRANSLATE($A932,""en"",""fr"")"),"Yagha")</f>
        <v>Yagha</v>
      </c>
      <c r="E932" s="9" t="str">
        <f>IFERROR(__xludf.DUMMYFUNCTION("GOOGLETRANSLATE($A932,""en"",""es"")"),"Yagá")</f>
        <v>Yagá</v>
      </c>
      <c r="F932" s="9" t="str">
        <f>IFERROR(__xludf.DUMMYFUNCTION("GOOGLETRANSLATE($A932,""en"",""it"")"),"Yagha")</f>
        <v>Yagha</v>
      </c>
      <c r="G932" s="9" t="str">
        <f>IFERROR(__xludf.DUMMYFUNCTION("GOOGLETRANSLATE($A932,""en"",""zh-cn"")"),"雅加")</f>
        <v>雅加</v>
      </c>
      <c r="H932" s="9" t="str">
        <f>IFERROR(__xludf.DUMMYFUNCTION("GOOGLETRANSLATE($A932,""en"",""ja"")"),"ヤガ")</f>
        <v>ヤガ</v>
      </c>
      <c r="I932" s="9" t="str">
        <f>IFERROR(__xludf.DUMMYFUNCTION("GOOGLETRANSLATE($A932,""en"",""ko"")"),"야가")</f>
        <v>야가</v>
      </c>
      <c r="J932" s="9" t="str">
        <f>IFERROR(__xludf.DUMMYFUNCTION("GOOGLETRANSLATE($A932,""en"",""pt-BR"")"),"Yagha")</f>
        <v>Yagha</v>
      </c>
    </row>
    <row r="933">
      <c r="A933" s="9" t="str">
        <f>IFERROR(__xludf.DUMMYFUNCTION("""COMPUTED_VALUE"""),"Boulkiemdé")</f>
        <v>Boulkiemdé</v>
      </c>
      <c r="B933" s="9" t="str">
        <f>IFERROR(__xludf.DUMMYFUNCTION("""COMPUTED_VALUE"""),"bf-blk")</f>
        <v>bf-blk</v>
      </c>
      <c r="C933" s="9" t="str">
        <f>IFERROR(__xludf.DUMMYFUNCTION("GOOGLETRANSLATE($A933,""en"",""de"")"),"Boulkiemdé")</f>
        <v>Boulkiemdé</v>
      </c>
      <c r="D933" s="9" t="str">
        <f>IFERROR(__xludf.DUMMYFUNCTION("GOOGLETRANSLATE($A933,""en"",""fr"")"),"Boulkiemdé")</f>
        <v>Boulkiemdé</v>
      </c>
      <c r="E933" s="9" t="str">
        <f>IFERROR(__xludf.DUMMYFUNCTION("GOOGLETRANSLATE($A933,""en"",""es"")"),"boulkiemdé")</f>
        <v>boulkiemdé</v>
      </c>
      <c r="F933" s="9" t="str">
        <f>IFERROR(__xludf.DUMMYFUNCTION("GOOGLETRANSLATE($A933,""en"",""it"")"),"Boulkiemdé")</f>
        <v>Boulkiemdé</v>
      </c>
      <c r="G933" s="9" t="str">
        <f>IFERROR(__xludf.DUMMYFUNCTION("GOOGLETRANSLATE($A933,""en"",""zh-cn"")"),"布基姆德")</f>
        <v>布基姆德</v>
      </c>
      <c r="H933" s="9" t="str">
        <f>IFERROR(__xludf.DUMMYFUNCTION("GOOGLETRANSLATE($A933,""en"",""ja"")"),"ブルキエムデ")</f>
        <v>ブルキエムデ</v>
      </c>
      <c r="I933" s="9" t="str">
        <f>IFERROR(__xludf.DUMMYFUNCTION("GOOGLETRANSLATE($A933,""en"",""ko"")"),"불키엠데")</f>
        <v>불키엠데</v>
      </c>
      <c r="J933" s="9" t="str">
        <f>IFERROR(__xludf.DUMMYFUNCTION("GOOGLETRANSLATE($A933,""en"",""pt-BR"")"),"Boulkiemdé")</f>
        <v>Boulkiemdé</v>
      </c>
    </row>
    <row r="934">
      <c r="A934" s="9" t="str">
        <f>IFERROR(__xludf.DUMMYFUNCTION("""COMPUTED_VALUE"""),"Centre-Ouest")</f>
        <v>Centre-Ouest</v>
      </c>
      <c r="B934" s="9" t="str">
        <f>IFERROR(__xludf.DUMMYFUNCTION("""COMPUTED_VALUE"""),"bf-06")</f>
        <v>bf-06</v>
      </c>
      <c r="C934" s="9" t="str">
        <f>IFERROR(__xludf.DUMMYFUNCTION("GOOGLETRANSLATE($A934,""en"",""de"")"),"Zentrum-Ost")</f>
        <v>Zentrum-Ost</v>
      </c>
      <c r="D934" s="9" t="str">
        <f>IFERROR(__xludf.DUMMYFUNCTION("GOOGLETRANSLATE($A934,""en"",""fr"")"),"Centre-Ouest")</f>
        <v>Centre-Ouest</v>
      </c>
      <c r="E934" s="9" t="str">
        <f>IFERROR(__xludf.DUMMYFUNCTION("GOOGLETRANSLATE($A934,""en"",""es"")"),"Centro-Oeste")</f>
        <v>Centro-Oeste</v>
      </c>
      <c r="F934" s="9" t="str">
        <f>IFERROR(__xludf.DUMMYFUNCTION("GOOGLETRANSLATE($A934,""en"",""it"")"),"Centro-Ovest")</f>
        <v>Centro-Ovest</v>
      </c>
      <c r="G934" s="9" t="str">
        <f>IFERROR(__xludf.DUMMYFUNCTION("GOOGLETRANSLATE($A934,""en"",""zh-cn"")"),"中心-西部")</f>
        <v>中心-西部</v>
      </c>
      <c r="H934" s="9" t="str">
        <f>IFERROR(__xludf.DUMMYFUNCTION("GOOGLETRANSLATE($A934,""en"",""ja"")"),"中心部-西部")</f>
        <v>中心部-西部</v>
      </c>
      <c r="I934" s="9" t="str">
        <f>IFERROR(__xludf.DUMMYFUNCTION("GOOGLETRANSLATE($A934,""en"",""ko"")"),"중서부")</f>
        <v>중서부</v>
      </c>
      <c r="J934" s="9" t="str">
        <f>IFERROR(__xludf.DUMMYFUNCTION("GOOGLETRANSLATE($A934,""en"",""pt-BR"")"),"Centro-Oeste")</f>
        <v>Centro-Oeste</v>
      </c>
    </row>
    <row r="935">
      <c r="A935" s="9" t="str">
        <f>IFERROR(__xludf.DUMMYFUNCTION("""COMPUTED_VALUE"""),"Séno")</f>
        <v>Séno</v>
      </c>
      <c r="B935" s="9" t="str">
        <f>IFERROR(__xludf.DUMMYFUNCTION("""COMPUTED_VALUE"""),"bf-sen")</f>
        <v>bf-sen</v>
      </c>
      <c r="C935" s="9" t="str">
        <f>IFERROR(__xludf.DUMMYFUNCTION("GOOGLETRANSLATE($A935,""en"",""de"")"),"Seno")</f>
        <v>Seno</v>
      </c>
      <c r="D935" s="9" t="str">
        <f>IFERROR(__xludf.DUMMYFUNCTION("GOOGLETRANSLATE($A935,""en"",""fr"")"),"Séno")</f>
        <v>Séno</v>
      </c>
      <c r="E935" s="9" t="str">
        <f>IFERROR(__xludf.DUMMYFUNCTION("GOOGLETRANSLATE($A935,""en"",""es"")"),"Séno")</f>
        <v>Séno</v>
      </c>
      <c r="F935" s="9" t="str">
        <f>IFERROR(__xludf.DUMMYFUNCTION("GOOGLETRANSLATE($A935,""en"",""it"")"),"Seno")</f>
        <v>Seno</v>
      </c>
      <c r="G935" s="9" t="str">
        <f>IFERROR(__xludf.DUMMYFUNCTION("GOOGLETRANSLATE($A935,""en"",""zh-cn"")"),"塞诺")</f>
        <v>塞诺</v>
      </c>
      <c r="H935" s="9" t="str">
        <f>IFERROR(__xludf.DUMMYFUNCTION("GOOGLETRANSLATE($A935,""en"",""ja"")"),"セノ")</f>
        <v>セノ</v>
      </c>
      <c r="I935" s="9" t="str">
        <f>IFERROR(__xludf.DUMMYFUNCTION("GOOGLETRANSLATE($A935,""en"",""ko"")"),"세노")</f>
        <v>세노</v>
      </c>
      <c r="J935" s="9" t="str">
        <f>IFERROR(__xludf.DUMMYFUNCTION("GOOGLETRANSLATE($A935,""en"",""pt-BR"")"),"Séno")</f>
        <v>Séno</v>
      </c>
    </row>
    <row r="936">
      <c r="A936" s="9" t="str">
        <f>IFERROR(__xludf.DUMMYFUNCTION("""COMPUTED_VALUE"""),"Cascades")</f>
        <v>Cascades</v>
      </c>
      <c r="B936" s="9" t="str">
        <f>IFERROR(__xludf.DUMMYFUNCTION("""COMPUTED_VALUE"""),"bf-02")</f>
        <v>bf-02</v>
      </c>
      <c r="C936" s="9" t="str">
        <f>IFERROR(__xludf.DUMMYFUNCTION("GOOGLETRANSLATE($A936,""en"",""de"")"),"Kaskaden")</f>
        <v>Kaskaden</v>
      </c>
      <c r="D936" s="9" t="str">
        <f>IFERROR(__xludf.DUMMYFUNCTION("GOOGLETRANSLATE($A936,""en"",""fr"")"),"Cascades")</f>
        <v>Cascades</v>
      </c>
      <c r="E936" s="9" t="str">
        <f>IFERROR(__xludf.DUMMYFUNCTION("GOOGLETRANSLATE($A936,""en"",""es"")"),"Cascadas")</f>
        <v>Cascadas</v>
      </c>
      <c r="F936" s="9" t="str">
        <f>IFERROR(__xludf.DUMMYFUNCTION("GOOGLETRANSLATE($A936,""en"",""it"")"),"Cascate")</f>
        <v>Cascate</v>
      </c>
      <c r="G936" s="9" t="str">
        <f>IFERROR(__xludf.DUMMYFUNCTION("GOOGLETRANSLATE($A936,""en"",""zh-cn"")"),"瀑布")</f>
        <v>瀑布</v>
      </c>
      <c r="H936" s="9" t="str">
        <f>IFERROR(__xludf.DUMMYFUNCTION("GOOGLETRANSLATE($A936,""en"",""ja"")"),"カスケード")</f>
        <v>カスケード</v>
      </c>
      <c r="I936" s="9" t="str">
        <f>IFERROR(__xludf.DUMMYFUNCTION("GOOGLETRANSLATE($A936,""en"",""ko"")"),"캐스케이드")</f>
        <v>캐스케이드</v>
      </c>
      <c r="J936" s="9" t="str">
        <f>IFERROR(__xludf.DUMMYFUNCTION("GOOGLETRANSLATE($A936,""en"",""pt-BR"")"),"Cascatas")</f>
        <v>Cascatas</v>
      </c>
    </row>
    <row r="937">
      <c r="A937" s="9" t="str">
        <f>IFERROR(__xludf.DUMMYFUNCTION("""COMPUTED_VALUE"""),"Kouritenga")</f>
        <v>Kouritenga</v>
      </c>
      <c r="B937" s="9" t="str">
        <f>IFERROR(__xludf.DUMMYFUNCTION("""COMPUTED_VALUE"""),"bf-kot")</f>
        <v>bf-kot</v>
      </c>
      <c r="C937" s="9" t="str">
        <f>IFERROR(__xludf.DUMMYFUNCTION("GOOGLETRANSLATE($A937,""en"",""de"")"),"Kouritenga")</f>
        <v>Kouritenga</v>
      </c>
      <c r="D937" s="9" t="str">
        <f>IFERROR(__xludf.DUMMYFUNCTION("GOOGLETRANSLATE($A937,""en"",""fr"")"),"Kouritenga")</f>
        <v>Kouritenga</v>
      </c>
      <c r="E937" s="9" t="str">
        <f>IFERROR(__xludf.DUMMYFUNCTION("GOOGLETRANSLATE($A937,""en"",""es"")"),"Kouritenga")</f>
        <v>Kouritenga</v>
      </c>
      <c r="F937" s="9" t="str">
        <f>IFERROR(__xludf.DUMMYFUNCTION("GOOGLETRANSLATE($A937,""en"",""it"")"),"Kouritenga")</f>
        <v>Kouritenga</v>
      </c>
      <c r="G937" s="9" t="str">
        <f>IFERROR(__xludf.DUMMYFUNCTION("GOOGLETRANSLATE($A937,""en"",""zh-cn"")"),"库里滕加")</f>
        <v>库里滕加</v>
      </c>
      <c r="H937" s="9" t="str">
        <f>IFERROR(__xludf.DUMMYFUNCTION("GOOGLETRANSLATE($A937,""en"",""ja"")"),"コウリテンガ")</f>
        <v>コウリテンガ</v>
      </c>
      <c r="I937" s="9" t="str">
        <f>IFERROR(__xludf.DUMMYFUNCTION("GOOGLETRANSLATE($A937,""en"",""ko"")"),"코리텡가")</f>
        <v>코리텡가</v>
      </c>
      <c r="J937" s="9" t="str">
        <f>IFERROR(__xludf.DUMMYFUNCTION("GOOGLETRANSLATE($A937,""en"",""pt-BR"")"),"Kouritenga")</f>
        <v>Kouritenga</v>
      </c>
    </row>
    <row r="938">
      <c r="A938" s="9" t="str">
        <f>IFERROR(__xludf.DUMMYFUNCTION("""COMPUTED_VALUE"""),"Sanguié")</f>
        <v>Sanguié</v>
      </c>
      <c r="B938" s="9" t="str">
        <f>IFERROR(__xludf.DUMMYFUNCTION("""COMPUTED_VALUE"""),"bf-sng")</f>
        <v>bf-sng</v>
      </c>
      <c r="C938" s="9" t="str">
        <f>IFERROR(__xludf.DUMMYFUNCTION("GOOGLETRANSLATE($A938,""en"",""de"")"),"Sanguié")</f>
        <v>Sanguié</v>
      </c>
      <c r="D938" s="9" t="str">
        <f>IFERROR(__xludf.DUMMYFUNCTION("GOOGLETRANSLATE($A938,""en"",""fr"")"),"Sanguié")</f>
        <v>Sanguié</v>
      </c>
      <c r="E938" s="9" t="str">
        <f>IFERROR(__xludf.DUMMYFUNCTION("GOOGLETRANSLATE($A938,""en"",""es"")"),"Sanguié")</f>
        <v>Sanguié</v>
      </c>
      <c r="F938" s="9" t="str">
        <f>IFERROR(__xludf.DUMMYFUNCTION("GOOGLETRANSLATE($A938,""en"",""it"")"),"Sanguié")</f>
        <v>Sanguié</v>
      </c>
      <c r="G938" s="9" t="str">
        <f>IFERROR(__xludf.DUMMYFUNCTION("GOOGLETRANSLATE($A938,""en"",""zh-cn"")"),"桑吉埃")</f>
        <v>桑吉埃</v>
      </c>
      <c r="H938" s="9" t="str">
        <f>IFERROR(__xludf.DUMMYFUNCTION("GOOGLETRANSLATE($A938,""en"",""ja"")"),"サンギエ")</f>
        <v>サンギエ</v>
      </c>
      <c r="I938" s="9" t="str">
        <f>IFERROR(__xludf.DUMMYFUNCTION("GOOGLETRANSLATE($A938,""en"",""ko"")"),"생귀에")</f>
        <v>생귀에</v>
      </c>
      <c r="J938" s="9" t="str">
        <f>IFERROR(__xludf.DUMMYFUNCTION("GOOGLETRANSLATE($A938,""en"",""pt-BR"")"),"Sanguié")</f>
        <v>Sanguié</v>
      </c>
    </row>
    <row r="939">
      <c r="A939" s="9" t="str">
        <f>IFERROR(__xludf.DUMMYFUNCTION("""COMPUTED_VALUE"""),"Centre-Nord")</f>
        <v>Centre-Nord</v>
      </c>
      <c r="B939" s="9" t="str">
        <f>IFERROR(__xludf.DUMMYFUNCTION("""COMPUTED_VALUE"""),"bf-05")</f>
        <v>bf-05</v>
      </c>
      <c r="C939" s="9" t="str">
        <f>IFERROR(__xludf.DUMMYFUNCTION("GOOGLETRANSLATE($A939,""en"",""de"")"),"Mitte-Nord")</f>
        <v>Mitte-Nord</v>
      </c>
      <c r="D939" s="9" t="str">
        <f>IFERROR(__xludf.DUMMYFUNCTION("GOOGLETRANSLATE($A939,""en"",""fr"")"),"Centre-Nord")</f>
        <v>Centre-Nord</v>
      </c>
      <c r="E939" s="9" t="str">
        <f>IFERROR(__xludf.DUMMYFUNCTION("GOOGLETRANSLATE($A939,""en"",""es"")"),"Centro-Norte")</f>
        <v>Centro-Norte</v>
      </c>
      <c r="F939" s="9" t="str">
        <f>IFERROR(__xludf.DUMMYFUNCTION("GOOGLETRANSLATE($A939,""en"",""it"")"),"Centro-Nord")</f>
        <v>Centro-Nord</v>
      </c>
      <c r="G939" s="9" t="str">
        <f>IFERROR(__xludf.DUMMYFUNCTION("GOOGLETRANSLATE($A939,""en"",""zh-cn"")"),"中北部")</f>
        <v>中北部</v>
      </c>
      <c r="H939" s="9" t="str">
        <f>IFERROR(__xludf.DUMMYFUNCTION("GOOGLETRANSLATE($A939,""en"",""ja"")"),"センター北")</f>
        <v>センター北</v>
      </c>
      <c r="I939" s="9" t="str">
        <f>IFERROR(__xludf.DUMMYFUNCTION("GOOGLETRANSLATE($A939,""en"",""ko"")"),"센터-노드")</f>
        <v>센터-노드</v>
      </c>
      <c r="J939" s="9" t="str">
        <f>IFERROR(__xludf.DUMMYFUNCTION("GOOGLETRANSLATE($A939,""en"",""pt-BR"")"),"Centro-Norte")</f>
        <v>Centro-Norte</v>
      </c>
    </row>
    <row r="940">
      <c r="A940" s="9" t="str">
        <f>IFERROR(__xludf.DUMMYFUNCTION("""COMPUTED_VALUE"""),"Namentenga")</f>
        <v>Namentenga</v>
      </c>
      <c r="B940" s="9" t="str">
        <f>IFERROR(__xludf.DUMMYFUNCTION("""COMPUTED_VALUE"""),"bf-nam")</f>
        <v>bf-nam</v>
      </c>
      <c r="C940" s="9" t="str">
        <f>IFERROR(__xludf.DUMMYFUNCTION("GOOGLETRANSLATE($A940,""en"",""de"")"),"Namentenga")</f>
        <v>Namentenga</v>
      </c>
      <c r="D940" s="9" t="str">
        <f>IFERROR(__xludf.DUMMYFUNCTION("GOOGLETRANSLATE($A940,""en"",""fr"")"),"Namentenga")</f>
        <v>Namentenga</v>
      </c>
      <c r="E940" s="9" t="str">
        <f>IFERROR(__xludf.DUMMYFUNCTION("GOOGLETRANSLATE($A940,""en"",""es"")"),"Nombrentenga")</f>
        <v>Nombrentenga</v>
      </c>
      <c r="F940" s="9" t="str">
        <f>IFERROR(__xludf.DUMMYFUNCTION("GOOGLETRANSLATE($A940,""en"",""it"")"),"Namentenga")</f>
        <v>Namentenga</v>
      </c>
      <c r="G940" s="9" t="str">
        <f>IFERROR(__xludf.DUMMYFUNCTION("GOOGLETRANSLATE($A940,""en"",""zh-cn"")"),"纳门滕加")</f>
        <v>纳门滕加</v>
      </c>
      <c r="H940" s="9" t="str">
        <f>IFERROR(__xludf.DUMMYFUNCTION("GOOGLETRANSLATE($A940,""en"",""ja"")"),"ナメンテンガ")</f>
        <v>ナメンテンガ</v>
      </c>
      <c r="I940" s="9" t="str">
        <f>IFERROR(__xludf.DUMMYFUNCTION("GOOGLETRANSLATE($A940,""en"",""ko"")"),"나멘텡가")</f>
        <v>나멘텡가</v>
      </c>
      <c r="J940" s="9" t="str">
        <f>IFERROR(__xludf.DUMMYFUNCTION("GOOGLETRANSLATE($A940,""en"",""pt-BR"")"),"Namentenga")</f>
        <v>Namentenga</v>
      </c>
    </row>
    <row r="941">
      <c r="A941" s="9" t="str">
        <f>IFERROR(__xludf.DUMMYFUNCTION("""COMPUTED_VALUE"""),"Ganzourgou")</f>
        <v>Ganzourgou</v>
      </c>
      <c r="B941" s="9" t="str">
        <f>IFERROR(__xludf.DUMMYFUNCTION("""COMPUTED_VALUE"""),"bf-gan")</f>
        <v>bf-gan</v>
      </c>
      <c r="C941" s="9" t="str">
        <f>IFERROR(__xludf.DUMMYFUNCTION("GOOGLETRANSLATE($A941,""en"",""de"")"),"Ganzourgou")</f>
        <v>Ganzourgou</v>
      </c>
      <c r="D941" s="9" t="str">
        <f>IFERROR(__xludf.DUMMYFUNCTION("GOOGLETRANSLATE($A941,""en"",""fr"")"),"Ganzourgou")</f>
        <v>Ganzourgou</v>
      </c>
      <c r="E941" s="9" t="str">
        <f>IFERROR(__xludf.DUMMYFUNCTION("GOOGLETRANSLATE($A941,""en"",""es"")"),"Ganzourgou")</f>
        <v>Ganzourgou</v>
      </c>
      <c r="F941" s="9" t="str">
        <f>IFERROR(__xludf.DUMMYFUNCTION("GOOGLETRANSLATE($A941,""en"",""it"")"),"Ganzourgou")</f>
        <v>Ganzourgou</v>
      </c>
      <c r="G941" s="9" t="str">
        <f>IFERROR(__xludf.DUMMYFUNCTION("GOOGLETRANSLATE($A941,""en"",""zh-cn"")"),"甘祖尔古")</f>
        <v>甘祖尔古</v>
      </c>
      <c r="H941" s="9" t="str">
        <f>IFERROR(__xludf.DUMMYFUNCTION("GOOGLETRANSLATE($A941,""en"",""ja"")"),"ガンズルグー")</f>
        <v>ガンズルグー</v>
      </c>
      <c r="I941" s="9" t="str">
        <f>IFERROR(__xludf.DUMMYFUNCTION("GOOGLETRANSLATE($A941,""en"",""ko"")"),"간주르구")</f>
        <v>간주르구</v>
      </c>
      <c r="J941" s="9" t="str">
        <f>IFERROR(__xludf.DUMMYFUNCTION("GOOGLETRANSLATE($A941,""en"",""pt-BR"")"),"Ganzourgou")</f>
        <v>Ganzourgou</v>
      </c>
    </row>
    <row r="942">
      <c r="A942" s="9" t="str">
        <f>IFERROR(__xludf.DUMMYFUNCTION("""COMPUTED_VALUE"""),"Est (BF)")</f>
        <v>Est (BF)</v>
      </c>
      <c r="B942" s="9" t="str">
        <f>IFERROR(__xludf.DUMMYFUNCTION("""COMPUTED_VALUE"""),"bf-08")</f>
        <v>bf-08</v>
      </c>
      <c r="C942" s="9" t="str">
        <f>IFERROR(__xludf.DUMMYFUNCTION("GOOGLETRANSLATE($A942,""en"",""de"")"),"Schätzung (BF)")</f>
        <v>Schätzung (BF)</v>
      </c>
      <c r="D942" s="9" t="str">
        <f>IFERROR(__xludf.DUMMYFUNCTION("GOOGLETRANSLATE($A942,""en"",""fr"")"),"Est (BF)")</f>
        <v>Est (BF)</v>
      </c>
      <c r="E942" s="9" t="str">
        <f>IFERROR(__xludf.DUMMYFUNCTION("GOOGLETRANSLATE($A942,""en"",""es"")"),"Est (BF)")</f>
        <v>Est (BF)</v>
      </c>
      <c r="F942" s="9" t="str">
        <f>IFERROR(__xludf.DUMMYFUNCTION("GOOGLETRANSLATE($A942,""en"",""it"")"),"Est (BF)")</f>
        <v>Est (BF)</v>
      </c>
      <c r="G942" s="9" t="str">
        <f>IFERROR(__xludf.DUMMYFUNCTION("GOOGLETRANSLATE($A942,""en"",""zh-cn"")"),"预计 (BF)")</f>
        <v>预计 (BF)</v>
      </c>
      <c r="H942" s="9" t="str">
        <f>IFERROR(__xludf.DUMMYFUNCTION("GOOGLETRANSLATE($A942,""en"",""ja"")"),"エスト (BF)")</f>
        <v>エスト (BF)</v>
      </c>
      <c r="I942" s="9" t="str">
        <f>IFERROR(__xludf.DUMMYFUNCTION("GOOGLETRANSLATE($A942,""en"",""ko"")"),"예상(BF)")</f>
        <v>예상(BF)</v>
      </c>
      <c r="J942" s="9" t="str">
        <f>IFERROR(__xludf.DUMMYFUNCTION("GOOGLETRANSLATE($A942,""en"",""pt-BR"")"),"Estimativa (BF)")</f>
        <v>Estimativa (BF)</v>
      </c>
    </row>
    <row r="943">
      <c r="A943" s="9" t="str">
        <f>IFERROR(__xludf.DUMMYFUNCTION("""COMPUTED_VALUE"""),"Sahel")</f>
        <v>Sahel</v>
      </c>
      <c r="B943" s="9" t="str">
        <f>IFERROR(__xludf.DUMMYFUNCTION("""COMPUTED_VALUE"""),"bf-12")</f>
        <v>bf-12</v>
      </c>
      <c r="C943" s="9" t="str">
        <f>IFERROR(__xludf.DUMMYFUNCTION("GOOGLETRANSLATE($A943,""en"",""de"")"),"Sahelzone")</f>
        <v>Sahelzone</v>
      </c>
      <c r="D943" s="9" t="str">
        <f>IFERROR(__xludf.DUMMYFUNCTION("GOOGLETRANSLATE($A943,""en"",""fr"")"),"Sahel")</f>
        <v>Sahel</v>
      </c>
      <c r="E943" s="9" t="str">
        <f>IFERROR(__xludf.DUMMYFUNCTION("GOOGLETRANSLATE($A943,""en"",""es"")"),"Sahel")</f>
        <v>Sahel</v>
      </c>
      <c r="F943" s="9" t="str">
        <f>IFERROR(__xludf.DUMMYFUNCTION("GOOGLETRANSLATE($A943,""en"",""it"")"),"Sahel")</f>
        <v>Sahel</v>
      </c>
      <c r="G943" s="9" t="str">
        <f>IFERROR(__xludf.DUMMYFUNCTION("GOOGLETRANSLATE($A943,""en"",""zh-cn"")"),"萨赫勒")</f>
        <v>萨赫勒</v>
      </c>
      <c r="H943" s="9" t="str">
        <f>IFERROR(__xludf.DUMMYFUNCTION("GOOGLETRANSLATE($A943,""en"",""ja"")"),"サヘル")</f>
        <v>サヘル</v>
      </c>
      <c r="I943" s="9" t="str">
        <f>IFERROR(__xludf.DUMMYFUNCTION("GOOGLETRANSLATE($A943,""en"",""ko"")"),"사헬")</f>
        <v>사헬</v>
      </c>
      <c r="J943" s="9" t="str">
        <f>IFERROR(__xludf.DUMMYFUNCTION("GOOGLETRANSLATE($A943,""en"",""pt-BR"")"),"Sahel")</f>
        <v>Sahel</v>
      </c>
    </row>
    <row r="944">
      <c r="A944" s="9" t="str">
        <f>IFERROR(__xludf.DUMMYFUNCTION("""COMPUTED_VALUE"""),"Centre-Sud")</f>
        <v>Centre-Sud</v>
      </c>
      <c r="B944" s="9" t="str">
        <f>IFERROR(__xludf.DUMMYFUNCTION("""COMPUTED_VALUE"""),"bf-07")</f>
        <v>bf-07</v>
      </c>
      <c r="C944" s="9" t="str">
        <f>IFERROR(__xludf.DUMMYFUNCTION("GOOGLETRANSLATE($A944,""en"",""de"")"),"Zentrum-Süd")</f>
        <v>Zentrum-Süd</v>
      </c>
      <c r="D944" s="9" t="str">
        <f>IFERROR(__xludf.DUMMYFUNCTION("GOOGLETRANSLATE($A944,""en"",""fr"")"),"Centre-Sud")</f>
        <v>Centre-Sud</v>
      </c>
      <c r="E944" s="9" t="str">
        <f>IFERROR(__xludf.DUMMYFUNCTION("GOOGLETRANSLATE($A944,""en"",""es"")"),"Centro-Sur")</f>
        <v>Centro-Sur</v>
      </c>
      <c r="F944" s="9" t="str">
        <f>IFERROR(__xludf.DUMMYFUNCTION("GOOGLETRANSLATE($A944,""en"",""it"")"),"Centro-Sud")</f>
        <v>Centro-Sud</v>
      </c>
      <c r="G944" s="9" t="str">
        <f>IFERROR(__xludf.DUMMYFUNCTION("GOOGLETRANSLATE($A944,""en"",""zh-cn"")"),"中南部")</f>
        <v>中南部</v>
      </c>
      <c r="H944" s="9" t="str">
        <f>IFERROR(__xludf.DUMMYFUNCTION("GOOGLETRANSLATE($A944,""en"",""ja"")"),"センター南")</f>
        <v>センター南</v>
      </c>
      <c r="I944" s="9" t="str">
        <f>IFERROR(__xludf.DUMMYFUNCTION("GOOGLETRANSLATE($A944,""en"",""ko"")"),"Centre-Sud")</f>
        <v>Centre-Sud</v>
      </c>
      <c r="J944" s="9" t="str">
        <f>IFERROR(__xludf.DUMMYFUNCTION("GOOGLETRANSLATE($A944,""en"",""pt-BR"")"),"Centro-Sul")</f>
        <v>Centro-Sul</v>
      </c>
    </row>
    <row r="945">
      <c r="A945" s="9" t="str">
        <f>IFERROR(__xludf.DUMMYFUNCTION("""COMPUTED_VALUE"""),"Tuy")</f>
        <v>Tuy</v>
      </c>
      <c r="B945" s="9" t="str">
        <f>IFERROR(__xludf.DUMMYFUNCTION("""COMPUTED_VALUE"""),"bf-tui")</f>
        <v>bf-tui</v>
      </c>
      <c r="C945" s="9" t="str">
        <f>IFERROR(__xludf.DUMMYFUNCTION("GOOGLETRANSLATE($A945,""en"",""de"")"),"Tuy")</f>
        <v>Tuy</v>
      </c>
      <c r="D945" s="9" t="str">
        <f>IFERROR(__xludf.DUMMYFUNCTION("GOOGLETRANSLATE($A945,""en"",""fr"")"),"Tuy")</f>
        <v>Tuy</v>
      </c>
      <c r="E945" s="9" t="str">
        <f>IFERROR(__xludf.DUMMYFUNCTION("GOOGLETRANSLATE($A945,""en"",""es"")"),"Tuy")</f>
        <v>Tuy</v>
      </c>
      <c r="F945" s="9" t="str">
        <f>IFERROR(__xludf.DUMMYFUNCTION("GOOGLETRANSLATE($A945,""en"",""it"")"),"Tuy")</f>
        <v>Tuy</v>
      </c>
      <c r="G945" s="9" t="str">
        <f>IFERROR(__xludf.DUMMYFUNCTION("GOOGLETRANSLATE($A945,""en"",""zh-cn"")"),"图伊")</f>
        <v>图伊</v>
      </c>
      <c r="H945" s="9" t="str">
        <f>IFERROR(__xludf.DUMMYFUNCTION("GOOGLETRANSLATE($A945,""en"",""ja"")"),"トゥイ")</f>
        <v>トゥイ</v>
      </c>
      <c r="I945" s="9" t="str">
        <f>IFERROR(__xludf.DUMMYFUNCTION("GOOGLETRANSLATE($A945,""en"",""ko"")"),"투이")</f>
        <v>투이</v>
      </c>
      <c r="J945" s="9" t="str">
        <f>IFERROR(__xludf.DUMMYFUNCTION("GOOGLETRANSLATE($A945,""en"",""pt-BR"")"),"Tui")</f>
        <v>Tui</v>
      </c>
    </row>
    <row r="946">
      <c r="A946" s="9" t="str">
        <f>IFERROR(__xludf.DUMMYFUNCTION("""COMPUTED_VALUE"""),"Bazèga")</f>
        <v>Bazèga</v>
      </c>
      <c r="B946" s="9" t="str">
        <f>IFERROR(__xludf.DUMMYFUNCTION("""COMPUTED_VALUE"""),"bf-baz")</f>
        <v>bf-baz</v>
      </c>
      <c r="C946" s="9" t="str">
        <f>IFERROR(__xludf.DUMMYFUNCTION("GOOGLETRANSLATE($A946,""en"",""de"")"),"Bazèga")</f>
        <v>Bazèga</v>
      </c>
      <c r="D946" s="9" t="str">
        <f>IFERROR(__xludf.DUMMYFUNCTION("GOOGLETRANSLATE($A946,""en"",""fr"")"),"Bazega")</f>
        <v>Bazega</v>
      </c>
      <c r="E946" s="9" t="str">
        <f>IFERROR(__xludf.DUMMYFUNCTION("GOOGLETRANSLATE($A946,""en"",""es"")"),"Bazèga")</f>
        <v>Bazèga</v>
      </c>
      <c r="F946" s="9" t="str">
        <f>IFERROR(__xludf.DUMMYFUNCTION("GOOGLETRANSLATE($A946,""en"",""it"")"),"Bazega")</f>
        <v>Bazega</v>
      </c>
      <c r="G946" s="9" t="str">
        <f>IFERROR(__xludf.DUMMYFUNCTION("GOOGLETRANSLATE($A946,""en"",""zh-cn"")"),"巴泽加")</f>
        <v>巴泽加</v>
      </c>
      <c r="H946" s="9" t="str">
        <f>IFERROR(__xludf.DUMMYFUNCTION("GOOGLETRANSLATE($A946,""en"",""ja"")"),"バゼガ")</f>
        <v>バゼガ</v>
      </c>
      <c r="I946" s="9" t="str">
        <f>IFERROR(__xludf.DUMMYFUNCTION("GOOGLETRANSLATE($A946,""en"",""ko"")"),"바제가")</f>
        <v>바제가</v>
      </c>
      <c r="J946" s="9" t="str">
        <f>IFERROR(__xludf.DUMMYFUNCTION("GOOGLETRANSLATE($A946,""en"",""pt-BR"")"),"Bazèga")</f>
        <v>Bazèga</v>
      </c>
    </row>
    <row r="947">
      <c r="A947" s="9" t="str">
        <f>IFERROR(__xludf.DUMMYFUNCTION("""COMPUTED_VALUE"""),"Léraba")</f>
        <v>Léraba</v>
      </c>
      <c r="B947" s="9" t="str">
        <f>IFERROR(__xludf.DUMMYFUNCTION("""COMPUTED_VALUE"""),"bf-ler")</f>
        <v>bf-ler</v>
      </c>
      <c r="C947" s="9" t="str">
        <f>IFERROR(__xludf.DUMMYFUNCTION("GOOGLETRANSLATE($A947,""en"",""de"")"),"Léraba")</f>
        <v>Léraba</v>
      </c>
      <c r="D947" s="9" t="str">
        <f>IFERROR(__xludf.DUMMYFUNCTION("GOOGLETRANSLATE($A947,""en"",""fr"")"),"Léraba")</f>
        <v>Léraba</v>
      </c>
      <c r="E947" s="9" t="str">
        <f>IFERROR(__xludf.DUMMYFUNCTION("GOOGLETRANSLATE($A947,""en"",""es"")"),"Léraba")</f>
        <v>Léraba</v>
      </c>
      <c r="F947" s="9" t="str">
        <f>IFERROR(__xludf.DUMMYFUNCTION("GOOGLETRANSLATE($A947,""en"",""it"")"),"Léraba")</f>
        <v>Léraba</v>
      </c>
      <c r="G947" s="9" t="str">
        <f>IFERROR(__xludf.DUMMYFUNCTION("GOOGLETRANSLATE($A947,""en"",""zh-cn"")"),"莱拉巴")</f>
        <v>莱拉巴</v>
      </c>
      <c r="H947" s="9" t="str">
        <f>IFERROR(__xludf.DUMMYFUNCTION("GOOGLETRANSLATE($A947,""en"",""ja"")"),"レラバ")</f>
        <v>レラバ</v>
      </c>
      <c r="I947" s="9" t="str">
        <f>IFERROR(__xludf.DUMMYFUNCTION("GOOGLETRANSLATE($A947,""en"",""ko"")"),"레라바")</f>
        <v>레라바</v>
      </c>
      <c r="J947" s="9" t="str">
        <f>IFERROR(__xludf.DUMMYFUNCTION("GOOGLETRANSLATE($A947,""en"",""pt-BR"")"),"Léraba")</f>
        <v>Léraba</v>
      </c>
    </row>
    <row r="948">
      <c r="A948" s="9" t="str">
        <f>IFERROR(__xludf.DUMMYFUNCTION("""COMPUTED_VALUE"""),"Sourou")</f>
        <v>Sourou</v>
      </c>
      <c r="B948" s="9" t="str">
        <f>IFERROR(__xludf.DUMMYFUNCTION("""COMPUTED_VALUE"""),"bf-sor")</f>
        <v>bf-sor</v>
      </c>
      <c r="C948" s="9" t="str">
        <f>IFERROR(__xludf.DUMMYFUNCTION("GOOGLETRANSLATE($A948,""en"",""de"")"),"Sourou")</f>
        <v>Sourou</v>
      </c>
      <c r="D948" s="9" t="str">
        <f>IFERROR(__xludf.DUMMYFUNCTION("GOOGLETRANSLATE($A948,""en"",""fr"")"),"Sourou")</f>
        <v>Sourou</v>
      </c>
      <c r="E948" s="9" t="str">
        <f>IFERROR(__xludf.DUMMYFUNCTION("GOOGLETRANSLATE($A948,""en"",""es"")"),"Sourou")</f>
        <v>Sourou</v>
      </c>
      <c r="F948" s="9" t="str">
        <f>IFERROR(__xludf.DUMMYFUNCTION("GOOGLETRANSLATE($A948,""en"",""it"")"),"Souro")</f>
        <v>Souro</v>
      </c>
      <c r="G948" s="9" t="str">
        <f>IFERROR(__xludf.DUMMYFUNCTION("GOOGLETRANSLATE($A948,""en"",""zh-cn"")"),"苏鲁")</f>
        <v>苏鲁</v>
      </c>
      <c r="H948" s="9" t="str">
        <f>IFERROR(__xludf.DUMMYFUNCTION("GOOGLETRANSLATE($A948,""en"",""ja"")"),"ソウロウ")</f>
        <v>ソウロウ</v>
      </c>
      <c r="I948" s="9" t="str">
        <f>IFERROR(__xludf.DUMMYFUNCTION("GOOGLETRANSLATE($A948,""en"",""ko"")"),"소루")</f>
        <v>소루</v>
      </c>
      <c r="J948" s="9" t="str">
        <f>IFERROR(__xludf.DUMMYFUNCTION("GOOGLETRANSLATE($A948,""en"",""pt-BR"")"),"Sourou")</f>
        <v>Sourou</v>
      </c>
    </row>
    <row r="949">
      <c r="A949" s="9" t="str">
        <f>IFERROR(__xludf.DUMMYFUNCTION("""COMPUTED_VALUE"""),"Loroum")</f>
        <v>Loroum</v>
      </c>
      <c r="B949" s="9" t="str">
        <f>IFERROR(__xludf.DUMMYFUNCTION("""COMPUTED_VALUE"""),"bf-lor")</f>
        <v>bf-lor</v>
      </c>
      <c r="C949" s="9" t="str">
        <f>IFERROR(__xludf.DUMMYFUNCTION("GOOGLETRANSLATE($A949,""en"",""de"")"),"Lorum")</f>
        <v>Lorum</v>
      </c>
      <c r="D949" s="9" t="str">
        <f>IFERROR(__xludf.DUMMYFUNCTION("GOOGLETRANSLATE($A949,""en"",""fr"")"),"Loroum")</f>
        <v>Loroum</v>
      </c>
      <c r="E949" s="9" t="str">
        <f>IFERROR(__xludf.DUMMYFUNCTION("GOOGLETRANSLATE($A949,""en"",""es"")"),"lorum")</f>
        <v>lorum</v>
      </c>
      <c r="F949" s="9" t="str">
        <f>IFERROR(__xludf.DUMMYFUNCTION("GOOGLETRANSLATE($A949,""en"",""it"")"),"Lorum")</f>
        <v>Lorum</v>
      </c>
      <c r="G949" s="9" t="str">
        <f>IFERROR(__xludf.DUMMYFUNCTION("GOOGLETRANSLATE($A949,""en"",""zh-cn"")"),"洛鲁姆")</f>
        <v>洛鲁姆</v>
      </c>
      <c r="H949" s="9" t="str">
        <f>IFERROR(__xludf.DUMMYFUNCTION("GOOGLETRANSLATE($A949,""en"",""ja"")"),"ロルム")</f>
        <v>ロルム</v>
      </c>
      <c r="I949" s="9" t="str">
        <f>IFERROR(__xludf.DUMMYFUNCTION("GOOGLETRANSLATE($A949,""en"",""ko"")"),"로룸")</f>
        <v>로룸</v>
      </c>
      <c r="J949" s="9" t="str">
        <f>IFERROR(__xludf.DUMMYFUNCTION("GOOGLETRANSLATE($A949,""en"",""pt-BR"")"),"Loroum")</f>
        <v>Loroum</v>
      </c>
    </row>
    <row r="950">
      <c r="A950" s="9" t="str">
        <f>IFERROR(__xludf.DUMMYFUNCTION("""COMPUTED_VALUE"""),"Passoré")</f>
        <v>Passoré</v>
      </c>
      <c r="B950" s="9" t="str">
        <f>IFERROR(__xludf.DUMMYFUNCTION("""COMPUTED_VALUE"""),"bf-pas")</f>
        <v>bf-pas</v>
      </c>
      <c r="C950" s="9" t="str">
        <f>IFERROR(__xludf.DUMMYFUNCTION("GOOGLETRANSLATE($A950,""en"",""de"")"),"Passoré")</f>
        <v>Passoré</v>
      </c>
      <c r="D950" s="9" t="str">
        <f>IFERROR(__xludf.DUMMYFUNCTION("GOOGLETRANSLATE($A950,""en"",""fr"")"),"Passoré")</f>
        <v>Passoré</v>
      </c>
      <c r="E950" s="9" t="str">
        <f>IFERROR(__xludf.DUMMYFUNCTION("GOOGLETRANSLATE($A950,""en"",""es"")"),"Passoré")</f>
        <v>Passoré</v>
      </c>
      <c r="F950" s="9" t="str">
        <f>IFERROR(__xludf.DUMMYFUNCTION("GOOGLETRANSLATE($A950,""en"",""it"")"),"Passoré")</f>
        <v>Passoré</v>
      </c>
      <c r="G950" s="9" t="str">
        <f>IFERROR(__xludf.DUMMYFUNCTION("GOOGLETRANSLATE($A950,""en"",""zh-cn"")"),"帕索雷")</f>
        <v>帕索雷</v>
      </c>
      <c r="H950" s="9" t="str">
        <f>IFERROR(__xludf.DUMMYFUNCTION("GOOGLETRANSLATE($A950,""en"",""ja"")"),"パッソレ")</f>
        <v>パッソレ</v>
      </c>
      <c r="I950" s="9" t="str">
        <f>IFERROR(__xludf.DUMMYFUNCTION("GOOGLETRANSLATE($A950,""en"",""ko"")"),"파소레")</f>
        <v>파소레</v>
      </c>
      <c r="J950" s="9" t="str">
        <f>IFERROR(__xludf.DUMMYFUNCTION("GOOGLETRANSLATE($A950,""en"",""pt-BR"")"),"Passore")</f>
        <v>Passore</v>
      </c>
    </row>
    <row r="951">
      <c r="A951" s="9" t="str">
        <f>IFERROR(__xludf.DUMMYFUNCTION("""COMPUTED_VALUE"""),"Oubritenga")</f>
        <v>Oubritenga</v>
      </c>
      <c r="B951" s="9" t="str">
        <f>IFERROR(__xludf.DUMMYFUNCTION("""COMPUTED_VALUE"""),"bf-oub")</f>
        <v>bf-oub</v>
      </c>
      <c r="C951" s="9" t="str">
        <f>IFERROR(__xludf.DUMMYFUNCTION("GOOGLETRANSLATE($A951,""en"",""de"")"),"Oubritenga")</f>
        <v>Oubritenga</v>
      </c>
      <c r="D951" s="9" t="str">
        <f>IFERROR(__xludf.DUMMYFUNCTION("GOOGLETRANSLATE($A951,""en"",""fr"")"),"Oubritenga")</f>
        <v>Oubritenga</v>
      </c>
      <c r="E951" s="9" t="str">
        <f>IFERROR(__xludf.DUMMYFUNCTION("GOOGLETRANSLATE($A951,""en"",""es"")"),"Oubritenga")</f>
        <v>Oubritenga</v>
      </c>
      <c r="F951" s="9" t="str">
        <f>IFERROR(__xludf.DUMMYFUNCTION("GOOGLETRANSLATE($A951,""en"",""it"")"),"Oubritenga")</f>
        <v>Oubritenga</v>
      </c>
      <c r="G951" s="9" t="str">
        <f>IFERROR(__xludf.DUMMYFUNCTION("GOOGLETRANSLATE($A951,""en"",""zh-cn"")"),"乌布里滕加")</f>
        <v>乌布里滕加</v>
      </c>
      <c r="H951" s="9" t="str">
        <f>IFERROR(__xludf.DUMMYFUNCTION("GOOGLETRANSLATE($A951,""en"",""ja"")"),"オウブリテンガ")</f>
        <v>オウブリテンガ</v>
      </c>
      <c r="I951" s="9" t="str">
        <f>IFERROR(__xludf.DUMMYFUNCTION("GOOGLETRANSLATE($A951,""en"",""ko"")"),"오브리텡가")</f>
        <v>오브리텡가</v>
      </c>
      <c r="J951" s="9" t="str">
        <f>IFERROR(__xludf.DUMMYFUNCTION("GOOGLETRANSLATE($A951,""en"",""pt-BR"")"),"Oubritenga")</f>
        <v>Oubritenga</v>
      </c>
    </row>
    <row r="952">
      <c r="A952" s="9" t="str">
        <f>IFERROR(__xludf.DUMMYFUNCTION("""COMPUTED_VALUE"""),"Kossi")</f>
        <v>Kossi</v>
      </c>
      <c r="B952" s="9" t="str">
        <f>IFERROR(__xludf.DUMMYFUNCTION("""COMPUTED_VALUE"""),"bf-kos")</f>
        <v>bf-kos</v>
      </c>
      <c r="C952" s="9" t="str">
        <f>IFERROR(__xludf.DUMMYFUNCTION("GOOGLETRANSLATE($A952,""en"",""de"")"),"Kossi")</f>
        <v>Kossi</v>
      </c>
      <c r="D952" s="9" t="str">
        <f>IFERROR(__xludf.DUMMYFUNCTION("GOOGLETRANSLATE($A952,""en"",""fr"")"),"Kossi")</f>
        <v>Kossi</v>
      </c>
      <c r="E952" s="9" t="str">
        <f>IFERROR(__xludf.DUMMYFUNCTION("GOOGLETRANSLATE($A952,""en"",""es"")"),"Kossi")</f>
        <v>Kossi</v>
      </c>
      <c r="F952" s="9" t="str">
        <f>IFERROR(__xludf.DUMMYFUNCTION("GOOGLETRANSLATE($A952,""en"",""it"")"),"Kossi")</f>
        <v>Kossi</v>
      </c>
      <c r="G952" s="9" t="str">
        <f>IFERROR(__xludf.DUMMYFUNCTION("GOOGLETRANSLATE($A952,""en"",""zh-cn"")"),"科西")</f>
        <v>科西</v>
      </c>
      <c r="H952" s="9" t="str">
        <f>IFERROR(__xludf.DUMMYFUNCTION("GOOGLETRANSLATE($A952,""en"",""ja"")"),"コッシ")</f>
        <v>コッシ</v>
      </c>
      <c r="I952" s="9" t="str">
        <f>IFERROR(__xludf.DUMMYFUNCTION("GOOGLETRANSLATE($A952,""en"",""ko"")"),"코시")</f>
        <v>코시</v>
      </c>
      <c r="J952" s="9" t="str">
        <f>IFERROR(__xludf.DUMMYFUNCTION("GOOGLETRANSLATE($A952,""en"",""pt-BR"")"),"Kossi")</f>
        <v>Kossi</v>
      </c>
    </row>
    <row r="953">
      <c r="A953" s="9" t="str">
        <f>IFERROR(__xludf.DUMMYFUNCTION("""COMPUTED_VALUE"""),"Ziro")</f>
        <v>Ziro</v>
      </c>
      <c r="B953" s="9" t="str">
        <f>IFERROR(__xludf.DUMMYFUNCTION("""COMPUTED_VALUE"""),"bf-zir")</f>
        <v>bf-zir</v>
      </c>
      <c r="C953" s="9" t="str">
        <f>IFERROR(__xludf.DUMMYFUNCTION("GOOGLETRANSLATE($A953,""en"",""de"")"),"Ziro")</f>
        <v>Ziro</v>
      </c>
      <c r="D953" s="9" t="str">
        <f>IFERROR(__xludf.DUMMYFUNCTION("GOOGLETRANSLATE($A953,""en"",""fr"")"),"Ziro")</f>
        <v>Ziro</v>
      </c>
      <c r="E953" s="9" t="str">
        <f>IFERROR(__xludf.DUMMYFUNCTION("GOOGLETRANSLATE($A953,""en"",""es"")"),"ziro")</f>
        <v>ziro</v>
      </c>
      <c r="F953" s="9" t="str">
        <f>IFERROR(__xludf.DUMMYFUNCTION("GOOGLETRANSLATE($A953,""en"",""it"")"),"Zirò")</f>
        <v>Zirò</v>
      </c>
      <c r="G953" s="9" t="str">
        <f>IFERROR(__xludf.DUMMYFUNCTION("GOOGLETRANSLATE($A953,""en"",""zh-cn"")"),"齐罗")</f>
        <v>齐罗</v>
      </c>
      <c r="H953" s="9" t="str">
        <f>IFERROR(__xludf.DUMMYFUNCTION("GOOGLETRANSLATE($A953,""en"",""ja"")"),"ジロ")</f>
        <v>ジロ</v>
      </c>
      <c r="I953" s="9" t="str">
        <f>IFERROR(__xludf.DUMMYFUNCTION("GOOGLETRANSLATE($A953,""en"",""ko"")"),"지로")</f>
        <v>지로</v>
      </c>
      <c r="J953" s="9" t="str">
        <f>IFERROR(__xludf.DUMMYFUNCTION("GOOGLETRANSLATE($A953,""en"",""pt-BR"")"),"Ziro")</f>
        <v>Ziro</v>
      </c>
    </row>
    <row r="954">
      <c r="A954" s="9" t="str">
        <f>IFERROR(__xludf.DUMMYFUNCTION("""COMPUTED_VALUE"""),"Houet")</f>
        <v>Houet</v>
      </c>
      <c r="B954" s="9" t="str">
        <f>IFERROR(__xludf.DUMMYFUNCTION("""COMPUTED_VALUE"""),"bf-hou")</f>
        <v>bf-hou</v>
      </c>
      <c r="C954" s="9" t="str">
        <f>IFERROR(__xludf.DUMMYFUNCTION("GOOGLETRANSLATE($A954,""en"",""de"")"),"Houet")</f>
        <v>Houet</v>
      </c>
      <c r="D954" s="9" t="str">
        <f>IFERROR(__xludf.DUMMYFUNCTION("GOOGLETRANSLATE($A954,""en"",""fr"")"),"Houet")</f>
        <v>Houet</v>
      </c>
      <c r="E954" s="9" t="str">
        <f>IFERROR(__xludf.DUMMYFUNCTION("GOOGLETRANSLATE($A954,""en"",""es"")"),"casa")</f>
        <v>casa</v>
      </c>
      <c r="F954" s="9" t="str">
        <f>IFERROR(__xludf.DUMMYFUNCTION("GOOGLETRANSLATE($A954,""en"",""it"")"),"Houet")</f>
        <v>Houet</v>
      </c>
      <c r="G954" s="9" t="str">
        <f>IFERROR(__xludf.DUMMYFUNCTION("GOOGLETRANSLATE($A954,""en"",""zh-cn"")"),"胡埃特")</f>
        <v>胡埃特</v>
      </c>
      <c r="H954" s="9" t="str">
        <f>IFERROR(__xludf.DUMMYFUNCTION("GOOGLETRANSLATE($A954,""en"",""ja"")"),"ウエット")</f>
        <v>ウエット</v>
      </c>
      <c r="I954" s="9" t="str">
        <f>IFERROR(__xludf.DUMMYFUNCTION("GOOGLETRANSLATE($A954,""en"",""ko"")"),"우에트")</f>
        <v>우에트</v>
      </c>
      <c r="J954" s="9" t="str">
        <f>IFERROR(__xludf.DUMMYFUNCTION("GOOGLETRANSLATE($A954,""en"",""pt-BR"")"),"Houet")</f>
        <v>Houet</v>
      </c>
    </row>
    <row r="955">
      <c r="A955" s="9" t="str">
        <f>IFERROR(__xludf.DUMMYFUNCTION("""COMPUTED_VALUE"""),"Oudalan")</f>
        <v>Oudalan</v>
      </c>
      <c r="B955" s="9" t="str">
        <f>IFERROR(__xludf.DUMMYFUNCTION("""COMPUTED_VALUE"""),"bf-oud")</f>
        <v>bf-oud</v>
      </c>
      <c r="C955" s="9" t="str">
        <f>IFERROR(__xludf.DUMMYFUNCTION("GOOGLETRANSLATE($A955,""en"",""de"")"),"Oudalan")</f>
        <v>Oudalan</v>
      </c>
      <c r="D955" s="9" t="str">
        <f>IFERROR(__xludf.DUMMYFUNCTION("GOOGLETRANSLATE($A955,""en"",""fr"")"),"Oudalan")</f>
        <v>Oudalan</v>
      </c>
      <c r="E955" s="9" t="str">
        <f>IFERROR(__xludf.DUMMYFUNCTION("GOOGLETRANSLATE($A955,""en"",""es"")"),"Oudalan")</f>
        <v>Oudalan</v>
      </c>
      <c r="F955" s="9" t="str">
        <f>IFERROR(__xludf.DUMMYFUNCTION("GOOGLETRANSLATE($A955,""en"",""it"")"),"Oudalan")</f>
        <v>Oudalan</v>
      </c>
      <c r="G955" s="9" t="str">
        <f>IFERROR(__xludf.DUMMYFUNCTION("GOOGLETRANSLATE($A955,""en"",""zh-cn"")"),"欧达兰")</f>
        <v>欧达兰</v>
      </c>
      <c r="H955" s="9" t="str">
        <f>IFERROR(__xludf.DUMMYFUNCTION("GOOGLETRANSLATE($A955,""en"",""ja"")"),"ウーダラン")</f>
        <v>ウーダラン</v>
      </c>
      <c r="I955" s="9" t="str">
        <f>IFERROR(__xludf.DUMMYFUNCTION("GOOGLETRANSLATE($A955,""en"",""ko"")"),"우달란")</f>
        <v>우달란</v>
      </c>
      <c r="J955" s="9" t="str">
        <f>IFERROR(__xludf.DUMMYFUNCTION("GOOGLETRANSLATE($A955,""en"",""pt-BR"")"),"Oudalan")</f>
        <v>Oudalan</v>
      </c>
    </row>
    <row r="956">
      <c r="A956" s="9" t="str">
        <f>IFERROR(__xludf.DUMMYFUNCTION("""COMPUTED_VALUE"""),"Muyinga")</f>
        <v>Muyinga</v>
      </c>
      <c r="B956" s="9" t="str">
        <f>IFERROR(__xludf.DUMMYFUNCTION("""COMPUTED_VALUE"""),"bi-my")</f>
        <v>bi-my</v>
      </c>
      <c r="C956" s="9" t="str">
        <f>IFERROR(__xludf.DUMMYFUNCTION("GOOGLETRANSLATE($A956,""en"",""de"")"),"Muyinga")</f>
        <v>Muyinga</v>
      </c>
      <c r="D956" s="9" t="str">
        <f>IFERROR(__xludf.DUMMYFUNCTION("GOOGLETRANSLATE($A956,""en"",""fr"")"),"Muyinga")</f>
        <v>Muyinga</v>
      </c>
      <c r="E956" s="9" t="str">
        <f>IFERROR(__xludf.DUMMYFUNCTION("GOOGLETRANSLATE($A956,""en"",""es"")"),"Muyinga")</f>
        <v>Muyinga</v>
      </c>
      <c r="F956" s="9" t="str">
        <f>IFERROR(__xludf.DUMMYFUNCTION("GOOGLETRANSLATE($A956,""en"",""it"")"),"Muyinga")</f>
        <v>Muyinga</v>
      </c>
      <c r="G956" s="9" t="str">
        <f>IFERROR(__xludf.DUMMYFUNCTION("GOOGLETRANSLATE($A956,""en"",""zh-cn"")"),"穆因加")</f>
        <v>穆因加</v>
      </c>
      <c r="H956" s="9" t="str">
        <f>IFERROR(__xludf.DUMMYFUNCTION("GOOGLETRANSLATE($A956,""en"",""ja"")"),"ムインガ")</f>
        <v>ムインガ</v>
      </c>
      <c r="I956" s="9" t="str">
        <f>IFERROR(__xludf.DUMMYFUNCTION("GOOGLETRANSLATE($A956,""en"",""ko"")"),"무잉가")</f>
        <v>무잉가</v>
      </c>
      <c r="J956" s="9" t="str">
        <f>IFERROR(__xludf.DUMMYFUNCTION("GOOGLETRANSLATE($A956,""en"",""pt-BR"")"),"Muyinga")</f>
        <v>Muyinga</v>
      </c>
    </row>
    <row r="957">
      <c r="A957" s="9" t="str">
        <f>IFERROR(__xludf.DUMMYFUNCTION("""COMPUTED_VALUE"""),"Karuzi")</f>
        <v>Karuzi</v>
      </c>
      <c r="B957" s="9" t="str">
        <f>IFERROR(__xludf.DUMMYFUNCTION("""COMPUTED_VALUE"""),"bi-kr")</f>
        <v>bi-kr</v>
      </c>
      <c r="C957" s="9" t="str">
        <f>IFERROR(__xludf.DUMMYFUNCTION("GOOGLETRANSLATE($A957,""en"",""de"")"),"Karuzi")</f>
        <v>Karuzi</v>
      </c>
      <c r="D957" s="9" t="str">
        <f>IFERROR(__xludf.DUMMYFUNCTION("GOOGLETRANSLATE($A957,""en"",""fr"")"),"Karuzi")</f>
        <v>Karuzi</v>
      </c>
      <c r="E957" s="9" t="str">
        <f>IFERROR(__xludf.DUMMYFUNCTION("GOOGLETRANSLATE($A957,""en"",""es"")"),"Karuzi")</f>
        <v>Karuzi</v>
      </c>
      <c r="F957" s="9" t="str">
        <f>IFERROR(__xludf.DUMMYFUNCTION("GOOGLETRANSLATE($A957,""en"",""it"")"),"Karuzi")</f>
        <v>Karuzi</v>
      </c>
      <c r="G957" s="9" t="str">
        <f>IFERROR(__xludf.DUMMYFUNCTION("GOOGLETRANSLATE($A957,""en"",""zh-cn"")"),"卡鲁兹")</f>
        <v>卡鲁兹</v>
      </c>
      <c r="H957" s="9" t="str">
        <f>IFERROR(__xludf.DUMMYFUNCTION("GOOGLETRANSLATE($A957,""en"",""ja"")"),"カルジ")</f>
        <v>カルジ</v>
      </c>
      <c r="I957" s="9" t="str">
        <f>IFERROR(__xludf.DUMMYFUNCTION("GOOGLETRANSLATE($A957,""en"",""ko"")"),"카루지")</f>
        <v>카루지</v>
      </c>
      <c r="J957" s="9" t="str">
        <f>IFERROR(__xludf.DUMMYFUNCTION("GOOGLETRANSLATE($A957,""en"",""pt-BR"")"),"Karuzi")</f>
        <v>Karuzi</v>
      </c>
    </row>
    <row r="958">
      <c r="A958" s="9" t="str">
        <f>IFERROR(__xludf.DUMMYFUNCTION("""COMPUTED_VALUE"""),"Makamba")</f>
        <v>Makamba</v>
      </c>
      <c r="B958" s="9" t="str">
        <f>IFERROR(__xludf.DUMMYFUNCTION("""COMPUTED_VALUE"""),"bi-ma")</f>
        <v>bi-ma</v>
      </c>
      <c r="C958" s="9" t="str">
        <f>IFERROR(__xludf.DUMMYFUNCTION("GOOGLETRANSLATE($A958,""en"",""de"")"),"Makamba")</f>
        <v>Makamba</v>
      </c>
      <c r="D958" s="9" t="str">
        <f>IFERROR(__xludf.DUMMYFUNCTION("GOOGLETRANSLATE($A958,""en"",""fr"")"),"Makamba")</f>
        <v>Makamba</v>
      </c>
      <c r="E958" s="9" t="str">
        <f>IFERROR(__xludf.DUMMYFUNCTION("GOOGLETRANSLATE($A958,""en"",""es"")"),"Makamba")</f>
        <v>Makamba</v>
      </c>
      <c r="F958" s="9" t="str">
        <f>IFERROR(__xludf.DUMMYFUNCTION("GOOGLETRANSLATE($A958,""en"",""it"")"),"Makamba")</f>
        <v>Makamba</v>
      </c>
      <c r="G958" s="9" t="str">
        <f>IFERROR(__xludf.DUMMYFUNCTION("GOOGLETRANSLATE($A958,""en"",""zh-cn"")"),"马坎巴")</f>
        <v>马坎巴</v>
      </c>
      <c r="H958" s="9" t="str">
        <f>IFERROR(__xludf.DUMMYFUNCTION("GOOGLETRANSLATE($A958,""en"",""ja"")"),"マカンバ")</f>
        <v>マカンバ</v>
      </c>
      <c r="I958" s="9" t="str">
        <f>IFERROR(__xludf.DUMMYFUNCTION("GOOGLETRANSLATE($A958,""en"",""ko"")"),"마캄바")</f>
        <v>마캄바</v>
      </c>
      <c r="J958" s="9" t="str">
        <f>IFERROR(__xludf.DUMMYFUNCTION("GOOGLETRANSLATE($A958,""en"",""pt-BR"")"),"Makamba")</f>
        <v>Makamba</v>
      </c>
    </row>
    <row r="959">
      <c r="A959" s="9" t="str">
        <f>IFERROR(__xludf.DUMMYFUNCTION("""COMPUTED_VALUE"""),"Muramvya")</f>
        <v>Muramvya</v>
      </c>
      <c r="B959" s="9" t="str">
        <f>IFERROR(__xludf.DUMMYFUNCTION("""COMPUTED_VALUE"""),"bi-mu")</f>
        <v>bi-mu</v>
      </c>
      <c r="C959" s="9" t="str">
        <f>IFERROR(__xludf.DUMMYFUNCTION("GOOGLETRANSLATE($A959,""en"",""de"")"),"Muramvya")</f>
        <v>Muramvya</v>
      </c>
      <c r="D959" s="9" t="str">
        <f>IFERROR(__xludf.DUMMYFUNCTION("GOOGLETRANSLATE($A959,""en"",""fr"")"),"Muramvya")</f>
        <v>Muramvya</v>
      </c>
      <c r="E959" s="9" t="str">
        <f>IFERROR(__xludf.DUMMYFUNCTION("GOOGLETRANSLATE($A959,""en"",""es"")"),"Muramvya")</f>
        <v>Muramvya</v>
      </c>
      <c r="F959" s="9" t="str">
        <f>IFERROR(__xludf.DUMMYFUNCTION("GOOGLETRANSLATE($A959,""en"",""it"")"),"Muramvya")</f>
        <v>Muramvya</v>
      </c>
      <c r="G959" s="9" t="str">
        <f>IFERROR(__xludf.DUMMYFUNCTION("GOOGLETRANSLATE($A959,""en"",""zh-cn"")"),"穆拉姆维亚")</f>
        <v>穆拉姆维亚</v>
      </c>
      <c r="H959" s="9" t="str">
        <f>IFERROR(__xludf.DUMMYFUNCTION("GOOGLETRANSLATE($A959,""en"",""ja"")"),"ムランヴィヤ")</f>
        <v>ムランヴィヤ</v>
      </c>
      <c r="I959" s="9" t="str">
        <f>IFERROR(__xludf.DUMMYFUNCTION("GOOGLETRANSLATE($A959,""en"",""ko"")"),"무람비아")</f>
        <v>무람비아</v>
      </c>
      <c r="J959" s="9" t="str">
        <f>IFERROR(__xludf.DUMMYFUNCTION("GOOGLETRANSLATE($A959,""en"",""pt-BR"")"),"Muramvya")</f>
        <v>Muramvya</v>
      </c>
    </row>
    <row r="960">
      <c r="A960" s="9" t="str">
        <f>IFERROR(__xludf.DUMMYFUNCTION("""COMPUTED_VALUE"""),"Ruyigi")</f>
        <v>Ruyigi</v>
      </c>
      <c r="B960" s="9" t="str">
        <f>IFERROR(__xludf.DUMMYFUNCTION("""COMPUTED_VALUE"""),"bi-ry")</f>
        <v>bi-ry</v>
      </c>
      <c r="C960" s="9" t="str">
        <f>IFERROR(__xludf.DUMMYFUNCTION("GOOGLETRANSLATE($A960,""en"",""de"")"),"Ruyigi")</f>
        <v>Ruyigi</v>
      </c>
      <c r="D960" s="9" t="str">
        <f>IFERROR(__xludf.DUMMYFUNCTION("GOOGLETRANSLATE($A960,""en"",""fr"")"),"Ruyigi")</f>
        <v>Ruyigi</v>
      </c>
      <c r="E960" s="9" t="str">
        <f>IFERROR(__xludf.DUMMYFUNCTION("GOOGLETRANSLATE($A960,""en"",""es"")"),"Ruyigi")</f>
        <v>Ruyigi</v>
      </c>
      <c r="F960" s="9" t="str">
        <f>IFERROR(__xludf.DUMMYFUNCTION("GOOGLETRANSLATE($A960,""en"",""it"")"),"Ruyigi")</f>
        <v>Ruyigi</v>
      </c>
      <c r="G960" s="9" t="str">
        <f>IFERROR(__xludf.DUMMYFUNCTION("GOOGLETRANSLATE($A960,""en"",""zh-cn"")"),"鲁伊吉")</f>
        <v>鲁伊吉</v>
      </c>
      <c r="H960" s="9" t="str">
        <f>IFERROR(__xludf.DUMMYFUNCTION("GOOGLETRANSLATE($A960,""en"",""ja"")"),"ルイーギ")</f>
        <v>ルイーギ</v>
      </c>
      <c r="I960" s="9" t="str">
        <f>IFERROR(__xludf.DUMMYFUNCTION("GOOGLETRANSLATE($A960,""en"",""ko"")"),"루이기")</f>
        <v>루이기</v>
      </c>
      <c r="J960" s="9" t="str">
        <f>IFERROR(__xludf.DUMMYFUNCTION("GOOGLETRANSLATE($A960,""en"",""pt-BR"")"),"Ruyigi")</f>
        <v>Ruyigi</v>
      </c>
    </row>
    <row r="961">
      <c r="A961" s="9" t="str">
        <f>IFERROR(__xludf.DUMMYFUNCTION("""COMPUTED_VALUE"""),"Kayanza")</f>
        <v>Kayanza</v>
      </c>
      <c r="B961" s="9" t="str">
        <f>IFERROR(__xludf.DUMMYFUNCTION("""COMPUTED_VALUE"""),"bi-ky")</f>
        <v>bi-ky</v>
      </c>
      <c r="C961" s="9" t="str">
        <f>IFERROR(__xludf.DUMMYFUNCTION("GOOGLETRANSLATE($A961,""en"",""de"")"),"Kayanza")</f>
        <v>Kayanza</v>
      </c>
      <c r="D961" s="9" t="str">
        <f>IFERROR(__xludf.DUMMYFUNCTION("GOOGLETRANSLATE($A961,""en"",""fr"")"),"Kayanza")</f>
        <v>Kayanza</v>
      </c>
      <c r="E961" s="9" t="str">
        <f>IFERROR(__xludf.DUMMYFUNCTION("GOOGLETRANSLATE($A961,""en"",""es"")"),"Kayanza")</f>
        <v>Kayanza</v>
      </c>
      <c r="F961" s="9" t="str">
        <f>IFERROR(__xludf.DUMMYFUNCTION("GOOGLETRANSLATE($A961,""en"",""it"")"),"Kayanza")</f>
        <v>Kayanza</v>
      </c>
      <c r="G961" s="9" t="str">
        <f>IFERROR(__xludf.DUMMYFUNCTION("GOOGLETRANSLATE($A961,""en"",""zh-cn"")"),"卡扬扎")</f>
        <v>卡扬扎</v>
      </c>
      <c r="H961" s="9" t="str">
        <f>IFERROR(__xludf.DUMMYFUNCTION("GOOGLETRANSLATE($A961,""en"",""ja"")"),"カヤンザ")</f>
        <v>カヤンザ</v>
      </c>
      <c r="I961" s="9" t="str">
        <f>IFERROR(__xludf.DUMMYFUNCTION("GOOGLETRANSLATE($A961,""en"",""ko"")"),"카얀자")</f>
        <v>카얀자</v>
      </c>
      <c r="J961" s="9" t="str">
        <f>IFERROR(__xludf.DUMMYFUNCTION("GOOGLETRANSLATE($A961,""en"",""pt-BR"")"),"Kayanza")</f>
        <v>Kayanza</v>
      </c>
    </row>
    <row r="962">
      <c r="A962" s="9" t="str">
        <f>IFERROR(__xludf.DUMMYFUNCTION("""COMPUTED_VALUE"""),"Kirundo")</f>
        <v>Kirundo</v>
      </c>
      <c r="B962" s="9" t="str">
        <f>IFERROR(__xludf.DUMMYFUNCTION("""COMPUTED_VALUE"""),"bi-ki")</f>
        <v>bi-ki</v>
      </c>
      <c r="C962" s="9" t="str">
        <f>IFERROR(__xludf.DUMMYFUNCTION("GOOGLETRANSLATE($A962,""en"",""de"")"),"Kirundo")</f>
        <v>Kirundo</v>
      </c>
      <c r="D962" s="9" t="str">
        <f>IFERROR(__xludf.DUMMYFUNCTION("GOOGLETRANSLATE($A962,""en"",""fr"")"),"Kirundo")</f>
        <v>Kirundo</v>
      </c>
      <c r="E962" s="9" t="str">
        <f>IFERROR(__xludf.DUMMYFUNCTION("GOOGLETRANSLATE($A962,""en"",""es"")"),"Kirundo")</f>
        <v>Kirundo</v>
      </c>
      <c r="F962" s="9" t="str">
        <f>IFERROR(__xludf.DUMMYFUNCTION("GOOGLETRANSLATE($A962,""en"",""it"")"),"Kirundo")</f>
        <v>Kirundo</v>
      </c>
      <c r="G962" s="9" t="str">
        <f>IFERROR(__xludf.DUMMYFUNCTION("GOOGLETRANSLATE($A962,""en"",""zh-cn"")"),"基隆多")</f>
        <v>基隆多</v>
      </c>
      <c r="H962" s="9" t="str">
        <f>IFERROR(__xludf.DUMMYFUNCTION("GOOGLETRANSLATE($A962,""en"",""ja"")"),"キルンド")</f>
        <v>キルンド</v>
      </c>
      <c r="I962" s="9" t="str">
        <f>IFERROR(__xludf.DUMMYFUNCTION("GOOGLETRANSLATE($A962,""en"",""ko"")"),"키룬도")</f>
        <v>키룬도</v>
      </c>
      <c r="J962" s="9" t="str">
        <f>IFERROR(__xludf.DUMMYFUNCTION("GOOGLETRANSLATE($A962,""en"",""pt-BR"")"),"Kirundo")</f>
        <v>Kirundo</v>
      </c>
    </row>
    <row r="963">
      <c r="A963" s="9" t="str">
        <f>IFERROR(__xludf.DUMMYFUNCTION("""COMPUTED_VALUE"""),"Rutana")</f>
        <v>Rutana</v>
      </c>
      <c r="B963" s="9" t="str">
        <f>IFERROR(__xludf.DUMMYFUNCTION("""COMPUTED_VALUE"""),"bi-rt")</f>
        <v>bi-rt</v>
      </c>
      <c r="C963" s="9" t="str">
        <f>IFERROR(__xludf.DUMMYFUNCTION("GOOGLETRANSLATE($A963,""en"",""de"")"),"Rutana")</f>
        <v>Rutana</v>
      </c>
      <c r="D963" s="9" t="str">
        <f>IFERROR(__xludf.DUMMYFUNCTION("GOOGLETRANSLATE($A963,""en"",""fr"")"),"Rutana")</f>
        <v>Rutana</v>
      </c>
      <c r="E963" s="9" t="str">
        <f>IFERROR(__xludf.DUMMYFUNCTION("GOOGLETRANSLATE($A963,""en"",""es"")"),"Rutana")</f>
        <v>Rutana</v>
      </c>
      <c r="F963" s="9" t="str">
        <f>IFERROR(__xludf.DUMMYFUNCTION("GOOGLETRANSLATE($A963,""en"",""it"")"),"Rutana")</f>
        <v>Rutana</v>
      </c>
      <c r="G963" s="9" t="str">
        <f>IFERROR(__xludf.DUMMYFUNCTION("GOOGLETRANSLATE($A963,""en"",""zh-cn"")"),"鲁塔纳")</f>
        <v>鲁塔纳</v>
      </c>
      <c r="H963" s="9" t="str">
        <f>IFERROR(__xludf.DUMMYFUNCTION("GOOGLETRANSLATE($A963,""en"",""ja"")"),"ルタナ")</f>
        <v>ルタナ</v>
      </c>
      <c r="I963" s="9" t="str">
        <f>IFERROR(__xludf.DUMMYFUNCTION("GOOGLETRANSLATE($A963,""en"",""ko"")"),"루타나")</f>
        <v>루타나</v>
      </c>
      <c r="J963" s="9" t="str">
        <f>IFERROR(__xludf.DUMMYFUNCTION("GOOGLETRANSLATE($A963,""en"",""pt-BR"")"),"Rutana")</f>
        <v>Rutana</v>
      </c>
    </row>
    <row r="964">
      <c r="A964" s="9" t="str">
        <f>IFERROR(__xludf.DUMMYFUNCTION("""COMPUTED_VALUE"""),"Bururi")</f>
        <v>Bururi</v>
      </c>
      <c r="B964" s="9" t="str">
        <f>IFERROR(__xludf.DUMMYFUNCTION("""COMPUTED_VALUE"""),"bi-br")</f>
        <v>bi-br</v>
      </c>
      <c r="C964" s="9" t="str">
        <f>IFERROR(__xludf.DUMMYFUNCTION("GOOGLETRANSLATE($A964,""en"",""de"")"),"Bururi")</f>
        <v>Bururi</v>
      </c>
      <c r="D964" s="9" t="str">
        <f>IFERROR(__xludf.DUMMYFUNCTION("GOOGLETRANSLATE($A964,""en"",""fr"")"),"Bururi")</f>
        <v>Bururi</v>
      </c>
      <c r="E964" s="9" t="str">
        <f>IFERROR(__xludf.DUMMYFUNCTION("GOOGLETRANSLATE($A964,""en"",""es"")"),"bururi")</f>
        <v>bururi</v>
      </c>
      <c r="F964" s="9" t="str">
        <f>IFERROR(__xludf.DUMMYFUNCTION("GOOGLETRANSLATE($A964,""en"",""it"")"),"Bururi")</f>
        <v>Bururi</v>
      </c>
      <c r="G964" s="9" t="str">
        <f>IFERROR(__xludf.DUMMYFUNCTION("GOOGLETRANSLATE($A964,""en"",""zh-cn"")"),"布鲁里")</f>
        <v>布鲁里</v>
      </c>
      <c r="H964" s="9" t="str">
        <f>IFERROR(__xludf.DUMMYFUNCTION("GOOGLETRANSLATE($A964,""en"",""ja"")"),"ブルリ")</f>
        <v>ブルリ</v>
      </c>
      <c r="I964" s="9" t="str">
        <f>IFERROR(__xludf.DUMMYFUNCTION("GOOGLETRANSLATE($A964,""en"",""ko"")"),"부루리")</f>
        <v>부루리</v>
      </c>
      <c r="J964" s="9" t="str">
        <f>IFERROR(__xludf.DUMMYFUNCTION("GOOGLETRANSLATE($A964,""en"",""pt-BR"")"),"Bururi")</f>
        <v>Bururi</v>
      </c>
    </row>
    <row r="965">
      <c r="A965" s="9" t="str">
        <f>IFERROR(__xludf.DUMMYFUNCTION("""COMPUTED_VALUE"""),"Cankuzo")</f>
        <v>Cankuzo</v>
      </c>
      <c r="B965" s="9" t="str">
        <f>IFERROR(__xludf.DUMMYFUNCTION("""COMPUTED_VALUE"""),"bi-ca")</f>
        <v>bi-ca</v>
      </c>
      <c r="C965" s="9" t="str">
        <f>IFERROR(__xludf.DUMMYFUNCTION("GOOGLETRANSLATE($A965,""en"",""de"")"),"Cankuzo")</f>
        <v>Cankuzo</v>
      </c>
      <c r="D965" s="9" t="str">
        <f>IFERROR(__xludf.DUMMYFUNCTION("GOOGLETRANSLATE($A965,""en"",""fr"")"),"Cankuzo")</f>
        <v>Cankuzo</v>
      </c>
      <c r="E965" s="9" t="str">
        <f>IFERROR(__xludf.DUMMYFUNCTION("GOOGLETRANSLATE($A965,""en"",""es"")"),"Cankuzo")</f>
        <v>Cankuzo</v>
      </c>
      <c r="F965" s="9" t="str">
        <f>IFERROR(__xludf.DUMMYFUNCTION("GOOGLETRANSLATE($A965,""en"",""it"")"),"Cankuzo")</f>
        <v>Cankuzo</v>
      </c>
      <c r="G965" s="9" t="str">
        <f>IFERROR(__xludf.DUMMYFUNCTION("GOOGLETRANSLATE($A965,""en"",""zh-cn"")"),"坎库佐")</f>
        <v>坎库佐</v>
      </c>
      <c r="H965" s="9" t="str">
        <f>IFERROR(__xludf.DUMMYFUNCTION("GOOGLETRANSLATE($A965,""en"",""ja"")"),"カンクゾ")</f>
        <v>カンクゾ</v>
      </c>
      <c r="I965" s="9" t="str">
        <f>IFERROR(__xludf.DUMMYFUNCTION("GOOGLETRANSLATE($A965,""en"",""ko"")"),"칸쿠조")</f>
        <v>칸쿠조</v>
      </c>
      <c r="J965" s="9" t="str">
        <f>IFERROR(__xludf.DUMMYFUNCTION("GOOGLETRANSLATE($A965,""en"",""pt-BR"")"),"Cankuzo")</f>
        <v>Cankuzo</v>
      </c>
    </row>
    <row r="966">
      <c r="A966" s="9" t="str">
        <f>IFERROR(__xludf.DUMMYFUNCTION("""COMPUTED_VALUE"""),"Ngozi")</f>
        <v>Ngozi</v>
      </c>
      <c r="B966" s="9" t="str">
        <f>IFERROR(__xludf.DUMMYFUNCTION("""COMPUTED_VALUE"""),"bi-ng")</f>
        <v>bi-ng</v>
      </c>
      <c r="C966" s="9" t="str">
        <f>IFERROR(__xludf.DUMMYFUNCTION("GOOGLETRANSLATE($A966,""en"",""de"")"),"Ngozi")</f>
        <v>Ngozi</v>
      </c>
      <c r="D966" s="9" t="str">
        <f>IFERROR(__xludf.DUMMYFUNCTION("GOOGLETRANSLATE($A966,""en"",""fr"")"),"Ngozi")</f>
        <v>Ngozi</v>
      </c>
      <c r="E966" s="9" t="str">
        <f>IFERROR(__xludf.DUMMYFUNCTION("GOOGLETRANSLATE($A966,""en"",""es"")"),"Ngozi")</f>
        <v>Ngozi</v>
      </c>
      <c r="F966" s="9" t="str">
        <f>IFERROR(__xludf.DUMMYFUNCTION("GOOGLETRANSLATE($A966,""en"",""it"")"),"Ngozi")</f>
        <v>Ngozi</v>
      </c>
      <c r="G966" s="9" t="str">
        <f>IFERROR(__xludf.DUMMYFUNCTION("GOOGLETRANSLATE($A966,""en"",""zh-cn"")"),"恩戈齐")</f>
        <v>恩戈齐</v>
      </c>
      <c r="H966" s="9" t="str">
        <f>IFERROR(__xludf.DUMMYFUNCTION("GOOGLETRANSLATE($A966,""en"",""ja"")"),"ンゴジ")</f>
        <v>ンゴジ</v>
      </c>
      <c r="I966" s="9" t="str">
        <f>IFERROR(__xludf.DUMMYFUNCTION("GOOGLETRANSLATE($A966,""en"",""ko"")"),"응고지")</f>
        <v>응고지</v>
      </c>
      <c r="J966" s="9" t="str">
        <f>IFERROR(__xludf.DUMMYFUNCTION("GOOGLETRANSLATE($A966,""en"",""pt-BR"")"),"Ngozi")</f>
        <v>Ngozi</v>
      </c>
    </row>
    <row r="967">
      <c r="A967" s="9" t="str">
        <f>IFERROR(__xludf.DUMMYFUNCTION("""COMPUTED_VALUE"""),"Bujumbura Rural")</f>
        <v>Bujumbura Rural</v>
      </c>
      <c r="B967" s="9" t="str">
        <f>IFERROR(__xludf.DUMMYFUNCTION("""COMPUTED_VALUE"""),"bi-bl")</f>
        <v>bi-bl</v>
      </c>
      <c r="C967" s="9" t="str">
        <f>IFERROR(__xludf.DUMMYFUNCTION("GOOGLETRANSLATE($A967,""en"",""de"")"),"Bujumbura Ländlich")</f>
        <v>Bujumbura Ländlich</v>
      </c>
      <c r="D967" s="9" t="str">
        <f>IFERROR(__xludf.DUMMYFUNCTION("GOOGLETRANSLATE($A967,""en"",""fr"")"),"Bujumbura-Rural")</f>
        <v>Bujumbura-Rural</v>
      </c>
      <c r="E967" s="9" t="str">
        <f>IFERROR(__xludf.DUMMYFUNCTION("GOOGLETRANSLATE($A967,""en"",""es"")"),"Buyumbura rural")</f>
        <v>Buyumbura rural</v>
      </c>
      <c r="F967" s="9" t="str">
        <f>IFERROR(__xludf.DUMMYFUNCTION("GOOGLETRANSLATE($A967,""en"",""it"")"),"Bujumbura rurale")</f>
        <v>Bujumbura rurale</v>
      </c>
      <c r="G967" s="9" t="str">
        <f>IFERROR(__xludf.DUMMYFUNCTION("GOOGLETRANSLATE($A967,""en"",""zh-cn"")"),"布琼布拉乡村")</f>
        <v>布琼布拉乡村</v>
      </c>
      <c r="H967" s="9" t="str">
        <f>IFERROR(__xludf.DUMMYFUNCTION("GOOGLETRANSLATE($A967,""en"",""ja"")"),"ブジュンブラ地方")</f>
        <v>ブジュンブラ地方</v>
      </c>
      <c r="I967" s="9" t="str">
        <f>IFERROR(__xludf.DUMMYFUNCTION("GOOGLETRANSLATE($A967,""en"",""ko"")"),"부줌부라 농촌")</f>
        <v>부줌부라 농촌</v>
      </c>
      <c r="J967" s="9" t="str">
        <f>IFERROR(__xludf.DUMMYFUNCTION("GOOGLETRANSLATE($A967,""en"",""pt-BR"")"),"Bujumbura Rural")</f>
        <v>Bujumbura Rural</v>
      </c>
    </row>
    <row r="968">
      <c r="A968" s="9" t="str">
        <f>IFERROR(__xludf.DUMMYFUNCTION("""COMPUTED_VALUE"""),"Cibitoke")</f>
        <v>Cibitoke</v>
      </c>
      <c r="B968" s="9" t="str">
        <f>IFERROR(__xludf.DUMMYFUNCTION("""COMPUTED_VALUE"""),"bi-ci")</f>
        <v>bi-ci</v>
      </c>
      <c r="C968" s="9" t="str">
        <f>IFERROR(__xludf.DUMMYFUNCTION("GOOGLETRANSLATE($A968,""en"",""de"")"),"Cibitoke")</f>
        <v>Cibitoke</v>
      </c>
      <c r="D968" s="9" t="str">
        <f>IFERROR(__xludf.DUMMYFUNCTION("GOOGLETRANSLATE($A968,""en"",""fr"")"),"Cibitoké")</f>
        <v>Cibitoké</v>
      </c>
      <c r="E968" s="9" t="str">
        <f>IFERROR(__xludf.DUMMYFUNCTION("GOOGLETRANSLATE($A968,""en"",""es"")"),"Cibitoke")</f>
        <v>Cibitoke</v>
      </c>
      <c r="F968" s="9" t="str">
        <f>IFERROR(__xludf.DUMMYFUNCTION("GOOGLETRANSLATE($A968,""en"",""it"")"),"Cibitok")</f>
        <v>Cibitok</v>
      </c>
      <c r="G968" s="9" t="str">
        <f>IFERROR(__xludf.DUMMYFUNCTION("GOOGLETRANSLATE($A968,""en"",""zh-cn"")"),"西比托克")</f>
        <v>西比托克</v>
      </c>
      <c r="H968" s="9" t="str">
        <f>IFERROR(__xludf.DUMMYFUNCTION("GOOGLETRANSLATE($A968,""en"",""ja"")"),"チビトケ")</f>
        <v>チビトケ</v>
      </c>
      <c r="I968" s="9" t="str">
        <f>IFERROR(__xludf.DUMMYFUNCTION("GOOGLETRANSLATE($A968,""en"",""ko"")"),"치비토케")</f>
        <v>치비토케</v>
      </c>
      <c r="J968" s="9" t="str">
        <f>IFERROR(__xludf.DUMMYFUNCTION("GOOGLETRANSLATE($A968,""en"",""pt-BR"")"),"Cibitoke")</f>
        <v>Cibitoke</v>
      </c>
    </row>
    <row r="969">
      <c r="A969" s="9" t="str">
        <f>IFERROR(__xludf.DUMMYFUNCTION("""COMPUTED_VALUE"""),"Bubanza")</f>
        <v>Bubanza</v>
      </c>
      <c r="B969" s="9" t="str">
        <f>IFERROR(__xludf.DUMMYFUNCTION("""COMPUTED_VALUE"""),"bi-bb")</f>
        <v>bi-bb</v>
      </c>
      <c r="C969" s="9" t="str">
        <f>IFERROR(__xludf.DUMMYFUNCTION("GOOGLETRANSLATE($A969,""en"",""de"")"),"Bubanza")</f>
        <v>Bubanza</v>
      </c>
      <c r="D969" s="9" t="str">
        <f>IFERROR(__xludf.DUMMYFUNCTION("GOOGLETRANSLATE($A969,""en"",""fr"")"),"Bubanza")</f>
        <v>Bubanza</v>
      </c>
      <c r="E969" s="9" t="str">
        <f>IFERROR(__xludf.DUMMYFUNCTION("GOOGLETRANSLATE($A969,""en"",""es"")"),"Bubanza")</f>
        <v>Bubanza</v>
      </c>
      <c r="F969" s="9" t="str">
        <f>IFERROR(__xludf.DUMMYFUNCTION("GOOGLETRANSLATE($A969,""en"",""it"")"),"Bubanza")</f>
        <v>Bubanza</v>
      </c>
      <c r="G969" s="9" t="str">
        <f>IFERROR(__xludf.DUMMYFUNCTION("GOOGLETRANSLATE($A969,""en"",""zh-cn"")"),"布班扎")</f>
        <v>布班扎</v>
      </c>
      <c r="H969" s="9" t="str">
        <f>IFERROR(__xludf.DUMMYFUNCTION("GOOGLETRANSLATE($A969,""en"",""ja"")"),"ブバンザ")</f>
        <v>ブバンザ</v>
      </c>
      <c r="I969" s="9" t="str">
        <f>IFERROR(__xludf.DUMMYFUNCTION("GOOGLETRANSLATE($A969,""en"",""ko"")"),"부반자")</f>
        <v>부반자</v>
      </c>
      <c r="J969" s="9" t="str">
        <f>IFERROR(__xludf.DUMMYFUNCTION("GOOGLETRANSLATE($A969,""en"",""pt-BR"")"),"Bubanza")</f>
        <v>Bubanza</v>
      </c>
    </row>
    <row r="970">
      <c r="A970" s="9" t="str">
        <f>IFERROR(__xludf.DUMMYFUNCTION("""COMPUTED_VALUE"""),"Bujumbura Mairie")</f>
        <v>Bujumbura Mairie</v>
      </c>
      <c r="B970" s="9" t="str">
        <f>IFERROR(__xludf.DUMMYFUNCTION("""COMPUTED_VALUE"""),"bi-bm")</f>
        <v>bi-bm</v>
      </c>
      <c r="C970" s="9" t="str">
        <f>IFERROR(__xludf.DUMMYFUNCTION("GOOGLETRANSLATE($A970,""en"",""de"")"),"Bujumbura Mairie")</f>
        <v>Bujumbura Mairie</v>
      </c>
      <c r="D970" s="9" t="str">
        <f>IFERROR(__xludf.DUMMYFUNCTION("GOOGLETRANSLATE($A970,""en"",""fr"")"),"Mairie de Bujumbura")</f>
        <v>Mairie de Bujumbura</v>
      </c>
      <c r="E970" s="9" t="str">
        <f>IFERROR(__xludf.DUMMYFUNCTION("GOOGLETRANSLATE($A970,""en"",""es"")"),"Ayuntamiento de Buyumbura")</f>
        <v>Ayuntamiento de Buyumbura</v>
      </c>
      <c r="F970" s="9" t="str">
        <f>IFERROR(__xludf.DUMMYFUNCTION("GOOGLETRANSLATE($A970,""en"",""it"")"),"Bujumbura Mairie")</f>
        <v>Bujumbura Mairie</v>
      </c>
      <c r="G970" s="9" t="str">
        <f>IFERROR(__xludf.DUMMYFUNCTION("GOOGLETRANSLATE($A970,""en"",""zh-cn"")"),"布琼布拉市政厅")</f>
        <v>布琼布拉市政厅</v>
      </c>
      <c r="H970" s="9" t="str">
        <f>IFERROR(__xludf.DUMMYFUNCTION("GOOGLETRANSLATE($A970,""en"",""ja"")"),"ブジュンブラ メリー")</f>
        <v>ブジュンブラ メリー</v>
      </c>
      <c r="I970" s="9" t="str">
        <f>IFERROR(__xludf.DUMMYFUNCTION("GOOGLETRANSLATE($A970,""en"",""ko"")"),"부줌부라 마이리")</f>
        <v>부줌부라 마이리</v>
      </c>
      <c r="J970" s="9" t="str">
        <f>IFERROR(__xludf.DUMMYFUNCTION("GOOGLETRANSLATE($A970,""en"",""pt-BR"")"),"Prefeitura de Bujumbura")</f>
        <v>Prefeitura de Bujumbura</v>
      </c>
    </row>
    <row r="971">
      <c r="A971" s="9" t="str">
        <f>IFERROR(__xludf.DUMMYFUNCTION("""COMPUTED_VALUE"""),"Mwaro")</f>
        <v>Mwaro</v>
      </c>
      <c r="B971" s="9" t="str">
        <f>IFERROR(__xludf.DUMMYFUNCTION("""COMPUTED_VALUE"""),"bi-mw")</f>
        <v>bi-mw</v>
      </c>
      <c r="C971" s="9" t="str">
        <f>IFERROR(__xludf.DUMMYFUNCTION("GOOGLETRANSLATE($A971,""en"",""de"")"),"Mwaro")</f>
        <v>Mwaro</v>
      </c>
      <c r="D971" s="9" t="str">
        <f>IFERROR(__xludf.DUMMYFUNCTION("GOOGLETRANSLATE($A971,""en"",""fr"")"),"Mwaro")</f>
        <v>Mwaro</v>
      </c>
      <c r="E971" s="9" t="str">
        <f>IFERROR(__xludf.DUMMYFUNCTION("GOOGLETRANSLATE($A971,""en"",""es"")"),"Mwaro")</f>
        <v>Mwaro</v>
      </c>
      <c r="F971" s="9" t="str">
        <f>IFERROR(__xludf.DUMMYFUNCTION("GOOGLETRANSLATE($A971,""en"",""it"")"),"Mwaro")</f>
        <v>Mwaro</v>
      </c>
      <c r="G971" s="9" t="str">
        <f>IFERROR(__xludf.DUMMYFUNCTION("GOOGLETRANSLATE($A971,""en"",""zh-cn"")"),"姆瓦罗")</f>
        <v>姆瓦罗</v>
      </c>
      <c r="H971" s="9" t="str">
        <f>IFERROR(__xludf.DUMMYFUNCTION("GOOGLETRANSLATE($A971,""en"",""ja"")"),"ムワロ")</f>
        <v>ムワロ</v>
      </c>
      <c r="I971" s="9" t="str">
        <f>IFERROR(__xludf.DUMMYFUNCTION("GOOGLETRANSLATE($A971,""en"",""ko"")"),"음와로")</f>
        <v>음와로</v>
      </c>
      <c r="J971" s="9" t="str">
        <f>IFERROR(__xludf.DUMMYFUNCTION("GOOGLETRANSLATE($A971,""en"",""pt-BR"")"),"Mwaro")</f>
        <v>Mwaro</v>
      </c>
    </row>
    <row r="972">
      <c r="A972" s="9" t="str">
        <f>IFERROR(__xludf.DUMMYFUNCTION("""COMPUTED_VALUE"""),"Gitega")</f>
        <v>Gitega</v>
      </c>
      <c r="B972" s="9" t="str">
        <f>IFERROR(__xludf.DUMMYFUNCTION("""COMPUTED_VALUE"""),"bi-gi")</f>
        <v>bi-gi</v>
      </c>
      <c r="C972" s="9" t="str">
        <f>IFERROR(__xludf.DUMMYFUNCTION("GOOGLETRANSLATE($A972,""en"",""de"")"),"Gitega")</f>
        <v>Gitega</v>
      </c>
      <c r="D972" s="9" t="str">
        <f>IFERROR(__xludf.DUMMYFUNCTION("GOOGLETRANSLATE($A972,""en"",""fr"")"),"Gitega")</f>
        <v>Gitega</v>
      </c>
      <c r="E972" s="9" t="str">
        <f>IFERROR(__xludf.DUMMYFUNCTION("GOOGLETRANSLATE($A972,""en"",""es"")"),"gitega")</f>
        <v>gitega</v>
      </c>
      <c r="F972" s="9" t="str">
        <f>IFERROR(__xludf.DUMMYFUNCTION("GOOGLETRANSLATE($A972,""en"",""it"")"),"Gitega")</f>
        <v>Gitega</v>
      </c>
      <c r="G972" s="9" t="str">
        <f>IFERROR(__xludf.DUMMYFUNCTION("GOOGLETRANSLATE($A972,""en"",""zh-cn"")"),"基特加")</f>
        <v>基特加</v>
      </c>
      <c r="H972" s="9" t="str">
        <f>IFERROR(__xludf.DUMMYFUNCTION("GOOGLETRANSLATE($A972,""en"",""ja"")"),"ギテガ")</f>
        <v>ギテガ</v>
      </c>
      <c r="I972" s="9" t="str">
        <f>IFERROR(__xludf.DUMMYFUNCTION("GOOGLETRANSLATE($A972,""en"",""ko"")"),"기테가")</f>
        <v>기테가</v>
      </c>
      <c r="J972" s="9" t="str">
        <f>IFERROR(__xludf.DUMMYFUNCTION("GOOGLETRANSLATE($A972,""en"",""pt-BR"")"),"Gitega")</f>
        <v>Gitega</v>
      </c>
    </row>
    <row r="973">
      <c r="A973" s="9" t="str">
        <f>IFERROR(__xludf.DUMMYFUNCTION("""COMPUTED_VALUE"""),"Baat Dambang [Bătdâmbâng]")</f>
        <v>Baat Dambang [Bătdâmbâng]</v>
      </c>
      <c r="B973" s="9" t="str">
        <f>IFERROR(__xludf.DUMMYFUNCTION("""COMPUTED_VALUE"""),"kh-2")</f>
        <v>kh-2</v>
      </c>
      <c r="C973" s="9" t="str">
        <f>IFERROR(__xludf.DUMMYFUNCTION("GOOGLETRANSLATE($A973,""en"",""de"")"),"Baat Dambang [Bătdâmbâng]")</f>
        <v>Baat Dambang [Bătdâmbâng]</v>
      </c>
      <c r="D973" s="9" t="str">
        <f>IFERROR(__xludf.DUMMYFUNCTION("GOOGLETRANSLATE($A973,""en"",""fr"")"),"Baat Dambang [Bătdâmbâng]")</f>
        <v>Baat Dambang [Bătdâmbâng]</v>
      </c>
      <c r="E973" s="9" t="str">
        <f>IFERROR(__xludf.DUMMYFUNCTION("GOOGLETRANSLATE($A973,""en"",""es"")"),"Baat Dambang [Bătdâmbâng]")</f>
        <v>Baat Dambang [Bătdâmbâng]</v>
      </c>
      <c r="F973" s="9" t="str">
        <f>IFERROR(__xludf.DUMMYFUNCTION("GOOGLETRANSLATE($A973,""en"",""it"")"),"Baat Dambang [Bătdâmbâng]")</f>
        <v>Baat Dambang [Bătdâmbâng]</v>
      </c>
      <c r="G973" s="9" t="str">
        <f>IFERROR(__xludf.DUMMYFUNCTION("GOOGLETRANSLATE($A973,""en"",""zh-cn"")"),"Baat Dambang [Bătdâmbâng]")</f>
        <v>Baat Dambang [Bătdâmbâng]</v>
      </c>
      <c r="H973" s="9" t="str">
        <f>IFERROR(__xludf.DUMMYFUNCTION("GOOGLETRANSLATE($A973,""en"",""ja"")"),"バート ダンバン [Bătdâmbâng]")</f>
        <v>バート ダンバン [Bătdâmbâng]</v>
      </c>
      <c r="I973" s="9" t="str">
        <f>IFERROR(__xludf.DUMMYFUNCTION("GOOGLETRANSLATE($A973,""en"",""ko"")"),"바트 담방 [Bătdâmbâng]")</f>
        <v>바트 담방 [Bătdâmbâng]</v>
      </c>
      <c r="J973" s="9" t="str">
        <f>IFERROR(__xludf.DUMMYFUNCTION("GOOGLETRANSLATE($A973,""en"",""pt-BR"")"),"Baat Dambang [Bătdâmbâng]")</f>
        <v>Baat Dambang [Bătdâmbâng]</v>
      </c>
    </row>
    <row r="974">
      <c r="A974" s="9" t="str">
        <f>IFERROR(__xludf.DUMMYFUNCTION("""COMPUTED_VALUE"""),"Kampong Chhnang [Kâmpóng Chhnăng]")</f>
        <v>Kampong Chhnang [Kâmpóng Chhnăng]</v>
      </c>
      <c r="B974" s="9" t="str">
        <f>IFERROR(__xludf.DUMMYFUNCTION("""COMPUTED_VALUE"""),"kh-4")</f>
        <v>kh-4</v>
      </c>
      <c r="C974" s="9" t="str">
        <f>IFERROR(__xludf.DUMMYFUNCTION("GOOGLETRANSLATE($A974,""en"",""de"")"),"Kampong Chhnang [Kâmpóng Chhnăng]")</f>
        <v>Kampong Chhnang [Kâmpóng Chhnăng]</v>
      </c>
      <c r="D974" s="9" t="str">
        <f>IFERROR(__xludf.DUMMYFUNCTION("GOOGLETRANSLATE($A974,""en"",""fr"")"),"Kampong Chhnang [Kâmpóng Chhnăng]")</f>
        <v>Kampong Chhnang [Kâmpóng Chhnăng]</v>
      </c>
      <c r="E974" s="9" t="str">
        <f>IFERROR(__xludf.DUMMYFUNCTION("GOOGLETRANSLATE($A974,""en"",""es"")"),"Kampong Chhnang [Kâmpóng Chhnăng]")</f>
        <v>Kampong Chhnang [Kâmpóng Chhnăng]</v>
      </c>
      <c r="F974" s="9" t="str">
        <f>IFERROR(__xludf.DUMMYFUNCTION("GOOGLETRANSLATE($A974,""en"",""it"")"),"Kampong Chhnang [Kâmpóng Chhnăng]")</f>
        <v>Kampong Chhnang [Kâmpóng Chhnăng]</v>
      </c>
      <c r="G974" s="9" t="str">
        <f>IFERROR(__xludf.DUMMYFUNCTION("GOOGLETRANSLATE($A974,""en"",""zh-cn"")"),"磅清扬省 [Kâmpóng Chhnăng]")</f>
        <v>磅清扬省 [Kâmpóng Chhnăng]</v>
      </c>
      <c r="H974" s="9" t="str">
        <f>IFERROR(__xludf.DUMMYFUNCTION("GOOGLETRANSLATE($A974,""en"",""ja"")"),"カンポン チュナン [カンポン チュナン]")</f>
        <v>カンポン チュナン [カンポン チュナン]</v>
      </c>
      <c r="I974" s="9" t="str">
        <f>IFERROR(__xludf.DUMMYFUNCTION("GOOGLETRANSLATE($A974,""en"",""ko"")"),"캄퐁 치낭 [Kâmpóng Chhnăng]")</f>
        <v>캄퐁 치낭 [Kâmpóng Chhnăng]</v>
      </c>
      <c r="J974" s="9" t="str">
        <f>IFERROR(__xludf.DUMMYFUNCTION("GOOGLETRANSLATE($A974,""en"",""pt-BR"")"),"Kampong Chhnang [Kampong Chhnang]")</f>
        <v>Kampong Chhnang [Kampong Chhnang]</v>
      </c>
    </row>
    <row r="975">
      <c r="A975" s="9" t="str">
        <f>IFERROR(__xludf.DUMMYFUNCTION("""COMPUTED_VALUE"""),"Kampong Thum [Kâmpóng Thum]")</f>
        <v>Kampong Thum [Kâmpóng Thum]</v>
      </c>
      <c r="B975" s="9" t="str">
        <f>IFERROR(__xludf.DUMMYFUNCTION("""COMPUTED_VALUE"""),"kh-6")</f>
        <v>kh-6</v>
      </c>
      <c r="C975" s="9" t="str">
        <f>IFERROR(__xludf.DUMMYFUNCTION("GOOGLETRANSLATE($A975,""en"",""de"")"),"Kampong Thum [Kâmpóng Thum]")</f>
        <v>Kampong Thum [Kâmpóng Thum]</v>
      </c>
      <c r="D975" s="9" t="str">
        <f>IFERROR(__xludf.DUMMYFUNCTION("GOOGLETRANSLATE($A975,""en"",""fr"")"),"Kampong Thum [Kâmpóng Thum]")</f>
        <v>Kampong Thum [Kâmpóng Thum]</v>
      </c>
      <c r="E975" s="9" t="str">
        <f>IFERROR(__xludf.DUMMYFUNCTION("GOOGLETRANSLATE($A975,""en"",""es"")"),"Kampong Thum [Kâmpóng Thum]")</f>
        <v>Kampong Thum [Kâmpóng Thum]</v>
      </c>
      <c r="F975" s="9" t="str">
        <f>IFERROR(__xludf.DUMMYFUNCTION("GOOGLETRANSLATE($A975,""en"",""it"")"),"Kampong Thum [Kâmpóng Thum]")</f>
        <v>Kampong Thum [Kâmpóng Thum]</v>
      </c>
      <c r="G975" s="9" t="str">
        <f>IFERROR(__xludf.DUMMYFUNCTION("GOOGLETRANSLATE($A975,""en"",""zh-cn"")"),"磅图姆 [Kâmpóng Thum]")</f>
        <v>磅图姆 [Kâmpóng Thum]</v>
      </c>
      <c r="H975" s="9" t="str">
        <f>IFERROR(__xludf.DUMMYFUNCTION("GOOGLETRANSLATE($A975,""en"",""ja"")"),"カンポン・タム [カンポン・タム]")</f>
        <v>カンポン・タム [カンポン・タム]</v>
      </c>
      <c r="I975" s="9" t="str">
        <f>IFERROR(__xludf.DUMMYFUNCTION("GOOGLETRANSLATE($A975,""en"",""ko"")"),"캄퐁 툼 [Kâmpóng Thum]")</f>
        <v>캄퐁 툼 [Kâmpóng Thum]</v>
      </c>
      <c r="J975" s="9" t="str">
        <f>IFERROR(__xludf.DUMMYFUNCTION("GOOGLETRANSLATE($A975,""en"",""pt-BR"")"),"Kampong Thum [Kampong Thum]")</f>
        <v>Kampong Thum [Kampong Thum]</v>
      </c>
    </row>
    <row r="976">
      <c r="A976" s="9" t="str">
        <f>IFERROR(__xludf.DUMMYFUNCTION("""COMPUTED_VALUE"""),"Phnom Penh [Phnum Pénh]")</f>
        <v>Phnom Penh [Phnum Pénh]</v>
      </c>
      <c r="B976" s="9" t="str">
        <f>IFERROR(__xludf.DUMMYFUNCTION("""COMPUTED_VALUE"""),"kh-12")</f>
        <v>kh-12</v>
      </c>
      <c r="C976" s="9" t="str">
        <f>IFERROR(__xludf.DUMMYFUNCTION("GOOGLETRANSLATE($A976,""en"",""de"")"),"Phnom Penh [Phnum Pénh]")</f>
        <v>Phnom Penh [Phnum Pénh]</v>
      </c>
      <c r="D976" s="9" t="str">
        <f>IFERROR(__xludf.DUMMYFUNCTION("GOOGLETRANSLATE($A976,""en"",""fr"")"),"Phnom Penh [Phnum Penh]")</f>
        <v>Phnom Penh [Phnum Penh]</v>
      </c>
      <c r="E976" s="9" t="str">
        <f>IFERROR(__xludf.DUMMYFUNCTION("GOOGLETRANSLATE($A976,""en"",""es"")"),"Phnom Penh [Phnum Penh]")</f>
        <v>Phnom Penh [Phnum Penh]</v>
      </c>
      <c r="F976" s="9" t="str">
        <f>IFERROR(__xludf.DUMMYFUNCTION("GOOGLETRANSLATE($A976,""en"",""it"")"),"Phnom Penh [Phnum Pénh]")</f>
        <v>Phnom Penh [Phnum Pénh]</v>
      </c>
      <c r="G976" s="9" t="str">
        <f>IFERROR(__xludf.DUMMYFUNCTION("GOOGLETRANSLATE($A976,""en"",""zh-cn"")"),"金边 [Phnum Pénh]")</f>
        <v>金边 [Phnum Pénh]</v>
      </c>
      <c r="H976" s="9" t="str">
        <f>IFERROR(__xludf.DUMMYFUNCTION("GOOGLETRANSLATE($A976,""en"",""ja"")"),"プノンペン[プノンペン]")</f>
        <v>プノンペン[プノンペン]</v>
      </c>
      <c r="I976" s="9" t="str">
        <f>IFERROR(__xludf.DUMMYFUNCTION("GOOGLETRANSLATE($A976,""en"",""ko"")"),"프놈펜 [프놈펜]")</f>
        <v>프놈펜 [프놈펜]</v>
      </c>
      <c r="J976" s="9" t="str">
        <f>IFERROR(__xludf.DUMMYFUNCTION("GOOGLETRANSLATE($A976,""en"",""pt-BR"")"),"Phnom Penh [Phnum Pénh]")</f>
        <v>Phnom Penh [Phnum Pénh]</v>
      </c>
    </row>
    <row r="977">
      <c r="A977" s="9" t="str">
        <f>IFERROR(__xludf.DUMMYFUNCTION("""COMPUTED_VALUE"""),"Pousaat [Poŭthĭsăt]")</f>
        <v>Pousaat [Poŭthĭsăt]</v>
      </c>
      <c r="B977" s="9" t="str">
        <f>IFERROR(__xludf.DUMMYFUNCTION("""COMPUTED_VALUE"""),"kh-15")</f>
        <v>kh-15</v>
      </c>
      <c r="C977" s="9" t="str">
        <f>IFERROR(__xludf.DUMMYFUNCTION("GOOGLETRANSLATE($A977,""en"",""de"")"),"Pousaat [Poŭthĭsăt]")</f>
        <v>Pousaat [Poŭthĭsăt]</v>
      </c>
      <c r="D977" s="9" t="str">
        <f>IFERROR(__xludf.DUMMYFUNCTION("GOOGLETRANSLATE($A977,""en"",""fr"")"),"Pousaat [Poŭthesăt]")</f>
        <v>Pousaat [Poŭthesăt]</v>
      </c>
      <c r="E977" s="9" t="str">
        <f>IFERROR(__xludf.DUMMYFUNCTION("GOOGLETRANSLATE($A977,""en"",""es"")"),"Pousaat [Poŭthĭsăt]")</f>
        <v>Pousaat [Poŭthĭsăt]</v>
      </c>
      <c r="F977" s="9" t="str">
        <f>IFERROR(__xludf.DUMMYFUNCTION("GOOGLETRANSLATE($A977,""en"",""it"")"),"Pousaat [Poŭthĭsăt]")</f>
        <v>Pousaat [Poŭthĭsăt]</v>
      </c>
      <c r="G977" s="9" t="str">
        <f>IFERROR(__xludf.DUMMYFUNCTION("GOOGLETRANSLATE($A977,""en"",""zh-cn"")"),"Pousaat [Poŭthĭsăt]")</f>
        <v>Pousaat [Poŭthĭsăt]</v>
      </c>
      <c r="H977" s="9" t="str">
        <f>IFERROR(__xludf.DUMMYFUNCTION("GOOGLETRANSLATE($A977,""en"",""ja"")"),"ポサート [Poŭthĭsăt]")</f>
        <v>ポサート [Poŭthĭsăt]</v>
      </c>
      <c r="I977" s="9" t="str">
        <f>IFERROR(__xludf.DUMMYFUNCTION("GOOGLETRANSLATE($A977,""en"",""ko"")"),"Pousaat [Poŭthĭsăt]")</f>
        <v>Pousaat [Poŭthĭsăt]</v>
      </c>
      <c r="J977" s="9" t="str">
        <f>IFERROR(__xludf.DUMMYFUNCTION("GOOGLETRANSLATE($A977,""en"",""pt-BR"")"),"Pousaat [Poŭthĭsăt]")</f>
        <v>Pousaat [Poŭthĭsăt]</v>
      </c>
    </row>
    <row r="978">
      <c r="A978" s="9" t="str">
        <f>IFERROR(__xludf.DUMMYFUNCTION("""COMPUTED_VALUE"""),"Kandaal [Kândal]")</f>
        <v>Kandaal [Kândal]</v>
      </c>
      <c r="B978" s="9" t="str">
        <f>IFERROR(__xludf.DUMMYFUNCTION("""COMPUTED_VALUE"""),"kh-8")</f>
        <v>kh-8</v>
      </c>
      <c r="C978" s="9" t="str">
        <f>IFERROR(__xludf.DUMMYFUNCTION("GOOGLETRANSLATE($A978,""en"",""de"")"),"Kandaal [Kândal]")</f>
        <v>Kandaal [Kândal]</v>
      </c>
      <c r="D978" s="9" t="str">
        <f>IFERROR(__xludf.DUMMYFUNCTION("GOOGLETRANSLATE($A978,""en"",""fr"")"),"Kandaal [Kândal]")</f>
        <v>Kandaal [Kândal]</v>
      </c>
      <c r="E978" s="9" t="str">
        <f>IFERROR(__xludf.DUMMYFUNCTION("GOOGLETRANSLATE($A978,""en"",""es"")"),"Kandaal [Kândal]")</f>
        <v>Kandaal [Kândal]</v>
      </c>
      <c r="F978" s="9" t="str">
        <f>IFERROR(__xludf.DUMMYFUNCTION("GOOGLETRANSLATE($A978,""en"",""it"")"),"Kandaal [Kandal]")</f>
        <v>Kandaal [Kandal]</v>
      </c>
      <c r="G978" s="9" t="str">
        <f>IFERROR(__xludf.DUMMYFUNCTION("GOOGLETRANSLATE($A978,""en"",""zh-cn"")"),"坎达尔 [Kândal]")</f>
        <v>坎达尔 [Kândal]</v>
      </c>
      <c r="H978" s="9" t="str">
        <f>IFERROR(__xludf.DUMMYFUNCTION("GOOGLETRANSLATE($A978,""en"",""ja"")"),"カンダル [カンダル]")</f>
        <v>カンダル [カンダル]</v>
      </c>
      <c r="I978" s="9" t="str">
        <f>IFERROR(__xludf.DUMMYFUNCTION("GOOGLETRANSLATE($A978,""en"",""ko"")"),"칸달 [Kandaal]")</f>
        <v>칸달 [Kandaal]</v>
      </c>
      <c r="J978" s="9" t="str">
        <f>IFERROR(__xludf.DUMMYFUNCTION("GOOGLETRANSLATE($A978,""en"",""pt-BR"")"),"Kandaal [Kândal]")</f>
        <v>Kandaal [Kândal]</v>
      </c>
    </row>
    <row r="979">
      <c r="A979" s="9" t="str">
        <f>IFERROR(__xludf.DUMMYFUNCTION("""COMPUTED_VALUE"""),"Banteay Mean Chey [Bântéay Méanchey]")</f>
        <v>Banteay Mean Chey [Bântéay Méanchey]</v>
      </c>
      <c r="B979" s="9" t="str">
        <f>IFERROR(__xludf.DUMMYFUNCTION("""COMPUTED_VALUE"""),"kh-1")</f>
        <v>kh-1</v>
      </c>
      <c r="C979" s="9" t="str">
        <f>IFERROR(__xludf.DUMMYFUNCTION("GOOGLETRANSLATE($A979,""en"",""de"")"),"Banteay Mean Chey [Bântéay Méanchey]")</f>
        <v>Banteay Mean Chey [Bântéay Méanchey]</v>
      </c>
      <c r="D979" s="9" t="str">
        <f>IFERROR(__xludf.DUMMYFUNCTION("GOOGLETRANSLATE($A979,""en"",""fr"")"),"Banteay Mean Chey [Bântéay Méanchey]")</f>
        <v>Banteay Mean Chey [Bântéay Méanchey]</v>
      </c>
      <c r="E979" s="9" t="str">
        <f>IFERROR(__xludf.DUMMYFUNCTION("GOOGLETRANSLATE($A979,""en"",""es"")"),"Banteay Mean Chey [Bântéay Méanchey]")</f>
        <v>Banteay Mean Chey [Bântéay Méanchey]</v>
      </c>
      <c r="F979" s="9" t="str">
        <f>IFERROR(__xludf.DUMMYFUNCTION("GOOGLETRANSLATE($A979,""en"",""it"")"),"Banteay Mean Chey [Bânteay Méanchey]")</f>
        <v>Banteay Mean Chey [Bânteay Méanchey]</v>
      </c>
      <c r="G979" s="9" t="str">
        <f>IFERROR(__xludf.DUMMYFUNCTION("GOOGLETRANSLATE($A979,""en"",""zh-cn"")"),"Banteay Mean Chey [Bântéay Méanchey]")</f>
        <v>Banteay Mean Chey [Bântéay Méanchey]</v>
      </c>
      <c r="H979" s="9" t="str">
        <f>IFERROR(__xludf.DUMMYFUNCTION("GOOGLETRANSLATE($A979,""en"",""ja"")"),"バンテアイ・ミーン・シェイ [バンテアイ・メアンシェイ]")</f>
        <v>バンテアイ・ミーン・シェイ [バンテアイ・メアンシェイ]</v>
      </c>
      <c r="I979" s="9" t="str">
        <f>IFERROR(__xludf.DUMMYFUNCTION("GOOGLETRANSLATE($A979,""en"",""ko"")"),"Banteay Mean Chey [Bântéay Méanchey]")</f>
        <v>Banteay Mean Chey [Bântéay Méanchey]</v>
      </c>
      <c r="J979" s="9" t="str">
        <f>IFERROR(__xludf.DUMMYFUNCTION("GOOGLETRANSLATE($A979,""en"",""pt-BR"")"),"Banteay Mean Chey [Bântéay Méanchey]")</f>
        <v>Banteay Mean Chey [Bântéay Méanchey]</v>
      </c>
    </row>
    <row r="980">
      <c r="A980" s="9" t="str">
        <f>IFERROR(__xludf.DUMMYFUNCTION("""COMPUTED_VALUE"""),"Taakaev [Takêv]")</f>
        <v>Taakaev [Takêv]</v>
      </c>
      <c r="B980" s="9" t="str">
        <f>IFERROR(__xludf.DUMMYFUNCTION("""COMPUTED_VALUE"""),"kh-21")</f>
        <v>kh-21</v>
      </c>
      <c r="C980" s="9" t="str">
        <f>IFERROR(__xludf.DUMMYFUNCTION("GOOGLETRANSLATE($A980,""en"",""de"")"),"Taakaev [Takêv]")</f>
        <v>Taakaev [Takêv]</v>
      </c>
      <c r="D980" s="9" t="str">
        <f>IFERROR(__xludf.DUMMYFUNCTION("GOOGLETRANSLATE($A980,""en"",""fr"")"),"Taakaev [Takêv]")</f>
        <v>Taakaev [Takêv]</v>
      </c>
      <c r="E980" s="9" t="str">
        <f>IFERROR(__xludf.DUMMYFUNCTION("GOOGLETRANSLATE($A980,""en"",""es"")"),"Taakaev [Takêv]")</f>
        <v>Taakaev [Takêv]</v>
      </c>
      <c r="F980" s="9" t="str">
        <f>IFERROR(__xludf.DUMMYFUNCTION("GOOGLETRANSLATE($A980,""en"",""it"")"),"Taakaev [Takêv]")</f>
        <v>Taakaev [Takêv]</v>
      </c>
      <c r="G980" s="9" t="str">
        <f>IFERROR(__xludf.DUMMYFUNCTION("GOOGLETRANSLATE($A980,""en"",""zh-cn"")"),"塔卡耶夫 [Takêv]")</f>
        <v>塔卡耶夫 [Takêv]</v>
      </c>
      <c r="H980" s="9" t="str">
        <f>IFERROR(__xludf.DUMMYFUNCTION("GOOGLETRANSLATE($A980,""en"",""ja"")"),"ターカエフ [タケヴ]")</f>
        <v>ターカエフ [タケヴ]</v>
      </c>
      <c r="I980" s="9" t="str">
        <f>IFERROR(__xludf.DUMMYFUNCTION("GOOGLETRANSLATE($A980,""en"",""ko"")"),"Taakaev [Takêv]")</f>
        <v>Taakaev [Takêv]</v>
      </c>
      <c r="J980" s="9" t="str">
        <f>IFERROR(__xludf.DUMMYFUNCTION("GOOGLETRANSLATE($A980,""en"",""pt-BR"")"),"Taakaev [Takêv]")</f>
        <v>Taakaev [Takêv]</v>
      </c>
    </row>
    <row r="981">
      <c r="A981" s="9" t="str">
        <f>IFERROR(__xludf.DUMMYFUNCTION("""COMPUTED_VALUE"""),"Kaoh Kong [Kaôh Kŏng]")</f>
        <v>Kaoh Kong [Kaôh Kŏng]</v>
      </c>
      <c r="B981" s="9" t="str">
        <f>IFERROR(__xludf.DUMMYFUNCTION("""COMPUTED_VALUE"""),"kh-9")</f>
        <v>kh-9</v>
      </c>
      <c r="C981" s="9" t="str">
        <f>IFERROR(__xludf.DUMMYFUNCTION("GOOGLETRANSLATE($A981,""en"",""de"")"),"Kaoh Kong [Kaôh Kŏng]")</f>
        <v>Kaoh Kong [Kaôh Kŏng]</v>
      </c>
      <c r="D981" s="9" t="str">
        <f>IFERROR(__xludf.DUMMYFUNCTION("GOOGLETRANSLATE($A981,""en"",""fr"")"),"Kaoh Kong [Kaôh Kŏng]")</f>
        <v>Kaoh Kong [Kaôh Kŏng]</v>
      </c>
      <c r="E981" s="9" t="str">
        <f>IFERROR(__xludf.DUMMYFUNCTION("GOOGLETRANSLATE($A981,""en"",""es"")"),"Kaoh Kong [Kaôh Kong]")</f>
        <v>Kaoh Kong [Kaôh Kong]</v>
      </c>
      <c r="F981" s="9" t="str">
        <f>IFERROR(__xludf.DUMMYFUNCTION("GOOGLETRANSLATE($A981,""en"",""it"")"),"Kaoh Kong [Kaôh Kŏng]")</f>
        <v>Kaoh Kong [Kaôh Kŏng]</v>
      </c>
      <c r="G981" s="9" t="str">
        <f>IFERROR(__xludf.DUMMYFUNCTION("GOOGLETRANSLATE($A981,""en"",""zh-cn"")"),"高空 [Kaôh Kŏng]")</f>
        <v>高空 [Kaôh Kŏng]</v>
      </c>
      <c r="H981" s="9" t="str">
        <f>IFERROR(__xludf.DUMMYFUNCTION("GOOGLETRANSLATE($A981,""en"",""ja"")"),"カオコン [Kaōh Kŏng]")</f>
        <v>カオコン [Kaōh Kŏng]</v>
      </c>
      <c r="I981" s="9" t="str">
        <f>IFERROR(__xludf.DUMMYFUNCTION("GOOGLETRANSLATE($A981,""en"",""ko"")"),"카오콩(Kaoh Kong)")</f>
        <v>카오콩(Kaoh Kong)</v>
      </c>
      <c r="J981" s="9" t="str">
        <f>IFERROR(__xludf.DUMMYFUNCTION("GOOGLETRANSLATE($A981,""en"",""pt-BR"")"),"Kaoh Kong [Kaôh Kŏng]")</f>
        <v>Kaoh Kong [Kaôh Kŏng]</v>
      </c>
    </row>
    <row r="982">
      <c r="A982" s="9" t="str">
        <f>IFERROR(__xludf.DUMMYFUNCTION("""COMPUTED_VALUE"""),"Kracheh [Krâchéh]")</f>
        <v>Kracheh [Krâchéh]</v>
      </c>
      <c r="B982" s="9" t="str">
        <f>IFERROR(__xludf.DUMMYFUNCTION("""COMPUTED_VALUE"""),"kh-10")</f>
        <v>kh-10</v>
      </c>
      <c r="C982" s="9" t="str">
        <f>IFERROR(__xludf.DUMMYFUNCTION("GOOGLETRANSLATE($A982,""en"",""de"")"),"Kracheh [Krâchéh]")</f>
        <v>Kracheh [Krâchéh]</v>
      </c>
      <c r="D982" s="9" t="str">
        <f>IFERROR(__xludf.DUMMYFUNCTION("GOOGLETRANSLATE($A982,""en"",""fr"")"),"Kracheh [Krâchéh]")</f>
        <v>Kracheh [Krâchéh]</v>
      </c>
      <c r="E982" s="9" t="str">
        <f>IFERROR(__xludf.DUMMYFUNCTION("GOOGLETRANSLATE($A982,""en"",""es"")"),"Kracheh [Krâchéh]")</f>
        <v>Kracheh [Krâchéh]</v>
      </c>
      <c r="F982" s="9" t="str">
        <f>IFERROR(__xludf.DUMMYFUNCTION("GOOGLETRANSLATE($A982,""en"",""it"")"),"Kracheh [Krâchéh]")</f>
        <v>Kracheh [Krâchéh]</v>
      </c>
      <c r="G982" s="9" t="str">
        <f>IFERROR(__xludf.DUMMYFUNCTION("GOOGLETRANSLATE($A982,""en"",""zh-cn"")"),"克拉奇 [Krâchéh]")</f>
        <v>克拉奇 [Krâchéh]</v>
      </c>
      <c r="H982" s="9" t="str">
        <f>IFERROR(__xludf.DUMMYFUNCTION("GOOGLETRANSLATE($A982,""en"",""ja"")"),"クラチェ [クラチェ]")</f>
        <v>クラチェ [クラチェ]</v>
      </c>
      <c r="I982" s="9" t="str">
        <f>IFERROR(__xludf.DUMMYFUNCTION("GOOGLETRANSLATE($A982,""en"",""ko"")"),"크라체 [Krâchéh]")</f>
        <v>크라체 [Krâchéh]</v>
      </c>
      <c r="J982" s="9" t="str">
        <f>IFERROR(__xludf.DUMMYFUNCTION("GOOGLETRANSLATE($A982,""en"",""pt-BR"")"),"Kracheh [Krâchéh]")</f>
        <v>Kracheh [Krâchéh]</v>
      </c>
    </row>
    <row r="983">
      <c r="A983" s="9" t="str">
        <f>IFERROR(__xludf.DUMMYFUNCTION("""COMPUTED_VALUE"""),"Prey Veaeng [Prey Vêng]")</f>
        <v>Prey Veaeng [Prey Vêng]</v>
      </c>
      <c r="B983" s="9" t="str">
        <f>IFERROR(__xludf.DUMMYFUNCTION("""COMPUTED_VALUE"""),"kh-14")</f>
        <v>kh-14</v>
      </c>
      <c r="C983" s="9" t="str">
        <f>IFERROR(__xludf.DUMMYFUNCTION("GOOGLETRANSLATE($A983,""en"",""de"")"),"Beute Veaeng [Beute Vêng]")</f>
        <v>Beute Veaeng [Beute Vêng]</v>
      </c>
      <c r="D983" s="9" t="str">
        <f>IFERROR(__xludf.DUMMYFUNCTION("GOOGLETRANSLATE($A983,""en"",""fr"")"),"Prey Veaeng [Prey Vêng]")</f>
        <v>Prey Veaeng [Prey Vêng]</v>
      </c>
      <c r="E983" s="9" t="str">
        <f>IFERROR(__xludf.DUMMYFUNCTION("GOOGLETRANSLATE($A983,""en"",""es"")"),"Presa Veaeng [Prey Vêng]")</f>
        <v>Presa Veaeng [Prey Vêng]</v>
      </c>
      <c r="F983" s="9" t="str">
        <f>IFERROR(__xludf.DUMMYFUNCTION("GOOGLETRANSLATE($A983,""en"",""it"")"),"Preda Veaeng [Preda Vêng]")</f>
        <v>Preda Veaeng [Preda Vêng]</v>
      </c>
      <c r="G983" s="9" t="str">
        <f>IFERROR(__xludf.DUMMYFUNCTION("GOOGLETRANSLATE($A983,""en"",""zh-cn"")"),"普雷·维恩 [Prey Vêng]")</f>
        <v>普雷·维恩 [Prey Vêng]</v>
      </c>
      <c r="H983" s="9" t="str">
        <f>IFERROR(__xludf.DUMMYFUNCTION("GOOGLETRANSLATE($A983,""en"",""ja"")"),"Prey Veaeng [プレイ ヴェーン]")</f>
        <v>Prey Veaeng [プレイ ヴェーン]</v>
      </c>
      <c r="I983" s="9" t="str">
        <f>IFERROR(__xludf.DUMMYFUNCTION("GOOGLETRANSLATE($A983,""en"",""ko"")"),"Prey Veaeng [Prey Vêng]")</f>
        <v>Prey Veaeng [Prey Vêng]</v>
      </c>
      <c r="J983" s="9" t="str">
        <f>IFERROR(__xludf.DUMMYFUNCTION("GOOGLETRANSLATE($A983,""en"",""pt-BR"")"),"Prey Veaeng [Prey Vêng]")</f>
        <v>Prey Veaeng [Prey Vêng]</v>
      </c>
    </row>
    <row r="984">
      <c r="A984" s="9" t="str">
        <f>IFERROR(__xludf.DUMMYFUNCTION("""COMPUTED_VALUE"""),"Krong Kaeb [Krŏng Kêb]")</f>
        <v>Krong Kaeb [Krŏng Kêb]</v>
      </c>
      <c r="B984" s="9" t="str">
        <f>IFERROR(__xludf.DUMMYFUNCTION("""COMPUTED_VALUE"""),"kh-23")</f>
        <v>kh-23</v>
      </c>
      <c r="C984" s="9" t="str">
        <f>IFERROR(__xludf.DUMMYFUNCTION("GOOGLETRANSLATE($A984,""en"",""de"")"),"Krong Kaeb [Krŏng Kêb]")</f>
        <v>Krong Kaeb [Krŏng Kêb]</v>
      </c>
      <c r="D984" s="9" t="str">
        <f>IFERROR(__xludf.DUMMYFUNCTION("GOOGLETRANSLATE($A984,""en"",""fr"")"),"Krong Kaeb [Krŏng Kêb]")</f>
        <v>Krong Kaeb [Krŏng Kêb]</v>
      </c>
      <c r="E984" s="9" t="str">
        <f>IFERROR(__xludf.DUMMYFUNCTION("GOOGLETRANSLATE($A984,""en"",""es"")"),"Krong Kaeb [Krŏng Kêb]")</f>
        <v>Krong Kaeb [Krŏng Kêb]</v>
      </c>
      <c r="F984" s="9" t="str">
        <f>IFERROR(__xludf.DUMMYFUNCTION("GOOGLETRANSLATE($A984,""en"",""it"")"),"Krong Kaeb [Krŏng Kêb]")</f>
        <v>Krong Kaeb [Krŏng Kêb]</v>
      </c>
      <c r="G984" s="9" t="str">
        <f>IFERROR(__xludf.DUMMYFUNCTION("GOOGLETRANSLATE($A984,""en"",""zh-cn"")"),"Krong Kaeb [Krŏng Kêb]")</f>
        <v>Krong Kaeb [Krŏng Kêb]</v>
      </c>
      <c r="H984" s="9" t="str">
        <f>IFERROR(__xludf.DUMMYFUNCTION("GOOGLETRANSLATE($A984,""en"",""ja"")"),"クロン・ケーブ [Krŏng Kêb]")</f>
        <v>クロン・ケーブ [Krŏng Kêb]</v>
      </c>
      <c r="I984" s="9" t="str">
        <f>IFERROR(__xludf.DUMMYFUNCTION("GOOGLETRANSLATE($A984,""en"",""ko"")"),"Krong Kaeb [크롱 케브]")</f>
        <v>Krong Kaeb [크롱 케브]</v>
      </c>
      <c r="J984" s="9" t="str">
        <f>IFERROR(__xludf.DUMMYFUNCTION("GOOGLETRANSLATE($A984,""en"",""pt-BR"")"),"Krong Kaeb [Krŏng Kêb]")</f>
        <v>Krong Kaeb [Krŏng Kêb]</v>
      </c>
    </row>
    <row r="985">
      <c r="A985" s="9" t="str">
        <f>IFERROR(__xludf.DUMMYFUNCTION("""COMPUTED_VALUE"""),"Krong Pailin [Krŏng Pailĭn]")</f>
        <v>Krong Pailin [Krŏng Pailĭn]</v>
      </c>
      <c r="B985" s="9" t="str">
        <f>IFERROR(__xludf.DUMMYFUNCTION("""COMPUTED_VALUE"""),"kh-24")</f>
        <v>kh-24</v>
      </c>
      <c r="C985" s="9" t="str">
        <f>IFERROR(__xludf.DUMMYFUNCTION("GOOGLETRANSLATE($A985,""en"",""de"")"),"Krong Pailin [Krŏng Pailĭn]")</f>
        <v>Krong Pailin [Krŏng Pailĭn]</v>
      </c>
      <c r="D985" s="9" t="str">
        <f>IFERROR(__xludf.DUMMYFUNCTION("GOOGLETRANSLATE($A985,""en"",""fr"")"),"Krong Pailin [Krŏng Pailĭn]")</f>
        <v>Krong Pailin [Krŏng Pailĭn]</v>
      </c>
      <c r="E985" s="9" t="str">
        <f>IFERROR(__xludf.DUMMYFUNCTION("GOOGLETRANSLATE($A985,""en"",""es"")"),"Krong Pailin [Krong Pailĭn]")</f>
        <v>Krong Pailin [Krong Pailĭn]</v>
      </c>
      <c r="F985" s="9" t="str">
        <f>IFERROR(__xludf.DUMMYFUNCTION("GOOGLETRANSLATE($A985,""en"",""it"")"),"Krong Pailin [Krŏng Pailĭn]")</f>
        <v>Krong Pailin [Krŏng Pailĭn]</v>
      </c>
      <c r="G985" s="9" t="str">
        <f>IFERROR(__xludf.DUMMYFUNCTION("GOOGLETRANSLATE($A985,""en"",""zh-cn"")"),"拜林 [Krŏng Pailĭn]")</f>
        <v>拜林 [Krŏng Pailĭn]</v>
      </c>
      <c r="H985" s="9" t="str">
        <f>IFERROR(__xludf.DUMMYFUNCTION("GOOGLETRANSLATE($A985,""en"",""ja"")"),"クロン・パイリン [クロン・パイリン]")</f>
        <v>クロン・パイリン [クロン・パイリン]</v>
      </c>
      <c r="I985" s="9" t="str">
        <f>IFERROR(__xludf.DUMMYFUNCTION("GOOGLETRANSLATE($A985,""en"",""ko"")"),"크롱 파일린 [Krông Pailĭn]")</f>
        <v>크롱 파일린 [Krông Pailĭn]</v>
      </c>
      <c r="J985" s="9" t="str">
        <f>IFERROR(__xludf.DUMMYFUNCTION("GOOGLETRANSLATE($A985,""en"",""pt-BR"")"),"Krong Pailin [Krŏng Pailĭn]")</f>
        <v>Krong Pailin [Krŏng Pailĭn]</v>
      </c>
    </row>
    <row r="986">
      <c r="A986" s="9" t="str">
        <f>IFERROR(__xludf.DUMMYFUNCTION("""COMPUTED_VALUE"""),"Siem Reab [Siĕmréab]")</f>
        <v>Siem Reab [Siĕmréab]</v>
      </c>
      <c r="B986" s="9" t="str">
        <f>IFERROR(__xludf.DUMMYFUNCTION("""COMPUTED_VALUE"""),"kh-17")</f>
        <v>kh-17</v>
      </c>
      <c r="C986" s="9" t="str">
        <f>IFERROR(__xludf.DUMMYFUNCTION("GOOGLETRANSLATE($A986,""en"",""de"")"),"Siem Reab [Siĕmréab]")</f>
        <v>Siem Reab [Siĕmréab]</v>
      </c>
      <c r="D986" s="9" t="str">
        <f>IFERROR(__xludf.DUMMYFUNCTION("GOOGLETRANSLATE($A986,""en"",""fr"")"),"Siem Reab [Siĕmréab]")</f>
        <v>Siem Reab [Siĕmréab]</v>
      </c>
      <c r="E986" s="9" t="str">
        <f>IFERROR(__xludf.DUMMYFUNCTION("GOOGLETRANSLATE($A986,""en"",""es"")"),"Siem Reab")</f>
        <v>Siem Reab</v>
      </c>
      <c r="F986" s="9" t="str">
        <f>IFERROR(__xludf.DUMMYFUNCTION("GOOGLETRANSLATE($A986,""en"",""it"")"),"Siem Reab [Siĕmréab]")</f>
        <v>Siem Reab [Siĕmréab]</v>
      </c>
      <c r="G986" s="9" t="str">
        <f>IFERROR(__xludf.DUMMYFUNCTION("GOOGLETRANSLATE($A986,""en"",""zh-cn"")"),"暹粒 [Siĕmréab]")</f>
        <v>暹粒 [Siĕmréab]</v>
      </c>
      <c r="H986" s="9" t="str">
        <f>IFERROR(__xludf.DUMMYFUNCTION("GOOGLETRANSLATE($A986,""en"",""ja"")"),"シェムリーブ [シェムレアブ]")</f>
        <v>シェムリーブ [シェムレアブ]</v>
      </c>
      <c r="I986" s="9" t="str">
        <f>IFERROR(__xludf.DUMMYFUNCTION("GOOGLETRANSLATE($A986,""en"",""ko"")"),"씨엠립 [Siĕmréab]")</f>
        <v>씨엠립 [Siĕmréab]</v>
      </c>
      <c r="J986" s="9" t="str">
        <f>IFERROR(__xludf.DUMMYFUNCTION("GOOGLETRANSLATE($A986,""en"",""pt-BR"")"),"Siem Reab [Siĕmréab]")</f>
        <v>Siem Reab [Siĕmréab]</v>
      </c>
    </row>
    <row r="987">
      <c r="A987" s="9" t="str">
        <f>IFERROR(__xludf.DUMMYFUNCTION("""COMPUTED_VALUE"""),"Preah Vihear [Preăh Vihéar]")</f>
        <v>Preah Vihear [Preăh Vihéar]</v>
      </c>
      <c r="B987" s="9" t="str">
        <f>IFERROR(__xludf.DUMMYFUNCTION("""COMPUTED_VALUE"""),"kh-13")</f>
        <v>kh-13</v>
      </c>
      <c r="C987" s="9" t="str">
        <f>IFERROR(__xludf.DUMMYFUNCTION("GOOGLETRANSLATE($A987,""en"",""de"")"),"Preah Vihear [Preăh Vihéar]")</f>
        <v>Preah Vihear [Preăh Vihéar]</v>
      </c>
      <c r="D987" s="9" t="str">
        <f>IFERROR(__xludf.DUMMYFUNCTION("GOOGLETRANSLATE($A987,""en"",""fr"")"),"Préah Vihéar [Preah Vihéar]")</f>
        <v>Préah Vihéar [Preah Vihéar]</v>
      </c>
      <c r="E987" s="9" t="str">
        <f>IFERROR(__xludf.DUMMYFUNCTION("GOOGLETRANSLATE($A987,""en"",""es"")"),"Preah Vihear [Preăh Vihéar]")</f>
        <v>Preah Vihear [Preăh Vihéar]</v>
      </c>
      <c r="F987" s="9" t="str">
        <f>IFERROR(__xludf.DUMMYFUNCTION("GOOGLETRANSLATE($A987,""en"",""it"")"),"Preah Vihear [Preah Vihear]")</f>
        <v>Preah Vihear [Preah Vihear]</v>
      </c>
      <c r="G987" s="9" t="str">
        <f>IFERROR(__xludf.DUMMYFUNCTION("GOOGLETRANSLATE($A987,""en"",""zh-cn"")"),"柏威夏 [Preăh Vihéar]")</f>
        <v>柏威夏 [Preăh Vihéar]</v>
      </c>
      <c r="H987" s="9" t="str">
        <f>IFERROR(__xludf.DUMMYFUNCTION("GOOGLETRANSLATE($A987,""en"",""ja"")"),"プレア ヴィヒア [プレア ヴィヒア]")</f>
        <v>プレア ヴィヒア [プレア ヴィヒア]</v>
      </c>
      <c r="I987" s="9" t="str">
        <f>IFERROR(__xludf.DUMMYFUNCTION("GOOGLETRANSLATE($A987,""en"",""ko"")"),"프레아 비헤아르 [Preăh Vihéar]")</f>
        <v>프레아 비헤아르 [Preăh Vihéar]</v>
      </c>
      <c r="J987" s="9" t="str">
        <f>IFERROR(__xludf.DUMMYFUNCTION("GOOGLETRANSLATE($A987,""en"",""pt-BR"")"),"Preah Vihear [Preah Vihéar]")</f>
        <v>Preah Vihear [Preah Vihéar]</v>
      </c>
    </row>
    <row r="988">
      <c r="A988" s="9" t="str">
        <f>IFERROR(__xludf.DUMMYFUNCTION("""COMPUTED_VALUE"""),"Otdar Mean Chey [Ŏtdâr Méanchey]")</f>
        <v>Otdar Mean Chey [Ŏtdâr Méanchey]</v>
      </c>
      <c r="B988" s="9" t="str">
        <f>IFERROR(__xludf.DUMMYFUNCTION("""COMPUTED_VALUE"""),"kh-22")</f>
        <v>kh-22</v>
      </c>
      <c r="C988" s="9" t="str">
        <f>IFERROR(__xludf.DUMMYFUNCTION("GOOGLETRANSLATE($A988,""en"",""de"")"),"Otdar Mean Chey [Ŏtdâr Méanchey]")</f>
        <v>Otdar Mean Chey [Ŏtdâr Méanchey]</v>
      </c>
      <c r="D988" s="9" t="str">
        <f>IFERROR(__xludf.DUMMYFUNCTION("GOOGLETRANSLATE($A988,""en"",""fr"")"),"Otdar Mean Chey [Ŏtdâr Méanchey]")</f>
        <v>Otdar Mean Chey [Ŏtdâr Méanchey]</v>
      </c>
      <c r="E988" s="9" t="str">
        <f>IFERROR(__xludf.DUMMYFUNCTION("GOOGLETRANSLATE($A988,""en"",""es"")"),"Otdar Mean Chey [Ŏtdâr Méanchey]")</f>
        <v>Otdar Mean Chey [Ŏtdâr Méanchey]</v>
      </c>
      <c r="F988" s="9" t="str">
        <f>IFERROR(__xludf.DUMMYFUNCTION("GOOGLETRANSLATE($A988,""en"",""it"")"),"Otdar Mean Chey [Ŏtdâr Méanchey]")</f>
        <v>Otdar Mean Chey [Ŏtdâr Méanchey]</v>
      </c>
      <c r="G988" s="9" t="str">
        <f>IFERROR(__xludf.DUMMYFUNCTION("GOOGLETRANSLATE($A988,""en"",""zh-cn"")"),"奥特达尔·米安奇 [Ŏtdâr Méanchey]")</f>
        <v>奥特达尔·米安奇 [Ŏtdâr Méanchey]</v>
      </c>
      <c r="H988" s="9" t="str">
        <f>IFERROR(__xludf.DUMMYFUNCTION("GOOGLETRANSLATE($A988,""en"",""ja"")"),"オトダル・メーン・チェイ [Ŏtdâr Mean Chey]")</f>
        <v>オトダル・メーン・チェイ [Ŏtdâr Mean Chey]</v>
      </c>
      <c r="I988" s="9" t="str">
        <f>IFERROR(__xludf.DUMMYFUNCTION("GOOGLETRANSLATE($A988,""en"",""ko"")"),"Otdar Mean Chey [Ŏtdâr Méanchey]")</f>
        <v>Otdar Mean Chey [Ŏtdâr Méanchey]</v>
      </c>
      <c r="J988" s="9" t="str">
        <f>IFERROR(__xludf.DUMMYFUNCTION("GOOGLETRANSLATE($A988,""en"",""pt-BR"")"),"Otdar Mean Chey [Ŏtdar Méanchey]")</f>
        <v>Otdar Mean Chey [Ŏtdar Méanchey]</v>
      </c>
    </row>
    <row r="989">
      <c r="A989" s="9" t="str">
        <f>IFERROR(__xludf.DUMMYFUNCTION("""COMPUTED_VALUE"""),"Kampong Spueu [Kâmpóng Spoe]")</f>
        <v>Kampong Spueu [Kâmpóng Spoe]</v>
      </c>
      <c r="B989" s="9" t="str">
        <f>IFERROR(__xludf.DUMMYFUNCTION("""COMPUTED_VALUE"""),"kh-5")</f>
        <v>kh-5</v>
      </c>
      <c r="C989" s="9" t="str">
        <f>IFERROR(__xludf.DUMMYFUNCTION("GOOGLETRANSLATE($A989,""en"",""de"")"),"Kampong Spueu [Kâmpóng Spoe]")</f>
        <v>Kampong Spueu [Kâmpóng Spoe]</v>
      </c>
      <c r="D989" s="9" t="str">
        <f>IFERROR(__xludf.DUMMYFUNCTION("GOOGLETRANSLATE($A989,""en"",""fr"")"),"Kampong Spueu [Kâmpóng Spoe]")</f>
        <v>Kampong Spueu [Kâmpóng Spoe]</v>
      </c>
      <c r="E989" s="9" t="str">
        <f>IFERROR(__xludf.DUMMYFUNCTION("GOOGLETRANSLATE($A989,""en"",""es"")"),"Kampong Spueu [Kâmpóng Spoe]")</f>
        <v>Kampong Spueu [Kâmpóng Spoe]</v>
      </c>
      <c r="F989" s="9" t="str">
        <f>IFERROR(__xludf.DUMMYFUNCTION("GOOGLETRANSLATE($A989,""en"",""it"")"),"Kampong Spueu [Kâmpóng Spoe]")</f>
        <v>Kampong Spueu [Kâmpóng Spoe]</v>
      </c>
      <c r="G989" s="9" t="str">
        <f>IFERROR(__xludf.DUMMYFUNCTION("GOOGLETRANSLATE($A989,""en"",""zh-cn"")"),"Kampong Spueu [Kampong Spoe]")</f>
        <v>Kampong Spueu [Kampong Spoe]</v>
      </c>
      <c r="H989" s="9" t="str">
        <f>IFERROR(__xludf.DUMMYFUNCTION("GOOGLETRANSLATE($A989,""en"",""ja"")"),"カンポン・スプー [カンポン・スポイ]")</f>
        <v>カンポン・スプー [カンポン・スポイ]</v>
      </c>
      <c r="I989" s="9" t="str">
        <f>IFERROR(__xludf.DUMMYFUNCTION("GOOGLETRANSLATE($A989,""en"",""ko"")"),"Kampong Spueu [캄퐁 스포에]")</f>
        <v>Kampong Spueu [캄퐁 스포에]</v>
      </c>
      <c r="J989" s="9" t="str">
        <f>IFERROR(__xludf.DUMMYFUNCTION("GOOGLETRANSLATE($A989,""en"",""pt-BR"")"),"Kampong Spueu [Kampong Spoe]")</f>
        <v>Kampong Spueu [Kampong Spoe]</v>
      </c>
    </row>
    <row r="990">
      <c r="A990" s="9" t="str">
        <f>IFERROR(__xludf.DUMMYFUNCTION("""COMPUTED_VALUE"""),"Kampot [Kâmpôt]")</f>
        <v>Kampot [Kâmpôt]</v>
      </c>
      <c r="B990" s="9" t="str">
        <f>IFERROR(__xludf.DUMMYFUNCTION("""COMPUTED_VALUE"""),"kh-7")</f>
        <v>kh-7</v>
      </c>
      <c r="C990" s="9" t="str">
        <f>IFERROR(__xludf.DUMMYFUNCTION("GOOGLETRANSLATE($A990,""en"",""de"")"),"Kampot [Kâmpôt]")</f>
        <v>Kampot [Kâmpôt]</v>
      </c>
      <c r="D990" s="9" t="str">
        <f>IFERROR(__xludf.DUMMYFUNCTION("GOOGLETRANSLATE($A990,""en"",""fr"")"),"Kampot [Kâmpôt]")</f>
        <v>Kampot [Kâmpôt]</v>
      </c>
      <c r="E990" s="9" t="str">
        <f>IFERROR(__xludf.DUMMYFUNCTION("GOOGLETRANSLATE($A990,""en"",""es"")"),"Kampot [Kâmpôt]")</f>
        <v>Kampot [Kâmpôt]</v>
      </c>
      <c r="F990" s="9" t="str">
        <f>IFERROR(__xludf.DUMMYFUNCTION("GOOGLETRANSLATE($A990,""en"",""it"")"),"Kampot [Kâmpôt]")</f>
        <v>Kampot [Kâmpôt]</v>
      </c>
      <c r="G990" s="9" t="str">
        <f>IFERROR(__xludf.DUMMYFUNCTION("GOOGLETRANSLATE($A990,""en"",""zh-cn"")"),"贡布 [Kâmpôt]")</f>
        <v>贡布 [Kâmpôt]</v>
      </c>
      <c r="H990" s="9" t="str">
        <f>IFERROR(__xludf.DUMMYFUNCTION("GOOGLETRANSLATE($A990,""en"",""ja"")"),"カンポット [カンポット]")</f>
        <v>カンポット [カンポット]</v>
      </c>
      <c r="I990" s="9" t="str">
        <f>IFERROR(__xludf.DUMMYFUNCTION("GOOGLETRANSLATE($A990,""en"",""ko"")"),"Kampot [Kâmpôt]")</f>
        <v>Kampot [Kâmpôt]</v>
      </c>
      <c r="J990" s="9" t="str">
        <f>IFERROR(__xludf.DUMMYFUNCTION("GOOGLETRANSLATE($A990,""en"",""pt-BR"")"),"Kampot [Kâmpot]")</f>
        <v>Kampot [Kâmpot]</v>
      </c>
    </row>
    <row r="991">
      <c r="A991" s="9" t="str">
        <f>IFERROR(__xludf.DUMMYFUNCTION("""COMPUTED_VALUE"""),"Mondol Kiri [Môndól Kiri]")</f>
        <v>Mondol Kiri [Môndól Kiri]</v>
      </c>
      <c r="B991" s="9" t="str">
        <f>IFERROR(__xludf.DUMMYFUNCTION("""COMPUTED_VALUE"""),"kh-11")</f>
        <v>kh-11</v>
      </c>
      <c r="C991" s="9" t="str">
        <f>IFERROR(__xludf.DUMMYFUNCTION("GOOGLETRANSLATE($A991,""en"",""de"")"),"Mondol Kiri [Môndól Kiri]")</f>
        <v>Mondol Kiri [Môndól Kiri]</v>
      </c>
      <c r="D991" s="9" t="str">
        <f>IFERROR(__xludf.DUMMYFUNCTION("GOOGLETRANSLATE($A991,""en"",""fr"")"),"Mondol Kiri [Môndól Kiri]")</f>
        <v>Mondol Kiri [Môndól Kiri]</v>
      </c>
      <c r="E991" s="9" t="str">
        <f>IFERROR(__xludf.DUMMYFUNCTION("GOOGLETRANSLATE($A991,""en"",""es"")"),"Mondol Kiri [Môndól Kiri]")</f>
        <v>Mondol Kiri [Môndól Kiri]</v>
      </c>
      <c r="F991" s="9" t="str">
        <f>IFERROR(__xludf.DUMMYFUNCTION("GOOGLETRANSLATE($A991,""en"",""it"")"),"Mondol Kiri [Môndól Kiri]")</f>
        <v>Mondol Kiri [Môndól Kiri]</v>
      </c>
      <c r="G991" s="9" t="str">
        <f>IFERROR(__xludf.DUMMYFUNCTION("GOOGLETRANSLATE($A991,""en"",""zh-cn"")"),"蒙多尔基里 [Môndól Kiri]")</f>
        <v>蒙多尔基里 [Môndól Kiri]</v>
      </c>
      <c r="H991" s="9" t="str">
        <f>IFERROR(__xludf.DUMMYFUNCTION("GOOGLETRANSLATE($A991,""en"",""ja"")"),"モンドール・キリ [モンドール・キリ]")</f>
        <v>モンドール・キリ [モンドール・キリ]</v>
      </c>
      <c r="I991" s="9" t="str">
        <f>IFERROR(__xludf.DUMMYFUNCTION("GOOGLETRANSLATE($A991,""en"",""ko"")"),"몬돌 키리 [Môndól Kiri]")</f>
        <v>몬돌 키리 [Môndól Kiri]</v>
      </c>
      <c r="J991" s="9" t="str">
        <f>IFERROR(__xludf.DUMMYFUNCTION("GOOGLETRANSLATE($A991,""en"",""pt-BR"")"),"Mondol Kiri [Môndol Kiri]")</f>
        <v>Mondol Kiri [Môndol Kiri]</v>
      </c>
    </row>
    <row r="992">
      <c r="A992" s="9" t="str">
        <f>IFERROR(__xludf.DUMMYFUNCTION("""COMPUTED_VALUE"""),"Kampong Chaam [Kâmpóng Cham]")</f>
        <v>Kampong Chaam [Kâmpóng Cham]</v>
      </c>
      <c r="B992" s="9" t="str">
        <f>IFERROR(__xludf.DUMMYFUNCTION("""COMPUTED_VALUE"""),"kh-3")</f>
        <v>kh-3</v>
      </c>
      <c r="C992" s="9" t="str">
        <f>IFERROR(__xludf.DUMMYFUNCTION("GOOGLETRANSLATE($A992,""en"",""de"")"),"Kampong Chaam [Kâmpóng Cham]")</f>
        <v>Kampong Chaam [Kâmpóng Cham]</v>
      </c>
      <c r="D992" s="9" t="str">
        <f>IFERROR(__xludf.DUMMYFUNCTION("GOOGLETRANSLATE($A992,""en"",""fr"")"),"Kampong Chaam [Kâmpóng Cham]")</f>
        <v>Kampong Chaam [Kâmpóng Cham]</v>
      </c>
      <c r="E992" s="9" t="str">
        <f>IFERROR(__xludf.DUMMYFUNCTION("GOOGLETRANSLATE($A992,""en"",""es"")"),"Kampong Chaam [Kâmpóng Cham]")</f>
        <v>Kampong Chaam [Kâmpóng Cham]</v>
      </c>
      <c r="F992" s="9" t="str">
        <f>IFERROR(__xludf.DUMMYFUNCTION("GOOGLETRANSLATE($A992,""en"",""it"")"),"Kampong Chaam [Kâmpóng Cham]")</f>
        <v>Kampong Chaam [Kâmpóng Cham]</v>
      </c>
      <c r="G992" s="9" t="str">
        <f>IFERROR(__xludf.DUMMYFUNCTION("GOOGLETRANSLATE($A992,""en"",""zh-cn"")"),"磅湛 [Kâmpong Cham]")</f>
        <v>磅湛 [Kâmpong Cham]</v>
      </c>
      <c r="H992" s="9" t="str">
        <f>IFERROR(__xludf.DUMMYFUNCTION("GOOGLETRANSLATE($A992,""en"",""ja"")"),"コンポン チャム [コンポン チャム]")</f>
        <v>コンポン チャム [コンポン チャム]</v>
      </c>
      <c r="I992" s="9" t="str">
        <f>IFERROR(__xludf.DUMMYFUNCTION("GOOGLETRANSLATE($A992,""en"",""ko"")"),"캄퐁참 [Kâmpong Cham]")</f>
        <v>캄퐁참 [Kâmpong Cham]</v>
      </c>
      <c r="J992" s="9" t="str">
        <f>IFERROR(__xludf.DUMMYFUNCTION("GOOGLETRANSLATE($A992,""en"",""pt-BR"")"),"Kampong Chaam [Kampong Cham]")</f>
        <v>Kampong Chaam [Kampong Cham]</v>
      </c>
    </row>
    <row r="993">
      <c r="A993" s="9" t="str">
        <f>IFERROR(__xludf.DUMMYFUNCTION("""COMPUTED_VALUE"""),"Svaay Rieng [Svay Riĕng]")</f>
        <v>Svaay Rieng [Svay Riĕng]</v>
      </c>
      <c r="B993" s="9" t="str">
        <f>IFERROR(__xludf.DUMMYFUNCTION("""COMPUTED_VALUE"""),"kh-20")</f>
        <v>kh-20</v>
      </c>
      <c r="C993" s="9" t="str">
        <f>IFERROR(__xludf.DUMMYFUNCTION("GOOGLETRANSLATE($A993,""en"",""de"")"),"Svaay Rieng [Svay Riĕng]")</f>
        <v>Svaay Rieng [Svay Riĕng]</v>
      </c>
      <c r="D993" s="9" t="str">
        <f>IFERROR(__xludf.DUMMYFUNCTION("GOOGLETRANSLATE($A993,""en"",""fr"")"),"Svaay Rieng [Svay Riĕng]")</f>
        <v>Svaay Rieng [Svay Riĕng]</v>
      </c>
      <c r="E993" s="9" t="str">
        <f>IFERROR(__xludf.DUMMYFUNCTION("GOOGLETRANSLATE($A993,""en"",""es"")"),"Svaay Rieng [Svay Riĕng]")</f>
        <v>Svaay Rieng [Svay Riĕng]</v>
      </c>
      <c r="F993" s="9" t="str">
        <f>IFERROR(__xludf.DUMMYFUNCTION("GOOGLETRANSLATE($A993,""en"",""it"")"),"Svaay Rieng [Svay Riĕng]")</f>
        <v>Svaay Rieng [Svay Riĕng]</v>
      </c>
      <c r="G993" s="9" t="str">
        <f>IFERROR(__xludf.DUMMYFUNCTION("GOOGLETRANSLATE($A993,""en"",""zh-cn"")"),"柴桢 [柴桢]")</f>
        <v>柴桢 [柴桢]</v>
      </c>
      <c r="H993" s="9" t="str">
        <f>IFERROR(__xludf.DUMMYFUNCTION("GOOGLETRANSLATE($A993,""en"",""ja"")"),"スヴァイリエン [スヴァイリエン]")</f>
        <v>スヴァイリエン [スヴァイリエン]</v>
      </c>
      <c r="I993" s="9" t="str">
        <f>IFERROR(__xludf.DUMMYFUNCTION("GOOGLETRANSLATE($A993,""en"",""ko"")"),"Svaay Rieng [Svay Riĕng]")</f>
        <v>Svaay Rieng [Svay Riĕng]</v>
      </c>
      <c r="J993" s="9" t="str">
        <f>IFERROR(__xludf.DUMMYFUNCTION("GOOGLETRANSLATE($A993,""en"",""pt-BR"")"),"Svaay Rieng [Svay Rieng]")</f>
        <v>Svaay Rieng [Svay Rieng]</v>
      </c>
    </row>
    <row r="994">
      <c r="A994" s="9" t="str">
        <f>IFERROR(__xludf.DUMMYFUNCTION("""COMPUTED_VALUE"""),"Rotanak Kiri [Rôtânôkiri]")</f>
        <v>Rotanak Kiri [Rôtânôkiri]</v>
      </c>
      <c r="B994" s="9" t="str">
        <f>IFERROR(__xludf.DUMMYFUNCTION("""COMPUTED_VALUE"""),"kh-16")</f>
        <v>kh-16</v>
      </c>
      <c r="C994" s="9" t="str">
        <f>IFERROR(__xludf.DUMMYFUNCTION("GOOGLETRANSLATE($A994,""en"",""de"")"),"Rotanak Kiri [Rôtânôkiri]")</f>
        <v>Rotanak Kiri [Rôtânôkiri]</v>
      </c>
      <c r="D994" s="9" t="str">
        <f>IFERROR(__xludf.DUMMYFUNCTION("GOOGLETRANSLATE($A994,""en"",""fr"")"),"Rotanak Kiri [Rôtânôkiri]")</f>
        <v>Rotanak Kiri [Rôtânôkiri]</v>
      </c>
      <c r="E994" s="9" t="str">
        <f>IFERROR(__xludf.DUMMYFUNCTION("GOOGLETRANSLATE($A994,""en"",""es"")"),"Rotanak Kiri [Rôtânôkiri]")</f>
        <v>Rotanak Kiri [Rôtânôkiri]</v>
      </c>
      <c r="F994" s="9" t="str">
        <f>IFERROR(__xludf.DUMMYFUNCTION("GOOGLETRANSLATE($A994,""en"",""it"")"),"Rotanak Kiri [Rôtânôkiri]")</f>
        <v>Rotanak Kiri [Rôtânôkiri]</v>
      </c>
      <c r="G994" s="9" t="str">
        <f>IFERROR(__xludf.DUMMYFUNCTION("GOOGLETRANSLATE($A994,""en"",""zh-cn"")"),"罗塔纳基里 [Rôtânôkiri]")</f>
        <v>罗塔纳基里 [Rôtânôkiri]</v>
      </c>
      <c r="H994" s="9" t="str">
        <f>IFERROR(__xludf.DUMMYFUNCTION("GOOGLETRANSLATE($A994,""en"",""ja"")"),"ロタナックキリ [ロタナキリ]")</f>
        <v>ロタナックキリ [ロタナキリ]</v>
      </c>
      <c r="I994" s="9" t="str">
        <f>IFERROR(__xludf.DUMMYFUNCTION("GOOGLETRANSLATE($A994,""en"",""ko"")"),"로타낙 키리 [Rôtânôkiri]")</f>
        <v>로타낙 키리 [Rôtânôkiri]</v>
      </c>
      <c r="J994" s="9" t="str">
        <f>IFERROR(__xludf.DUMMYFUNCTION("GOOGLETRANSLATE($A994,""en"",""pt-BR"")"),"Rotanak Kiri [Rôtânôkiri]")</f>
        <v>Rotanak Kiri [Rôtânôkiri]</v>
      </c>
    </row>
    <row r="995">
      <c r="A995" s="9" t="str">
        <f>IFERROR(__xludf.DUMMYFUNCTION("""COMPUTED_VALUE"""),"Stueng Traeng [Stœ̆ng Trêng]")</f>
        <v>Stueng Traeng [Stœ̆ng Trêng]</v>
      </c>
      <c r="B995" s="9" t="str">
        <f>IFERROR(__xludf.DUMMYFUNCTION("""COMPUTED_VALUE"""),"kh-19")</f>
        <v>kh-19</v>
      </c>
      <c r="C995" s="9" t="str">
        <f>IFERROR(__xludf.DUMMYFUNCTION("GOOGLETRANSLATE($A995,""en"",""de"")"),"Stueng Traeng [Stœ̆ng Trêng]")</f>
        <v>Stueng Traeng [Stœ̆ng Trêng]</v>
      </c>
      <c r="D995" s="9" t="str">
        <f>IFERROR(__xludf.DUMMYFUNCTION("GOOGLETRANSLATE($A995,""en"",""fr"")"),"Stueng Traeng [Stœ̆ng Trêng]")</f>
        <v>Stueng Traeng [Stœ̆ng Trêng]</v>
      </c>
      <c r="E995" s="9" t="str">
        <f>IFERROR(__xludf.DUMMYFUNCTION("GOOGLETRANSLATE($A995,""en"",""es"")"),"Stueng Traeng [Stœ̆ng Trêng]")</f>
        <v>Stueng Traeng [Stœ̆ng Trêng]</v>
      </c>
      <c r="F995" s="9" t="str">
        <f>IFERROR(__xludf.DUMMYFUNCTION("GOOGLETRANSLATE($A995,""en"",""it"")"),"Stueng Traeng [Stœ̆ng Trêng]")</f>
        <v>Stueng Traeng [Stœ̆ng Trêng]</v>
      </c>
      <c r="G995" s="9" t="str">
        <f>IFERROR(__xludf.DUMMYFUNCTION("GOOGLETRANSLATE($A995,""en"",""zh-cn"")"),"Stueng Traeng [Stœ̆ng Trêng]")</f>
        <v>Stueng Traeng [Stœ̆ng Trêng]</v>
      </c>
      <c r="H995" s="9" t="str">
        <f>IFERROR(__xludf.DUMMYFUNCTION("GOOGLETRANSLATE($A995,""en"",""ja"")"),"Stueng Traeng [Stœ̆ng Treng]")</f>
        <v>Stueng Traeng [Stœ̆ng Treng]</v>
      </c>
      <c r="I995" s="9" t="str">
        <f>IFERROR(__xludf.DUMMYFUNCTION("GOOGLETRANSLATE($A995,""en"",""ko"")"),"Stueng Traeng [Stœ̆ng Trêng]")</f>
        <v>Stueng Traeng [Stœ̆ng Trêng]</v>
      </c>
      <c r="J995" s="9" t="str">
        <f>IFERROR(__xludf.DUMMYFUNCTION("GOOGLETRANSLATE($A995,""en"",""pt-BR"")"),"Stueng Traeng [Stœ̆ng Trêng]")</f>
        <v>Stueng Traeng [Stœ̆ng Trêng]</v>
      </c>
    </row>
    <row r="996">
      <c r="A996" s="9" t="str">
        <f>IFERROR(__xludf.DUMMYFUNCTION("""COMPUTED_VALUE"""),"Krong Preah Sihanouk [Krŏng Preăh Sihanouk]")</f>
        <v>Krong Preah Sihanouk [Krŏng Preăh Sihanouk]</v>
      </c>
      <c r="B996" s="9" t="str">
        <f>IFERROR(__xludf.DUMMYFUNCTION("""COMPUTED_VALUE"""),"kh-18")</f>
        <v>kh-18</v>
      </c>
      <c r="C996" s="9" t="str">
        <f>IFERROR(__xludf.DUMMYFUNCTION("GOOGLETRANSLATE($A996,""en"",""de"")"),"Krong Preah Sihanouk [Krŏng Preăh Sihanouk]")</f>
        <v>Krong Preah Sihanouk [Krŏng Preăh Sihanouk]</v>
      </c>
      <c r="D996" s="9" t="str">
        <f>IFERROR(__xludf.DUMMYFUNCTION("GOOGLETRANSLATE($A996,""en"",""fr"")"),"Krong Preah Sihanouk [Krŏng Preăh Sihanouk]")</f>
        <v>Krong Preah Sihanouk [Krŏng Preăh Sihanouk]</v>
      </c>
      <c r="E996" s="9" t="str">
        <f>IFERROR(__xludf.DUMMYFUNCTION("GOOGLETRANSLATE($A996,""en"",""es"")"),"Krong Preah Sihanouk [Krong Preah Sihanouk]")</f>
        <v>Krong Preah Sihanouk [Krong Preah Sihanouk]</v>
      </c>
      <c r="F996" s="9" t="str">
        <f>IFERROR(__xludf.DUMMYFUNCTION("GOOGLETRANSLATE($A996,""en"",""it"")"),"Krong Preah Sihanouk [Krŏng Preah Sihanouk]")</f>
        <v>Krong Preah Sihanouk [Krŏng Preah Sihanouk]</v>
      </c>
      <c r="G996" s="9" t="str">
        <f>IFERROR(__xludf.DUMMYFUNCTION("GOOGLETRANSLATE($A996,""en"",""zh-cn"")"),"西哈努克城 [Krŏng Preăh Sihanouk]")</f>
        <v>西哈努克城 [Krŏng Preăh Sihanouk]</v>
      </c>
      <c r="H996" s="9" t="str">
        <f>IFERROR(__xludf.DUMMYFUNCTION("GOOGLETRANSLATE($A996,""en"",""ja"")"),"クロン・プレア・シアヌーク [クロン・プレア・シアヌーク]")</f>
        <v>クロン・プレア・シアヌーク [クロン・プレア・シアヌーク]</v>
      </c>
      <c r="I996" s="9" t="str">
        <f>IFERROR(__xludf.DUMMYFUNCTION("GOOGLETRANSLATE($A996,""en"",""ko"")"),"Krong Preah Sihanouk [크롱 프레아 시아누크]")</f>
        <v>Krong Preah Sihanouk [크롱 프레아 시아누크]</v>
      </c>
      <c r="J996" s="9" t="str">
        <f>IFERROR(__xludf.DUMMYFUNCTION("GOOGLETRANSLATE($A996,""en"",""pt-BR"")"),"Krong Preah Sihanouk [Krŏng Preăh Sihanouk]")</f>
        <v>Krong Preah Sihanouk [Krŏng Preăh Sihanouk]</v>
      </c>
    </row>
    <row r="997">
      <c r="A997" s="9" t="str">
        <f>IFERROR(__xludf.DUMMYFUNCTION("""COMPUTED_VALUE"""),"Adamaoua")</f>
        <v>Adamaoua</v>
      </c>
      <c r="B997" s="9" t="str">
        <f>IFERROR(__xludf.DUMMYFUNCTION("""COMPUTED_VALUE"""),"cm-ad")</f>
        <v>cm-ad</v>
      </c>
      <c r="C997" s="9" t="str">
        <f>IFERROR(__xludf.DUMMYFUNCTION("GOOGLETRANSLATE($A997,""en"",""de"")"),"Adamaoua")</f>
        <v>Adamaoua</v>
      </c>
      <c r="D997" s="9" t="str">
        <f>IFERROR(__xludf.DUMMYFUNCTION("GOOGLETRANSLATE($A997,""en"",""fr"")"),"Adamaoua")</f>
        <v>Adamaoua</v>
      </c>
      <c r="E997" s="9" t="str">
        <f>IFERROR(__xludf.DUMMYFUNCTION("GOOGLETRANSLATE($A997,""en"",""es"")"),"Adamaoua")</f>
        <v>Adamaoua</v>
      </c>
      <c r="F997" s="9" t="str">
        <f>IFERROR(__xludf.DUMMYFUNCTION("GOOGLETRANSLATE($A997,""en"",""it"")"),"Adamaoua")</f>
        <v>Adamaoua</v>
      </c>
      <c r="G997" s="9" t="str">
        <f>IFERROR(__xludf.DUMMYFUNCTION("GOOGLETRANSLATE($A997,""en"",""zh-cn"")"),"阿达马瓦")</f>
        <v>阿达马瓦</v>
      </c>
      <c r="H997" s="9" t="str">
        <f>IFERROR(__xludf.DUMMYFUNCTION("GOOGLETRANSLATE($A997,""en"",""ja"")"),"アダマウア")</f>
        <v>アダマウア</v>
      </c>
      <c r="I997" s="9" t="str">
        <f>IFERROR(__xludf.DUMMYFUNCTION("GOOGLETRANSLATE($A997,""en"",""ko"")"),"아다마우아")</f>
        <v>아다마우아</v>
      </c>
      <c r="J997" s="9" t="str">
        <f>IFERROR(__xludf.DUMMYFUNCTION("GOOGLETRANSLATE($A997,""en"",""pt-BR"")"),"Adamaoua")</f>
        <v>Adamaoua</v>
      </c>
    </row>
    <row r="998">
      <c r="A998" s="9" t="str">
        <f>IFERROR(__xludf.DUMMYFUNCTION("""COMPUTED_VALUE"""),"Littoral (CM)")</f>
        <v>Littoral (CM)</v>
      </c>
      <c r="B998" s="9" t="str">
        <f>IFERROR(__xludf.DUMMYFUNCTION("""COMPUTED_VALUE"""),"cm-lt")</f>
        <v>cm-lt</v>
      </c>
      <c r="C998" s="9" t="str">
        <f>IFERROR(__xludf.DUMMYFUNCTION("GOOGLETRANSLATE($A998,""en"",""de"")"),"Küstengebiet (CM)")</f>
        <v>Küstengebiet (CM)</v>
      </c>
      <c r="D998" s="9" t="str">
        <f>IFERROR(__xludf.DUMMYFUNCTION("GOOGLETRANSLATE($A998,""en"",""fr"")"),"Littoral (CM)")</f>
        <v>Littoral (CM)</v>
      </c>
      <c r="E998" s="9" t="str">
        <f>IFERROR(__xludf.DUMMYFUNCTION("GOOGLETRANSLATE($A998,""en"",""es"")"),"Litoral (CM)")</f>
        <v>Litoral (CM)</v>
      </c>
      <c r="F998" s="9" t="str">
        <f>IFERROR(__xludf.DUMMYFUNCTION("GOOGLETRANSLATE($A998,""en"",""it"")"),"Litorale (CM)")</f>
        <v>Litorale (CM)</v>
      </c>
      <c r="G998" s="9" t="str">
        <f>IFERROR(__xludf.DUMMYFUNCTION("GOOGLETRANSLATE($A998,""en"",""zh-cn"")"),"滨海 (CM)")</f>
        <v>滨海 (CM)</v>
      </c>
      <c r="H998" s="9" t="str">
        <f>IFERROR(__xludf.DUMMYFUNCTION("GOOGLETRANSLATE($A998,""en"",""ja"")"),"沿岸 (CM)")</f>
        <v>沿岸 (CM)</v>
      </c>
      <c r="I998" s="9" t="str">
        <f>IFERROR(__xludf.DUMMYFUNCTION("GOOGLETRANSLATE($A998,""en"",""ko"")"),"연안(CM)")</f>
        <v>연안(CM)</v>
      </c>
      <c r="J998" s="9" t="str">
        <f>IFERROR(__xludf.DUMMYFUNCTION("GOOGLETRANSLATE($A998,""en"",""pt-BR"")"),"Litoral (CM)")</f>
        <v>Litoral (CM)</v>
      </c>
    </row>
    <row r="999">
      <c r="A999" s="9" t="str">
        <f>IFERROR(__xludf.DUMMYFUNCTION("""COMPUTED_VALUE"""),"East")</f>
        <v>East</v>
      </c>
      <c r="B999" s="9" t="str">
        <f>IFERROR(__xludf.DUMMYFUNCTION("""COMPUTED_VALUE"""),"cm-es")</f>
        <v>cm-es</v>
      </c>
      <c r="C999" s="9" t="str">
        <f>IFERROR(__xludf.DUMMYFUNCTION("GOOGLETRANSLATE($A999,""en"",""de"")"),"Ost")</f>
        <v>Ost</v>
      </c>
      <c r="D999" s="9" t="str">
        <f>IFERROR(__xludf.DUMMYFUNCTION("GOOGLETRANSLATE($A999,""en"",""fr"")"),"Est")</f>
        <v>Est</v>
      </c>
      <c r="E999" s="9" t="str">
        <f>IFERROR(__xludf.DUMMYFUNCTION("GOOGLETRANSLATE($A999,""en"",""es"")"),"Este")</f>
        <v>Este</v>
      </c>
      <c r="F999" s="9" t="str">
        <f>IFERROR(__xludf.DUMMYFUNCTION("GOOGLETRANSLATE($A999,""en"",""it"")"),"Est")</f>
        <v>Est</v>
      </c>
      <c r="G999" s="9" t="str">
        <f>IFERROR(__xludf.DUMMYFUNCTION("GOOGLETRANSLATE($A999,""en"",""zh-cn"")"),"东方")</f>
        <v>东方</v>
      </c>
      <c r="H999" s="9" t="str">
        <f>IFERROR(__xludf.DUMMYFUNCTION("GOOGLETRANSLATE($A999,""en"",""ja"")"),"東")</f>
        <v>東</v>
      </c>
      <c r="I999" s="9" t="str">
        <f>IFERROR(__xludf.DUMMYFUNCTION("GOOGLETRANSLATE($A999,""en"",""ko"")"),"동쪽")</f>
        <v>동쪽</v>
      </c>
      <c r="J999" s="9" t="str">
        <f>IFERROR(__xludf.DUMMYFUNCTION("GOOGLETRANSLATE($A999,""en"",""pt-BR"")"),"Leste")</f>
        <v>Leste</v>
      </c>
    </row>
    <row r="1000">
      <c r="A1000" s="9" t="str">
        <f>IFERROR(__xludf.DUMMYFUNCTION("""COMPUTED_VALUE"""),"South (CM)")</f>
        <v>South (CM)</v>
      </c>
      <c r="B1000" s="9" t="str">
        <f>IFERROR(__xludf.DUMMYFUNCTION("""COMPUTED_VALUE"""),"cm-su")</f>
        <v>cm-su</v>
      </c>
      <c r="C1000" s="9" t="str">
        <f>IFERROR(__xludf.DUMMYFUNCTION("GOOGLETRANSLATE($A1000,""en"",""de"")"),"Süden (CM)")</f>
        <v>Süden (CM)</v>
      </c>
      <c r="D1000" s="9" t="str">
        <f>IFERROR(__xludf.DUMMYFUNCTION("GOOGLETRANSLATE($A1000,""en"",""fr"")"),"Sud (CM)")</f>
        <v>Sud (CM)</v>
      </c>
      <c r="E1000" s="9" t="str">
        <f>IFERROR(__xludf.DUMMYFUNCTION("GOOGLETRANSLATE($A1000,""en"",""es"")"),"Sur (CM)")</f>
        <v>Sur (CM)</v>
      </c>
      <c r="F1000" s="9" t="str">
        <f>IFERROR(__xludf.DUMMYFUNCTION("GOOGLETRANSLATE($A1000,""en"",""it"")"),"Sud (CM)")</f>
        <v>Sud (CM)</v>
      </c>
      <c r="G1000" s="9" t="str">
        <f>IFERROR(__xludf.DUMMYFUNCTION("GOOGLETRANSLATE($A1000,""en"",""zh-cn"")"),"南（厘米）")</f>
        <v>南（厘米）</v>
      </c>
      <c r="H1000" s="9" t="str">
        <f>IFERROR(__xludf.DUMMYFUNCTION("GOOGLETRANSLATE($A1000,""en"",""ja"")"),"南（CM）")</f>
        <v>南（CM）</v>
      </c>
      <c r="I1000" s="9" t="str">
        <f>IFERROR(__xludf.DUMMYFUNCTION("GOOGLETRANSLATE($A1000,""en"",""ko"")"),"남부(CM)")</f>
        <v>남부(CM)</v>
      </c>
      <c r="J1000" s="9" t="str">
        <f>IFERROR(__xludf.DUMMYFUNCTION("GOOGLETRANSLATE($A1000,""en"",""pt-BR"")"),"Sul (CM)")</f>
        <v>Sul (CM)</v>
      </c>
    </row>
    <row r="1001">
      <c r="A1001" s="9" t="str">
        <f>IFERROR(__xludf.DUMMYFUNCTION("""COMPUTED_VALUE"""),"West")</f>
        <v>West</v>
      </c>
      <c r="B1001" s="9" t="str">
        <f>IFERROR(__xludf.DUMMYFUNCTION("""COMPUTED_VALUE"""),"cm-ou")</f>
        <v>cm-ou</v>
      </c>
      <c r="C1001" s="9" t="str">
        <f>IFERROR(__xludf.DUMMYFUNCTION("GOOGLETRANSLATE($A1001,""en"",""de"")"),"Westen")</f>
        <v>Westen</v>
      </c>
      <c r="D1001" s="9" t="str">
        <f>IFERROR(__xludf.DUMMYFUNCTION("GOOGLETRANSLATE($A1001,""en"",""fr"")"),"Ouest")</f>
        <v>Ouest</v>
      </c>
      <c r="E1001" s="9" t="str">
        <f>IFERROR(__xludf.DUMMYFUNCTION("GOOGLETRANSLATE($A1001,""en"",""es"")"),"Oeste")</f>
        <v>Oeste</v>
      </c>
      <c r="F1001" s="9" t="str">
        <f>IFERROR(__xludf.DUMMYFUNCTION("GOOGLETRANSLATE($A1001,""en"",""it"")"),"Ovest")</f>
        <v>Ovest</v>
      </c>
      <c r="G1001" s="9" t="str">
        <f>IFERROR(__xludf.DUMMYFUNCTION("GOOGLETRANSLATE($A1001,""en"",""zh-cn"")"),"西方")</f>
        <v>西方</v>
      </c>
      <c r="H1001" s="9" t="str">
        <f>IFERROR(__xludf.DUMMYFUNCTION("GOOGLETRANSLATE($A1001,""en"",""ja"")"),"西")</f>
        <v>西</v>
      </c>
      <c r="I1001" s="9" t="str">
        <f>IFERROR(__xludf.DUMMYFUNCTION("GOOGLETRANSLATE($A1001,""en"",""ko"")"),"서쪽")</f>
        <v>서쪽</v>
      </c>
      <c r="J1001" s="9" t="str">
        <f>IFERROR(__xludf.DUMMYFUNCTION("GOOGLETRANSLATE($A1001,""en"",""pt-BR"")"),"Oeste")</f>
        <v>Oeste</v>
      </c>
    </row>
    <row r="1002">
      <c r="A1002" s="9" t="str">
        <f>IFERROR(__xludf.DUMMYFUNCTION("""COMPUTED_VALUE"""),"North (CM)")</f>
        <v>North (CM)</v>
      </c>
      <c r="B1002" s="9" t="str">
        <f>IFERROR(__xludf.DUMMYFUNCTION("""COMPUTED_VALUE"""),"cm-no")</f>
        <v>cm-no</v>
      </c>
      <c r="C1002" s="9" t="str">
        <f>IFERROR(__xludf.DUMMYFUNCTION("GOOGLETRANSLATE($A1002,""en"",""de"")"),"Norden (cm)")</f>
        <v>Norden (cm)</v>
      </c>
      <c r="D1002" s="9" t="str">
        <f>IFERROR(__xludf.DUMMYFUNCTION("GOOGLETRANSLATE($A1002,""en"",""fr"")"),"Nord (CM)")</f>
        <v>Nord (CM)</v>
      </c>
      <c r="E1002" s="9" t="str">
        <f>IFERROR(__xludf.DUMMYFUNCTION("GOOGLETRANSLATE($A1002,""en"",""es"")"),"Norte (CM)")</f>
        <v>Norte (CM)</v>
      </c>
      <c r="F1002" s="9" t="str">
        <f>IFERROR(__xludf.DUMMYFUNCTION("GOOGLETRANSLATE($A1002,""en"",""it"")"),"Nord (CM)")</f>
        <v>Nord (CM)</v>
      </c>
      <c r="G1002" s="9" t="str">
        <f>IFERROR(__xludf.DUMMYFUNCTION("GOOGLETRANSLATE($A1002,""en"",""zh-cn"")"),"北（厘米）")</f>
        <v>北（厘米）</v>
      </c>
      <c r="H1002" s="9" t="str">
        <f>IFERROR(__xludf.DUMMYFUNCTION("GOOGLETRANSLATE($A1002,""en"",""ja"")"),"北（CM）")</f>
        <v>北（CM）</v>
      </c>
      <c r="I1002" s="9" t="str">
        <f>IFERROR(__xludf.DUMMYFUNCTION("GOOGLETRANSLATE($A1002,""en"",""ko"")"),"북쪽(CM)")</f>
        <v>북쪽(CM)</v>
      </c>
      <c r="J1002" s="9" t="str">
        <f>IFERROR(__xludf.DUMMYFUNCTION("GOOGLETRANSLATE($A1002,""en"",""pt-BR"")"),"Norte (CM)")</f>
        <v>Norte (CM)</v>
      </c>
    </row>
    <row r="1003">
      <c r="A1003" s="9" t="str">
        <f>IFERROR(__xludf.DUMMYFUNCTION("""COMPUTED_VALUE"""),"North-West (CM)")</f>
        <v>North-West (CM)</v>
      </c>
      <c r="B1003" s="9" t="str">
        <f>IFERROR(__xludf.DUMMYFUNCTION("""COMPUTED_VALUE"""),"cm-nw")</f>
        <v>cm-nw</v>
      </c>
      <c r="C1003" s="9" t="str">
        <f>IFERROR(__xludf.DUMMYFUNCTION("GOOGLETRANSLATE($A1003,""en"",""de"")"),"Nordwesten (CM)")</f>
        <v>Nordwesten (CM)</v>
      </c>
      <c r="D1003" s="9" t="str">
        <f>IFERROR(__xludf.DUMMYFUNCTION("GOOGLETRANSLATE($A1003,""en"",""fr"")"),"Nord-Ouest (CM)")</f>
        <v>Nord-Ouest (CM)</v>
      </c>
      <c r="E1003" s="9" t="str">
        <f>IFERROR(__xludf.DUMMYFUNCTION("GOOGLETRANSLATE($A1003,""en"",""es"")"),"Noroeste (CM)")</f>
        <v>Noroeste (CM)</v>
      </c>
      <c r="F1003" s="9" t="str">
        <f>IFERROR(__xludf.DUMMYFUNCTION("GOOGLETRANSLATE($A1003,""en"",""it"")"),"Nord-Ovest (CM)")</f>
        <v>Nord-Ovest (CM)</v>
      </c>
      <c r="G1003" s="9" t="str">
        <f>IFERROR(__xludf.DUMMYFUNCTION("GOOGLETRANSLATE($A1003,""en"",""zh-cn"")"),"西北 (CM)")</f>
        <v>西北 (CM)</v>
      </c>
      <c r="H1003" s="9" t="str">
        <f>IFERROR(__xludf.DUMMYFUNCTION("GOOGLETRANSLATE($A1003,""en"",""ja"")"),"北西 (CM)")</f>
        <v>北西 (CM)</v>
      </c>
      <c r="I1003" s="9" t="str">
        <f>IFERROR(__xludf.DUMMYFUNCTION("GOOGLETRANSLATE($A1003,""en"",""ko"")"),"북서부(CM)")</f>
        <v>북서부(CM)</v>
      </c>
      <c r="J1003" s="9" t="str">
        <f>IFERROR(__xludf.DUMMYFUNCTION("GOOGLETRANSLATE($A1003,""en"",""pt-BR"")"),"Noroeste (CM)")</f>
        <v>Noroeste (CM)</v>
      </c>
    </row>
    <row r="1004">
      <c r="A1004" s="9" t="str">
        <f>IFERROR(__xludf.DUMMYFUNCTION("""COMPUTED_VALUE"""),"Centre (CM)")</f>
        <v>Centre (CM)</v>
      </c>
      <c r="B1004" s="9" t="str">
        <f>IFERROR(__xludf.DUMMYFUNCTION("""COMPUTED_VALUE"""),"cm-ce")</f>
        <v>cm-ce</v>
      </c>
      <c r="C1004" s="9" t="str">
        <f>IFERROR(__xludf.DUMMYFUNCTION("GOOGLETRANSLATE($A1004,""en"",""de"")"),"Zentrum (CM)")</f>
        <v>Zentrum (CM)</v>
      </c>
      <c r="D1004" s="9" t="str">
        <f>IFERROR(__xludf.DUMMYFUNCTION("GOOGLETRANSLATE($A1004,""en"",""fr"")"),"Centre (CM)")</f>
        <v>Centre (CM)</v>
      </c>
      <c r="E1004" s="9" t="str">
        <f>IFERROR(__xludf.DUMMYFUNCTION("GOOGLETRANSLATE($A1004,""en"",""es"")"),"Centro (CM)")</f>
        <v>Centro (CM)</v>
      </c>
      <c r="F1004" s="9" t="str">
        <f>IFERROR(__xludf.DUMMYFUNCTION("GOOGLETRANSLATE($A1004,""en"",""it"")"),"Centro (CM)")</f>
        <v>Centro (CM)</v>
      </c>
      <c r="G1004" s="9" t="str">
        <f>IFERROR(__xludf.DUMMYFUNCTION("GOOGLETRANSLATE($A1004,""en"",""zh-cn"")"),"中心（厘米）")</f>
        <v>中心（厘米）</v>
      </c>
      <c r="H1004" s="9" t="str">
        <f>IFERROR(__xludf.DUMMYFUNCTION("GOOGLETRANSLATE($A1004,""en"",""ja"")"),"センター(CM)")</f>
        <v>センター(CM)</v>
      </c>
      <c r="I1004" s="9" t="str">
        <f>IFERROR(__xludf.DUMMYFUNCTION("GOOGLETRANSLATE($A1004,""en"",""ko"")"),"센터(CM)")</f>
        <v>센터(CM)</v>
      </c>
      <c r="J1004" s="9" t="str">
        <f>IFERROR(__xludf.DUMMYFUNCTION("GOOGLETRANSLATE($A1004,""en"",""pt-BR"")"),"Centro (CM)")</f>
        <v>Centro (CM)</v>
      </c>
    </row>
    <row r="1005">
      <c r="A1005" s="9" t="str">
        <f>IFERROR(__xludf.DUMMYFUNCTION("""COMPUTED_VALUE"""),"Far North")</f>
        <v>Far North</v>
      </c>
      <c r="B1005" s="9" t="str">
        <f>IFERROR(__xludf.DUMMYFUNCTION("""COMPUTED_VALUE"""),"cm-en")</f>
        <v>cm-en</v>
      </c>
      <c r="C1005" s="9" t="str">
        <f>IFERROR(__xludf.DUMMYFUNCTION("GOOGLETRANSLATE($A1005,""en"",""de"")"),"Hoher Norden")</f>
        <v>Hoher Norden</v>
      </c>
      <c r="D1005" s="9" t="str">
        <f>IFERROR(__xludf.DUMMYFUNCTION("GOOGLETRANSLATE($A1005,""en"",""fr"")"),"Grand Nord")</f>
        <v>Grand Nord</v>
      </c>
      <c r="E1005" s="9" t="str">
        <f>IFERROR(__xludf.DUMMYFUNCTION("GOOGLETRANSLATE($A1005,""en"",""es"")"),"extremo norte")</f>
        <v>extremo norte</v>
      </c>
      <c r="F1005" s="9" t="str">
        <f>IFERROR(__xludf.DUMMYFUNCTION("GOOGLETRANSLATE($A1005,""en"",""it"")"),"L'estremo nord")</f>
        <v>L'estremo nord</v>
      </c>
      <c r="G1005" s="9" t="str">
        <f>IFERROR(__xludf.DUMMYFUNCTION("GOOGLETRANSLATE($A1005,""en"",""zh-cn"")"),"远北")</f>
        <v>远北</v>
      </c>
      <c r="H1005" s="9" t="str">
        <f>IFERROR(__xludf.DUMMYFUNCTION("GOOGLETRANSLATE($A1005,""en"",""ja"")"),"極北")</f>
        <v>極北</v>
      </c>
      <c r="I1005" s="9" t="str">
        <f>IFERROR(__xludf.DUMMYFUNCTION("GOOGLETRANSLATE($A1005,""en"",""ko"")"),"파 노스")</f>
        <v>파 노스</v>
      </c>
      <c r="J1005" s="9" t="str">
        <f>IFERROR(__xludf.DUMMYFUNCTION("GOOGLETRANSLATE($A1005,""en"",""pt-BR"")"),"Extremo Norte")</f>
        <v>Extremo Norte</v>
      </c>
    </row>
    <row r="1006">
      <c r="A1006" s="9" t="str">
        <f>IFERROR(__xludf.DUMMYFUNCTION("""COMPUTED_VALUE"""),"South-West")</f>
        <v>South-West</v>
      </c>
      <c r="B1006" s="9" t="str">
        <f>IFERROR(__xludf.DUMMYFUNCTION("""COMPUTED_VALUE"""),"cm-sw")</f>
        <v>cm-sw</v>
      </c>
      <c r="C1006" s="9" t="str">
        <f>IFERROR(__xludf.DUMMYFUNCTION("GOOGLETRANSLATE($A1006,""en"",""de"")"),"Südwesten")</f>
        <v>Südwesten</v>
      </c>
      <c r="D1006" s="9" t="str">
        <f>IFERROR(__xludf.DUMMYFUNCTION("GOOGLETRANSLATE($A1006,""en"",""fr"")"),"Sud-Ouest")</f>
        <v>Sud-Ouest</v>
      </c>
      <c r="E1006" s="9" t="str">
        <f>IFERROR(__xludf.DUMMYFUNCTION("GOOGLETRANSLATE($A1006,""en"",""es"")"),"Suroeste")</f>
        <v>Suroeste</v>
      </c>
      <c r="F1006" s="9" t="str">
        <f>IFERROR(__xludf.DUMMYFUNCTION("GOOGLETRANSLATE($A1006,""en"",""it"")"),"Sud-ovest")</f>
        <v>Sud-ovest</v>
      </c>
      <c r="G1006" s="9" t="str">
        <f>IFERROR(__xludf.DUMMYFUNCTION("GOOGLETRANSLATE($A1006,""en"",""zh-cn"")"),"西南")</f>
        <v>西南</v>
      </c>
      <c r="H1006" s="9" t="str">
        <f>IFERROR(__xludf.DUMMYFUNCTION("GOOGLETRANSLATE($A1006,""en"",""ja"")"),"南西")</f>
        <v>南西</v>
      </c>
      <c r="I1006" s="9" t="str">
        <f>IFERROR(__xludf.DUMMYFUNCTION("GOOGLETRANSLATE($A1006,""en"",""ko"")"),"남서")</f>
        <v>남서</v>
      </c>
      <c r="J1006" s="9" t="str">
        <f>IFERROR(__xludf.DUMMYFUNCTION("GOOGLETRANSLATE($A1006,""en"",""pt-BR"")"),"Sudoeste")</f>
        <v>Sudoeste</v>
      </c>
    </row>
    <row r="1007">
      <c r="A1007" s="9" t="str">
        <f>IFERROR(__xludf.DUMMYFUNCTION("""COMPUTED_VALUE"""),"Labrador")</f>
        <v>Labrador</v>
      </c>
      <c r="B1007" s="9" t="str">
        <f>IFERROR(__xludf.DUMMYFUNCTION("""COMPUTED_VALUE"""),"ca-lb")</f>
        <v>ca-lb</v>
      </c>
      <c r="C1007" s="9" t="str">
        <f>IFERROR(__xludf.DUMMYFUNCTION("GOOGLETRANSLATE($A1007,""en"",""de"")"),"Labrador")</f>
        <v>Labrador</v>
      </c>
      <c r="D1007" s="9" t="str">
        <f>IFERROR(__xludf.DUMMYFUNCTION("GOOGLETRANSLATE($A1007,""en"",""fr"")"),"Labrador")</f>
        <v>Labrador</v>
      </c>
      <c r="E1007" s="9" t="str">
        <f>IFERROR(__xludf.DUMMYFUNCTION("GOOGLETRANSLATE($A1007,""en"",""es"")"),"Labrador")</f>
        <v>Labrador</v>
      </c>
      <c r="F1007" s="9" t="str">
        <f>IFERROR(__xludf.DUMMYFUNCTION("GOOGLETRANSLATE($A1007,""en"",""it"")"),"Labrador")</f>
        <v>Labrador</v>
      </c>
      <c r="G1007" s="9" t="str">
        <f>IFERROR(__xludf.DUMMYFUNCTION("GOOGLETRANSLATE($A1007,""en"",""zh-cn"")"),"拉布拉多")</f>
        <v>拉布拉多</v>
      </c>
      <c r="H1007" s="9" t="str">
        <f>IFERROR(__xludf.DUMMYFUNCTION("GOOGLETRANSLATE($A1007,""en"",""ja"")"),"ラブラドール")</f>
        <v>ラブラドール</v>
      </c>
      <c r="I1007" s="9" t="str">
        <f>IFERROR(__xludf.DUMMYFUNCTION("GOOGLETRANSLATE($A1007,""en"",""ko"")"),"래브라도")</f>
        <v>래브라도</v>
      </c>
      <c r="J1007" s="9" t="str">
        <f>IFERROR(__xludf.DUMMYFUNCTION("GOOGLETRANSLATE($A1007,""en"",""pt-BR"")"),"labrador")</f>
        <v>labrador</v>
      </c>
    </row>
    <row r="1008">
      <c r="A1008" s="9" t="str">
        <f>IFERROR(__xludf.DUMMYFUNCTION("""COMPUTED_VALUE"""),"Newfoundland and Labrador")</f>
        <v>Newfoundland and Labrador</v>
      </c>
      <c r="B1008" s="9" t="str">
        <f>IFERROR(__xludf.DUMMYFUNCTION("""COMPUTED_VALUE"""),"ca-nl")</f>
        <v>ca-nl</v>
      </c>
      <c r="C1008" s="9" t="str">
        <f>IFERROR(__xludf.DUMMYFUNCTION("GOOGLETRANSLATE($A1008,""en"",""de"")"),"Neufundland und Labrador")</f>
        <v>Neufundland und Labrador</v>
      </c>
      <c r="D1008" s="9" t="str">
        <f>IFERROR(__xludf.DUMMYFUNCTION("GOOGLETRANSLATE($A1008,""en"",""fr"")"),"Terre-Neuve et Labrador")</f>
        <v>Terre-Neuve et Labrador</v>
      </c>
      <c r="E1008" s="9" t="str">
        <f>IFERROR(__xludf.DUMMYFUNCTION("GOOGLETRANSLATE($A1008,""en"",""es"")"),"Terranova y Labrador")</f>
        <v>Terranova y Labrador</v>
      </c>
      <c r="F1008" s="9" t="str">
        <f>IFERROR(__xludf.DUMMYFUNCTION("GOOGLETRANSLATE($A1008,""en"",""it"")"),"Terranova e Labrador")</f>
        <v>Terranova e Labrador</v>
      </c>
      <c r="G1008" s="9" t="str">
        <f>IFERROR(__xludf.DUMMYFUNCTION("GOOGLETRANSLATE($A1008,""en"",""zh-cn"")"),"纽芬兰和拉布拉多")</f>
        <v>纽芬兰和拉布拉多</v>
      </c>
      <c r="H1008" s="9" t="str">
        <f>IFERROR(__xludf.DUMMYFUNCTION("GOOGLETRANSLATE($A1008,""en"",""ja"")"),"ニューファンドランドアンドラブラドール州")</f>
        <v>ニューファンドランドアンドラブラドール州</v>
      </c>
      <c r="I1008" s="9" t="str">
        <f>IFERROR(__xludf.DUMMYFUNCTION("GOOGLETRANSLATE($A1008,""en"",""ko"")"),"뉴펀들랜드와 래브라도")</f>
        <v>뉴펀들랜드와 래브라도</v>
      </c>
      <c r="J1008" s="9" t="str">
        <f>IFERROR(__xludf.DUMMYFUNCTION("GOOGLETRANSLATE($A1008,""en"",""pt-BR"")"),"Terra Nova e Labrador")</f>
        <v>Terra Nova e Labrador</v>
      </c>
    </row>
    <row r="1009">
      <c r="A1009" s="9" t="str">
        <f>IFERROR(__xludf.DUMMYFUNCTION("""COMPUTED_VALUE"""),"New Brunswick")</f>
        <v>New Brunswick</v>
      </c>
      <c r="B1009" s="9" t="str">
        <f>IFERROR(__xludf.DUMMYFUNCTION("""COMPUTED_VALUE"""),"ca-nb")</f>
        <v>ca-nb</v>
      </c>
      <c r="C1009" s="9" t="str">
        <f>IFERROR(__xludf.DUMMYFUNCTION("GOOGLETRANSLATE($A1009,""en"",""de"")"),"New Brunswick")</f>
        <v>New Brunswick</v>
      </c>
      <c r="D1009" s="9" t="str">
        <f>IFERROR(__xludf.DUMMYFUNCTION("GOOGLETRANSLATE($A1009,""en"",""fr"")"),"Nouveau-Brunswick")</f>
        <v>Nouveau-Brunswick</v>
      </c>
      <c r="E1009" s="9" t="str">
        <f>IFERROR(__xludf.DUMMYFUNCTION("GOOGLETRANSLATE($A1009,""en"",""es"")"),"Nuevo Brunswick")</f>
        <v>Nuevo Brunswick</v>
      </c>
      <c r="F1009" s="9" t="str">
        <f>IFERROR(__xludf.DUMMYFUNCTION("GOOGLETRANSLATE($A1009,""en"",""it"")"),"Nuovo Brunswick")</f>
        <v>Nuovo Brunswick</v>
      </c>
      <c r="G1009" s="9" t="str">
        <f>IFERROR(__xludf.DUMMYFUNCTION("GOOGLETRANSLATE($A1009,""en"",""zh-cn"")"),"新不伦瑞克省")</f>
        <v>新不伦瑞克省</v>
      </c>
      <c r="H1009" s="9" t="str">
        <f>IFERROR(__xludf.DUMMYFUNCTION("GOOGLETRANSLATE($A1009,""en"",""ja"")"),"ニューブランズウィック州")</f>
        <v>ニューブランズウィック州</v>
      </c>
      <c r="I1009" s="9" t="str">
        <f>IFERROR(__xludf.DUMMYFUNCTION("GOOGLETRANSLATE($A1009,""en"",""ko"")"),"뉴브런즈윅")</f>
        <v>뉴브런즈윅</v>
      </c>
      <c r="J1009" s="9" t="str">
        <f>IFERROR(__xludf.DUMMYFUNCTION("GOOGLETRANSLATE($A1009,""en"",""pt-BR"")"),"Nova Brunsvique")</f>
        <v>Nova Brunsvique</v>
      </c>
    </row>
    <row r="1010">
      <c r="A1010" s="9" t="str">
        <f>IFERROR(__xludf.DUMMYFUNCTION("""COMPUTED_VALUE"""),"Manitoba")</f>
        <v>Manitoba</v>
      </c>
      <c r="B1010" s="9" t="str">
        <f>IFERROR(__xludf.DUMMYFUNCTION("""COMPUTED_VALUE"""),"ca-mb")</f>
        <v>ca-mb</v>
      </c>
      <c r="C1010" s="9" t="str">
        <f>IFERROR(__xludf.DUMMYFUNCTION("GOOGLETRANSLATE($A1010,""en"",""de"")"),"Manitoba")</f>
        <v>Manitoba</v>
      </c>
      <c r="D1010" s="9" t="str">
        <f>IFERROR(__xludf.DUMMYFUNCTION("GOOGLETRANSLATE($A1010,""en"",""fr"")"),"Manitoba")</f>
        <v>Manitoba</v>
      </c>
      <c r="E1010" s="9" t="str">
        <f>IFERROR(__xludf.DUMMYFUNCTION("GOOGLETRANSLATE($A1010,""en"",""es"")"),"Manitoba")</f>
        <v>Manitoba</v>
      </c>
      <c r="F1010" s="9" t="str">
        <f>IFERROR(__xludf.DUMMYFUNCTION("GOOGLETRANSLATE($A1010,""en"",""it"")"),"Manitoba")</f>
        <v>Manitoba</v>
      </c>
      <c r="G1010" s="9" t="str">
        <f>IFERROR(__xludf.DUMMYFUNCTION("GOOGLETRANSLATE($A1010,""en"",""zh-cn"")"),"马尼托巴省")</f>
        <v>马尼托巴省</v>
      </c>
      <c r="H1010" s="9" t="str">
        <f>IFERROR(__xludf.DUMMYFUNCTION("GOOGLETRANSLATE($A1010,""en"",""ja"")"),"マニトバ州")</f>
        <v>マニトバ州</v>
      </c>
      <c r="I1010" s="9" t="str">
        <f>IFERROR(__xludf.DUMMYFUNCTION("GOOGLETRANSLATE($A1010,""en"",""ko"")"),"매니토바")</f>
        <v>매니토바</v>
      </c>
      <c r="J1010" s="9" t="str">
        <f>IFERROR(__xludf.DUMMYFUNCTION("GOOGLETRANSLATE($A1010,""en"",""pt-BR"")"),"Manitoba")</f>
        <v>Manitoba</v>
      </c>
    </row>
    <row r="1011">
      <c r="A1011" s="9" t="str">
        <f>IFERROR(__xludf.DUMMYFUNCTION("""COMPUTED_VALUE"""),"British Columbia")</f>
        <v>British Columbia</v>
      </c>
      <c r="B1011" s="9" t="str">
        <f>IFERROR(__xludf.DUMMYFUNCTION("""COMPUTED_VALUE"""),"ca-bc")</f>
        <v>ca-bc</v>
      </c>
      <c r="C1011" s="9" t="str">
        <f>IFERROR(__xludf.DUMMYFUNCTION("GOOGLETRANSLATE($A1011,""en"",""de"")"),"Britisch-Kolumbien")</f>
        <v>Britisch-Kolumbien</v>
      </c>
      <c r="D1011" s="9" t="str">
        <f>IFERROR(__xludf.DUMMYFUNCTION("GOOGLETRANSLATE($A1011,""en"",""fr"")"),"Colombie-Britannique")</f>
        <v>Colombie-Britannique</v>
      </c>
      <c r="E1011" s="9" t="str">
        <f>IFERROR(__xludf.DUMMYFUNCTION("GOOGLETRANSLATE($A1011,""en"",""es"")"),"Columbia Británica")</f>
        <v>Columbia Británica</v>
      </c>
      <c r="F1011" s="9" t="str">
        <f>IFERROR(__xludf.DUMMYFUNCTION("GOOGLETRANSLATE($A1011,""en"",""it"")"),"Columbia Britannica")</f>
        <v>Columbia Britannica</v>
      </c>
      <c r="G1011" s="9" t="str">
        <f>IFERROR(__xludf.DUMMYFUNCTION("GOOGLETRANSLATE($A1011,""en"",""zh-cn"")"),"不列颠哥伦比亚省")</f>
        <v>不列颠哥伦比亚省</v>
      </c>
      <c r="H1011" s="9" t="str">
        <f>IFERROR(__xludf.DUMMYFUNCTION("GOOGLETRANSLATE($A1011,""en"",""ja"")"),"ブリティッシュコロンビア州")</f>
        <v>ブリティッシュコロンビア州</v>
      </c>
      <c r="I1011" s="9" t="str">
        <f>IFERROR(__xludf.DUMMYFUNCTION("GOOGLETRANSLATE($A1011,""en"",""ko"")"),"브리티시컬럼비아")</f>
        <v>브리티시컬럼비아</v>
      </c>
      <c r="J1011" s="9" t="str">
        <f>IFERROR(__xludf.DUMMYFUNCTION("GOOGLETRANSLATE($A1011,""en"",""pt-BR"")"),"Colúmbia Britânica")</f>
        <v>Colúmbia Britânica</v>
      </c>
    </row>
    <row r="1012">
      <c r="A1012" s="9" t="str">
        <f>IFERROR(__xludf.DUMMYFUNCTION("""COMPUTED_VALUE"""),"Alberta")</f>
        <v>Alberta</v>
      </c>
      <c r="B1012" s="9" t="str">
        <f>IFERROR(__xludf.DUMMYFUNCTION("""COMPUTED_VALUE"""),"ca-ab")</f>
        <v>ca-ab</v>
      </c>
      <c r="C1012" s="9" t="str">
        <f>IFERROR(__xludf.DUMMYFUNCTION("GOOGLETRANSLATE($A1012,""en"",""de"")"),"Alberta")</f>
        <v>Alberta</v>
      </c>
      <c r="D1012" s="9" t="str">
        <f>IFERROR(__xludf.DUMMYFUNCTION("GOOGLETRANSLATE($A1012,""en"",""fr"")"),"Alberta")</f>
        <v>Alberta</v>
      </c>
      <c r="E1012" s="9" t="str">
        <f>IFERROR(__xludf.DUMMYFUNCTION("GOOGLETRANSLATE($A1012,""en"",""es"")"),"Alberta")</f>
        <v>Alberta</v>
      </c>
      <c r="F1012" s="9" t="str">
        <f>IFERROR(__xludf.DUMMYFUNCTION("GOOGLETRANSLATE($A1012,""en"",""it"")"),"Alberta")</f>
        <v>Alberta</v>
      </c>
      <c r="G1012" s="9" t="str">
        <f>IFERROR(__xludf.DUMMYFUNCTION("GOOGLETRANSLATE($A1012,""en"",""zh-cn"")"),"艾伯塔省")</f>
        <v>艾伯塔省</v>
      </c>
      <c r="H1012" s="9" t="str">
        <f>IFERROR(__xludf.DUMMYFUNCTION("GOOGLETRANSLATE($A1012,""en"",""ja"")"),"アルバータ州")</f>
        <v>アルバータ州</v>
      </c>
      <c r="I1012" s="9" t="str">
        <f>IFERROR(__xludf.DUMMYFUNCTION("GOOGLETRANSLATE($A1012,""en"",""ko"")"),"앨버타")</f>
        <v>앨버타</v>
      </c>
      <c r="J1012" s="9" t="str">
        <f>IFERROR(__xludf.DUMMYFUNCTION("GOOGLETRANSLATE($A1012,""en"",""pt-BR"")"),"Alberta")</f>
        <v>Alberta</v>
      </c>
    </row>
    <row r="1013">
      <c r="A1013" s="9" t="str">
        <f>IFERROR(__xludf.DUMMYFUNCTION("""COMPUTED_VALUE"""),"Yukon Territory")</f>
        <v>Yukon Territory</v>
      </c>
      <c r="B1013" s="9" t="str">
        <f>IFERROR(__xludf.DUMMYFUNCTION("""COMPUTED_VALUE"""),"ca-yt")</f>
        <v>ca-yt</v>
      </c>
      <c r="C1013" s="9" t="str">
        <f>IFERROR(__xludf.DUMMYFUNCTION("GOOGLETRANSLATE($A1013,""en"",""de"")"),"Yukon-Territorium")</f>
        <v>Yukon-Territorium</v>
      </c>
      <c r="D1013" s="9" t="str">
        <f>IFERROR(__xludf.DUMMYFUNCTION("GOOGLETRANSLATE($A1013,""en"",""fr"")"),"Territoire du Yukon")</f>
        <v>Territoire du Yukon</v>
      </c>
      <c r="E1013" s="9" t="str">
        <f>IFERROR(__xludf.DUMMYFUNCTION("GOOGLETRANSLATE($A1013,""en"",""es"")"),"Territorio del Yukón")</f>
        <v>Territorio del Yukón</v>
      </c>
      <c r="F1013" s="9" t="str">
        <f>IFERROR(__xludf.DUMMYFUNCTION("GOOGLETRANSLATE($A1013,""en"",""it"")"),"Territorio dello Yukon")</f>
        <v>Territorio dello Yukon</v>
      </c>
      <c r="G1013" s="9" t="str">
        <f>IFERROR(__xludf.DUMMYFUNCTION("GOOGLETRANSLATE($A1013,""en"",""zh-cn"")"),"育空地区")</f>
        <v>育空地区</v>
      </c>
      <c r="H1013" s="9" t="str">
        <f>IFERROR(__xludf.DUMMYFUNCTION("GOOGLETRANSLATE($A1013,""en"",""ja"")"),"ユーコン準州")</f>
        <v>ユーコン準州</v>
      </c>
      <c r="I1013" s="9" t="str">
        <f>IFERROR(__xludf.DUMMYFUNCTION("GOOGLETRANSLATE($A1013,""en"",""ko"")"),"유콘 준주")</f>
        <v>유콘 준주</v>
      </c>
      <c r="J1013" s="9" t="str">
        <f>IFERROR(__xludf.DUMMYFUNCTION("GOOGLETRANSLATE($A1013,""en"",""pt-BR"")"),"Território de Yukon")</f>
        <v>Território de Yukon</v>
      </c>
    </row>
    <row r="1014">
      <c r="A1014" s="9" t="str">
        <f>IFERROR(__xludf.DUMMYFUNCTION("""COMPUTED_VALUE"""),"Nunavut")</f>
        <v>Nunavut</v>
      </c>
      <c r="B1014" s="9" t="str">
        <f>IFERROR(__xludf.DUMMYFUNCTION("""COMPUTED_VALUE"""),"ca-nu")</f>
        <v>ca-nu</v>
      </c>
      <c r="C1014" s="9" t="str">
        <f>IFERROR(__xludf.DUMMYFUNCTION("GOOGLETRANSLATE($A1014,""en"",""de"")"),"Nunavut")</f>
        <v>Nunavut</v>
      </c>
      <c r="D1014" s="9" t="str">
        <f>IFERROR(__xludf.DUMMYFUNCTION("GOOGLETRANSLATE($A1014,""en"",""fr"")"),"Nunavut")</f>
        <v>Nunavut</v>
      </c>
      <c r="E1014" s="9" t="str">
        <f>IFERROR(__xludf.DUMMYFUNCTION("GOOGLETRANSLATE($A1014,""en"",""es"")"),"Nunavut")</f>
        <v>Nunavut</v>
      </c>
      <c r="F1014" s="9" t="str">
        <f>IFERROR(__xludf.DUMMYFUNCTION("GOOGLETRANSLATE($A1014,""en"",""it"")"),"Nunavut")</f>
        <v>Nunavut</v>
      </c>
      <c r="G1014" s="9" t="str">
        <f>IFERROR(__xludf.DUMMYFUNCTION("GOOGLETRANSLATE($A1014,""en"",""zh-cn"")"),"努勒维特")</f>
        <v>努勒维特</v>
      </c>
      <c r="H1014" s="9" t="str">
        <f>IFERROR(__xludf.DUMMYFUNCTION("GOOGLETRANSLATE($A1014,""en"",""ja"")"),"ヌナブット準州")</f>
        <v>ヌナブット準州</v>
      </c>
      <c r="I1014" s="9" t="str">
        <f>IFERROR(__xludf.DUMMYFUNCTION("GOOGLETRANSLATE($A1014,""en"",""ko"")"),"누나부트 준주")</f>
        <v>누나부트 준주</v>
      </c>
      <c r="J1014" s="9" t="str">
        <f>IFERROR(__xludf.DUMMYFUNCTION("GOOGLETRANSLATE($A1014,""en"",""pt-BR"")"),"Nunavute")</f>
        <v>Nunavute</v>
      </c>
    </row>
    <row r="1015">
      <c r="A1015" s="9" t="str">
        <f>IFERROR(__xludf.DUMMYFUNCTION("""COMPUTED_VALUE"""),"Northwest Territories")</f>
        <v>Northwest Territories</v>
      </c>
      <c r="B1015" s="9" t="str">
        <f>IFERROR(__xludf.DUMMYFUNCTION("""COMPUTED_VALUE"""),"ca-nt")</f>
        <v>ca-nt</v>
      </c>
      <c r="C1015" s="9" t="str">
        <f>IFERROR(__xludf.DUMMYFUNCTION("GOOGLETRANSLATE($A1015,""en"",""de"")"),"Nordwest-Territorien")</f>
        <v>Nordwest-Territorien</v>
      </c>
      <c r="D1015" s="9" t="str">
        <f>IFERROR(__xludf.DUMMYFUNCTION("GOOGLETRANSLATE($A1015,""en"",""fr"")"),"Territoires du Nord-Ouest")</f>
        <v>Territoires du Nord-Ouest</v>
      </c>
      <c r="E1015" s="9" t="str">
        <f>IFERROR(__xludf.DUMMYFUNCTION("GOOGLETRANSLATE($A1015,""en"",""es"")"),"Territorios del Noroeste")</f>
        <v>Territorios del Noroeste</v>
      </c>
      <c r="F1015" s="9" t="str">
        <f>IFERROR(__xludf.DUMMYFUNCTION("GOOGLETRANSLATE($A1015,""en"",""it"")"),"Territori del Nordovest")</f>
        <v>Territori del Nordovest</v>
      </c>
      <c r="G1015" s="9" t="str">
        <f>IFERROR(__xludf.DUMMYFUNCTION("GOOGLETRANSLATE($A1015,""en"",""zh-cn"")"),"西北地区")</f>
        <v>西北地区</v>
      </c>
      <c r="H1015" s="9" t="str">
        <f>IFERROR(__xludf.DUMMYFUNCTION("GOOGLETRANSLATE($A1015,""en"",""ja"")"),"ノースウェスト準州")</f>
        <v>ノースウェスト準州</v>
      </c>
      <c r="I1015" s="9" t="str">
        <f>IFERROR(__xludf.DUMMYFUNCTION("GOOGLETRANSLATE($A1015,""en"",""ko"")"),"노스웨스트 준주")</f>
        <v>노스웨스트 준주</v>
      </c>
      <c r="J1015" s="9" t="str">
        <f>IFERROR(__xludf.DUMMYFUNCTION("GOOGLETRANSLATE($A1015,""en"",""pt-BR"")"),"Territórios do Noroeste")</f>
        <v>Territórios do Noroeste</v>
      </c>
    </row>
    <row r="1016">
      <c r="A1016" s="9" t="str">
        <f>IFERROR(__xludf.DUMMYFUNCTION("""COMPUTED_VALUE"""),"Saskatchewan")</f>
        <v>Saskatchewan</v>
      </c>
      <c r="B1016" s="9" t="str">
        <f>IFERROR(__xludf.DUMMYFUNCTION("""COMPUTED_VALUE"""),"ca-sk")</f>
        <v>ca-sk</v>
      </c>
      <c r="C1016" s="9" t="str">
        <f>IFERROR(__xludf.DUMMYFUNCTION("GOOGLETRANSLATE($A1016,""en"",""de"")"),"Saskatchewan")</f>
        <v>Saskatchewan</v>
      </c>
      <c r="D1016" s="9" t="str">
        <f>IFERROR(__xludf.DUMMYFUNCTION("GOOGLETRANSLATE($A1016,""en"",""fr"")"),"Saskatchewan")</f>
        <v>Saskatchewan</v>
      </c>
      <c r="E1016" s="9" t="str">
        <f>IFERROR(__xludf.DUMMYFUNCTION("GOOGLETRANSLATE($A1016,""en"",""es"")"),"Saskatchewan")</f>
        <v>Saskatchewan</v>
      </c>
      <c r="F1016" s="9" t="str">
        <f>IFERROR(__xludf.DUMMYFUNCTION("GOOGLETRANSLATE($A1016,""en"",""it"")"),"Saskatchewan")</f>
        <v>Saskatchewan</v>
      </c>
      <c r="G1016" s="9" t="str">
        <f>IFERROR(__xludf.DUMMYFUNCTION("GOOGLETRANSLATE($A1016,""en"",""zh-cn"")"),"萨斯喀彻温省")</f>
        <v>萨斯喀彻温省</v>
      </c>
      <c r="H1016" s="9" t="str">
        <f>IFERROR(__xludf.DUMMYFUNCTION("GOOGLETRANSLATE($A1016,""en"",""ja"")"),"サスカチュワン州")</f>
        <v>サスカチュワン州</v>
      </c>
      <c r="I1016" s="9" t="str">
        <f>IFERROR(__xludf.DUMMYFUNCTION("GOOGLETRANSLATE($A1016,""en"",""ko"")"),"서스캐처원")</f>
        <v>서스캐처원</v>
      </c>
      <c r="J1016" s="9" t="str">
        <f>IFERROR(__xludf.DUMMYFUNCTION("GOOGLETRANSLATE($A1016,""en"",""pt-BR"")"),"Saskatchewan")</f>
        <v>Saskatchewan</v>
      </c>
    </row>
    <row r="1017">
      <c r="A1017" s="9" t="str">
        <f>IFERROR(__xludf.DUMMYFUNCTION("""COMPUTED_VALUE"""),"Quebec")</f>
        <v>Quebec</v>
      </c>
      <c r="B1017" s="9" t="str">
        <f>IFERROR(__xludf.DUMMYFUNCTION("""COMPUTED_VALUE"""),"ca-qc")</f>
        <v>ca-qc</v>
      </c>
      <c r="C1017" s="9" t="str">
        <f>IFERROR(__xludf.DUMMYFUNCTION("GOOGLETRANSLATE($A1017,""en"",""de"")"),"Québec")</f>
        <v>Québec</v>
      </c>
      <c r="D1017" s="9" t="str">
        <f>IFERROR(__xludf.DUMMYFUNCTION("GOOGLETRANSLATE($A1017,""en"",""fr"")"),"Québec")</f>
        <v>Québec</v>
      </c>
      <c r="E1017" s="9" t="str">
        <f>IFERROR(__xludf.DUMMYFUNCTION("GOOGLETRANSLATE($A1017,""en"",""es"")"),"Quebec")</f>
        <v>Quebec</v>
      </c>
      <c r="F1017" s="9" t="str">
        <f>IFERROR(__xludf.DUMMYFUNCTION("GOOGLETRANSLATE($A1017,""en"",""it"")"),"Québec")</f>
        <v>Québec</v>
      </c>
      <c r="G1017" s="9" t="str">
        <f>IFERROR(__xludf.DUMMYFUNCTION("GOOGLETRANSLATE($A1017,""en"",""zh-cn"")"),"魁北克")</f>
        <v>魁北克</v>
      </c>
      <c r="H1017" s="9" t="str">
        <f>IFERROR(__xludf.DUMMYFUNCTION("GOOGLETRANSLATE($A1017,""en"",""ja"")"),"ケベック州")</f>
        <v>ケベック州</v>
      </c>
      <c r="I1017" s="9" t="str">
        <f>IFERROR(__xludf.DUMMYFUNCTION("GOOGLETRANSLATE($A1017,""en"",""ko"")"),"퀘벡")</f>
        <v>퀘벡</v>
      </c>
      <c r="J1017" s="9" t="str">
        <f>IFERROR(__xludf.DUMMYFUNCTION("GOOGLETRANSLATE($A1017,""en"",""pt-BR"")"),"Quebeque")</f>
        <v>Quebeque</v>
      </c>
    </row>
    <row r="1018">
      <c r="A1018" s="9" t="str">
        <f>IFERROR(__xludf.DUMMYFUNCTION("""COMPUTED_VALUE"""),"Prince Edward Island")</f>
        <v>Prince Edward Island</v>
      </c>
      <c r="B1018" s="9" t="str">
        <f>IFERROR(__xludf.DUMMYFUNCTION("""COMPUTED_VALUE"""),"ca-pe")</f>
        <v>ca-pe</v>
      </c>
      <c r="C1018" s="9" t="str">
        <f>IFERROR(__xludf.DUMMYFUNCTION("GOOGLETRANSLATE($A1018,""en"",""de"")"),"Prinz-Edward-Insel")</f>
        <v>Prinz-Edward-Insel</v>
      </c>
      <c r="D1018" s="9" t="str">
        <f>IFERROR(__xludf.DUMMYFUNCTION("GOOGLETRANSLATE($A1018,""en"",""fr"")"),"Île-du-Prince-Édouard")</f>
        <v>Île-du-Prince-Édouard</v>
      </c>
      <c r="E1018" s="9" t="str">
        <f>IFERROR(__xludf.DUMMYFUNCTION("GOOGLETRANSLATE($A1018,""en"",""es"")"),"Isla del Príncipe Eduardo")</f>
        <v>Isla del Príncipe Eduardo</v>
      </c>
      <c r="F1018" s="9" t="str">
        <f>IFERROR(__xludf.DUMMYFUNCTION("GOOGLETRANSLATE($A1018,""en"",""it"")"),"Isola del Principe Edoardo")</f>
        <v>Isola del Principe Edoardo</v>
      </c>
      <c r="G1018" s="9" t="str">
        <f>IFERROR(__xludf.DUMMYFUNCTION("GOOGLETRANSLATE($A1018,""en"",""zh-cn"")"),"爱德华王子岛")</f>
        <v>爱德华王子岛</v>
      </c>
      <c r="H1018" s="9" t="str">
        <f>IFERROR(__xludf.DUMMYFUNCTION("GOOGLETRANSLATE($A1018,""en"",""ja"")"),"プリンスエドワード島")</f>
        <v>プリンスエドワード島</v>
      </c>
      <c r="I1018" s="9" t="str">
        <f>IFERROR(__xludf.DUMMYFUNCTION("GOOGLETRANSLATE($A1018,""en"",""ko"")"),"프린스 에드워드 아일랜드")</f>
        <v>프린스 에드워드 아일랜드</v>
      </c>
      <c r="J1018" s="9" t="str">
        <f>IFERROR(__xludf.DUMMYFUNCTION("GOOGLETRANSLATE($A1018,""en"",""pt-BR"")"),"Ilha do Príncipe Eduardo")</f>
        <v>Ilha do Príncipe Eduardo</v>
      </c>
    </row>
    <row r="1019">
      <c r="A1019" s="9" t="str">
        <f>IFERROR(__xludf.DUMMYFUNCTION("""COMPUTED_VALUE"""),"Ontario")</f>
        <v>Ontario</v>
      </c>
      <c r="B1019" s="9" t="str">
        <f>IFERROR(__xludf.DUMMYFUNCTION("""COMPUTED_VALUE"""),"ca-on")</f>
        <v>ca-on</v>
      </c>
      <c r="C1019" s="9" t="str">
        <f>IFERROR(__xludf.DUMMYFUNCTION("GOOGLETRANSLATE($A1019,""en"",""de"")"),"Ontario")</f>
        <v>Ontario</v>
      </c>
      <c r="D1019" s="9" t="str">
        <f>IFERROR(__xludf.DUMMYFUNCTION("GOOGLETRANSLATE($A1019,""en"",""fr"")"),"Ontario")</f>
        <v>Ontario</v>
      </c>
      <c r="E1019" s="9" t="str">
        <f>IFERROR(__xludf.DUMMYFUNCTION("GOOGLETRANSLATE($A1019,""en"",""es"")"),"ontario")</f>
        <v>ontario</v>
      </c>
      <c r="F1019" s="9" t="str">
        <f>IFERROR(__xludf.DUMMYFUNCTION("GOOGLETRANSLATE($A1019,""en"",""it"")"),"Ontario")</f>
        <v>Ontario</v>
      </c>
      <c r="G1019" s="9" t="str">
        <f>IFERROR(__xludf.DUMMYFUNCTION("GOOGLETRANSLATE($A1019,""en"",""zh-cn"")"),"安大略省")</f>
        <v>安大略省</v>
      </c>
      <c r="H1019" s="9" t="str">
        <f>IFERROR(__xludf.DUMMYFUNCTION("GOOGLETRANSLATE($A1019,""en"",""ja"")"),"オンタリオ")</f>
        <v>オンタリオ</v>
      </c>
      <c r="I1019" s="9" t="str">
        <f>IFERROR(__xludf.DUMMYFUNCTION("GOOGLETRANSLATE($A1019,""en"",""ko"")"),"온타리오")</f>
        <v>온타리오</v>
      </c>
      <c r="J1019" s="9" t="str">
        <f>IFERROR(__xludf.DUMMYFUNCTION("GOOGLETRANSLATE($A1019,""en"",""pt-BR"")"),"Ontário")</f>
        <v>Ontário</v>
      </c>
    </row>
    <row r="1020">
      <c r="A1020" s="9" t="str">
        <f>IFERROR(__xludf.DUMMYFUNCTION("""COMPUTED_VALUE"""),"Nova Scotia")</f>
        <v>Nova Scotia</v>
      </c>
      <c r="B1020" s="9" t="str">
        <f>IFERROR(__xludf.DUMMYFUNCTION("""COMPUTED_VALUE"""),"ca-ns")</f>
        <v>ca-ns</v>
      </c>
      <c r="C1020" s="9" t="str">
        <f>IFERROR(__xludf.DUMMYFUNCTION("GOOGLETRANSLATE($A1020,""en"",""de"")"),"Neuschottland")</f>
        <v>Neuschottland</v>
      </c>
      <c r="D1020" s="9" t="str">
        <f>IFERROR(__xludf.DUMMYFUNCTION("GOOGLETRANSLATE($A1020,""en"",""fr"")"),"Nouvelle-Écosse")</f>
        <v>Nouvelle-Écosse</v>
      </c>
      <c r="E1020" s="9" t="str">
        <f>IFERROR(__xludf.DUMMYFUNCTION("GOOGLETRANSLATE($A1020,""en"",""es"")"),"Nueva Escocia")</f>
        <v>Nueva Escocia</v>
      </c>
      <c r="F1020" s="9" t="str">
        <f>IFERROR(__xludf.DUMMYFUNCTION("GOOGLETRANSLATE($A1020,""en"",""it"")"),"Nuova Scozia")</f>
        <v>Nuova Scozia</v>
      </c>
      <c r="G1020" s="9" t="str">
        <f>IFERROR(__xludf.DUMMYFUNCTION("GOOGLETRANSLATE($A1020,""en"",""zh-cn"")"),"新斯科舍省")</f>
        <v>新斯科舍省</v>
      </c>
      <c r="H1020" s="9" t="str">
        <f>IFERROR(__xludf.DUMMYFUNCTION("GOOGLETRANSLATE($A1020,""en"",""ja"")"),"ノバスコシア州")</f>
        <v>ノバスコシア州</v>
      </c>
      <c r="I1020" s="9" t="str">
        <f>IFERROR(__xludf.DUMMYFUNCTION("GOOGLETRANSLATE($A1020,""en"",""ko"")"),"노바스코샤")</f>
        <v>노바스코샤</v>
      </c>
      <c r="J1020" s="9" t="str">
        <f>IFERROR(__xludf.DUMMYFUNCTION("GOOGLETRANSLATE($A1020,""en"",""pt-BR"")"),"Nova Escócia")</f>
        <v>Nova Escócia</v>
      </c>
    </row>
    <row r="1021">
      <c r="A1021" s="9" t="str">
        <f>IFERROR(__xludf.DUMMYFUNCTION("""COMPUTED_VALUE"""),"Brava")</f>
        <v>Brava</v>
      </c>
      <c r="B1021" s="9" t="str">
        <f>IFERROR(__xludf.DUMMYFUNCTION("""COMPUTED_VALUE"""),"cv-br")</f>
        <v>cv-br</v>
      </c>
      <c r="C1021" s="9" t="str">
        <f>IFERROR(__xludf.DUMMYFUNCTION("GOOGLETRANSLATE($A1021,""en"",""de"")"),"Brava")</f>
        <v>Brava</v>
      </c>
      <c r="D1021" s="9" t="str">
        <f>IFERROR(__xludf.DUMMYFUNCTION("GOOGLETRANSLATE($A1021,""en"",""fr"")"),"Bravo")</f>
        <v>Bravo</v>
      </c>
      <c r="E1021" s="9" t="str">
        <f>IFERROR(__xludf.DUMMYFUNCTION("GOOGLETRANSLATE($A1021,""en"",""es"")"),"Brava")</f>
        <v>Brava</v>
      </c>
      <c r="F1021" s="9" t="str">
        <f>IFERROR(__xludf.DUMMYFUNCTION("GOOGLETRANSLATE($A1021,""en"",""it"")"),"Brava")</f>
        <v>Brava</v>
      </c>
      <c r="G1021" s="9" t="str">
        <f>IFERROR(__xludf.DUMMYFUNCTION("GOOGLETRANSLATE($A1021,""en"",""zh-cn"")"),"布拉瓦")</f>
        <v>布拉瓦</v>
      </c>
      <c r="H1021" s="9" t="str">
        <f>IFERROR(__xludf.DUMMYFUNCTION("GOOGLETRANSLATE($A1021,""en"",""ja"")"),"ブラバ")</f>
        <v>ブラバ</v>
      </c>
      <c r="I1021" s="9" t="str">
        <f>IFERROR(__xludf.DUMMYFUNCTION("GOOGLETRANSLATE($A1021,""en"",""ko"")"),"브라바")</f>
        <v>브라바</v>
      </c>
      <c r="J1021" s="9" t="str">
        <f>IFERROR(__xludf.DUMMYFUNCTION("GOOGLETRANSLATE($A1021,""en"",""pt-BR"")"),"Brava")</f>
        <v>Brava</v>
      </c>
    </row>
    <row r="1022">
      <c r="A1022" s="9" t="str">
        <f>IFERROR(__xludf.DUMMYFUNCTION("""COMPUTED_VALUE"""),"São Miguel")</f>
        <v>São Miguel</v>
      </c>
      <c r="B1022" s="9" t="str">
        <f>IFERROR(__xludf.DUMMYFUNCTION("""COMPUTED_VALUE"""),"cv-sm")</f>
        <v>cv-sm</v>
      </c>
      <c r="C1022" s="9" t="str">
        <f>IFERROR(__xludf.DUMMYFUNCTION("GOOGLETRANSLATE($A1022,""en"",""de"")"),"São Miguel")</f>
        <v>São Miguel</v>
      </c>
      <c r="D1022" s="9" t="str">
        <f>IFERROR(__xludf.DUMMYFUNCTION("GOOGLETRANSLATE($A1022,""en"",""fr"")"),"São Miguel")</f>
        <v>São Miguel</v>
      </c>
      <c r="E1022" s="9" t="str">
        <f>IFERROR(__xludf.DUMMYFUNCTION("GOOGLETRANSLATE($A1022,""en"",""es"")"),"San Miguel")</f>
        <v>San Miguel</v>
      </c>
      <c r="F1022" s="9" t="str">
        <f>IFERROR(__xludf.DUMMYFUNCTION("GOOGLETRANSLATE($A1022,""en"",""it"")"),"San Miguel")</f>
        <v>San Miguel</v>
      </c>
      <c r="G1022" s="9" t="str">
        <f>IFERROR(__xludf.DUMMYFUNCTION("GOOGLETRANSLATE($A1022,""en"",""zh-cn"")"),"圣米格尔岛")</f>
        <v>圣米格尔岛</v>
      </c>
      <c r="H1022" s="9" t="str">
        <f>IFERROR(__xludf.DUMMYFUNCTION("GOOGLETRANSLATE($A1022,""en"",""ja"")"),"サンミゲル島")</f>
        <v>サンミゲル島</v>
      </c>
      <c r="I1022" s="9" t="str">
        <f>IFERROR(__xludf.DUMMYFUNCTION("GOOGLETRANSLATE($A1022,""en"",""ko"")"),"상 미구엘")</f>
        <v>상 미구엘</v>
      </c>
      <c r="J1022" s="9" t="str">
        <f>IFERROR(__xludf.DUMMYFUNCTION("GOOGLETRANSLATE($A1022,""en"",""pt-BR"")"),"São Miguel")</f>
        <v>São Miguel</v>
      </c>
    </row>
    <row r="1023">
      <c r="A1023" s="9" t="str">
        <f>IFERROR(__xludf.DUMMYFUNCTION("""COMPUTED_VALUE"""),"Praia")</f>
        <v>Praia</v>
      </c>
      <c r="B1023" s="9" t="str">
        <f>IFERROR(__xludf.DUMMYFUNCTION("""COMPUTED_VALUE"""),"cv-pr")</f>
        <v>cv-pr</v>
      </c>
      <c r="C1023" s="9" t="str">
        <f>IFERROR(__xludf.DUMMYFUNCTION("GOOGLETRANSLATE($A1023,""en"",""de"")"),"Praia")</f>
        <v>Praia</v>
      </c>
      <c r="D1023" s="9" t="str">
        <f>IFERROR(__xludf.DUMMYFUNCTION("GOOGLETRANSLATE($A1023,""en"",""fr"")"),"Plage")</f>
        <v>Plage</v>
      </c>
      <c r="E1023" s="9" t="str">
        <f>IFERROR(__xludf.DUMMYFUNCTION("GOOGLETRANSLATE($A1023,""en"",""es"")"),"playa")</f>
        <v>playa</v>
      </c>
      <c r="F1023" s="9" t="str">
        <f>IFERROR(__xludf.DUMMYFUNCTION("GOOGLETRANSLATE($A1023,""en"",""it"")"),"Praia")</f>
        <v>Praia</v>
      </c>
      <c r="G1023" s="9" t="str">
        <f>IFERROR(__xludf.DUMMYFUNCTION("GOOGLETRANSLATE($A1023,""en"",""zh-cn"")"),"普拉亚")</f>
        <v>普拉亚</v>
      </c>
      <c r="H1023" s="9" t="str">
        <f>IFERROR(__xludf.DUMMYFUNCTION("GOOGLETRANSLATE($A1023,""en"",""ja"")"),"プライア")</f>
        <v>プライア</v>
      </c>
      <c r="I1023" s="9" t="str">
        <f>IFERROR(__xludf.DUMMYFUNCTION("GOOGLETRANSLATE($A1023,""en"",""ko"")"),"프라이아")</f>
        <v>프라이아</v>
      </c>
      <c r="J1023" s="9" t="str">
        <f>IFERROR(__xludf.DUMMYFUNCTION("GOOGLETRANSLATE($A1023,""en"",""pt-BR"")"),"Praia")</f>
        <v>Praia</v>
      </c>
    </row>
    <row r="1024">
      <c r="A1024" s="9" t="str">
        <f>IFERROR(__xludf.DUMMYFUNCTION("""COMPUTED_VALUE"""),"São Vicente")</f>
        <v>São Vicente</v>
      </c>
      <c r="B1024" s="9" t="str">
        <f>IFERROR(__xludf.DUMMYFUNCTION("""COMPUTED_VALUE"""),"cv-sv")</f>
        <v>cv-sv</v>
      </c>
      <c r="C1024" s="9" t="str">
        <f>IFERROR(__xludf.DUMMYFUNCTION("GOOGLETRANSLATE($A1024,""en"",""de"")"),"São Vicente")</f>
        <v>São Vicente</v>
      </c>
      <c r="D1024" s="9" t="str">
        <f>IFERROR(__xludf.DUMMYFUNCTION("GOOGLETRANSLATE($A1024,""en"",""fr"")"),"São Vicente")</f>
        <v>São Vicente</v>
      </c>
      <c r="E1024" s="9" t="str">
        <f>IFERROR(__xludf.DUMMYFUNCTION("GOOGLETRANSLATE($A1024,""en"",""es"")"),"San Vicente")</f>
        <v>San Vicente</v>
      </c>
      <c r="F1024" s="9" t="str">
        <f>IFERROR(__xludf.DUMMYFUNCTION("GOOGLETRANSLATE($A1024,""en"",""it"")"),"San Vicente")</f>
        <v>San Vicente</v>
      </c>
      <c r="G1024" s="9" t="str">
        <f>IFERROR(__xludf.DUMMYFUNCTION("GOOGLETRANSLATE($A1024,""en"",""zh-cn"")"),"圣维森特")</f>
        <v>圣维森特</v>
      </c>
      <c r="H1024" s="9" t="str">
        <f>IFERROR(__xludf.DUMMYFUNCTION("GOOGLETRANSLATE($A1024,""en"",""ja"")"),"サン・ビセンテ")</f>
        <v>サン・ビセンテ</v>
      </c>
      <c r="I1024" s="9" t="str">
        <f>IFERROR(__xludf.DUMMYFUNCTION("GOOGLETRANSLATE($A1024,""en"",""ko"")"),"상 비센테")</f>
        <v>상 비센테</v>
      </c>
      <c r="J1024" s="9" t="str">
        <f>IFERROR(__xludf.DUMMYFUNCTION("GOOGLETRANSLATE($A1024,""en"",""pt-BR"")"),"São Vicente")</f>
        <v>São Vicente</v>
      </c>
    </row>
    <row r="1025">
      <c r="A1025" s="9" t="str">
        <f>IFERROR(__xludf.DUMMYFUNCTION("""COMPUTED_VALUE"""),"Ilhas de Sotavento")</f>
        <v>Ilhas de Sotavento</v>
      </c>
      <c r="B1025" s="9" t="str">
        <f>IFERROR(__xludf.DUMMYFUNCTION("""COMPUTED_VALUE"""),"cv-s")</f>
        <v>cv-s</v>
      </c>
      <c r="C1025" s="9" t="str">
        <f>IFERROR(__xludf.DUMMYFUNCTION("GOOGLETRANSLATE($A1025,""en"",""de"")"),"Ilhas de Sotavento")</f>
        <v>Ilhas de Sotavento</v>
      </c>
      <c r="D1025" s="9" t="str">
        <f>IFERROR(__xludf.DUMMYFUNCTION("GOOGLETRANSLATE($A1025,""en"",""fr"")"),"Îles de Sotavento")</f>
        <v>Îles de Sotavento</v>
      </c>
      <c r="E1025" s="9" t="str">
        <f>IFERROR(__xludf.DUMMYFUNCTION("GOOGLETRANSLATE($A1025,""en"",""es"")"),"Islas de Sotavento")</f>
        <v>Islas de Sotavento</v>
      </c>
      <c r="F1025" s="9" t="str">
        <f>IFERROR(__xludf.DUMMYFUNCTION("GOOGLETRANSLATE($A1025,""en"",""it"")"),"Isole di Sotavento")</f>
        <v>Isole di Sotavento</v>
      </c>
      <c r="G1025" s="9" t="str">
        <f>IFERROR(__xludf.DUMMYFUNCTION("GOOGLETRANSLATE($A1025,""en"",""zh-cn"")"),"索塔文托岛")</f>
        <v>索塔文托岛</v>
      </c>
      <c r="H1025" s="9" t="str">
        <f>IFERROR(__xludf.DUMMYFUNCTION("GOOGLETRANSLATE($A1025,""en"",""ja"")"),"ソタベント島")</f>
        <v>ソタベント島</v>
      </c>
      <c r="I1025" s="9" t="str">
        <f>IFERROR(__xludf.DUMMYFUNCTION("GOOGLETRANSLATE($A1025,""en"",""ko"")"),"일하스 데 소타벤토")</f>
        <v>일하스 데 소타벤토</v>
      </c>
      <c r="J1025" s="9" t="str">
        <f>IFERROR(__xludf.DUMMYFUNCTION("GOOGLETRANSLATE($A1025,""en"",""pt-BR"")"),"Ilhas de Sotavento")</f>
        <v>Ilhas de Sotavento</v>
      </c>
    </row>
    <row r="1026">
      <c r="A1026" s="9" t="str">
        <f>IFERROR(__xludf.DUMMYFUNCTION("""COMPUTED_VALUE"""),"Santa Cruz (CV)")</f>
        <v>Santa Cruz (CV)</v>
      </c>
      <c r="B1026" s="9" t="str">
        <f>IFERROR(__xludf.DUMMYFUNCTION("""COMPUTED_VALUE"""),"cv-cr")</f>
        <v>cv-cr</v>
      </c>
      <c r="C1026" s="9" t="str">
        <f>IFERROR(__xludf.DUMMYFUNCTION("GOOGLETRANSLATE($A1026,""en"",""de"")"),"Santa Cruz (Lebenslauf)")</f>
        <v>Santa Cruz (Lebenslauf)</v>
      </c>
      <c r="D1026" s="9" t="str">
        <f>IFERROR(__xludf.DUMMYFUNCTION("GOOGLETRANSLATE($A1026,""en"",""fr"")"),"Santa Cruz (CV)")</f>
        <v>Santa Cruz (CV)</v>
      </c>
      <c r="E1026" s="9" t="str">
        <f>IFERROR(__xludf.DUMMYFUNCTION("GOOGLETRANSLATE($A1026,""en"",""es"")"),"Santa Cruz (CV)")</f>
        <v>Santa Cruz (CV)</v>
      </c>
      <c r="F1026" s="9" t="str">
        <f>IFERROR(__xludf.DUMMYFUNCTION("GOOGLETRANSLATE($A1026,""en"",""it"")"),"Santa Cruz (CV)")</f>
        <v>Santa Cruz (CV)</v>
      </c>
      <c r="G1026" s="9" t="str">
        <f>IFERROR(__xludf.DUMMYFUNCTION("GOOGLETRANSLATE($A1026,""en"",""zh-cn"")"),"圣克鲁斯 (CV)")</f>
        <v>圣克鲁斯 (CV)</v>
      </c>
      <c r="H1026" s="9" t="str">
        <f>IFERROR(__xludf.DUMMYFUNCTION("GOOGLETRANSLATE($A1026,""en"",""ja"")"),"サンタクルーズ(CV)")</f>
        <v>サンタクルーズ(CV)</v>
      </c>
      <c r="I1026" s="9" t="str">
        <f>IFERROR(__xludf.DUMMYFUNCTION("GOOGLETRANSLATE($A1026,""en"",""ko"")"),"산타 크루즈 (CV)")</f>
        <v>산타 크루즈 (CV)</v>
      </c>
      <c r="J1026" s="9" t="str">
        <f>IFERROR(__xludf.DUMMYFUNCTION("GOOGLETRANSLATE($A1026,""en"",""pt-BR"")"),"Santa Cruz (CV)")</f>
        <v>Santa Cruz (CV)</v>
      </c>
    </row>
    <row r="1027">
      <c r="A1027" s="9" t="str">
        <f>IFERROR(__xludf.DUMMYFUNCTION("""COMPUTED_VALUE"""),"Paul")</f>
        <v>Paul</v>
      </c>
      <c r="B1027" s="9" t="str">
        <f>IFERROR(__xludf.DUMMYFUNCTION("""COMPUTED_VALUE"""),"cv-pa")</f>
        <v>cv-pa</v>
      </c>
      <c r="C1027" s="9" t="str">
        <f>IFERROR(__xludf.DUMMYFUNCTION("GOOGLETRANSLATE($A1027,""en"",""de"")"),"Paul")</f>
        <v>Paul</v>
      </c>
      <c r="D1027" s="9" t="str">
        <f>IFERROR(__xludf.DUMMYFUNCTION("GOOGLETRANSLATE($A1027,""en"",""fr"")"),"Paul")</f>
        <v>Paul</v>
      </c>
      <c r="E1027" s="9" t="str">
        <f>IFERROR(__xludf.DUMMYFUNCTION("GOOGLETRANSLATE($A1027,""en"",""es"")"),"Pablo")</f>
        <v>Pablo</v>
      </c>
      <c r="F1027" s="9" t="str">
        <f>IFERROR(__xludf.DUMMYFUNCTION("GOOGLETRANSLATE($A1027,""en"",""it"")"),"Paolo")</f>
        <v>Paolo</v>
      </c>
      <c r="G1027" s="9" t="str">
        <f>IFERROR(__xludf.DUMMYFUNCTION("GOOGLETRANSLATE($A1027,""en"",""zh-cn"")"),"保罗")</f>
        <v>保罗</v>
      </c>
      <c r="H1027" s="9" t="str">
        <f>IFERROR(__xludf.DUMMYFUNCTION("GOOGLETRANSLATE($A1027,""en"",""ja"")"),"ポール")</f>
        <v>ポール</v>
      </c>
      <c r="I1027" s="9" t="str">
        <f>IFERROR(__xludf.DUMMYFUNCTION("GOOGLETRANSLATE($A1027,""en"",""ko"")"),"폴")</f>
        <v>폴</v>
      </c>
      <c r="J1027" s="9" t="str">
        <f>IFERROR(__xludf.DUMMYFUNCTION("GOOGLETRANSLATE($A1027,""en"",""pt-BR"")"),"Paulo")</f>
        <v>Paulo</v>
      </c>
    </row>
    <row r="1028">
      <c r="A1028" s="9" t="str">
        <f>IFERROR(__xludf.DUMMYFUNCTION("""COMPUTED_VALUE"""),"Santa Catarina (CV)")</f>
        <v>Santa Catarina (CV)</v>
      </c>
      <c r="B1028" s="9" t="str">
        <f>IFERROR(__xludf.DUMMYFUNCTION("""COMPUTED_VALUE"""),"cv-ca")</f>
        <v>cv-ca</v>
      </c>
      <c r="C1028" s="9" t="str">
        <f>IFERROR(__xludf.DUMMYFUNCTION("GOOGLETRANSLATE($A1028,""en"",""de"")"),"Santa Catarina (Lebenslauf)")</f>
        <v>Santa Catarina (Lebenslauf)</v>
      </c>
      <c r="D1028" s="9" t="str">
        <f>IFERROR(__xludf.DUMMYFUNCTION("GOOGLETRANSLATE($A1028,""en"",""fr"")"),"Santa Catarina (CV)")</f>
        <v>Santa Catarina (CV)</v>
      </c>
      <c r="E1028" s="9" t="str">
        <f>IFERROR(__xludf.DUMMYFUNCTION("GOOGLETRANSLATE($A1028,""en"",""es"")"),"Santa Catarina (CV)")</f>
        <v>Santa Catarina (CV)</v>
      </c>
      <c r="F1028" s="9" t="str">
        <f>IFERROR(__xludf.DUMMYFUNCTION("GOOGLETRANSLATE($A1028,""en"",""it"")"),"Santa Catarina (CV)")</f>
        <v>Santa Catarina (CV)</v>
      </c>
      <c r="G1028" s="9" t="str">
        <f>IFERROR(__xludf.DUMMYFUNCTION("GOOGLETRANSLATE($A1028,""en"",""zh-cn"")"),"圣卡塔琳娜州 (CV)")</f>
        <v>圣卡塔琳娜州 (CV)</v>
      </c>
      <c r="H1028" s="9" t="str">
        <f>IFERROR(__xludf.DUMMYFUNCTION("GOOGLETRANSLATE($A1028,""en"",""ja"")"),"サンタ・カタリーナ (CV)")</f>
        <v>サンタ・カタリーナ (CV)</v>
      </c>
      <c r="I1028" s="9" t="str">
        <f>IFERROR(__xludf.DUMMYFUNCTION("GOOGLETRANSLATE($A1028,""en"",""ko"")"),"산타 카타리나(CV)")</f>
        <v>산타 카타리나(CV)</v>
      </c>
      <c r="J1028" s="9" t="str">
        <f>IFERROR(__xludf.DUMMYFUNCTION("GOOGLETRANSLATE($A1028,""en"",""pt-BR"")"),"Santa Catarina (CV)")</f>
        <v>Santa Catarina (CV)</v>
      </c>
    </row>
    <row r="1029">
      <c r="A1029" s="9" t="str">
        <f>IFERROR(__xludf.DUMMYFUNCTION("""COMPUTED_VALUE"""),"São Lourenço dos Órgãos")</f>
        <v>São Lourenço dos Órgãos</v>
      </c>
      <c r="B1029" s="9" t="str">
        <f>IFERROR(__xludf.DUMMYFUNCTION("""COMPUTED_VALUE"""),"cv-so")</f>
        <v>cv-so</v>
      </c>
      <c r="C1029" s="9" t="str">
        <f>IFERROR(__xludf.DUMMYFUNCTION("GOOGLETRANSLATE($A1029,""en"",""de"")"),"São Lourenço dos Órgãos")</f>
        <v>São Lourenço dos Órgãos</v>
      </c>
      <c r="D1029" s="9" t="str">
        <f>IFERROR(__xludf.DUMMYFUNCTION("GOOGLETRANSLATE($A1029,""en"",""fr"")"),"São Lourenço dos Órgãos")</f>
        <v>São Lourenço dos Órgãos</v>
      </c>
      <c r="E1029" s="9" t="str">
        <f>IFERROR(__xludf.DUMMYFUNCTION("GOOGLETRANSLATE($A1029,""en"",""es"")"),"São Lourenço dos Órgãos")</f>
        <v>São Lourenço dos Órgãos</v>
      </c>
      <c r="F1029" s="9" t="str">
        <f>IFERROR(__xludf.DUMMYFUNCTION("GOOGLETRANSLATE($A1029,""en"",""it"")"),"São Lourenço dos Órgãos")</f>
        <v>São Lourenço dos Órgãos</v>
      </c>
      <c r="G1029" s="9" t="str">
        <f>IFERROR(__xludf.DUMMYFUNCTION("GOOGLETRANSLATE($A1029,""en"",""zh-cn"")"),"圣洛伦索多斯奥尔加斯")</f>
        <v>圣洛伦索多斯奥尔加斯</v>
      </c>
      <c r="H1029" s="9" t="str">
        <f>IFERROR(__xludf.DUMMYFUNCTION("GOOGLETRANSLATE($A1029,""en"",""ja"")"),"サン ロレンソ ドス オルガンス")</f>
        <v>サン ロレンソ ドス オルガンス</v>
      </c>
      <c r="I1029" s="9" t="str">
        <f>IFERROR(__xludf.DUMMYFUNCTION("GOOGLETRANSLATE($A1029,""en"",""ko"")"),"상 로렌수 도스 오르가오스")</f>
        <v>상 로렌수 도스 오르가오스</v>
      </c>
      <c r="J1029" s="9" t="str">
        <f>IFERROR(__xludf.DUMMYFUNCTION("GOOGLETRANSLATE($A1029,""en"",""pt-BR"")"),"São Lourenço dos Órgãos")</f>
        <v>São Lourenço dos Órgãos</v>
      </c>
    </row>
    <row r="1030">
      <c r="A1030" s="9" t="str">
        <f>IFERROR(__xludf.DUMMYFUNCTION("""COMPUTED_VALUE"""),"Ilhas de Barlavento")</f>
        <v>Ilhas de Barlavento</v>
      </c>
      <c r="B1030" s="9" t="str">
        <f>IFERROR(__xludf.DUMMYFUNCTION("""COMPUTED_VALUE"""),"cv-b")</f>
        <v>cv-b</v>
      </c>
      <c r="C1030" s="9" t="str">
        <f>IFERROR(__xludf.DUMMYFUNCTION("GOOGLETRANSLATE($A1030,""en"",""de"")"),"Ilhas de Barlavento")</f>
        <v>Ilhas de Barlavento</v>
      </c>
      <c r="D1030" s="9" t="str">
        <f>IFERROR(__xludf.DUMMYFUNCTION("GOOGLETRANSLATE($A1030,""en"",""fr"")"),"Îles de Barlavento")</f>
        <v>Îles de Barlavento</v>
      </c>
      <c r="E1030" s="9" t="str">
        <f>IFERROR(__xludf.DUMMYFUNCTION("GOOGLETRANSLATE($A1030,""en"",""es"")"),"Islas de Barlavento")</f>
        <v>Islas de Barlavento</v>
      </c>
      <c r="F1030" s="9" t="str">
        <f>IFERROR(__xludf.DUMMYFUNCTION("GOOGLETRANSLATE($A1030,""en"",""it"")"),"Isole di Barlavento")</f>
        <v>Isole di Barlavento</v>
      </c>
      <c r="G1030" s="9" t="str">
        <f>IFERROR(__xludf.DUMMYFUNCTION("GOOGLETRANSLATE($A1030,""en"",""zh-cn"")"),"巴拉文托岛")</f>
        <v>巴拉文托岛</v>
      </c>
      <c r="H1030" s="9" t="str">
        <f>IFERROR(__xludf.DUMMYFUNCTION("GOOGLETRANSLATE($A1030,""en"",""ja"")"),"バルラベント島")</f>
        <v>バルラベント島</v>
      </c>
      <c r="I1030" s="9" t="str">
        <f>IFERROR(__xludf.DUMMYFUNCTION("GOOGLETRANSLATE($A1030,""en"",""ko"")"),"일하스 데 발라벤토")</f>
        <v>일하스 데 발라벤토</v>
      </c>
      <c r="J1030" s="9" t="str">
        <f>IFERROR(__xludf.DUMMYFUNCTION("GOOGLETRANSLATE($A1030,""en"",""pt-BR"")"),"Ilhas do Barlavento")</f>
        <v>Ilhas do Barlavento</v>
      </c>
    </row>
    <row r="1031">
      <c r="A1031" s="9" t="str">
        <f>IFERROR(__xludf.DUMMYFUNCTION("""COMPUTED_VALUE"""),"São Salvador do Mundo")</f>
        <v>São Salvador do Mundo</v>
      </c>
      <c r="B1031" s="9" t="str">
        <f>IFERROR(__xludf.DUMMYFUNCTION("""COMPUTED_VALUE"""),"cv-ss")</f>
        <v>cv-ss</v>
      </c>
      <c r="C1031" s="9" t="str">
        <f>IFERROR(__xludf.DUMMYFUNCTION("GOOGLETRANSLATE($A1031,""en"",""de"")"),"São Salvador do Mundo")</f>
        <v>São Salvador do Mundo</v>
      </c>
      <c r="D1031" s="9" t="str">
        <f>IFERROR(__xludf.DUMMYFUNCTION("GOOGLETRANSLATE($A1031,""en"",""fr"")"),"São Salvador du Monde")</f>
        <v>São Salvador du Monde</v>
      </c>
      <c r="E1031" s="9" t="str">
        <f>IFERROR(__xludf.DUMMYFUNCTION("GOOGLETRANSLATE($A1031,""en"",""es"")"),"São Salvador del Mundo")</f>
        <v>São Salvador del Mundo</v>
      </c>
      <c r="F1031" s="9" t="str">
        <f>IFERROR(__xludf.DUMMYFUNCTION("GOOGLETRANSLATE($A1031,""en"",""it"")"),"São Salvador do Mundo")</f>
        <v>São Salvador do Mundo</v>
      </c>
      <c r="G1031" s="9" t="str">
        <f>IFERROR(__xludf.DUMMYFUNCTION("GOOGLETRANSLATE($A1031,""en"",""zh-cn"")"),"圣萨尔瓦多")</f>
        <v>圣萨尔瓦多</v>
      </c>
      <c r="H1031" s="9" t="str">
        <f>IFERROR(__xludf.DUMMYFUNCTION("GOOGLETRANSLATE($A1031,""en"",""ja"")"),"サン サルバドル ド ムンド")</f>
        <v>サン サルバドル ド ムンド</v>
      </c>
      <c r="I1031" s="9" t="str">
        <f>IFERROR(__xludf.DUMMYFUNCTION("GOOGLETRANSLATE($A1031,""en"",""ko"")"),"상살바도르 두 문도")</f>
        <v>상살바도르 두 문도</v>
      </c>
      <c r="J1031" s="9" t="str">
        <f>IFERROR(__xludf.DUMMYFUNCTION("GOOGLETRANSLATE($A1031,""en"",""pt-BR"")"),"São Salvador do Mundo")</f>
        <v>São Salvador do Mundo</v>
      </c>
    </row>
    <row r="1032">
      <c r="A1032" s="9" t="str">
        <f>IFERROR(__xludf.DUMMYFUNCTION("""COMPUTED_VALUE"""),"Santa Catarina do Fogo")</f>
        <v>Santa Catarina do Fogo</v>
      </c>
      <c r="B1032" s="9" t="str">
        <f>IFERROR(__xludf.DUMMYFUNCTION("""COMPUTED_VALUE"""),"cv-cf")</f>
        <v>cv-cf</v>
      </c>
      <c r="C1032" s="9" t="str">
        <f>IFERROR(__xludf.DUMMYFUNCTION("GOOGLETRANSLATE($A1032,""en"",""de"")"),"Santa Catarina do Fogo")</f>
        <v>Santa Catarina do Fogo</v>
      </c>
      <c r="D1032" s="9" t="str">
        <f>IFERROR(__xludf.DUMMYFUNCTION("GOOGLETRANSLATE($A1032,""en"",""fr"")"),"Santa Catarina do Fogo")</f>
        <v>Santa Catarina do Fogo</v>
      </c>
      <c r="E1032" s="9" t="str">
        <f>IFERROR(__xludf.DUMMYFUNCTION("GOOGLETRANSLATE($A1032,""en"",""es"")"),"Santa Catarina do Fogo")</f>
        <v>Santa Catarina do Fogo</v>
      </c>
      <c r="F1032" s="9" t="str">
        <f>IFERROR(__xludf.DUMMYFUNCTION("GOOGLETRANSLATE($A1032,""en"",""it"")"),"Santa Catarina do Fogo")</f>
        <v>Santa Catarina do Fogo</v>
      </c>
      <c r="G1032" s="9" t="str">
        <f>IFERROR(__xludf.DUMMYFUNCTION("GOOGLETRANSLATE($A1032,""en"",""zh-cn"")"),"福戈圣卡塔琳娜州")</f>
        <v>福戈圣卡塔琳娜州</v>
      </c>
      <c r="H1032" s="9" t="str">
        <f>IFERROR(__xludf.DUMMYFUNCTION("GOOGLETRANSLATE($A1032,""en"",""ja"")"),"サンタ カタリーナ ド フォゴ")</f>
        <v>サンタ カタリーナ ド フォゴ</v>
      </c>
      <c r="I1032" s="9" t="str">
        <f>IFERROR(__xludf.DUMMYFUNCTION("GOOGLETRANSLATE($A1032,""en"",""ko"")"),"산타 카타리나 도 포고")</f>
        <v>산타 카타리나 도 포고</v>
      </c>
      <c r="J1032" s="9" t="str">
        <f>IFERROR(__xludf.DUMMYFUNCTION("GOOGLETRANSLATE($A1032,""en"",""pt-BR"")"),"Santa Catarina do Fogo")</f>
        <v>Santa Catarina do Fogo</v>
      </c>
    </row>
    <row r="1033">
      <c r="A1033" s="9" t="str">
        <f>IFERROR(__xludf.DUMMYFUNCTION("""COMPUTED_VALUE"""),"Boa Vista")</f>
        <v>Boa Vista</v>
      </c>
      <c r="B1033" s="9" t="str">
        <f>IFERROR(__xludf.DUMMYFUNCTION("""COMPUTED_VALUE"""),"cv-bv")</f>
        <v>cv-bv</v>
      </c>
      <c r="C1033" s="9" t="str">
        <f>IFERROR(__xludf.DUMMYFUNCTION("GOOGLETRANSLATE($A1033,""en"",""de"")"),"Boa Vista")</f>
        <v>Boa Vista</v>
      </c>
      <c r="D1033" s="9" t="str">
        <f>IFERROR(__xludf.DUMMYFUNCTION("GOOGLETRANSLATE($A1033,""en"",""fr"")"),"Boa Vista")</f>
        <v>Boa Vista</v>
      </c>
      <c r="E1033" s="9" t="str">
        <f>IFERROR(__xludf.DUMMYFUNCTION("GOOGLETRANSLATE($A1033,""en"",""es"")"),"Boa Vista")</f>
        <v>Boa Vista</v>
      </c>
      <c r="F1033" s="9" t="str">
        <f>IFERROR(__xludf.DUMMYFUNCTION("GOOGLETRANSLATE($A1033,""en"",""it"")"),"Boa Vista")</f>
        <v>Boa Vista</v>
      </c>
      <c r="G1033" s="9" t="str">
        <f>IFERROR(__xludf.DUMMYFUNCTION("GOOGLETRANSLATE($A1033,""en"",""zh-cn"")"),"博阿维斯塔")</f>
        <v>博阿维斯塔</v>
      </c>
      <c r="H1033" s="9" t="str">
        <f>IFERROR(__xludf.DUMMYFUNCTION("GOOGLETRANSLATE($A1033,""en"",""ja"")"),"ボアビスタ")</f>
        <v>ボアビスタ</v>
      </c>
      <c r="I1033" s="9" t="str">
        <f>IFERROR(__xludf.DUMMYFUNCTION("GOOGLETRANSLATE($A1033,""en"",""ko"")"),"보아비스타")</f>
        <v>보아비스타</v>
      </c>
      <c r="J1033" s="9" t="str">
        <f>IFERROR(__xludf.DUMMYFUNCTION("GOOGLETRANSLATE($A1033,""en"",""pt-BR"")"),"Boa Vista")</f>
        <v>Boa Vista</v>
      </c>
    </row>
    <row r="1034">
      <c r="A1034" s="9" t="str">
        <f>IFERROR(__xludf.DUMMYFUNCTION("""COMPUTED_VALUE"""),"São Domingos")</f>
        <v>São Domingos</v>
      </c>
      <c r="B1034" s="9" t="str">
        <f>IFERROR(__xludf.DUMMYFUNCTION("""COMPUTED_VALUE"""),"cv-sd")</f>
        <v>cv-sd</v>
      </c>
      <c r="C1034" s="9" t="str">
        <f>IFERROR(__xludf.DUMMYFUNCTION("GOOGLETRANSLATE($A1034,""en"",""de"")"),"São Domingos")</f>
        <v>São Domingos</v>
      </c>
      <c r="D1034" s="9" t="str">
        <f>IFERROR(__xludf.DUMMYFUNCTION("GOOGLETRANSLATE($A1034,""en"",""fr"")"),"São Domingos")</f>
        <v>São Domingos</v>
      </c>
      <c r="E1034" s="9" t="str">
        <f>IFERROR(__xludf.DUMMYFUNCTION("GOOGLETRANSLATE($A1034,""en"",""es"")"),"São Domingos")</f>
        <v>São Domingos</v>
      </c>
      <c r="F1034" s="9" t="str">
        <f>IFERROR(__xludf.DUMMYFUNCTION("GOOGLETRANSLATE($A1034,""en"",""it"")"),"San Domingo")</f>
        <v>San Domingo</v>
      </c>
      <c r="G1034" s="9" t="str">
        <f>IFERROR(__xludf.DUMMYFUNCTION("GOOGLETRANSLATE($A1034,""en"",""zh-cn"")"),"圣多明戈斯")</f>
        <v>圣多明戈斯</v>
      </c>
      <c r="H1034" s="9" t="str">
        <f>IFERROR(__xludf.DUMMYFUNCTION("GOOGLETRANSLATE($A1034,""en"",""ja"")"),"サン ドミンゴス")</f>
        <v>サン ドミンゴス</v>
      </c>
      <c r="I1034" s="9" t="str">
        <f>IFERROR(__xludf.DUMMYFUNCTION("GOOGLETRANSLATE($A1034,""en"",""ko"")"),"상도밍고스")</f>
        <v>상도밍고스</v>
      </c>
      <c r="J1034" s="9" t="str">
        <f>IFERROR(__xludf.DUMMYFUNCTION("GOOGLETRANSLATE($A1034,""en"",""pt-BR"")"),"São Domingos")</f>
        <v>São Domingos</v>
      </c>
    </row>
    <row r="1035">
      <c r="A1035" s="9" t="str">
        <f>IFERROR(__xludf.DUMMYFUNCTION("""COMPUTED_VALUE"""),"Tarrafal")</f>
        <v>Tarrafal</v>
      </c>
      <c r="B1035" s="9" t="str">
        <f>IFERROR(__xludf.DUMMYFUNCTION("""COMPUTED_VALUE"""),"cv-ta")</f>
        <v>cv-ta</v>
      </c>
      <c r="C1035" s="9" t="str">
        <f>IFERROR(__xludf.DUMMYFUNCTION("GOOGLETRANSLATE($A1035,""en"",""de"")"),"Tarrafal")</f>
        <v>Tarrafal</v>
      </c>
      <c r="D1035" s="9" t="str">
        <f>IFERROR(__xludf.DUMMYFUNCTION("GOOGLETRANSLATE($A1035,""en"",""fr"")"),"Tarrafal")</f>
        <v>Tarrafal</v>
      </c>
      <c r="E1035" s="9" t="str">
        <f>IFERROR(__xludf.DUMMYFUNCTION("GOOGLETRANSLATE($A1035,""en"",""es"")"),"Tarrafal")</f>
        <v>Tarrafal</v>
      </c>
      <c r="F1035" s="9" t="str">
        <f>IFERROR(__xludf.DUMMYFUNCTION("GOOGLETRANSLATE($A1035,""en"",""it"")"),"Tarrafal")</f>
        <v>Tarrafal</v>
      </c>
      <c r="G1035" s="9" t="str">
        <f>IFERROR(__xludf.DUMMYFUNCTION("GOOGLETRANSLATE($A1035,""en"",""zh-cn"")"),"塔拉法尔")</f>
        <v>塔拉法尔</v>
      </c>
      <c r="H1035" s="9" t="str">
        <f>IFERROR(__xludf.DUMMYFUNCTION("GOOGLETRANSLATE($A1035,""en"",""ja"")"),"タラファル")</f>
        <v>タラファル</v>
      </c>
      <c r="I1035" s="9" t="str">
        <f>IFERROR(__xludf.DUMMYFUNCTION("GOOGLETRANSLATE($A1035,""en"",""ko"")"),"타라팔")</f>
        <v>타라팔</v>
      </c>
      <c r="J1035" s="9" t="str">
        <f>IFERROR(__xludf.DUMMYFUNCTION("GOOGLETRANSLATE($A1035,""en"",""pt-BR"")"),"Tarrafal")</f>
        <v>Tarrafal</v>
      </c>
    </row>
    <row r="1036">
      <c r="A1036" s="9" t="str">
        <f>IFERROR(__xludf.DUMMYFUNCTION("""COMPUTED_VALUE"""),"Tarrafal de São Nicolau")</f>
        <v>Tarrafal de São Nicolau</v>
      </c>
      <c r="B1036" s="9" t="str">
        <f>IFERROR(__xludf.DUMMYFUNCTION("""COMPUTED_VALUE"""),"cv-ts")</f>
        <v>cv-ts</v>
      </c>
      <c r="C1036" s="9" t="str">
        <f>IFERROR(__xludf.DUMMYFUNCTION("GOOGLETRANSLATE($A1036,""en"",""de"")"),"Tarrafal de São Nicolau")</f>
        <v>Tarrafal de São Nicolau</v>
      </c>
      <c r="D1036" s="9" t="str">
        <f>IFERROR(__xludf.DUMMYFUNCTION("GOOGLETRANSLATE($A1036,""en"",""fr"")"),"Tarrafal de São Nicolau")</f>
        <v>Tarrafal de São Nicolau</v>
      </c>
      <c r="E1036" s="9" t="str">
        <f>IFERROR(__xludf.DUMMYFUNCTION("GOOGLETRANSLATE($A1036,""en"",""es"")"),"Tarrafal de São Nicolau")</f>
        <v>Tarrafal de São Nicolau</v>
      </c>
      <c r="F1036" s="9" t="str">
        <f>IFERROR(__xludf.DUMMYFUNCTION("GOOGLETRANSLATE($A1036,""en"",""it"")"),"Tarrafal de São Nicolau")</f>
        <v>Tarrafal de São Nicolau</v>
      </c>
      <c r="G1036" s="9" t="str">
        <f>IFERROR(__xludf.DUMMYFUNCTION("GOOGLETRANSLATE($A1036,""en"",""zh-cn"")"),"圣尼古拉的塔拉法尔")</f>
        <v>圣尼古拉的塔拉法尔</v>
      </c>
      <c r="H1036" s="9" t="str">
        <f>IFERROR(__xludf.DUMMYFUNCTION("GOOGLETRANSLATE($A1036,""en"",""ja"")"),"タラファル デ サン ニコラウ")</f>
        <v>タラファル デ サン ニコラウ</v>
      </c>
      <c r="I1036" s="9" t="str">
        <f>IFERROR(__xludf.DUMMYFUNCTION("GOOGLETRANSLATE($A1036,""en"",""ko"")"),"타라팔 데 상 니콜라우")</f>
        <v>타라팔 데 상 니콜라우</v>
      </c>
      <c r="J1036" s="9" t="str">
        <f>IFERROR(__xludf.DUMMYFUNCTION("GOOGLETRANSLATE($A1036,""en"",""pt-BR"")"),"Tarrafal de São Nicolau")</f>
        <v>Tarrafal de São Nicolau</v>
      </c>
    </row>
    <row r="1037">
      <c r="A1037" s="9" t="str">
        <f>IFERROR(__xludf.DUMMYFUNCTION("""COMPUTED_VALUE"""),"Sal")</f>
        <v>Sal</v>
      </c>
      <c r="B1037" s="9" t="str">
        <f>IFERROR(__xludf.DUMMYFUNCTION("""COMPUTED_VALUE"""),"cv-sl")</f>
        <v>cv-sl</v>
      </c>
      <c r="C1037" s="9" t="str">
        <f>IFERROR(__xludf.DUMMYFUNCTION("GOOGLETRANSLATE($A1037,""en"",""de"")"),"Sal")</f>
        <v>Sal</v>
      </c>
      <c r="D1037" s="9" t="str">
        <f>IFERROR(__xludf.DUMMYFUNCTION("GOOGLETRANSLATE($A1037,""en"",""fr"")"),"Sal")</f>
        <v>Sal</v>
      </c>
      <c r="E1037" s="9" t="str">
        <f>IFERROR(__xludf.DUMMYFUNCTION("GOOGLETRANSLATE($A1037,""en"",""es"")"),"Sal")</f>
        <v>Sal</v>
      </c>
      <c r="F1037" s="9" t="str">
        <f>IFERROR(__xludf.DUMMYFUNCTION("GOOGLETRANSLATE($A1037,""en"",""it"")"),"Sal")</f>
        <v>Sal</v>
      </c>
      <c r="G1037" s="9" t="str">
        <f>IFERROR(__xludf.DUMMYFUNCTION("GOOGLETRANSLATE($A1037,""en"",""zh-cn"")"),"萨尔")</f>
        <v>萨尔</v>
      </c>
      <c r="H1037" s="9" t="str">
        <f>IFERROR(__xludf.DUMMYFUNCTION("GOOGLETRANSLATE($A1037,""en"",""ja"")"),"サル")</f>
        <v>サル</v>
      </c>
      <c r="I1037" s="9" t="str">
        <f>IFERROR(__xludf.DUMMYFUNCTION("GOOGLETRANSLATE($A1037,""en"",""ko"")"),"남자 이름")</f>
        <v>남자 이름</v>
      </c>
      <c r="J1037" s="9" t="str">
        <f>IFERROR(__xludf.DUMMYFUNCTION("GOOGLETRANSLATE($A1037,""en"",""pt-BR"")"),"Sal")</f>
        <v>Sal</v>
      </c>
    </row>
    <row r="1038">
      <c r="A1038" s="9" t="str">
        <f>IFERROR(__xludf.DUMMYFUNCTION("""COMPUTED_VALUE"""),"São Filipe")</f>
        <v>São Filipe</v>
      </c>
      <c r="B1038" s="9" t="str">
        <f>IFERROR(__xludf.DUMMYFUNCTION("""COMPUTED_VALUE"""),"cv-sf")</f>
        <v>cv-sf</v>
      </c>
      <c r="C1038" s="9" t="str">
        <f>IFERROR(__xludf.DUMMYFUNCTION("GOOGLETRANSLATE($A1038,""en"",""de"")"),"São Filipe")</f>
        <v>São Filipe</v>
      </c>
      <c r="D1038" s="9" t="str">
        <f>IFERROR(__xludf.DUMMYFUNCTION("GOOGLETRANSLATE($A1038,""en"",""fr"")"),"São Filipe")</f>
        <v>São Filipe</v>
      </c>
      <c r="E1038" s="9" t="str">
        <f>IFERROR(__xludf.DUMMYFUNCTION("GOOGLETRANSLATE($A1038,""en"",""es"")"),"São Filipe")</f>
        <v>São Filipe</v>
      </c>
      <c r="F1038" s="9" t="str">
        <f>IFERROR(__xludf.DUMMYFUNCTION("GOOGLETRANSLATE($A1038,""en"",""it"")"),"San Filipe")</f>
        <v>San Filipe</v>
      </c>
      <c r="G1038" s="9" t="str">
        <f>IFERROR(__xludf.DUMMYFUNCTION("GOOGLETRANSLATE($A1038,""en"",""zh-cn"")"),"圣菲利佩")</f>
        <v>圣菲利佩</v>
      </c>
      <c r="H1038" s="9" t="str">
        <f>IFERROR(__xludf.DUMMYFUNCTION("GOOGLETRANSLATE($A1038,""en"",""ja"")"),"サン・フィリペ")</f>
        <v>サン・フィリペ</v>
      </c>
      <c r="I1038" s="9" t="str">
        <f>IFERROR(__xludf.DUMMYFUNCTION("GOOGLETRANSLATE($A1038,""en"",""ko"")"),"상 필리페")</f>
        <v>상 필리페</v>
      </c>
      <c r="J1038" s="9" t="str">
        <f>IFERROR(__xludf.DUMMYFUNCTION("GOOGLETRANSLATE($A1038,""en"",""pt-BR"")"),"São Filipe")</f>
        <v>São Filipe</v>
      </c>
    </row>
    <row r="1039">
      <c r="A1039" s="9" t="str">
        <f>IFERROR(__xludf.DUMMYFUNCTION("""COMPUTED_VALUE"""),"Ribeira Grande de Santiago")</f>
        <v>Ribeira Grande de Santiago</v>
      </c>
      <c r="B1039" s="9" t="str">
        <f>IFERROR(__xludf.DUMMYFUNCTION("""COMPUTED_VALUE"""),"cv-rs")</f>
        <v>cv-rs</v>
      </c>
      <c r="C1039" s="9" t="str">
        <f>IFERROR(__xludf.DUMMYFUNCTION("GOOGLETRANSLATE($A1039,""en"",""de"")"),"Ribeira Grande de Santiago")</f>
        <v>Ribeira Grande de Santiago</v>
      </c>
      <c r="D1039" s="9" t="str">
        <f>IFERROR(__xludf.DUMMYFUNCTION("GOOGLETRANSLATE($A1039,""en"",""fr"")"),"Ribeira Grande de Santiago")</f>
        <v>Ribeira Grande de Santiago</v>
      </c>
      <c r="E1039" s="9" t="str">
        <f>IFERROR(__xludf.DUMMYFUNCTION("GOOGLETRANSLATE($A1039,""en"",""es"")"),"Ribeira Grande de Santiago")</f>
        <v>Ribeira Grande de Santiago</v>
      </c>
      <c r="F1039" s="9" t="str">
        <f>IFERROR(__xludf.DUMMYFUNCTION("GOOGLETRANSLATE($A1039,""en"",""it"")"),"Ribeira Grande de Santiago")</f>
        <v>Ribeira Grande de Santiago</v>
      </c>
      <c r="G1039" s="9" t="str">
        <f>IFERROR(__xludf.DUMMYFUNCTION("GOOGLETRANSLATE($A1039,""en"",""zh-cn"")"),"圣地亚哥大里贝拉")</f>
        <v>圣地亚哥大里贝拉</v>
      </c>
      <c r="H1039" s="9" t="str">
        <f>IFERROR(__xludf.DUMMYFUNCTION("GOOGLETRANSLATE($A1039,""en"",""ja"")"),"リベイラ グランデ デ サンティアゴ")</f>
        <v>リベイラ グランデ デ サンティアゴ</v>
      </c>
      <c r="I1039" s="9" t="str">
        <f>IFERROR(__xludf.DUMMYFUNCTION("GOOGLETRANSLATE($A1039,""en"",""ko"")"),"리베이라 그란데 데 산티아고")</f>
        <v>리베이라 그란데 데 산티아고</v>
      </c>
      <c r="J1039" s="9" t="str">
        <f>IFERROR(__xludf.DUMMYFUNCTION("GOOGLETRANSLATE($A1039,""en"",""pt-BR"")"),"Ribeira Grande de Santiago")</f>
        <v>Ribeira Grande de Santiago</v>
      </c>
    </row>
    <row r="1040">
      <c r="A1040" s="9" t="str">
        <f>IFERROR(__xludf.DUMMYFUNCTION("""COMPUTED_VALUE"""),"Ribeira Grande")</f>
        <v>Ribeira Grande</v>
      </c>
      <c r="B1040" s="9" t="str">
        <f>IFERROR(__xludf.DUMMYFUNCTION("""COMPUTED_VALUE"""),"cv-rg")</f>
        <v>cv-rg</v>
      </c>
      <c r="C1040" s="9" t="str">
        <f>IFERROR(__xludf.DUMMYFUNCTION("GOOGLETRANSLATE($A1040,""en"",""de"")"),"Ribeira Grande")</f>
        <v>Ribeira Grande</v>
      </c>
      <c r="D1040" s="9" t="str">
        <f>IFERROR(__xludf.DUMMYFUNCTION("GOOGLETRANSLATE($A1040,""en"",""fr"")"),"Ribeira Grande")</f>
        <v>Ribeira Grande</v>
      </c>
      <c r="E1040" s="9" t="str">
        <f>IFERROR(__xludf.DUMMYFUNCTION("GOOGLETRANSLATE($A1040,""en"",""es"")"),"Ribeira Grande")</f>
        <v>Ribeira Grande</v>
      </c>
      <c r="F1040" s="9" t="str">
        <f>IFERROR(__xludf.DUMMYFUNCTION("GOOGLETRANSLATE($A1040,""en"",""it"")"),"Ribeira Grande")</f>
        <v>Ribeira Grande</v>
      </c>
      <c r="G1040" s="9" t="str">
        <f>IFERROR(__xludf.DUMMYFUNCTION("GOOGLETRANSLATE($A1040,""en"",""zh-cn"")"),"格兰德里贝拉")</f>
        <v>格兰德里贝拉</v>
      </c>
      <c r="H1040" s="9" t="str">
        <f>IFERROR(__xludf.DUMMYFUNCTION("GOOGLETRANSLATE($A1040,""en"",""ja"")"),"リベイラ・グランデ")</f>
        <v>リベイラ・グランデ</v>
      </c>
      <c r="I1040" s="9" t="str">
        <f>IFERROR(__xludf.DUMMYFUNCTION("GOOGLETRANSLATE($A1040,""en"",""ko"")"),"리베이라 그란데")</f>
        <v>리베이라 그란데</v>
      </c>
      <c r="J1040" s="9" t="str">
        <f>IFERROR(__xludf.DUMMYFUNCTION("GOOGLETRANSLATE($A1040,""en"",""pt-BR"")"),"Ribeira Grande")</f>
        <v>Ribeira Grande</v>
      </c>
    </row>
    <row r="1041">
      <c r="A1041" s="9" t="str">
        <f>IFERROR(__xludf.DUMMYFUNCTION("""COMPUTED_VALUE"""),"Porto Novo")</f>
        <v>Porto Novo</v>
      </c>
      <c r="B1041" s="9" t="str">
        <f>IFERROR(__xludf.DUMMYFUNCTION("""COMPUTED_VALUE"""),"cv-pn")</f>
        <v>cv-pn</v>
      </c>
      <c r="C1041" s="9" t="str">
        <f>IFERROR(__xludf.DUMMYFUNCTION("GOOGLETRANSLATE($A1041,""en"",""de"")"),"Porto Novo")</f>
        <v>Porto Novo</v>
      </c>
      <c r="D1041" s="9" t="str">
        <f>IFERROR(__xludf.DUMMYFUNCTION("GOOGLETRANSLATE($A1041,""en"",""fr"")"),"Porto-Novo")</f>
        <v>Porto-Novo</v>
      </c>
      <c r="E1041" s="9" t="str">
        <f>IFERROR(__xludf.DUMMYFUNCTION("GOOGLETRANSLATE($A1041,""en"",""es"")"),"Puerto Novo")</f>
        <v>Puerto Novo</v>
      </c>
      <c r="F1041" s="9" t="str">
        <f>IFERROR(__xludf.DUMMYFUNCTION("GOOGLETRANSLATE($A1041,""en"",""it"")"),"Porto Nuovo")</f>
        <v>Porto Nuovo</v>
      </c>
      <c r="G1041" s="9" t="str">
        <f>IFERROR(__xludf.DUMMYFUNCTION("GOOGLETRANSLATE($A1041,""en"",""zh-cn"")"),"波多诺伏")</f>
        <v>波多诺伏</v>
      </c>
      <c r="H1041" s="9" t="str">
        <f>IFERROR(__xludf.DUMMYFUNCTION("GOOGLETRANSLATE($A1041,""en"",""ja"")"),"ポルト ノーヴォ")</f>
        <v>ポルト ノーヴォ</v>
      </c>
      <c r="I1041" s="9" t="str">
        <f>IFERROR(__xludf.DUMMYFUNCTION("GOOGLETRANSLATE($A1041,""en"",""ko"")"),"포르토 노보")</f>
        <v>포르토 노보</v>
      </c>
      <c r="J1041" s="9" t="str">
        <f>IFERROR(__xludf.DUMMYFUNCTION("GOOGLETRANSLATE($A1041,""en"",""pt-BR"")"),"Porto Novo")</f>
        <v>Porto Novo</v>
      </c>
    </row>
    <row r="1042">
      <c r="A1042" s="9" t="str">
        <f>IFERROR(__xludf.DUMMYFUNCTION("""COMPUTED_VALUE"""),"Mosteiros")</f>
        <v>Mosteiros</v>
      </c>
      <c r="B1042" s="9" t="str">
        <f>IFERROR(__xludf.DUMMYFUNCTION("""COMPUTED_VALUE"""),"cv-mo")</f>
        <v>cv-mo</v>
      </c>
      <c r="C1042" s="9" t="str">
        <f>IFERROR(__xludf.DUMMYFUNCTION("GOOGLETRANSLATE($A1042,""en"",""de"")"),"Mosteiros")</f>
        <v>Mosteiros</v>
      </c>
      <c r="D1042" s="9" t="str">
        <f>IFERROR(__xludf.DUMMYFUNCTION("GOOGLETRANSLATE($A1042,""en"",""fr"")"),"Mosteiros")</f>
        <v>Mosteiros</v>
      </c>
      <c r="E1042" s="9" t="str">
        <f>IFERROR(__xludf.DUMMYFUNCTION("GOOGLETRANSLATE($A1042,""en"",""es"")"),"Mosteiros")</f>
        <v>Mosteiros</v>
      </c>
      <c r="F1042" s="9" t="str">
        <f>IFERROR(__xludf.DUMMYFUNCTION("GOOGLETRANSLATE($A1042,""en"",""it"")"),"Mosteiros")</f>
        <v>Mosteiros</v>
      </c>
      <c r="G1042" s="9" t="str">
        <f>IFERROR(__xludf.DUMMYFUNCTION("GOOGLETRANSLATE($A1042,""en"",""zh-cn"")"),"莫泰罗斯")</f>
        <v>莫泰罗斯</v>
      </c>
      <c r="H1042" s="9" t="str">
        <f>IFERROR(__xludf.DUMMYFUNCTION("GOOGLETRANSLATE($A1042,""en"",""ja"")"),"モステイロス")</f>
        <v>モステイロス</v>
      </c>
      <c r="I1042" s="9" t="str">
        <f>IFERROR(__xludf.DUMMYFUNCTION("GOOGLETRANSLATE($A1042,""en"",""ko"")"),"모스테이로스")</f>
        <v>모스테이로스</v>
      </c>
      <c r="J1042" s="9" t="str">
        <f>IFERROR(__xludf.DUMMYFUNCTION("GOOGLETRANSLATE($A1042,""en"",""pt-BR"")"),"Mosteiros")</f>
        <v>Mosteiros</v>
      </c>
    </row>
    <row r="1043">
      <c r="A1043" s="9" t="str">
        <f>IFERROR(__xludf.DUMMYFUNCTION("""COMPUTED_VALUE"""),"Maio")</f>
        <v>Maio</v>
      </c>
      <c r="B1043" s="9" t="str">
        <f>IFERROR(__xludf.DUMMYFUNCTION("""COMPUTED_VALUE"""),"cv-ma")</f>
        <v>cv-ma</v>
      </c>
      <c r="C1043" s="9" t="str">
        <f>IFERROR(__xludf.DUMMYFUNCTION("GOOGLETRANSLATE($A1043,""en"",""de"")"),"Maio")</f>
        <v>Maio</v>
      </c>
      <c r="D1043" s="9" t="str">
        <f>IFERROR(__xludf.DUMMYFUNCTION("GOOGLETRANSLATE($A1043,""en"",""fr"")"),"Maïo")</f>
        <v>Maïo</v>
      </c>
      <c r="E1043" s="9" t="str">
        <f>IFERROR(__xludf.DUMMYFUNCTION("GOOGLETRANSLATE($A1043,""en"",""es"")"),"mayo")</f>
        <v>mayo</v>
      </c>
      <c r="F1043" s="9" t="str">
        <f>IFERROR(__xludf.DUMMYFUNCTION("GOOGLETRANSLATE($A1043,""en"",""it"")"),"Maio")</f>
        <v>Maio</v>
      </c>
      <c r="G1043" s="9" t="str">
        <f>IFERROR(__xludf.DUMMYFUNCTION("GOOGLETRANSLATE($A1043,""en"",""zh-cn"")"),"马约")</f>
        <v>马约</v>
      </c>
      <c r="H1043" s="9" t="str">
        <f>IFERROR(__xludf.DUMMYFUNCTION("GOOGLETRANSLATE($A1043,""en"",""ja"")"),"マイオ")</f>
        <v>マイオ</v>
      </c>
      <c r="I1043" s="9" t="str">
        <f>IFERROR(__xludf.DUMMYFUNCTION("GOOGLETRANSLATE($A1043,""en"",""ko"")"),"마이오")</f>
        <v>마이오</v>
      </c>
      <c r="J1043" s="9" t="str">
        <f>IFERROR(__xludf.DUMMYFUNCTION("GOOGLETRANSLATE($A1043,""en"",""pt-BR"")"),"maio")</f>
        <v>maio</v>
      </c>
    </row>
    <row r="1044">
      <c r="A1044" s="9" t="str">
        <f>IFERROR(__xludf.DUMMYFUNCTION("""COMPUTED_VALUE"""),"Ribeira Brava")</f>
        <v>Ribeira Brava</v>
      </c>
      <c r="B1044" s="9" t="str">
        <f>IFERROR(__xludf.DUMMYFUNCTION("""COMPUTED_VALUE"""),"cv-rb")</f>
        <v>cv-rb</v>
      </c>
      <c r="C1044" s="9" t="str">
        <f>IFERROR(__xludf.DUMMYFUNCTION("GOOGLETRANSLATE($A1044,""en"",""de"")"),"Ribeira Brava")</f>
        <v>Ribeira Brava</v>
      </c>
      <c r="D1044" s="9" t="str">
        <f>IFERROR(__xludf.DUMMYFUNCTION("GOOGLETRANSLATE($A1044,""en"",""fr"")"),"Ribeira Brava")</f>
        <v>Ribeira Brava</v>
      </c>
      <c r="E1044" s="9" t="str">
        <f>IFERROR(__xludf.DUMMYFUNCTION("GOOGLETRANSLATE($A1044,""en"",""es"")"),"Ribeira Brava")</f>
        <v>Ribeira Brava</v>
      </c>
      <c r="F1044" s="9" t="str">
        <f>IFERROR(__xludf.DUMMYFUNCTION("GOOGLETRANSLATE($A1044,""en"",""it"")"),"Ribeira Brava")</f>
        <v>Ribeira Brava</v>
      </c>
      <c r="G1044" s="9" t="str">
        <f>IFERROR(__xludf.DUMMYFUNCTION("GOOGLETRANSLATE($A1044,""en"",""zh-cn"")"),"里贝拉·布拉瓦")</f>
        <v>里贝拉·布拉瓦</v>
      </c>
      <c r="H1044" s="9" t="str">
        <f>IFERROR(__xludf.DUMMYFUNCTION("GOOGLETRANSLATE($A1044,""en"",""ja"")"),"リベイラ・ブラバ")</f>
        <v>リベイラ・ブラバ</v>
      </c>
      <c r="I1044" s="9" t="str">
        <f>IFERROR(__xludf.DUMMYFUNCTION("GOOGLETRANSLATE($A1044,""en"",""ko"")"),"리베이라 브라바")</f>
        <v>리베이라 브라바</v>
      </c>
      <c r="J1044" s="9" t="str">
        <f>IFERROR(__xludf.DUMMYFUNCTION("GOOGLETRANSLATE($A1044,""en"",""pt-BR"")"),"Ribeira Brava")</f>
        <v>Ribeira Brava</v>
      </c>
    </row>
    <row r="1045">
      <c r="A1045" s="9" t="str">
        <f>IFERROR(__xludf.DUMMYFUNCTION("""COMPUTED_VALUE"""),"Little Cayman")</f>
        <v>Little Cayman</v>
      </c>
      <c r="B1045" s="9" t="str">
        <f>IFERROR(__xludf.DUMMYFUNCTION("""COMPUTED_VALUE"""),"ky-lc")</f>
        <v>ky-lc</v>
      </c>
      <c r="C1045" s="9" t="str">
        <f>IFERROR(__xludf.DUMMYFUNCTION("GOOGLETRANSLATE($A1045,""en"",""de"")"),"Kleiner Cayman")</f>
        <v>Kleiner Cayman</v>
      </c>
      <c r="D1045" s="9" t="str">
        <f>IFERROR(__xludf.DUMMYFUNCTION("GOOGLETRANSLATE($A1045,""en"",""fr"")"),"Petit Caïman")</f>
        <v>Petit Caïman</v>
      </c>
      <c r="E1045" s="9" t="str">
        <f>IFERROR(__xludf.DUMMYFUNCTION("GOOGLETRANSLATE($A1045,""en"",""es"")"),"Pequeño Caimán")</f>
        <v>Pequeño Caimán</v>
      </c>
      <c r="F1045" s="9" t="str">
        <f>IFERROR(__xludf.DUMMYFUNCTION("GOOGLETRANSLATE($A1045,""en"",""it"")"),"Piccola Cayman")</f>
        <v>Piccola Cayman</v>
      </c>
      <c r="G1045" s="9" t="str">
        <f>IFERROR(__xludf.DUMMYFUNCTION("GOOGLETRANSLATE($A1045,""en"",""zh-cn"")"),"小开曼岛")</f>
        <v>小开曼岛</v>
      </c>
      <c r="H1045" s="9" t="str">
        <f>IFERROR(__xludf.DUMMYFUNCTION("GOOGLETRANSLATE($A1045,""en"",""ja"")"),"リトルケイマン")</f>
        <v>リトルケイマン</v>
      </c>
      <c r="I1045" s="9" t="str">
        <f>IFERROR(__xludf.DUMMYFUNCTION("GOOGLETRANSLATE($A1045,""en"",""ko"")"),"리틀 케이맨")</f>
        <v>리틀 케이맨</v>
      </c>
      <c r="J1045" s="9" t="str">
        <f>IFERROR(__xludf.DUMMYFUNCTION("GOOGLETRANSLATE($A1045,""en"",""pt-BR"")"),"Pequena Caimão")</f>
        <v>Pequena Caimão</v>
      </c>
    </row>
    <row r="1046">
      <c r="A1046" s="9" t="str">
        <f>IFERROR(__xludf.DUMMYFUNCTION("""COMPUTED_VALUE"""),"Grand Cayman")</f>
        <v>Grand Cayman</v>
      </c>
      <c r="B1046" s="9" t="str">
        <f>IFERROR(__xludf.DUMMYFUNCTION("""COMPUTED_VALUE"""),"ky-gc")</f>
        <v>ky-gc</v>
      </c>
      <c r="C1046" s="9" t="str">
        <f>IFERROR(__xludf.DUMMYFUNCTION("GOOGLETRANSLATE($A1046,""en"",""de"")"),"Grand Cayman")</f>
        <v>Grand Cayman</v>
      </c>
      <c r="D1046" s="9" t="str">
        <f>IFERROR(__xludf.DUMMYFUNCTION("GOOGLETRANSLATE($A1046,""en"",""fr"")"),"Grand Caïman")</f>
        <v>Grand Caïman</v>
      </c>
      <c r="E1046" s="9" t="str">
        <f>IFERROR(__xludf.DUMMYFUNCTION("GOOGLETRANSLATE($A1046,""en"",""es"")"),"Gran Caimán")</f>
        <v>Gran Caimán</v>
      </c>
      <c r="F1046" s="9" t="str">
        <f>IFERROR(__xludf.DUMMYFUNCTION("GOOGLETRANSLATE($A1046,""en"",""it"")"),"Gran Cayman")</f>
        <v>Gran Cayman</v>
      </c>
      <c r="G1046" s="9" t="str">
        <f>IFERROR(__xludf.DUMMYFUNCTION("GOOGLETRANSLATE($A1046,""en"",""zh-cn"")"),"大开曼岛")</f>
        <v>大开曼岛</v>
      </c>
      <c r="H1046" s="9" t="str">
        <f>IFERROR(__xludf.DUMMYFUNCTION("GOOGLETRANSLATE($A1046,""en"",""ja"")"),"グランドケイマン")</f>
        <v>グランドケイマン</v>
      </c>
      <c r="I1046" s="9" t="str">
        <f>IFERROR(__xludf.DUMMYFUNCTION("GOOGLETRANSLATE($A1046,""en"",""ko"")"),"그랜드케이먼")</f>
        <v>그랜드케이먼</v>
      </c>
      <c r="J1046" s="9" t="str">
        <f>IFERROR(__xludf.DUMMYFUNCTION("GOOGLETRANSLATE($A1046,""en"",""pt-BR"")"),"Grande Caimão")</f>
        <v>Grande Caimão</v>
      </c>
    </row>
    <row r="1047">
      <c r="A1047" s="9" t="str">
        <f>IFERROR(__xludf.DUMMYFUNCTION("""COMPUTED_VALUE"""),"Cayman Brac")</f>
        <v>Cayman Brac</v>
      </c>
      <c r="B1047" s="9" t="str">
        <f>IFERROR(__xludf.DUMMYFUNCTION("""COMPUTED_VALUE"""),"ky-cb")</f>
        <v>ky-cb</v>
      </c>
      <c r="C1047" s="9" t="str">
        <f>IFERROR(__xludf.DUMMYFUNCTION("GOOGLETRANSLATE($A1047,""en"",""de"")"),"Cayman Brac")</f>
        <v>Cayman Brac</v>
      </c>
      <c r="D1047" s="9" t="str">
        <f>IFERROR(__xludf.DUMMYFUNCTION("GOOGLETRANSLATE($A1047,""en"",""fr"")"),"Caïman Brac")</f>
        <v>Caïman Brac</v>
      </c>
      <c r="E1047" s="9" t="str">
        <f>IFERROR(__xludf.DUMMYFUNCTION("GOOGLETRANSLATE($A1047,""en"",""es"")"),"Brac Caimán")</f>
        <v>Brac Caimán</v>
      </c>
      <c r="F1047" s="9" t="str">
        <f>IFERROR(__xludf.DUMMYFUNCTION("GOOGLETRANSLATE($A1047,""en"",""it"")"),"Cayman Brac")</f>
        <v>Cayman Brac</v>
      </c>
      <c r="G1047" s="9" t="str">
        <f>IFERROR(__xludf.DUMMYFUNCTION("GOOGLETRANSLATE($A1047,""en"",""zh-cn"")"),"开曼布拉克岛")</f>
        <v>开曼布拉克岛</v>
      </c>
      <c r="H1047" s="9" t="str">
        <f>IFERROR(__xludf.DUMMYFUNCTION("GOOGLETRANSLATE($A1047,""en"",""ja"")"),"ケイマン ブラク島")</f>
        <v>ケイマン ブラク島</v>
      </c>
      <c r="I1047" s="9" t="str">
        <f>IFERROR(__xludf.DUMMYFUNCTION("GOOGLETRANSLATE($A1047,""en"",""ko"")"),"케이맨 브랙")</f>
        <v>케이맨 브랙</v>
      </c>
      <c r="J1047" s="9" t="str">
        <f>IFERROR(__xludf.DUMMYFUNCTION("GOOGLETRANSLATE($A1047,""en"",""pt-BR"")"),"Caimão Brac")</f>
        <v>Caimão Brac</v>
      </c>
    </row>
    <row r="1048">
      <c r="A1048" s="9" t="str">
        <f>IFERROR(__xludf.DUMMYFUNCTION("""COMPUTED_VALUE"""),"Sangha (CF)")</f>
        <v>Sangha (CF)</v>
      </c>
      <c r="B1048" s="9" t="str">
        <f>IFERROR(__xludf.DUMMYFUNCTION("""COMPUTED_VALUE"""),"cf-se")</f>
        <v>cf-se</v>
      </c>
      <c r="C1048" s="9" t="str">
        <f>IFERROR(__xludf.DUMMYFUNCTION("GOOGLETRANSLATE($A1048,""en"",""de"")"),"Sangha (CF)")</f>
        <v>Sangha (CF)</v>
      </c>
      <c r="D1048" s="9" t="str">
        <f>IFERROR(__xludf.DUMMYFUNCTION("GOOGLETRANSLATE($A1048,""en"",""fr"")"),"Sangha (CF)")</f>
        <v>Sangha (CF)</v>
      </c>
      <c r="E1048" s="9" t="str">
        <f>IFERROR(__xludf.DUMMYFUNCTION("GOOGLETRANSLATE($A1048,""en"",""es"")"),"Sangha (CF)")</f>
        <v>Sangha (CF)</v>
      </c>
      <c r="F1048" s="9" t="str">
        <f>IFERROR(__xludf.DUMMYFUNCTION("GOOGLETRANSLATE($A1048,""en"",""it"")"),"Sangha (FC)")</f>
        <v>Sangha (FC)</v>
      </c>
      <c r="G1048" s="9" t="str">
        <f>IFERROR(__xludf.DUMMYFUNCTION("GOOGLETRANSLATE($A1048,""en"",""zh-cn"")"),"僧伽 (CF)")</f>
        <v>僧伽 (CF)</v>
      </c>
      <c r="H1048" s="9" t="str">
        <f>IFERROR(__xludf.DUMMYFUNCTION("GOOGLETRANSLATE($A1048,""en"",""ja"")"),"サンガ (CF)")</f>
        <v>サンガ (CF)</v>
      </c>
      <c r="I1048" s="9" t="str">
        <f>IFERROR(__xludf.DUMMYFUNCTION("GOOGLETRANSLATE($A1048,""en"",""ko"")"),"상하 (CF)")</f>
        <v>상하 (CF)</v>
      </c>
      <c r="J1048" s="9" t="str">
        <f>IFERROR(__xludf.DUMMYFUNCTION("GOOGLETRANSLATE($A1048,""en"",""pt-BR"")"),"Sanga (CF)")</f>
        <v>Sanga (CF)</v>
      </c>
    </row>
    <row r="1049">
      <c r="A1049" s="9" t="str">
        <f>IFERROR(__xludf.DUMMYFUNCTION("""COMPUTED_VALUE"""),"Haute-Sangha / Mambéré-Kadéï")</f>
        <v>Haute-Sangha / Mambéré-Kadéï</v>
      </c>
      <c r="B1049" s="9" t="str">
        <f>IFERROR(__xludf.DUMMYFUNCTION("""COMPUTED_VALUE"""),"cf-hs")</f>
        <v>cf-hs</v>
      </c>
      <c r="C1049" s="9" t="str">
        <f>IFERROR(__xludf.DUMMYFUNCTION("GOOGLETRANSLATE($A1049,""en"",""de"")"),"Haute-Sangha / Mambéré-Kadéï")</f>
        <v>Haute-Sangha / Mambéré-Kadéï</v>
      </c>
      <c r="D1049" s="9" t="str">
        <f>IFERROR(__xludf.DUMMYFUNCTION("GOOGLETRANSLATE($A1049,""en"",""fr"")"),"Haute-Sangha / Mambéré-Kadéï")</f>
        <v>Haute-Sangha / Mambéré-Kadéï</v>
      </c>
      <c r="E1049" s="9" t="str">
        <f>IFERROR(__xludf.DUMMYFUNCTION("GOOGLETRANSLATE($A1049,""en"",""es"")"),"Alta Sangha / Mambéré-Kadéï")</f>
        <v>Alta Sangha / Mambéré-Kadéï</v>
      </c>
      <c r="F1049" s="9" t="str">
        <f>IFERROR(__xludf.DUMMYFUNCTION("GOOGLETRANSLATE($A1049,""en"",""it"")"),"Haute-Sangha / Mambéré-Kadéï")</f>
        <v>Haute-Sangha / Mambéré-Kadéï</v>
      </c>
      <c r="G1049" s="9" t="str">
        <f>IFERROR(__xludf.DUMMYFUNCTION("GOOGLETRANSLATE($A1049,""en"",""zh-cn"")"),"高级僧伽 / Mambéré-Kadéï")</f>
        <v>高级僧伽 / Mambéré-Kadéï</v>
      </c>
      <c r="H1049" s="9" t="str">
        <f>IFERROR(__xludf.DUMMYFUNCTION("GOOGLETRANSLATE($A1049,""en"",""ja"")"),"オート サンガ / マンベレ カデイ")</f>
        <v>オート サンガ / マンベレ カデイ</v>
      </c>
      <c r="I1049" s="9" t="str">
        <f>IFERROR(__xludf.DUMMYFUNCTION("GOOGLETRANSLATE($A1049,""en"",""ko"")"),"오트-상가 / 맘베레-카데이")</f>
        <v>오트-상가 / 맘베레-카데이</v>
      </c>
      <c r="J1049" s="9" t="str">
        <f>IFERROR(__xludf.DUMMYFUNCTION("GOOGLETRANSLATE($A1049,""en"",""pt-BR"")"),"Alta Sangha / Mambéré-Kadéï")</f>
        <v>Alta Sangha / Mambéré-Kadéï</v>
      </c>
    </row>
    <row r="1050">
      <c r="A1050" s="9" t="str">
        <f>IFERROR(__xludf.DUMMYFUNCTION("""COMPUTED_VALUE"""),"Ouham")</f>
        <v>Ouham</v>
      </c>
      <c r="B1050" s="9" t="str">
        <f>IFERROR(__xludf.DUMMYFUNCTION("""COMPUTED_VALUE"""),"cf-ac")</f>
        <v>cf-ac</v>
      </c>
      <c r="C1050" s="9" t="str">
        <f>IFERROR(__xludf.DUMMYFUNCTION("GOOGLETRANSLATE($A1050,""en"",""de"")"),"Ouham")</f>
        <v>Ouham</v>
      </c>
      <c r="D1050" s="9" t="str">
        <f>IFERROR(__xludf.DUMMYFUNCTION("GOOGLETRANSLATE($A1050,""en"",""fr"")"),"Ouham")</f>
        <v>Ouham</v>
      </c>
      <c r="E1050" s="9" t="str">
        <f>IFERROR(__xludf.DUMMYFUNCTION("GOOGLETRANSLATE($A1050,""en"",""es"")"),"Ouham")</f>
        <v>Ouham</v>
      </c>
      <c r="F1050" s="9" t="str">
        <f>IFERROR(__xludf.DUMMYFUNCTION("GOOGLETRANSLATE($A1050,""en"",""it"")"),"Ouham")</f>
        <v>Ouham</v>
      </c>
      <c r="G1050" s="9" t="str">
        <f>IFERROR(__xludf.DUMMYFUNCTION("GOOGLETRANSLATE($A1050,""en"",""zh-cn"")"),"瓦姆")</f>
        <v>瓦姆</v>
      </c>
      <c r="H1050" s="9" t="str">
        <f>IFERROR(__xludf.DUMMYFUNCTION("GOOGLETRANSLATE($A1050,""en"",""ja"")"),"オハム")</f>
        <v>オハム</v>
      </c>
      <c r="I1050" s="9" t="str">
        <f>IFERROR(__xludf.DUMMYFUNCTION("GOOGLETRANSLATE($A1050,""en"",""ko"")"),"우함")</f>
        <v>우함</v>
      </c>
      <c r="J1050" s="9" t="str">
        <f>IFERROR(__xludf.DUMMYFUNCTION("GOOGLETRANSLATE($A1050,""en"",""pt-BR"")"),"Ouham")</f>
        <v>Ouham</v>
      </c>
    </row>
    <row r="1051">
      <c r="A1051" s="9" t="str">
        <f>IFERROR(__xludf.DUMMYFUNCTION("""COMPUTED_VALUE"""),"Basse-Kotto")</f>
        <v>Basse-Kotto</v>
      </c>
      <c r="B1051" s="9" t="str">
        <f>IFERROR(__xludf.DUMMYFUNCTION("""COMPUTED_VALUE"""),"cf-bk")</f>
        <v>cf-bk</v>
      </c>
      <c r="C1051" s="9" t="str">
        <f>IFERROR(__xludf.DUMMYFUNCTION("GOOGLETRANSLATE($A1051,""en"",""de"")"),"Basse-Kotto")</f>
        <v>Basse-Kotto</v>
      </c>
      <c r="D1051" s="9" t="str">
        <f>IFERROR(__xludf.DUMMYFUNCTION("GOOGLETRANSLATE($A1051,""en"",""fr"")"),"Basse-Kotto")</f>
        <v>Basse-Kotto</v>
      </c>
      <c r="E1051" s="9" t="str">
        <f>IFERROR(__xludf.DUMMYFUNCTION("GOOGLETRANSLATE($A1051,""en"",""es"")"),"Bajo-Kotto")</f>
        <v>Bajo-Kotto</v>
      </c>
      <c r="F1051" s="9" t="str">
        <f>IFERROR(__xludf.DUMMYFUNCTION("GOOGLETRANSLATE($A1051,""en"",""it"")"),"Basse-Kotto")</f>
        <v>Basse-Kotto</v>
      </c>
      <c r="G1051" s="9" t="str">
        <f>IFERROR(__xludf.DUMMYFUNCTION("GOOGLETRANSLATE($A1051,""en"",""zh-cn"")"),"下科托")</f>
        <v>下科托</v>
      </c>
      <c r="H1051" s="9" t="str">
        <f>IFERROR(__xludf.DUMMYFUNCTION("GOOGLETRANSLATE($A1051,""en"",""ja"")"),"バスコット")</f>
        <v>バスコット</v>
      </c>
      <c r="I1051" s="9" t="str">
        <f>IFERROR(__xludf.DUMMYFUNCTION("GOOGLETRANSLATE($A1051,""en"",""ko"")"),"바스코토")</f>
        <v>바스코토</v>
      </c>
      <c r="J1051" s="9" t="str">
        <f>IFERROR(__xludf.DUMMYFUNCTION("GOOGLETRANSLATE($A1051,""en"",""pt-BR"")"),"Basse-Kotto")</f>
        <v>Basse-Kotto</v>
      </c>
    </row>
    <row r="1052">
      <c r="A1052" s="9" t="str">
        <f>IFERROR(__xludf.DUMMYFUNCTION("""COMPUTED_VALUE"""),"Lobaye")</f>
        <v>Lobaye</v>
      </c>
      <c r="B1052" s="9" t="str">
        <f>IFERROR(__xludf.DUMMYFUNCTION("""COMPUTED_VALUE"""),"cf-lb")</f>
        <v>cf-lb</v>
      </c>
      <c r="C1052" s="9" t="str">
        <f>IFERROR(__xludf.DUMMYFUNCTION("GOOGLETRANSLATE($A1052,""en"",""de"")"),"Lobaye")</f>
        <v>Lobaye</v>
      </c>
      <c r="D1052" s="9" t="str">
        <f>IFERROR(__xludf.DUMMYFUNCTION("GOOGLETRANSLATE($A1052,""en"",""fr"")"),"Lobaye")</f>
        <v>Lobaye</v>
      </c>
      <c r="E1052" s="9" t="str">
        <f>IFERROR(__xludf.DUMMYFUNCTION("GOOGLETRANSLATE($A1052,""en"",""es"")"),"Lobaye")</f>
        <v>Lobaye</v>
      </c>
      <c r="F1052" s="9" t="str">
        <f>IFERROR(__xludf.DUMMYFUNCTION("GOOGLETRANSLATE($A1052,""en"",""it"")"),"Lobaye")</f>
        <v>Lobaye</v>
      </c>
      <c r="G1052" s="9" t="str">
        <f>IFERROR(__xludf.DUMMYFUNCTION("GOOGLETRANSLATE($A1052,""en"",""zh-cn"")"),"洛巴耶")</f>
        <v>洛巴耶</v>
      </c>
      <c r="H1052" s="9" t="str">
        <f>IFERROR(__xludf.DUMMYFUNCTION("GOOGLETRANSLATE($A1052,""en"",""ja"")"),"ロバイエ")</f>
        <v>ロバイエ</v>
      </c>
      <c r="I1052" s="9" t="str">
        <f>IFERROR(__xludf.DUMMYFUNCTION("GOOGLETRANSLATE($A1052,""en"",""ko"")"),"로바예")</f>
        <v>로바예</v>
      </c>
      <c r="J1052" s="9" t="str">
        <f>IFERROR(__xludf.DUMMYFUNCTION("GOOGLETRANSLATE($A1052,""en"",""pt-BR"")"),"Lobaye")</f>
        <v>Lobaye</v>
      </c>
    </row>
    <row r="1053">
      <c r="A1053" s="9" t="str">
        <f>IFERROR(__xludf.DUMMYFUNCTION("""COMPUTED_VALUE"""),"Bangui")</f>
        <v>Bangui</v>
      </c>
      <c r="B1053" s="9" t="str">
        <f>IFERROR(__xludf.DUMMYFUNCTION("""COMPUTED_VALUE"""),"cf-bgf")</f>
        <v>cf-bgf</v>
      </c>
      <c r="C1053" s="9" t="str">
        <f>IFERROR(__xludf.DUMMYFUNCTION("GOOGLETRANSLATE($A1053,""en"",""de"")"),"Bangui")</f>
        <v>Bangui</v>
      </c>
      <c r="D1053" s="9" t="str">
        <f>IFERROR(__xludf.DUMMYFUNCTION("GOOGLETRANSLATE($A1053,""en"",""fr"")"),"Bangui")</f>
        <v>Bangui</v>
      </c>
      <c r="E1053" s="9" t="str">
        <f>IFERROR(__xludf.DUMMYFUNCTION("GOOGLETRANSLATE($A1053,""en"",""es"")"),"Bangui")</f>
        <v>Bangui</v>
      </c>
      <c r="F1053" s="9" t="str">
        <f>IFERROR(__xludf.DUMMYFUNCTION("GOOGLETRANSLATE($A1053,""en"",""it"")"),"Bangui")</f>
        <v>Bangui</v>
      </c>
      <c r="G1053" s="9" t="str">
        <f>IFERROR(__xludf.DUMMYFUNCTION("GOOGLETRANSLATE($A1053,""en"",""zh-cn"")"),"班吉")</f>
        <v>班吉</v>
      </c>
      <c r="H1053" s="9" t="str">
        <f>IFERROR(__xludf.DUMMYFUNCTION("GOOGLETRANSLATE($A1053,""en"",""ja"")"),"バンギ")</f>
        <v>バンギ</v>
      </c>
      <c r="I1053" s="9" t="str">
        <f>IFERROR(__xludf.DUMMYFUNCTION("GOOGLETRANSLATE($A1053,""en"",""ko"")"),"방기")</f>
        <v>방기</v>
      </c>
      <c r="J1053" s="9" t="str">
        <f>IFERROR(__xludf.DUMMYFUNCTION("GOOGLETRANSLATE($A1053,""en"",""pt-BR"")"),"Bangui")</f>
        <v>Bangui</v>
      </c>
    </row>
    <row r="1054">
      <c r="A1054" s="9" t="str">
        <f>IFERROR(__xludf.DUMMYFUNCTION("""COMPUTED_VALUE"""),"Ouham-Pendé")</f>
        <v>Ouham-Pendé</v>
      </c>
      <c r="B1054" s="9" t="str">
        <f>IFERROR(__xludf.DUMMYFUNCTION("""COMPUTED_VALUE"""),"cf-op")</f>
        <v>cf-op</v>
      </c>
      <c r="C1054" s="9" t="str">
        <f>IFERROR(__xludf.DUMMYFUNCTION("GOOGLETRANSLATE($A1054,""en"",""de"")"),"Ouham-Pendé")</f>
        <v>Ouham-Pendé</v>
      </c>
      <c r="D1054" s="9" t="str">
        <f>IFERROR(__xludf.DUMMYFUNCTION("GOOGLETRANSLATE($A1054,""en"",""fr"")"),"Ouham-Pendé")</f>
        <v>Ouham-Pendé</v>
      </c>
      <c r="E1054" s="9" t="str">
        <f>IFERROR(__xludf.DUMMYFUNCTION("GOOGLETRANSLATE($A1054,""en"",""es"")"),"Ouham Pendé")</f>
        <v>Ouham Pendé</v>
      </c>
      <c r="F1054" s="9" t="str">
        <f>IFERROR(__xludf.DUMMYFUNCTION("GOOGLETRANSLATE($A1054,""en"",""it"")"),"Ouham-Pendé")</f>
        <v>Ouham-Pendé</v>
      </c>
      <c r="G1054" s="9" t="str">
        <f>IFERROR(__xludf.DUMMYFUNCTION("GOOGLETRANSLATE($A1054,""en"",""zh-cn"")"),"瓦姆-彭代")</f>
        <v>瓦姆-彭代</v>
      </c>
      <c r="H1054" s="9" t="str">
        <f>IFERROR(__xludf.DUMMYFUNCTION("GOOGLETRANSLATE($A1054,""en"",""ja"")"),"オアン・ペンデ")</f>
        <v>オアン・ペンデ</v>
      </c>
      <c r="I1054" s="9" t="str">
        <f>IFERROR(__xludf.DUMMYFUNCTION("GOOGLETRANSLATE($A1054,""en"",""ko"")"),"우함펜데")</f>
        <v>우함펜데</v>
      </c>
      <c r="J1054" s="9" t="str">
        <f>IFERROR(__xludf.DUMMYFUNCTION("GOOGLETRANSLATE($A1054,""en"",""pt-BR"")"),"Ouham-Pendé")</f>
        <v>Ouham-Pendé</v>
      </c>
    </row>
    <row r="1055">
      <c r="A1055" s="9" t="str">
        <f>IFERROR(__xludf.DUMMYFUNCTION("""COMPUTED_VALUE"""),"Bamingui-Bangoran")</f>
        <v>Bamingui-Bangoran</v>
      </c>
      <c r="B1055" s="9" t="str">
        <f>IFERROR(__xludf.DUMMYFUNCTION("""COMPUTED_VALUE"""),"cf-bb")</f>
        <v>cf-bb</v>
      </c>
      <c r="C1055" s="9" t="str">
        <f>IFERROR(__xludf.DUMMYFUNCTION("GOOGLETRANSLATE($A1055,""en"",""de"")"),"Bamingui-Bangoran")</f>
        <v>Bamingui-Bangoran</v>
      </c>
      <c r="D1055" s="9" t="str">
        <f>IFERROR(__xludf.DUMMYFUNCTION("GOOGLETRANSLATE($A1055,""en"",""fr"")"),"Bamingui-Bangoran")</f>
        <v>Bamingui-Bangoran</v>
      </c>
      <c r="E1055" s="9" t="str">
        <f>IFERROR(__xludf.DUMMYFUNCTION("GOOGLETRANSLATE($A1055,""en"",""es"")"),"Bamingui-Bangoran")</f>
        <v>Bamingui-Bangoran</v>
      </c>
      <c r="F1055" s="9" t="str">
        <f>IFERROR(__xludf.DUMMYFUNCTION("GOOGLETRANSLATE($A1055,""en"",""it"")"),"Bamingui-Bangoran")</f>
        <v>Bamingui-Bangoran</v>
      </c>
      <c r="G1055" s="9" t="str">
        <f>IFERROR(__xludf.DUMMYFUNCTION("GOOGLETRANSLATE($A1055,""en"",""zh-cn"")"),"巴明吉-班戈兰")</f>
        <v>巴明吉-班戈兰</v>
      </c>
      <c r="H1055" s="9" t="str">
        <f>IFERROR(__xludf.DUMMYFUNCTION("GOOGLETRANSLATE($A1055,""en"",""ja"")"),"バミンギ・バンゴラン")</f>
        <v>バミンギ・バンゴラン</v>
      </c>
      <c r="I1055" s="9" t="str">
        <f>IFERROR(__xludf.DUMMYFUNCTION("GOOGLETRANSLATE($A1055,""en"",""ko"")"),"바밍구이-방고란")</f>
        <v>바밍구이-방고란</v>
      </c>
      <c r="J1055" s="9" t="str">
        <f>IFERROR(__xludf.DUMMYFUNCTION("GOOGLETRANSLATE($A1055,""en"",""pt-BR"")"),"Bamingui-Bangoran")</f>
        <v>Bamingui-Bangoran</v>
      </c>
    </row>
    <row r="1056">
      <c r="A1056" s="9" t="str">
        <f>IFERROR(__xludf.DUMMYFUNCTION("""COMPUTED_VALUE"""),"Vakaga")</f>
        <v>Vakaga</v>
      </c>
      <c r="B1056" s="9" t="str">
        <f>IFERROR(__xludf.DUMMYFUNCTION("""COMPUTED_VALUE"""),"cf-vk")</f>
        <v>cf-vk</v>
      </c>
      <c r="C1056" s="9" t="str">
        <f>IFERROR(__xludf.DUMMYFUNCTION("GOOGLETRANSLATE($A1056,""en"",""de"")"),"Vakaga")</f>
        <v>Vakaga</v>
      </c>
      <c r="D1056" s="9" t="str">
        <f>IFERROR(__xludf.DUMMYFUNCTION("GOOGLETRANSLATE($A1056,""en"",""fr"")"),"Vakaga")</f>
        <v>Vakaga</v>
      </c>
      <c r="E1056" s="9" t="str">
        <f>IFERROR(__xludf.DUMMYFUNCTION("GOOGLETRANSLATE($A1056,""en"",""es"")"),"vakaga")</f>
        <v>vakaga</v>
      </c>
      <c r="F1056" s="9" t="str">
        <f>IFERROR(__xludf.DUMMYFUNCTION("GOOGLETRANSLATE($A1056,""en"",""it"")"),"Vakaga")</f>
        <v>Vakaga</v>
      </c>
      <c r="G1056" s="9" t="str">
        <f>IFERROR(__xludf.DUMMYFUNCTION("GOOGLETRANSLATE($A1056,""en"",""zh-cn"")"),"瓦卡加")</f>
        <v>瓦卡加</v>
      </c>
      <c r="H1056" s="9" t="str">
        <f>IFERROR(__xludf.DUMMYFUNCTION("GOOGLETRANSLATE($A1056,""en"",""ja"")"),"ヴァカガ")</f>
        <v>ヴァカガ</v>
      </c>
      <c r="I1056" s="9" t="str">
        <f>IFERROR(__xludf.DUMMYFUNCTION("GOOGLETRANSLATE($A1056,""en"",""ko"")"),"바카가")</f>
        <v>바카가</v>
      </c>
      <c r="J1056" s="9" t="str">
        <f>IFERROR(__xludf.DUMMYFUNCTION("GOOGLETRANSLATE($A1056,""en"",""pt-BR"")"),"Vakaga")</f>
        <v>Vakaga</v>
      </c>
    </row>
    <row r="1057">
      <c r="A1057" s="9" t="str">
        <f>IFERROR(__xludf.DUMMYFUNCTION("""COMPUTED_VALUE"""),"Gribingui")</f>
        <v>Gribingui</v>
      </c>
      <c r="B1057" s="9" t="str">
        <f>IFERROR(__xludf.DUMMYFUNCTION("""COMPUTED_VALUE"""),"cf-kb")</f>
        <v>cf-kb</v>
      </c>
      <c r="C1057" s="9" t="str">
        <f>IFERROR(__xludf.DUMMYFUNCTION("GOOGLETRANSLATE($A1057,""en"",""de"")"),"Gribingui")</f>
        <v>Gribingui</v>
      </c>
      <c r="D1057" s="9" t="str">
        <f>IFERROR(__xludf.DUMMYFUNCTION("GOOGLETRANSLATE($A1057,""en"",""fr"")"),"Gribingui")</f>
        <v>Gribingui</v>
      </c>
      <c r="E1057" s="9" t="str">
        <f>IFERROR(__xludf.DUMMYFUNCTION("GOOGLETRANSLATE($A1057,""en"",""es"")"),"Gribingui")</f>
        <v>Gribingui</v>
      </c>
      <c r="F1057" s="9" t="str">
        <f>IFERROR(__xludf.DUMMYFUNCTION("GOOGLETRANSLATE($A1057,""en"",""it"")"),"Gribingui")</f>
        <v>Gribingui</v>
      </c>
      <c r="G1057" s="9" t="str">
        <f>IFERROR(__xludf.DUMMYFUNCTION("GOOGLETRANSLATE($A1057,""en"",""zh-cn"")"),"格里宾吉")</f>
        <v>格里宾吉</v>
      </c>
      <c r="H1057" s="9" t="str">
        <f>IFERROR(__xludf.DUMMYFUNCTION("GOOGLETRANSLATE($A1057,""en"",""ja"")"),"グリビンギ")</f>
        <v>グリビンギ</v>
      </c>
      <c r="I1057" s="9" t="str">
        <f>IFERROR(__xludf.DUMMYFUNCTION("GOOGLETRANSLATE($A1057,""en"",""ko"")"),"그리빈기")</f>
        <v>그리빈기</v>
      </c>
      <c r="J1057" s="9" t="str">
        <f>IFERROR(__xludf.DUMMYFUNCTION("GOOGLETRANSLATE($A1057,""en"",""pt-BR"")"),"Gribingui")</f>
        <v>Gribingui</v>
      </c>
    </row>
    <row r="1058">
      <c r="A1058" s="9" t="str">
        <f>IFERROR(__xludf.DUMMYFUNCTION("""COMPUTED_VALUE"""),"Haut-Mbomou")</f>
        <v>Haut-Mbomou</v>
      </c>
      <c r="B1058" s="9" t="str">
        <f>IFERROR(__xludf.DUMMYFUNCTION("""COMPUTED_VALUE"""),"cf-hm")</f>
        <v>cf-hm</v>
      </c>
      <c r="C1058" s="9" t="str">
        <f>IFERROR(__xludf.DUMMYFUNCTION("GOOGLETRANSLATE($A1058,""en"",""de"")"),"Haut-Mbomou")</f>
        <v>Haut-Mbomou</v>
      </c>
      <c r="D1058" s="9" t="str">
        <f>IFERROR(__xludf.DUMMYFUNCTION("GOOGLETRANSLATE($A1058,""en"",""fr"")"),"Haut-Mbomou")</f>
        <v>Haut-Mbomou</v>
      </c>
      <c r="E1058" s="9" t="str">
        <f>IFERROR(__xludf.DUMMYFUNCTION("GOOGLETRANSLATE($A1058,""en"",""es"")"),"Alto Mbomou")</f>
        <v>Alto Mbomou</v>
      </c>
      <c r="F1058" s="9" t="str">
        <f>IFERROR(__xludf.DUMMYFUNCTION("GOOGLETRANSLATE($A1058,""en"",""it"")"),"Haut-Mbomou")</f>
        <v>Haut-Mbomou</v>
      </c>
      <c r="G1058" s="9" t="str">
        <f>IFERROR(__xludf.DUMMYFUNCTION("GOOGLETRANSLATE($A1058,""en"",""zh-cn"")"),"上姆博穆省")</f>
        <v>上姆博穆省</v>
      </c>
      <c r="H1058" s="9" t="str">
        <f>IFERROR(__xludf.DUMMYFUNCTION("GOOGLETRANSLATE($A1058,""en"",""ja"")"),"オー・ムボム")</f>
        <v>オー・ムボム</v>
      </c>
      <c r="I1058" s="9" t="str">
        <f>IFERROR(__xludf.DUMMYFUNCTION("GOOGLETRANSLATE($A1058,""en"",""ko"")"),"오트음보무(Haut-Mbomou)")</f>
        <v>오트음보무(Haut-Mbomou)</v>
      </c>
      <c r="J1058" s="9" t="str">
        <f>IFERROR(__xludf.DUMMYFUNCTION("GOOGLETRANSLATE($A1058,""en"",""pt-BR"")"),"Haut-Mbomou")</f>
        <v>Haut-Mbomou</v>
      </c>
    </row>
    <row r="1059">
      <c r="A1059" s="9" t="str">
        <f>IFERROR(__xludf.DUMMYFUNCTION("""COMPUTED_VALUE"""),"Ombella-Mpoko")</f>
        <v>Ombella-Mpoko</v>
      </c>
      <c r="B1059" s="9" t="str">
        <f>IFERROR(__xludf.DUMMYFUNCTION("""COMPUTED_VALUE"""),"cf-mp")</f>
        <v>cf-mp</v>
      </c>
      <c r="C1059" s="9" t="str">
        <f>IFERROR(__xludf.DUMMYFUNCTION("GOOGLETRANSLATE($A1059,""en"",""de"")"),"Ombella-Mpoko")</f>
        <v>Ombella-Mpoko</v>
      </c>
      <c r="D1059" s="9" t="str">
        <f>IFERROR(__xludf.DUMMYFUNCTION("GOOGLETRANSLATE($A1059,""en"",""fr"")"),"Ombella-Mpoko")</f>
        <v>Ombella-Mpoko</v>
      </c>
      <c r="E1059" s="9" t="str">
        <f>IFERROR(__xludf.DUMMYFUNCTION("GOOGLETRANSLATE($A1059,""en"",""es"")"),"Ombella-Mpoko")</f>
        <v>Ombella-Mpoko</v>
      </c>
      <c r="F1059" s="9" t="str">
        <f>IFERROR(__xludf.DUMMYFUNCTION("GOOGLETRANSLATE($A1059,""en"",""it"")"),"Ombella-Mpoko")</f>
        <v>Ombella-Mpoko</v>
      </c>
      <c r="G1059" s="9" t="str">
        <f>IFERROR(__xludf.DUMMYFUNCTION("GOOGLETRANSLATE($A1059,""en"",""zh-cn"")"),"翁贝拉-姆波科")</f>
        <v>翁贝拉-姆波科</v>
      </c>
      <c r="H1059" s="9" t="str">
        <f>IFERROR(__xludf.DUMMYFUNCTION("GOOGLETRANSLATE($A1059,""en"",""ja"")"),"オンベラ・ムポコ")</f>
        <v>オンベラ・ムポコ</v>
      </c>
      <c r="I1059" s="9" t="str">
        <f>IFERROR(__xludf.DUMMYFUNCTION("GOOGLETRANSLATE($A1059,""en"",""ko"")"),"옴벨라-음포코")</f>
        <v>옴벨라-음포코</v>
      </c>
      <c r="J1059" s="9" t="str">
        <f>IFERROR(__xludf.DUMMYFUNCTION("GOOGLETRANSLATE($A1059,""en"",""pt-BR"")"),"Ombella-Mpoko")</f>
        <v>Ombella-Mpoko</v>
      </c>
    </row>
    <row r="1060">
      <c r="A1060" s="9" t="str">
        <f>IFERROR(__xludf.DUMMYFUNCTION("""COMPUTED_VALUE"""),"Haute-Kotto")</f>
        <v>Haute-Kotto</v>
      </c>
      <c r="B1060" s="9" t="str">
        <f>IFERROR(__xludf.DUMMYFUNCTION("""COMPUTED_VALUE"""),"cf-hk")</f>
        <v>cf-hk</v>
      </c>
      <c r="C1060" s="9" t="str">
        <f>IFERROR(__xludf.DUMMYFUNCTION("GOOGLETRANSLATE($A1060,""en"",""de"")"),"Haute-Kotto")</f>
        <v>Haute-Kotto</v>
      </c>
      <c r="D1060" s="9" t="str">
        <f>IFERROR(__xludf.DUMMYFUNCTION("GOOGLETRANSLATE($A1060,""en"",""fr"")"),"Haute-Kotto")</f>
        <v>Haute-Kotto</v>
      </c>
      <c r="E1060" s="9" t="str">
        <f>IFERROR(__xludf.DUMMYFUNCTION("GOOGLETRANSLATE($A1060,""en"",""es"")"),"Alto Kotto")</f>
        <v>Alto Kotto</v>
      </c>
      <c r="F1060" s="9" t="str">
        <f>IFERROR(__xludf.DUMMYFUNCTION("GOOGLETRANSLATE($A1060,""en"",""it"")"),"Haute-Kotto")</f>
        <v>Haute-Kotto</v>
      </c>
      <c r="G1060" s="9" t="str">
        <f>IFERROR(__xludf.DUMMYFUNCTION("GOOGLETRANSLATE($A1060,""en"",""zh-cn"")"),"上科托省")</f>
        <v>上科托省</v>
      </c>
      <c r="H1060" s="9" t="str">
        <f>IFERROR(__xludf.DUMMYFUNCTION("GOOGLETRANSLATE($A1060,""en"",""ja"")"),"オートコット")</f>
        <v>オートコット</v>
      </c>
      <c r="I1060" s="9" t="str">
        <f>IFERROR(__xludf.DUMMYFUNCTION("GOOGLETRANSLATE($A1060,""en"",""ko"")"),"오트코토")</f>
        <v>오트코토</v>
      </c>
      <c r="J1060" s="9" t="str">
        <f>IFERROR(__xludf.DUMMYFUNCTION("GOOGLETRANSLATE($A1060,""en"",""pt-BR"")"),"Haute Kotto")</f>
        <v>Haute Kotto</v>
      </c>
    </row>
    <row r="1061">
      <c r="A1061" s="9" t="str">
        <f>IFERROR(__xludf.DUMMYFUNCTION("""COMPUTED_VALUE"""),"Nana-Mambéré")</f>
        <v>Nana-Mambéré</v>
      </c>
      <c r="B1061" s="9" t="str">
        <f>IFERROR(__xludf.DUMMYFUNCTION("""COMPUTED_VALUE"""),"cf-nm")</f>
        <v>cf-nm</v>
      </c>
      <c r="C1061" s="9" t="str">
        <f>IFERROR(__xludf.DUMMYFUNCTION("GOOGLETRANSLATE($A1061,""en"",""de"")"),"Nana-Mambéré")</f>
        <v>Nana-Mambéré</v>
      </c>
      <c r="D1061" s="9" t="str">
        <f>IFERROR(__xludf.DUMMYFUNCTION("GOOGLETRANSLATE($A1061,""en"",""fr"")"),"Nana-Mambéré")</f>
        <v>Nana-Mambéré</v>
      </c>
      <c r="E1061" s="9" t="str">
        <f>IFERROR(__xludf.DUMMYFUNCTION("GOOGLETRANSLATE($A1061,""en"",""es"")"),"Nana Mambéré")</f>
        <v>Nana Mambéré</v>
      </c>
      <c r="F1061" s="9" t="str">
        <f>IFERROR(__xludf.DUMMYFUNCTION("GOOGLETRANSLATE($A1061,""en"",""it"")"),"Nana-Mambéré")</f>
        <v>Nana-Mambéré</v>
      </c>
      <c r="G1061" s="9" t="str">
        <f>IFERROR(__xludf.DUMMYFUNCTION("GOOGLETRANSLATE($A1061,""en"",""zh-cn"")"),"娜娜-曼贝雷")</f>
        <v>娜娜-曼贝雷</v>
      </c>
      <c r="H1061" s="9" t="str">
        <f>IFERROR(__xludf.DUMMYFUNCTION("GOOGLETRANSLATE($A1061,""en"",""ja"")"),"ナナ・マンベレ")</f>
        <v>ナナ・マンベレ</v>
      </c>
      <c r="I1061" s="9" t="str">
        <f>IFERROR(__xludf.DUMMYFUNCTION("GOOGLETRANSLATE($A1061,""en"",""ko"")"),"나나-맘베레")</f>
        <v>나나-맘베레</v>
      </c>
      <c r="J1061" s="9" t="str">
        <f>IFERROR(__xludf.DUMMYFUNCTION("GOOGLETRANSLATE($A1061,""en"",""pt-BR"")"),"Nana-Mambéré")</f>
        <v>Nana-Mambéré</v>
      </c>
    </row>
    <row r="1062">
      <c r="A1062" s="9" t="str">
        <f>IFERROR(__xludf.DUMMYFUNCTION("""COMPUTED_VALUE"""),"Mbomou")</f>
        <v>Mbomou</v>
      </c>
      <c r="B1062" s="9" t="str">
        <f>IFERROR(__xludf.DUMMYFUNCTION("""COMPUTED_VALUE"""),"cf-mb")</f>
        <v>cf-mb</v>
      </c>
      <c r="C1062" s="9" t="str">
        <f>IFERROR(__xludf.DUMMYFUNCTION("GOOGLETRANSLATE($A1062,""en"",""de"")"),"Mbomou")</f>
        <v>Mbomou</v>
      </c>
      <c r="D1062" s="9" t="str">
        <f>IFERROR(__xludf.DUMMYFUNCTION("GOOGLETRANSLATE($A1062,""en"",""fr"")"),"Mbomou")</f>
        <v>Mbomou</v>
      </c>
      <c r="E1062" s="9" t="str">
        <f>IFERROR(__xludf.DUMMYFUNCTION("GOOGLETRANSLATE($A1062,""en"",""es"")"),"Mbomou")</f>
        <v>Mbomou</v>
      </c>
      <c r="F1062" s="9" t="str">
        <f>IFERROR(__xludf.DUMMYFUNCTION("GOOGLETRANSLATE($A1062,""en"",""it"")"),"Mbomou")</f>
        <v>Mbomou</v>
      </c>
      <c r="G1062" s="9" t="str">
        <f>IFERROR(__xludf.DUMMYFUNCTION("GOOGLETRANSLATE($A1062,""en"",""zh-cn"")"),"姆博穆")</f>
        <v>姆博穆</v>
      </c>
      <c r="H1062" s="9" t="str">
        <f>IFERROR(__xludf.DUMMYFUNCTION("GOOGLETRANSLATE($A1062,""en"",""ja"")"),"ムボモウ")</f>
        <v>ムボモウ</v>
      </c>
      <c r="I1062" s="9" t="str">
        <f>IFERROR(__xludf.DUMMYFUNCTION("GOOGLETRANSLATE($A1062,""en"",""ko"")"),"음보무")</f>
        <v>음보무</v>
      </c>
      <c r="J1062" s="9" t="str">
        <f>IFERROR(__xludf.DUMMYFUNCTION("GOOGLETRANSLATE($A1062,""en"",""pt-BR"")"),"Mbomou")</f>
        <v>Mbomou</v>
      </c>
    </row>
    <row r="1063">
      <c r="A1063" s="9" t="str">
        <f>IFERROR(__xludf.DUMMYFUNCTION("""COMPUTED_VALUE"""),"Kémo-Gribingui")</f>
        <v>Kémo-Gribingui</v>
      </c>
      <c r="B1063" s="9" t="str">
        <f>IFERROR(__xludf.DUMMYFUNCTION("""COMPUTED_VALUE"""),"cf-kg")</f>
        <v>cf-kg</v>
      </c>
      <c r="C1063" s="9" t="str">
        <f>IFERROR(__xludf.DUMMYFUNCTION("GOOGLETRANSLATE($A1063,""en"",""de"")"),"Kémo-Gribingui")</f>
        <v>Kémo-Gribingui</v>
      </c>
      <c r="D1063" s="9" t="str">
        <f>IFERROR(__xludf.DUMMYFUNCTION("GOOGLETRANSLATE($A1063,""en"",""fr"")"),"Kémo-Gribingui")</f>
        <v>Kémo-Gribingui</v>
      </c>
      <c r="E1063" s="9" t="str">
        <f>IFERROR(__xludf.DUMMYFUNCTION("GOOGLETRANSLATE($A1063,""en"",""es"")"),"Kémo-Gribingui")</f>
        <v>Kémo-Gribingui</v>
      </c>
      <c r="F1063" s="9" t="str">
        <f>IFERROR(__xludf.DUMMYFUNCTION("GOOGLETRANSLATE($A1063,""en"",""it"")"),"Kémo-Gribingui")</f>
        <v>Kémo-Gribingui</v>
      </c>
      <c r="G1063" s="9" t="str">
        <f>IFERROR(__xludf.DUMMYFUNCTION("GOOGLETRANSLATE($A1063,""en"",""zh-cn"")"),"凯莫-格里宾吉")</f>
        <v>凯莫-格里宾吉</v>
      </c>
      <c r="H1063" s="9" t="str">
        <f>IFERROR(__xludf.DUMMYFUNCTION("GOOGLETRANSLATE($A1063,""en"",""ja"")"),"ケモ・グリビンギ")</f>
        <v>ケモ・グリビンギ</v>
      </c>
      <c r="I1063" s="9" t="str">
        <f>IFERROR(__xludf.DUMMYFUNCTION("GOOGLETRANSLATE($A1063,""en"",""ko"")"),"케모-그리빙기")</f>
        <v>케모-그리빙기</v>
      </c>
      <c r="J1063" s="9" t="str">
        <f>IFERROR(__xludf.DUMMYFUNCTION("GOOGLETRANSLATE($A1063,""en"",""pt-BR"")"),"Kémo-Gribingui")</f>
        <v>Kémo-Gribingui</v>
      </c>
    </row>
    <row r="1064">
      <c r="A1064" s="9" t="str">
        <f>IFERROR(__xludf.DUMMYFUNCTION("""COMPUTED_VALUE"""),"Ouaka")</f>
        <v>Ouaka</v>
      </c>
      <c r="B1064" s="9" t="str">
        <f>IFERROR(__xludf.DUMMYFUNCTION("""COMPUTED_VALUE"""),"cf-uk")</f>
        <v>cf-uk</v>
      </c>
      <c r="C1064" s="9" t="str">
        <f>IFERROR(__xludf.DUMMYFUNCTION("GOOGLETRANSLATE($A1064,""en"",""de"")"),"Ouaka")</f>
        <v>Ouaka</v>
      </c>
      <c r="D1064" s="9" t="str">
        <f>IFERROR(__xludf.DUMMYFUNCTION("GOOGLETRANSLATE($A1064,""en"",""fr"")"),"Ouaka")</f>
        <v>Ouaka</v>
      </c>
      <c r="E1064" s="9" t="str">
        <f>IFERROR(__xludf.DUMMYFUNCTION("GOOGLETRANSLATE($A1064,""en"",""es"")"),"ouaka")</f>
        <v>ouaka</v>
      </c>
      <c r="F1064" s="9" t="str">
        <f>IFERROR(__xludf.DUMMYFUNCTION("GOOGLETRANSLATE($A1064,""en"",""it"")"),"Ouaka")</f>
        <v>Ouaka</v>
      </c>
      <c r="G1064" s="9" t="str">
        <f>IFERROR(__xludf.DUMMYFUNCTION("GOOGLETRANSLATE($A1064,""en"",""zh-cn"")"),"瓦卡")</f>
        <v>瓦卡</v>
      </c>
      <c r="H1064" s="9" t="str">
        <f>IFERROR(__xludf.DUMMYFUNCTION("GOOGLETRANSLATE($A1064,""en"",""ja"")"),"ワアカ")</f>
        <v>ワアカ</v>
      </c>
      <c r="I1064" s="9" t="str">
        <f>IFERROR(__xludf.DUMMYFUNCTION("GOOGLETRANSLATE($A1064,""en"",""ko"")"),"와카")</f>
        <v>와카</v>
      </c>
      <c r="J1064" s="9" t="str">
        <f>IFERROR(__xludf.DUMMYFUNCTION("GOOGLETRANSLATE($A1064,""en"",""pt-BR"")"),"Ouaka")</f>
        <v>Ouaka</v>
      </c>
    </row>
    <row r="1065">
      <c r="A1065" s="9" t="str">
        <f>IFERROR(__xludf.DUMMYFUNCTION("""COMPUTED_VALUE"""),"Waddāy")</f>
        <v>Waddāy</v>
      </c>
      <c r="B1065" s="9" t="str">
        <f>IFERROR(__xludf.DUMMYFUNCTION("""COMPUTED_VALUE"""),"td-od")</f>
        <v>td-od</v>
      </c>
      <c r="C1065" s="9" t="str">
        <f>IFERROR(__xludf.DUMMYFUNCTION("GOOGLETRANSLATE($A1065,""en"",""de"")"),"Wadday")</f>
        <v>Wadday</v>
      </c>
      <c r="D1065" s="9" t="str">
        <f>IFERROR(__xludf.DUMMYFUNCTION("GOOGLETRANSLATE($A1065,""en"",""fr"")"),"Wadday")</f>
        <v>Wadday</v>
      </c>
      <c r="E1065" s="9" t="str">
        <f>IFERROR(__xludf.DUMMYFUNCTION("GOOGLETRANSLATE($A1065,""en"",""es"")"),"Wadday")</f>
        <v>Wadday</v>
      </c>
      <c r="F1065" s="9" t="str">
        <f>IFERROR(__xludf.DUMMYFUNCTION("GOOGLETRANSLATE($A1065,""en"",""it"")"),"Wadday")</f>
        <v>Wadday</v>
      </c>
      <c r="G1065" s="9" t="str">
        <f>IFERROR(__xludf.DUMMYFUNCTION("GOOGLETRANSLATE($A1065,""en"",""zh-cn"")"),"瓦达伊")</f>
        <v>瓦达伊</v>
      </c>
      <c r="H1065" s="9" t="str">
        <f>IFERROR(__xludf.DUMMYFUNCTION("GOOGLETRANSLATE($A1065,""en"",""ja"")"),"ワッデー")</f>
        <v>ワッデー</v>
      </c>
      <c r="I1065" s="9" t="str">
        <f>IFERROR(__xludf.DUMMYFUNCTION("GOOGLETRANSLATE($A1065,""en"",""ko"")"),"와데이")</f>
        <v>와데이</v>
      </c>
      <c r="J1065" s="9" t="str">
        <f>IFERROR(__xludf.DUMMYFUNCTION("GOOGLETRANSLATE($A1065,""en"",""pt-BR"")"),"Wadday")</f>
        <v>Wadday</v>
      </c>
    </row>
    <row r="1066">
      <c r="A1066" s="9" t="str">
        <f>IFERROR(__xludf.DUMMYFUNCTION("""COMPUTED_VALUE"""),"Lūqūn al Gharbī")</f>
        <v>Lūqūn al Gharbī</v>
      </c>
      <c r="B1066" s="9" t="str">
        <f>IFERROR(__xludf.DUMMYFUNCTION("""COMPUTED_VALUE"""),"td-lo")</f>
        <v>td-lo</v>
      </c>
      <c r="C1066" s="9" t="str">
        <f>IFERROR(__xludf.DUMMYFUNCTION("GOOGLETRANSLATE($A1066,""en"",""de"")"),"Lūqūn al Gharbī")</f>
        <v>Lūqūn al Gharbī</v>
      </c>
      <c r="D1066" s="9" t="str">
        <f>IFERROR(__xludf.DUMMYFUNCTION("GOOGLETRANSLATE($A1066,""en"",""fr"")"),"Lūqūn al Gharbi")</f>
        <v>Lūqūn al Gharbi</v>
      </c>
      <c r="E1066" s="9" t="str">
        <f>IFERROR(__xludf.DUMMYFUNCTION("GOOGLETRANSLATE($A1066,""en"",""es"")"),"Lūqūn al Gharbī")</f>
        <v>Lūqūn al Gharbī</v>
      </c>
      <c r="F1066" s="9" t="str">
        <f>IFERROR(__xludf.DUMMYFUNCTION("GOOGLETRANSLATE($A1066,""en"",""it"")"),"Lūqūn al Gharbī")</f>
        <v>Lūqūn al Gharbī</v>
      </c>
      <c r="G1066" s="9" t="str">
        <f>IFERROR(__xludf.DUMMYFUNCTION("GOOGLETRANSLATE($A1066,""en"",""zh-cn"")"),"鲁昆·阿尔·加尔比")</f>
        <v>鲁昆·阿尔·加尔比</v>
      </c>
      <c r="H1066" s="9" t="str">
        <f>IFERROR(__xludf.DUMMYFUNCTION("GOOGLETRANSLATE($A1066,""en"",""ja"")"),"ルクン・アル・ガルビー")</f>
        <v>ルクン・アル・ガルビー</v>
      </c>
      <c r="I1066" s="9" t="str">
        <f>IFERROR(__xludf.DUMMYFUNCTION("GOOGLETRANSLATE($A1066,""en"",""ko"")"),"루쿤 알 가르비")</f>
        <v>루쿤 알 가르비</v>
      </c>
      <c r="J1066" s="9" t="str">
        <f>IFERROR(__xludf.DUMMYFUNCTION("GOOGLETRANSLATE($A1066,""en"",""pt-BR"")"),"Luquun al Gharbī")</f>
        <v>Luquun al Gharbī</v>
      </c>
    </row>
    <row r="1067">
      <c r="A1067" s="9" t="str">
        <f>IFERROR(__xludf.DUMMYFUNCTION("""COMPUTED_VALUE"""),"Lūqūn ash Sharqī")</f>
        <v>Lūqūn ash Sharqī</v>
      </c>
      <c r="B1067" s="9" t="str">
        <f>IFERROR(__xludf.DUMMYFUNCTION("""COMPUTED_VALUE"""),"td-lr")</f>
        <v>td-lr</v>
      </c>
      <c r="C1067" s="9" t="str">
        <f>IFERROR(__xludf.DUMMYFUNCTION("GOOGLETRANSLATE($A1067,""en"",""de"")"),"Lūqūn ash Sharqī")</f>
        <v>Lūqūn ash Sharqī</v>
      </c>
      <c r="D1067" s="9" t="str">
        <f>IFERROR(__xludf.DUMMYFUNCTION("GOOGLETRANSLATE($A1067,""en"",""fr"")"),"Lūqūn ash Sharqi")</f>
        <v>Lūqūn ash Sharqi</v>
      </c>
      <c r="E1067" s="9" t="str">
        <f>IFERROR(__xludf.DUMMYFUNCTION("GOOGLETRANSLATE($A1067,""en"",""es"")"),"Lūqūn ash Sharqī")</f>
        <v>Lūqūn ash Sharqī</v>
      </c>
      <c r="F1067" s="9" t="str">
        <f>IFERROR(__xludf.DUMMYFUNCTION("GOOGLETRANSLATE($A1067,""en"",""it"")"),"Lūqūn ash Sharqī")</f>
        <v>Lūqūn ash Sharqī</v>
      </c>
      <c r="G1067" s="9" t="str">
        <f>IFERROR(__xludf.DUMMYFUNCTION("GOOGLETRANSLATE($A1067,""en"",""zh-cn"")"),"鲁群·阿什·沙尔奇")</f>
        <v>鲁群·阿什·沙尔奇</v>
      </c>
      <c r="H1067" s="9" t="str">
        <f>IFERROR(__xludf.DUMMYFUNCTION("GOOGLETRANSLATE($A1067,""en"",""ja"")"),"ルクン・アッシュ・シャルキー")</f>
        <v>ルクン・アッシュ・シャルキー</v>
      </c>
      <c r="I1067" s="9" t="str">
        <f>IFERROR(__xludf.DUMMYFUNCTION("GOOGLETRANSLATE($A1067,""en"",""ko"")"),"Lūqun ash Sharqī")</f>
        <v>Lūqun ash Sharqī</v>
      </c>
      <c r="J1067" s="9" t="str">
        <f>IFERROR(__xludf.DUMMYFUNCTION("GOOGLETRANSLATE($A1067,""en"",""pt-BR"")"),"Lūquun ash Sharqī")</f>
        <v>Lūquun ash Sharqī</v>
      </c>
    </row>
    <row r="1068">
      <c r="A1068" s="9" t="str">
        <f>IFERROR(__xludf.DUMMYFUNCTION("""COMPUTED_VALUE"""),"Innīdī")</f>
        <v>Innīdī</v>
      </c>
      <c r="B1068" s="9" t="str">
        <f>IFERROR(__xludf.DUMMYFUNCTION("""COMPUTED_VALUE"""),"td-en")</f>
        <v>td-en</v>
      </c>
      <c r="C1068" s="9" t="str">
        <f>IFERROR(__xludf.DUMMYFUNCTION("GOOGLETRANSLATE($A1068,""en"",""de"")"),"Innīdī")</f>
        <v>Innīdī</v>
      </c>
      <c r="D1068" s="9" t="str">
        <f>IFERROR(__xludf.DUMMYFUNCTION("GOOGLETRANSLATE($A1068,""en"",""fr"")"),"Innidi")</f>
        <v>Innidi</v>
      </c>
      <c r="E1068" s="9" t="str">
        <f>IFERROR(__xludf.DUMMYFUNCTION("GOOGLETRANSLATE($A1068,""en"",""es"")"),"Innidí")</f>
        <v>Innidí</v>
      </c>
      <c r="F1068" s="9" t="str">
        <f>IFERROR(__xludf.DUMMYFUNCTION("GOOGLETRANSLATE($A1068,""en"",""it"")"),"Innidi")</f>
        <v>Innidi</v>
      </c>
      <c r="G1068" s="9" t="str">
        <f>IFERROR(__xludf.DUMMYFUNCTION("GOOGLETRANSLATE($A1068,""en"",""zh-cn"")"),"伊尼迪")</f>
        <v>伊尼迪</v>
      </c>
      <c r="H1068" s="9" t="str">
        <f>IFERROR(__xludf.DUMMYFUNCTION("GOOGLETRANSLATE($A1068,""en"",""ja"")"),"インニディ")</f>
        <v>インニディ</v>
      </c>
      <c r="I1068" s="9" t="str">
        <f>IFERROR(__xludf.DUMMYFUNCTION("GOOGLETRANSLATE($A1068,""en"",""ko"")"),"이니디")</f>
        <v>이니디</v>
      </c>
      <c r="J1068" s="9" t="str">
        <f>IFERROR(__xludf.DUMMYFUNCTION("GOOGLETRANSLATE($A1068,""en"",""pt-BR"")"),"Innīdī")</f>
        <v>Innīdī</v>
      </c>
    </row>
    <row r="1069">
      <c r="A1069" s="9" t="str">
        <f>IFERROR(__xludf.DUMMYFUNCTION("""COMPUTED_VALUE"""),"Kānim")</f>
        <v>Kānim</v>
      </c>
      <c r="B1069" s="9" t="str">
        <f>IFERROR(__xludf.DUMMYFUNCTION("""COMPUTED_VALUE"""),"td-ka")</f>
        <v>td-ka</v>
      </c>
      <c r="C1069" s="9" t="str">
        <f>IFERROR(__xludf.DUMMYFUNCTION("GOOGLETRANSLATE($A1069,""en"",""de"")"),"Kanim")</f>
        <v>Kanim</v>
      </c>
      <c r="D1069" s="9" t="str">
        <f>IFERROR(__xludf.DUMMYFUNCTION("GOOGLETRANSLATE($A1069,""en"",""fr"")"),"Kanim")</f>
        <v>Kanim</v>
      </c>
      <c r="E1069" s="9" t="str">
        <f>IFERROR(__xludf.DUMMYFUNCTION("GOOGLETRANSLATE($A1069,""en"",""es"")"),"Kanim")</f>
        <v>Kanim</v>
      </c>
      <c r="F1069" s="9" t="str">
        <f>IFERROR(__xludf.DUMMYFUNCTION("GOOGLETRANSLATE($A1069,""en"",""it"")"),"Kanim")</f>
        <v>Kanim</v>
      </c>
      <c r="G1069" s="9" t="str">
        <f>IFERROR(__xludf.DUMMYFUNCTION("GOOGLETRANSLATE($A1069,""en"",""zh-cn"")"),"卡尼姆")</f>
        <v>卡尼姆</v>
      </c>
      <c r="H1069" s="9" t="str">
        <f>IFERROR(__xludf.DUMMYFUNCTION("GOOGLETRANSLATE($A1069,""en"",""ja"")"),"カーニム")</f>
        <v>カーニム</v>
      </c>
      <c r="I1069" s="9" t="str">
        <f>IFERROR(__xludf.DUMMYFUNCTION("GOOGLETRANSLATE($A1069,""en"",""ko"")"),"카님")</f>
        <v>카님</v>
      </c>
      <c r="J1069" s="9" t="str">
        <f>IFERROR(__xludf.DUMMYFUNCTION("GOOGLETRANSLATE($A1069,""en"",""pt-BR"")"),"Kanim")</f>
        <v>Kanim</v>
      </c>
    </row>
    <row r="1070">
      <c r="A1070" s="9" t="str">
        <f>IFERROR(__xludf.DUMMYFUNCTION("""COMPUTED_VALUE"""),"Baḩr al Ghazāl")</f>
        <v>Baḩr al Ghazāl</v>
      </c>
      <c r="B1070" s="9" t="str">
        <f>IFERROR(__xludf.DUMMYFUNCTION("""COMPUTED_VALUE"""),"td-bg")</f>
        <v>td-bg</v>
      </c>
      <c r="C1070" s="9" t="str">
        <f>IFERROR(__xludf.DUMMYFUNCTION("GOOGLETRANSLATE($A1070,""en"",""de"")"),"Baḩr al Ghazāl")</f>
        <v>Baḩr al Ghazāl</v>
      </c>
      <c r="D1070" s="9" t="str">
        <f>IFERROR(__xludf.DUMMYFUNCTION("GOOGLETRANSLATE($A1070,""en"",""fr"")"),"Bahr al Ghazal")</f>
        <v>Bahr al Ghazal</v>
      </c>
      <c r="E1070" s="9" t="str">
        <f>IFERROR(__xludf.DUMMYFUNCTION("GOOGLETRANSLATE($A1070,""en"",""es"")"),"Bahr al Ghazāl")</f>
        <v>Bahr al Ghazāl</v>
      </c>
      <c r="F1070" s="9" t="str">
        <f>IFERROR(__xludf.DUMMYFUNCTION("GOOGLETRANSLATE($A1070,""en"",""it"")"),"Baḩr al Ghazāl")</f>
        <v>Baḩr al Ghazāl</v>
      </c>
      <c r="G1070" s="9" t="str">
        <f>IFERROR(__xludf.DUMMYFUNCTION("GOOGLETRANSLATE($A1070,""en"",""zh-cn"")"),"加扎勒之家")</f>
        <v>加扎勒之家</v>
      </c>
      <c r="H1070" s="9" t="str">
        <f>IFERROR(__xludf.DUMMYFUNCTION("GOOGLETRANSLATE($A1070,""en"",""ja"")"),"バハル・アル・ガザール")</f>
        <v>バハル・アル・ガザール</v>
      </c>
      <c r="I1070" s="9" t="str">
        <f>IFERROR(__xludf.DUMMYFUNCTION("GOOGLETRANSLATE($A1070,""en"",""ko"")"),"바하르 알 가잘")</f>
        <v>바하르 알 가잘</v>
      </c>
      <c r="J1070" s="9" t="str">
        <f>IFERROR(__xludf.DUMMYFUNCTION("GOOGLETRANSLATE($A1070,""en"",""pt-BR"")"),"Bahr al Ghazal")</f>
        <v>Bahr al Ghazal</v>
      </c>
    </row>
    <row r="1071">
      <c r="A1071" s="9" t="str">
        <f>IFERROR(__xludf.DUMMYFUNCTION("""COMPUTED_VALUE"""),"Qīrā")</f>
        <v>Qīrā</v>
      </c>
      <c r="B1071" s="9" t="str">
        <f>IFERROR(__xludf.DUMMYFUNCTION("""COMPUTED_VALUE"""),"td-gr")</f>
        <v>td-gr</v>
      </c>
      <c r="C1071" s="9" t="str">
        <f>IFERROR(__xludf.DUMMYFUNCTION("GOOGLETRANSLATE($A1071,""en"",""de"")"),"Qīrā")</f>
        <v>Qīrā</v>
      </c>
      <c r="D1071" s="9" t="str">
        <f>IFERROR(__xludf.DUMMYFUNCTION("GOOGLETRANSLATE($A1071,""en"",""fr"")"),"Qira")</f>
        <v>Qira</v>
      </c>
      <c r="E1071" s="9" t="str">
        <f>IFERROR(__xludf.DUMMYFUNCTION("GOOGLETRANSLATE($A1071,""en"",""es"")"),"Qira")</f>
        <v>Qira</v>
      </c>
      <c r="F1071" s="9" t="str">
        <f>IFERROR(__xludf.DUMMYFUNCTION("GOOGLETRANSLATE($A1071,""en"",""it"")"),"Qira")</f>
        <v>Qira</v>
      </c>
      <c r="G1071" s="9" t="str">
        <f>IFERROR(__xludf.DUMMYFUNCTION("GOOGLETRANSLATE($A1071,""en"",""zh-cn"")"),"其拉")</f>
        <v>其拉</v>
      </c>
      <c r="H1071" s="9" t="str">
        <f>IFERROR(__xludf.DUMMYFUNCTION("GOOGLETRANSLATE($A1071,""en"",""ja"")"),"キーラ")</f>
        <v>キーラ</v>
      </c>
      <c r="I1071" s="9" t="str">
        <f>IFERROR(__xludf.DUMMYFUNCTION("GOOGLETRANSLATE($A1071,""en"",""ko"")"),"퀴라")</f>
        <v>퀴라</v>
      </c>
      <c r="J1071" s="9" t="str">
        <f>IFERROR(__xludf.DUMMYFUNCTION("GOOGLETRANSLATE($A1071,""en"",""pt-BR"")"),"Qira")</f>
        <v>Qira</v>
      </c>
    </row>
    <row r="1072">
      <c r="A1072" s="9" t="str">
        <f>IFERROR(__xludf.DUMMYFUNCTION("""COMPUTED_VALUE"""),"Shārī al Awsaṭ")</f>
        <v>Shārī al Awsaṭ</v>
      </c>
      <c r="B1072" s="9" t="str">
        <f>IFERROR(__xludf.DUMMYFUNCTION("""COMPUTED_VALUE"""),"td-mc")</f>
        <v>td-mc</v>
      </c>
      <c r="C1072" s="9" t="str">
        <f>IFERROR(__xludf.DUMMYFUNCTION("GOOGLETRANSLATE($A1072,""en"",""de"")"),"Shārī al Awsaṭ")</f>
        <v>Shārī al Awsaṭ</v>
      </c>
      <c r="D1072" s="9" t="str">
        <f>IFERROR(__xludf.DUMMYFUNCTION("GOOGLETRANSLATE($A1072,""en"",""fr"")"),"Shari al Awsat")</f>
        <v>Shari al Awsat</v>
      </c>
      <c r="E1072" s="9" t="str">
        <f>IFERROR(__xludf.DUMMYFUNCTION("GOOGLETRANSLATE($A1072,""en"",""es"")"),"Shārī al Awsaṭ")</f>
        <v>Shārī al Awsaṭ</v>
      </c>
      <c r="F1072" s="9" t="str">
        <f>IFERROR(__xludf.DUMMYFUNCTION("GOOGLETRANSLATE($A1072,""en"",""it"")"),"Shari al Awsat")</f>
        <v>Shari al Awsat</v>
      </c>
      <c r="G1072" s="9" t="str">
        <f>IFERROR(__xludf.DUMMYFUNCTION("GOOGLETRANSLATE($A1072,""en"",""zh-cn"")"),"沙里·阿尔·奥萨")</f>
        <v>沙里·阿尔·奥萨</v>
      </c>
      <c r="H1072" s="9" t="str">
        <f>IFERROR(__xludf.DUMMYFUNCTION("GOOGLETRANSLATE($A1072,""en"",""ja"")"),"シャリー アル アウサン")</f>
        <v>シャリー アル アウサン</v>
      </c>
      <c r="I1072" s="9" t="str">
        <f>IFERROR(__xludf.DUMMYFUNCTION("GOOGLETRANSLATE($A1072,""en"",""ko"")"),"샤리 알 아우사트")</f>
        <v>샤리 알 아우사트</v>
      </c>
      <c r="J1072" s="9" t="str">
        <f>IFERROR(__xludf.DUMMYFUNCTION("GOOGLETRANSLATE($A1072,""en"",""pt-BR"")"),"Shārī al Awsaṭ")</f>
        <v>Shārī al Awsaṭ</v>
      </c>
    </row>
    <row r="1073">
      <c r="A1073" s="9" t="str">
        <f>IFERROR(__xludf.DUMMYFUNCTION("""COMPUTED_VALUE"""),"Wādī Fīrā")</f>
        <v>Wādī Fīrā</v>
      </c>
      <c r="B1073" s="9" t="str">
        <f>IFERROR(__xludf.DUMMYFUNCTION("""COMPUTED_VALUE"""),"td-wf")</f>
        <v>td-wf</v>
      </c>
      <c r="C1073" s="9" t="str">
        <f>IFERROR(__xludf.DUMMYFUNCTION("GOOGLETRANSLATE($A1073,""en"",""de"")"),"Wādī Fīrā")</f>
        <v>Wādī Fīrā</v>
      </c>
      <c r="D1073" s="9" t="str">
        <f>IFERROR(__xludf.DUMMYFUNCTION("GOOGLETRANSLATE($A1073,""en"",""fr"")"),"Wadi Fira")</f>
        <v>Wadi Fira</v>
      </c>
      <c r="E1073" s="9" t="str">
        <f>IFERROR(__xludf.DUMMYFUNCTION("GOOGLETRANSLATE($A1073,""en"",""es"")"),"Wadī Fīrā")</f>
        <v>Wadī Fīrā</v>
      </c>
      <c r="F1073" s="9" t="str">
        <f>IFERROR(__xludf.DUMMYFUNCTION("GOOGLETRANSLATE($A1073,""en"",""it"")"),"Wadi Fira")</f>
        <v>Wadi Fira</v>
      </c>
      <c r="G1073" s="9" t="str">
        <f>IFERROR(__xludf.DUMMYFUNCTION("GOOGLETRANSLATE($A1073,""en"",""zh-cn"")"),"费拉干河")</f>
        <v>费拉干河</v>
      </c>
      <c r="H1073" s="9" t="str">
        <f>IFERROR(__xludf.DUMMYFUNCTION("GOOGLETRANSLATE($A1073,""en"",""ja"")"),"ワディー・フィーラー")</f>
        <v>ワディー・フィーラー</v>
      </c>
      <c r="I1073" s="9" t="str">
        <f>IFERROR(__xludf.DUMMYFUNCTION("GOOGLETRANSLATE($A1073,""en"",""ko"")"),"와디 피라")</f>
        <v>와디 피라</v>
      </c>
      <c r="J1073" s="9" t="str">
        <f>IFERROR(__xludf.DUMMYFUNCTION("GOOGLETRANSLATE($A1073,""en"",""pt-BR"")"),"Wādī Fīrā")</f>
        <v>Wādī Fīrā</v>
      </c>
    </row>
    <row r="1074">
      <c r="A1074" s="9" t="str">
        <f>IFERROR(__xludf.DUMMYFUNCTION("""COMPUTED_VALUE"""),"Tibastī")</f>
        <v>Tibastī</v>
      </c>
      <c r="B1074" s="9" t="str">
        <f>IFERROR(__xludf.DUMMYFUNCTION("""COMPUTED_VALUE"""),"td-ti")</f>
        <v>td-ti</v>
      </c>
      <c r="C1074" s="9" t="str">
        <f>IFERROR(__xludf.DUMMYFUNCTION("GOOGLETRANSLATE($A1074,""en"",""de"")"),"Tibasti")</f>
        <v>Tibasti</v>
      </c>
      <c r="D1074" s="9" t="str">
        <f>IFERROR(__xludf.DUMMYFUNCTION("GOOGLETRANSLATE($A1074,""en"",""fr"")"),"Tibasti")</f>
        <v>Tibasti</v>
      </c>
      <c r="E1074" s="9" t="str">
        <f>IFERROR(__xludf.DUMMYFUNCTION("GOOGLETRANSLATE($A1074,""en"",""es"")"),"Tibasti")</f>
        <v>Tibasti</v>
      </c>
      <c r="F1074" s="9" t="str">
        <f>IFERROR(__xludf.DUMMYFUNCTION("GOOGLETRANSLATE($A1074,""en"",""it"")"),"Tibasti")</f>
        <v>Tibasti</v>
      </c>
      <c r="G1074" s="9" t="str">
        <f>IFERROR(__xludf.DUMMYFUNCTION("GOOGLETRANSLATE($A1074,""en"",""zh-cn"")"),"蒂巴斯蒂")</f>
        <v>蒂巴斯蒂</v>
      </c>
      <c r="H1074" s="9" t="str">
        <f>IFERROR(__xludf.DUMMYFUNCTION("GOOGLETRANSLATE($A1074,""en"",""ja"")"),"ティバスティ")</f>
        <v>ティバスティ</v>
      </c>
      <c r="I1074" s="9" t="str">
        <f>IFERROR(__xludf.DUMMYFUNCTION("GOOGLETRANSLATE($A1074,""en"",""ko"")"),"티바스티")</f>
        <v>티바스티</v>
      </c>
      <c r="J1074" s="9" t="str">
        <f>IFERROR(__xludf.DUMMYFUNCTION("GOOGLETRANSLATE($A1074,""en"",""pt-BR"")"),"Tibastī")</f>
        <v>Tibastī</v>
      </c>
    </row>
    <row r="1075">
      <c r="A1075" s="9" t="str">
        <f>IFERROR(__xludf.DUMMYFUNCTION("""COMPUTED_VALUE"""),"Ḥajjar Lamīs")</f>
        <v>Ḥajjar Lamīs</v>
      </c>
      <c r="B1075" s="9" t="str">
        <f>IFERROR(__xludf.DUMMYFUNCTION("""COMPUTED_VALUE"""),"td-hl")</f>
        <v>td-hl</v>
      </c>
      <c r="C1075" s="9" t="str">
        <f>IFERROR(__xludf.DUMMYFUNCTION("GOOGLETRANSLATE($A1075,""en"",""de"")"),"Ḥajjar Lamīs")</f>
        <v>Ḥajjar Lamīs</v>
      </c>
      <c r="D1075" s="9" t="str">
        <f>IFERROR(__xludf.DUMMYFUNCTION("GOOGLETRANSLATE($A1075,""en"",""fr"")"),"Hajjar Lamis")</f>
        <v>Hajjar Lamis</v>
      </c>
      <c r="E1075" s="9" t="str">
        <f>IFERROR(__xludf.DUMMYFUNCTION("GOOGLETRANSLATE($A1075,""en"",""es"")"),"Ḥajjar Lamīs")</f>
        <v>Ḥajjar Lamīs</v>
      </c>
      <c r="F1075" s="9" t="str">
        <f>IFERROR(__xludf.DUMMYFUNCTION("GOOGLETRANSLATE($A1075,""en"",""it"")"),"Hajjar Lamis")</f>
        <v>Hajjar Lamis</v>
      </c>
      <c r="G1075" s="9" t="str">
        <f>IFERROR(__xludf.DUMMYFUNCTION("GOOGLETRANSLATE($A1075,""en"",""zh-cn"")"),"哈贾尔·拉米斯")</f>
        <v>哈贾尔·拉米斯</v>
      </c>
      <c r="H1075" s="9" t="str">
        <f>IFERROR(__xludf.DUMMYFUNCTION("GOOGLETRANSLATE($A1075,""en"",""ja"")"),"ハジャル・ラミス")</f>
        <v>ハジャル・ラミス</v>
      </c>
      <c r="I1075" s="9" t="str">
        <f>IFERROR(__xludf.DUMMYFUNCTION("GOOGLETRANSLATE($A1075,""en"",""ko"")"),"하자르 라미스")</f>
        <v>하자르 라미스</v>
      </c>
      <c r="J1075" s="9" t="str">
        <f>IFERROR(__xludf.DUMMYFUNCTION("GOOGLETRANSLATE($A1075,""en"",""pt-BR"")"),"Hajjar Lamis")</f>
        <v>Hajjar Lamis</v>
      </c>
    </row>
    <row r="1076">
      <c r="A1076" s="9" t="str">
        <f>IFERROR(__xludf.DUMMYFUNCTION("""COMPUTED_VALUE"""),"Al Baṭḩah")</f>
        <v>Al Baṭḩah</v>
      </c>
      <c r="B1076" s="9" t="str">
        <f>IFERROR(__xludf.DUMMYFUNCTION("""COMPUTED_VALUE"""),"td-ba")</f>
        <v>td-ba</v>
      </c>
      <c r="C1076" s="9" t="str">
        <f>IFERROR(__xludf.DUMMYFUNCTION("GOOGLETRANSLATE($A1076,""en"",""de"")"),"Al Baṭḩah")</f>
        <v>Al Baṭḩah</v>
      </c>
      <c r="D1076" s="9" t="str">
        <f>IFERROR(__xludf.DUMMYFUNCTION("GOOGLETRANSLATE($A1076,""en"",""fr"")"),"Al Baṭḩah")</f>
        <v>Al Baṭḩah</v>
      </c>
      <c r="E1076" s="9" t="str">
        <f>IFERROR(__xludf.DUMMYFUNCTION("GOOGLETRANSLATE($A1076,""en"",""es"")"),"Al Baṭḩah")</f>
        <v>Al Baṭḩah</v>
      </c>
      <c r="F1076" s="9" t="str">
        <f>IFERROR(__xludf.DUMMYFUNCTION("GOOGLETRANSLATE($A1076,""en"",""it"")"),"Al Baṭḩah")</f>
        <v>Al Baṭḩah</v>
      </c>
      <c r="G1076" s="9" t="str">
        <f>IFERROR(__xludf.DUMMYFUNCTION("GOOGLETRANSLATE($A1076,""en"",""zh-cn"")"),"巴塔")</f>
        <v>巴塔</v>
      </c>
      <c r="H1076" s="9" t="str">
        <f>IFERROR(__xludf.DUMMYFUNCTION("GOOGLETRANSLATE($A1076,""en"",""ja"")"),"アル・バハ")</f>
        <v>アル・バハ</v>
      </c>
      <c r="I1076" s="9" t="str">
        <f>IFERROR(__xludf.DUMMYFUNCTION("GOOGLETRANSLATE($A1076,""en"",""ko"")"),"알바타")</f>
        <v>알바타</v>
      </c>
      <c r="J1076" s="9" t="str">
        <f>IFERROR(__xludf.DUMMYFUNCTION("GOOGLETRANSLATE($A1076,""en"",""pt-BR"")"),"Al Baṭḩah")</f>
        <v>Al Baṭḩah</v>
      </c>
    </row>
    <row r="1077">
      <c r="A1077" s="9" t="str">
        <f>IFERROR(__xludf.DUMMYFUNCTION("""COMPUTED_VALUE"""),"Shārī Bāqirmī")</f>
        <v>Shārī Bāqirmī</v>
      </c>
      <c r="B1077" s="9" t="str">
        <f>IFERROR(__xludf.DUMMYFUNCTION("""COMPUTED_VALUE"""),"td-cb")</f>
        <v>td-cb</v>
      </c>
      <c r="C1077" s="9" t="str">
        <f>IFERROR(__xludf.DUMMYFUNCTION("GOOGLETRANSLATE($A1077,""en"",""de"")"),"Shārī Bāqirmi")</f>
        <v>Shārī Bāqirmi</v>
      </c>
      <c r="D1077" s="9" t="str">
        <f>IFERROR(__xludf.DUMMYFUNCTION("GOOGLETRANSLATE($A1077,""en"",""fr"")"),"Shari Baqirmi")</f>
        <v>Shari Baqirmi</v>
      </c>
      <c r="E1077" s="9" t="str">
        <f>IFERROR(__xludf.DUMMYFUNCTION("GOOGLETRANSLATE($A1077,""en"",""es"")"),"Shārī Bāqirmī")</f>
        <v>Shārī Bāqirmī</v>
      </c>
      <c r="F1077" s="9" t="str">
        <f>IFERROR(__xludf.DUMMYFUNCTION("GOOGLETRANSLATE($A1077,""en"",""it"")"),"Shari Baqirmi")</f>
        <v>Shari Baqirmi</v>
      </c>
      <c r="G1077" s="9" t="str">
        <f>IFERROR(__xludf.DUMMYFUNCTION("GOOGLETRANSLATE($A1077,""en"",""zh-cn"")"),"沙里·巴基米")</f>
        <v>沙里·巴基米</v>
      </c>
      <c r="H1077" s="9" t="str">
        <f>IFERROR(__xludf.DUMMYFUNCTION("GOOGLETRANSLATE($A1077,""en"",""ja"")"),"シャーリー・バーキルミー")</f>
        <v>シャーリー・バーキルミー</v>
      </c>
      <c r="I1077" s="9" t="str">
        <f>IFERROR(__xludf.DUMMYFUNCTION("GOOGLETRANSLATE($A1077,""en"",""ko"")"),"샤리 바키르미")</f>
        <v>샤리 바키르미</v>
      </c>
      <c r="J1077" s="9" t="str">
        <f>IFERROR(__xludf.DUMMYFUNCTION("GOOGLETRANSLATE($A1077,""en"",""pt-BR"")"),"Shārī Bāqirmī")</f>
        <v>Shārī Bāqirmī</v>
      </c>
    </row>
    <row r="1078">
      <c r="A1078" s="9" t="str">
        <f>IFERROR(__xludf.DUMMYFUNCTION("""COMPUTED_VALUE"""),"Tānjilī")</f>
        <v>Tānjilī</v>
      </c>
      <c r="B1078" s="9" t="str">
        <f>IFERROR(__xludf.DUMMYFUNCTION("""COMPUTED_VALUE"""),"td-ta")</f>
        <v>td-ta</v>
      </c>
      <c r="C1078" s="9" t="str">
        <f>IFERROR(__xludf.DUMMYFUNCTION("GOOGLETRANSLATE($A1078,""en"",""de"")"),"Tānjili")</f>
        <v>Tānjili</v>
      </c>
      <c r="D1078" s="9" t="str">
        <f>IFERROR(__xludf.DUMMYFUNCTION("GOOGLETRANSLATE($A1078,""en"",""fr"")"),"Tanjili")</f>
        <v>Tanjili</v>
      </c>
      <c r="E1078" s="9" t="str">
        <f>IFERROR(__xludf.DUMMYFUNCTION("GOOGLETRANSLATE($A1078,""en"",""es"")"),"Tanjili")</f>
        <v>Tanjili</v>
      </c>
      <c r="F1078" s="9" t="str">
        <f>IFERROR(__xludf.DUMMYFUNCTION("GOOGLETRANSLATE($A1078,""en"",""it"")"),"Tanjili")</f>
        <v>Tanjili</v>
      </c>
      <c r="G1078" s="9" t="str">
        <f>IFERROR(__xludf.DUMMYFUNCTION("GOOGLETRANSLATE($A1078,""en"",""zh-cn"")"),"坦吉利")</f>
        <v>坦吉利</v>
      </c>
      <c r="H1078" s="9" t="str">
        <f>IFERROR(__xludf.DUMMYFUNCTION("GOOGLETRANSLATE($A1078,""en"",""ja"")"),"タンジリ")</f>
        <v>タンジリ</v>
      </c>
      <c r="I1078" s="9" t="str">
        <f>IFERROR(__xludf.DUMMYFUNCTION("GOOGLETRANSLATE($A1078,""en"",""ko"")"),"탄질리")</f>
        <v>탄질리</v>
      </c>
      <c r="J1078" s="9" t="str">
        <f>IFERROR(__xludf.DUMMYFUNCTION("GOOGLETRANSLATE($A1078,""en"",""pt-BR"")"),"Tanjili")</f>
        <v>Tanjili</v>
      </c>
    </row>
    <row r="1079">
      <c r="A1079" s="9" t="str">
        <f>IFERROR(__xludf.DUMMYFUNCTION("""COMPUTED_VALUE"""),"Salāmāt")</f>
        <v>Salāmāt</v>
      </c>
      <c r="B1079" s="9" t="str">
        <f>IFERROR(__xludf.DUMMYFUNCTION("""COMPUTED_VALUE"""),"td-sa")</f>
        <v>td-sa</v>
      </c>
      <c r="C1079" s="9" t="str">
        <f>IFERROR(__xludf.DUMMYFUNCTION("GOOGLETRANSLATE($A1079,""en"",""de"")"),"Salamat")</f>
        <v>Salamat</v>
      </c>
      <c r="D1079" s="9" t="str">
        <f>IFERROR(__xludf.DUMMYFUNCTION("GOOGLETRANSLATE($A1079,""en"",""fr"")"),"Salamat")</f>
        <v>Salamat</v>
      </c>
      <c r="E1079" s="9" t="str">
        <f>IFERROR(__xludf.DUMMYFUNCTION("GOOGLETRANSLATE($A1079,""en"",""es"")"),"salamat")</f>
        <v>salamat</v>
      </c>
      <c r="F1079" s="9" t="str">
        <f>IFERROR(__xludf.DUMMYFUNCTION("GOOGLETRANSLATE($A1079,""en"",""it"")"),"Salamat")</f>
        <v>Salamat</v>
      </c>
      <c r="G1079" s="9" t="str">
        <f>IFERROR(__xludf.DUMMYFUNCTION("GOOGLETRANSLATE($A1079,""en"",""zh-cn"")"),"萨拉马特")</f>
        <v>萨拉马特</v>
      </c>
      <c r="H1079" s="9" t="str">
        <f>IFERROR(__xludf.DUMMYFUNCTION("GOOGLETRANSLATE($A1079,""en"",""ja"")"),"サラマート")</f>
        <v>サラマート</v>
      </c>
      <c r="I1079" s="9" t="str">
        <f>IFERROR(__xludf.DUMMYFUNCTION("GOOGLETRANSLATE($A1079,""en"",""ko"")"),"살라마트")</f>
        <v>살라마트</v>
      </c>
      <c r="J1079" s="9" t="str">
        <f>IFERROR(__xludf.DUMMYFUNCTION("GOOGLETRANSLATE($A1079,""en"",""pt-BR"")"),"Salamat")</f>
        <v>Salamat</v>
      </c>
    </row>
    <row r="1080">
      <c r="A1080" s="9" t="str">
        <f>IFERROR(__xludf.DUMMYFUNCTION("""COMPUTED_VALUE"""),"Māyū Kībbī ash Sharqī")</f>
        <v>Māyū Kībbī ash Sharqī</v>
      </c>
      <c r="B1080" s="9" t="str">
        <f>IFERROR(__xludf.DUMMYFUNCTION("""COMPUTED_VALUE"""),"td-me")</f>
        <v>td-me</v>
      </c>
      <c r="C1080" s="9" t="str">
        <f>IFERROR(__xludf.DUMMYFUNCTION("GOOGLETRANSLATE($A1080,""en"",""de"")"),"Māyū Kībbī ash Sharqī")</f>
        <v>Māyū Kībbī ash Sharqī</v>
      </c>
      <c r="D1080" s="9" t="str">
        <f>IFERROR(__xludf.DUMMYFUNCTION("GOOGLETRANSLATE($A1080,""en"",""fr"")"),"Māyū Kībbī ash Sharqi")</f>
        <v>Māyū Kībbī ash Sharqi</v>
      </c>
      <c r="E1080" s="9" t="str">
        <f>IFERROR(__xludf.DUMMYFUNCTION("GOOGLETRANSLATE($A1080,""en"",""es"")"),"Māyū Kībbī ash Sharqī")</f>
        <v>Māyū Kībbī ash Sharqī</v>
      </c>
      <c r="F1080" s="9" t="str">
        <f>IFERROR(__xludf.DUMMYFUNCTION("GOOGLETRANSLATE($A1080,""en"",""it"")"),"Māyū Kībbī ash Sharqī")</f>
        <v>Māyū Kībbī ash Sharqī</v>
      </c>
      <c r="G1080" s="9" t="str">
        <f>IFERROR(__xludf.DUMMYFUNCTION("GOOGLETRANSLATE($A1080,""en"",""zh-cn"")"),"Māyū Kībī ash Sharqī")</f>
        <v>Māyū Kībī ash Sharqī</v>
      </c>
      <c r="H1080" s="9" t="str">
        <f>IFERROR(__xludf.DUMMYFUNCTION("GOOGLETRANSLATE($A1080,""en"",""ja"")"),"マーユ・キビ・アッシュ・シャルキー")</f>
        <v>マーユ・キビ・アッシュ・シャルキー</v>
      </c>
      <c r="I1080" s="9" t="str">
        <f>IFERROR(__xludf.DUMMYFUNCTION("GOOGLETRANSLATE($A1080,""en"",""ko"")"),"마유 키비 애쉬 샤르키")</f>
        <v>마유 키비 애쉬 샤르키</v>
      </c>
      <c r="J1080" s="9" t="str">
        <f>IFERROR(__xludf.DUMMYFUNCTION("GOOGLETRANSLATE($A1080,""en"",""pt-BR"")"),"Māyū Kībbī ash Sharqī")</f>
        <v>Māyū Kībbī ash Sharqī</v>
      </c>
    </row>
    <row r="1081">
      <c r="A1081" s="9" t="str">
        <f>IFERROR(__xludf.DUMMYFUNCTION("""COMPUTED_VALUE"""),"Madīnat Injamīnā")</f>
        <v>Madīnat Injamīnā</v>
      </c>
      <c r="B1081" s="9" t="str">
        <f>IFERROR(__xludf.DUMMYFUNCTION("""COMPUTED_VALUE"""),"td-nd")</f>
        <v>td-nd</v>
      </c>
      <c r="C1081" s="9" t="str">
        <f>IFERROR(__xludf.DUMMYFUNCTION("GOOGLETRANSLATE($A1081,""en"",""de"")"),"Madīnat Injamīnā")</f>
        <v>Madīnat Injamīnā</v>
      </c>
      <c r="D1081" s="9" t="str">
        <f>IFERROR(__xludf.DUMMYFUNCTION("GOOGLETRANSLATE($A1081,""en"",""fr"")"),"Madīnat Injamīna")</f>
        <v>Madīnat Injamīna</v>
      </c>
      <c r="E1081" s="9" t="str">
        <f>IFERROR(__xludf.DUMMYFUNCTION("GOOGLETRANSLATE($A1081,""en"",""es"")"),"Madīnat Injamīnā")</f>
        <v>Madīnat Injamīnā</v>
      </c>
      <c r="F1081" s="9" t="str">
        <f>IFERROR(__xludf.DUMMYFUNCTION("GOOGLETRANSLATE($A1081,""en"",""it"")"),"Madīnat Injamīnā")</f>
        <v>Madīnat Injamīnā</v>
      </c>
      <c r="G1081" s="9" t="str">
        <f>IFERROR(__xludf.DUMMYFUNCTION("GOOGLETRANSLATE($A1081,""en"",""zh-cn"")"),"因贾米纳古城")</f>
        <v>因贾米纳古城</v>
      </c>
      <c r="H1081" s="9" t="str">
        <f>IFERROR(__xludf.DUMMYFUNCTION("GOOGLETRANSLATE($A1081,""en"",""ja"")"),"マディナト・インジャミナ")</f>
        <v>マディナト・インジャミナ</v>
      </c>
      <c r="I1081" s="9" t="str">
        <f>IFERROR(__xludf.DUMMYFUNCTION("GOOGLETRANSLATE($A1081,""en"",""ko"")"),"마디나트 인자미나")</f>
        <v>마디나트 인자미나</v>
      </c>
      <c r="J1081" s="9" t="str">
        <f>IFERROR(__xludf.DUMMYFUNCTION("GOOGLETRANSLATE($A1081,""en"",""pt-BR"")"),"Madinat Injamina")</f>
        <v>Madinat Injamina</v>
      </c>
    </row>
    <row r="1082">
      <c r="A1082" s="9" t="str">
        <f>IFERROR(__xludf.DUMMYFUNCTION("""COMPUTED_VALUE"""),"Māndūl")</f>
        <v>Māndūl</v>
      </c>
      <c r="B1082" s="9" t="str">
        <f>IFERROR(__xludf.DUMMYFUNCTION("""COMPUTED_VALUE"""),"td-ma")</f>
        <v>td-ma</v>
      </c>
      <c r="C1082" s="9" t="str">
        <f>IFERROR(__xludf.DUMMYFUNCTION("GOOGLETRANSLATE($A1082,""en"",""de"")"),"Māndūl")</f>
        <v>Māndūl</v>
      </c>
      <c r="D1082" s="9" t="str">
        <f>IFERROR(__xludf.DUMMYFUNCTION("GOOGLETRANSLATE($A1082,""en"",""fr"")"),"Mandul")</f>
        <v>Mandul</v>
      </c>
      <c r="E1082" s="9" t="str">
        <f>IFERROR(__xludf.DUMMYFUNCTION("GOOGLETRANSLATE($A1082,""en"",""es"")"),"Mandul")</f>
        <v>Mandul</v>
      </c>
      <c r="F1082" s="9" t="str">
        <f>IFERROR(__xludf.DUMMYFUNCTION("GOOGLETRANSLATE($A1082,""en"",""it"")"),"Māndūl")</f>
        <v>Māndūl</v>
      </c>
      <c r="G1082" s="9" t="str">
        <f>IFERROR(__xludf.DUMMYFUNCTION("GOOGLETRANSLATE($A1082,""en"",""zh-cn"")"),"曼杜尔")</f>
        <v>曼杜尔</v>
      </c>
      <c r="H1082" s="9" t="str">
        <f>IFERROR(__xludf.DUMMYFUNCTION("GOOGLETRANSLATE($A1082,""en"",""ja"")"),"マンドゥル")</f>
        <v>マンドゥル</v>
      </c>
      <c r="I1082" s="9" t="str">
        <f>IFERROR(__xludf.DUMMYFUNCTION("GOOGLETRANSLATE($A1082,""en"",""ko"")"),"만둘")</f>
        <v>만둘</v>
      </c>
      <c r="J1082" s="9" t="str">
        <f>IFERROR(__xludf.DUMMYFUNCTION("GOOGLETRANSLATE($A1082,""en"",""pt-BR"")"),"Mandul")</f>
        <v>Mandul</v>
      </c>
    </row>
    <row r="1083">
      <c r="A1083" s="9" t="str">
        <f>IFERROR(__xludf.DUMMYFUNCTION("""COMPUTED_VALUE"""),"Māyū Kībbī al Gharbī")</f>
        <v>Māyū Kībbī al Gharbī</v>
      </c>
      <c r="B1083" s="9" t="str">
        <f>IFERROR(__xludf.DUMMYFUNCTION("""COMPUTED_VALUE"""),"td-mo")</f>
        <v>td-mo</v>
      </c>
      <c r="C1083" s="9" t="str">
        <f>IFERROR(__xludf.DUMMYFUNCTION("GOOGLETRANSLATE($A1083,""en"",""de"")"),"Māyū Kībbī al Gharbī")</f>
        <v>Māyū Kībbī al Gharbī</v>
      </c>
      <c r="D1083" s="9" t="str">
        <f>IFERROR(__xludf.DUMMYFUNCTION("GOOGLETRANSLATE($A1083,""en"",""fr"")"),"Māyū Kībbī al Gharbi")</f>
        <v>Māyū Kībbī al Gharbi</v>
      </c>
      <c r="E1083" s="9" t="str">
        <f>IFERROR(__xludf.DUMMYFUNCTION("GOOGLETRANSLATE($A1083,""en"",""es"")"),"Māyū Kībbī al Gharbī")</f>
        <v>Māyū Kībbī al Gharbī</v>
      </c>
      <c r="F1083" s="9" t="str">
        <f>IFERROR(__xludf.DUMMYFUNCTION("GOOGLETRANSLATE($A1083,""en"",""it"")"),"Mayū Kībbī al Gharbī")</f>
        <v>Mayū Kībbī al Gharbī</v>
      </c>
      <c r="G1083" s="9" t="str">
        <f>IFERROR(__xludf.DUMMYFUNCTION("GOOGLETRANSLATE($A1083,""en"",""zh-cn"")"),"马尤·基比·阿尔·加尔比")</f>
        <v>马尤·基比·阿尔·加尔比</v>
      </c>
      <c r="H1083" s="9" t="str">
        <f>IFERROR(__xludf.DUMMYFUNCTION("GOOGLETRANSLATE($A1083,""en"",""ja"")"),"マーユ・キビ・アル・ガルビ")</f>
        <v>マーユ・キビ・アル・ガルビ</v>
      </c>
      <c r="I1083" s="9" t="str">
        <f>IFERROR(__xludf.DUMMYFUNCTION("GOOGLETRANSLATE($A1083,""en"",""ko"")"),"마유 키비 알 가르비")</f>
        <v>마유 키비 알 가르비</v>
      </c>
      <c r="J1083" s="9" t="str">
        <f>IFERROR(__xludf.DUMMYFUNCTION("GOOGLETRANSLATE($A1083,""en"",""pt-BR"")"),"Mayū Kībbī al Gharbī")</f>
        <v>Mayū Kībbī al Gharbī</v>
      </c>
    </row>
    <row r="1084">
      <c r="A1084" s="9" t="str">
        <f>IFERROR(__xludf.DUMMYFUNCTION("""COMPUTED_VALUE"""),"Al Buḩayrah (TD)")</f>
        <v>Al Buḩayrah (TD)</v>
      </c>
      <c r="B1084" s="9" t="str">
        <f>IFERROR(__xludf.DUMMYFUNCTION("""COMPUTED_VALUE"""),"td-lc")</f>
        <v>td-lc</v>
      </c>
      <c r="C1084" s="9" t="str">
        <f>IFERROR(__xludf.DUMMYFUNCTION("GOOGLETRANSLATE($A1084,""en"",""de"")"),"Al Buḩayrah (TD)")</f>
        <v>Al Buḩayrah (TD)</v>
      </c>
      <c r="D1084" s="9" t="str">
        <f>IFERROR(__xludf.DUMMYFUNCTION("GOOGLETRANSLATE($A1084,""en"",""fr"")"),"Al Buhayrah (TD)")</f>
        <v>Al Buhayrah (TD)</v>
      </c>
      <c r="E1084" s="9" t="str">
        <f>IFERROR(__xludf.DUMMYFUNCTION("GOOGLETRANSLATE($A1084,""en"",""es"")"),"Al Buḩayrah (TD)")</f>
        <v>Al Buḩayrah (TD)</v>
      </c>
      <c r="F1084" s="9" t="str">
        <f>IFERROR(__xludf.DUMMYFUNCTION("GOOGLETRANSLATE($A1084,""en"",""it"")"),"Al Buḩayrah (TD)")</f>
        <v>Al Buḩayrah (TD)</v>
      </c>
      <c r="G1084" s="9" t="str">
        <f>IFERROR(__xludf.DUMMYFUNCTION("GOOGLETRANSLATE($A1084,""en"",""zh-cn"")"),"阿尔布艾拉 (TD)")</f>
        <v>阿尔布艾拉 (TD)</v>
      </c>
      <c r="H1084" s="9" t="str">
        <f>IFERROR(__xludf.DUMMYFUNCTION("GOOGLETRANSLATE($A1084,""en"",""ja"")"),"アル・ブアイラ (TD)")</f>
        <v>アル・ブアイラ (TD)</v>
      </c>
      <c r="I1084" s="9" t="str">
        <f>IFERROR(__xludf.DUMMYFUNCTION("GOOGLETRANSLATE($A1084,""en"",""ko"")"),"알 부하이라(TD)")</f>
        <v>알 부하이라(TD)</v>
      </c>
      <c r="J1084" s="9" t="str">
        <f>IFERROR(__xludf.DUMMYFUNCTION("GOOGLETRANSLATE($A1084,""en"",""pt-BR"")"),"Al Buhayrah (TD)")</f>
        <v>Al Buhayrah (TD)</v>
      </c>
    </row>
    <row r="1085">
      <c r="A1085" s="9" t="str">
        <f>IFERROR(__xludf.DUMMYFUNCTION("""COMPUTED_VALUE"""),"Būrkū")</f>
        <v>Būrkū</v>
      </c>
      <c r="B1085" s="9" t="str">
        <f>IFERROR(__xludf.DUMMYFUNCTION("""COMPUTED_VALUE"""),"td-bo")</f>
        <v>td-bo</v>
      </c>
      <c r="C1085" s="9" t="str">
        <f>IFERROR(__xludf.DUMMYFUNCTION("GOOGLETRANSLATE($A1085,""en"",""de"")"),"Būrkū")</f>
        <v>Būrkū</v>
      </c>
      <c r="D1085" s="9" t="str">
        <f>IFERROR(__xludf.DUMMYFUNCTION("GOOGLETRANSLATE($A1085,""en"",""fr"")"),"Burku")</f>
        <v>Burku</v>
      </c>
      <c r="E1085" s="9" t="str">
        <f>IFERROR(__xludf.DUMMYFUNCTION("GOOGLETRANSLATE($A1085,""en"",""es"")"),"Burku")</f>
        <v>Burku</v>
      </c>
      <c r="F1085" s="9" t="str">
        <f>IFERROR(__xludf.DUMMYFUNCTION("GOOGLETRANSLATE($A1085,""en"",""it"")"),"Būrkū")</f>
        <v>Būrkū</v>
      </c>
      <c r="G1085" s="9" t="str">
        <f>IFERROR(__xludf.DUMMYFUNCTION("GOOGLETRANSLATE($A1085,""en"",""zh-cn"")"),"布尔库")</f>
        <v>布尔库</v>
      </c>
      <c r="H1085" s="9" t="str">
        <f>IFERROR(__xludf.DUMMYFUNCTION("GOOGLETRANSLATE($A1085,""en"",""ja"")"),"ブルクー")</f>
        <v>ブルクー</v>
      </c>
      <c r="I1085" s="9" t="str">
        <f>IFERROR(__xludf.DUMMYFUNCTION("GOOGLETRANSLATE($A1085,""en"",""ko"")"),"부르쿠")</f>
        <v>부르쿠</v>
      </c>
      <c r="J1085" s="9" t="str">
        <f>IFERROR(__xludf.DUMMYFUNCTION("GOOGLETRANSLATE($A1085,""en"",""pt-BR"")"),"Burku")</f>
        <v>Burku</v>
      </c>
    </row>
    <row r="1086">
      <c r="A1086" s="9" t="str">
        <f>IFERROR(__xludf.DUMMYFUNCTION("""COMPUTED_VALUE"""),"Sīlā")</f>
        <v>Sīlā</v>
      </c>
      <c r="B1086" s="9" t="str">
        <f>IFERROR(__xludf.DUMMYFUNCTION("""COMPUTED_VALUE"""),"td-si")</f>
        <v>td-si</v>
      </c>
      <c r="C1086" s="9" t="str">
        <f>IFERROR(__xludf.DUMMYFUNCTION("GOOGLETRANSLATE($A1086,""en"",""de"")"),"Sīlā")</f>
        <v>Sīlā</v>
      </c>
      <c r="D1086" s="9" t="str">
        <f>IFERROR(__xludf.DUMMYFUNCTION("GOOGLETRANSLATE($A1086,""en"",""fr"")"),"Sila")</f>
        <v>Sila</v>
      </c>
      <c r="E1086" s="9" t="str">
        <f>IFERROR(__xludf.DUMMYFUNCTION("GOOGLETRANSLATE($A1086,""en"",""es"")"),"Sila")</f>
        <v>Sila</v>
      </c>
      <c r="F1086" s="9" t="str">
        <f>IFERROR(__xludf.DUMMYFUNCTION("GOOGLETRANSLATE($A1086,""en"",""it"")"),"Sila")</f>
        <v>Sila</v>
      </c>
      <c r="G1086" s="9" t="str">
        <f>IFERROR(__xludf.DUMMYFUNCTION("GOOGLETRANSLATE($A1086,""en"",""zh-cn"")"),"戒律")</f>
        <v>戒律</v>
      </c>
      <c r="H1086" s="9" t="str">
        <f>IFERROR(__xludf.DUMMYFUNCTION("GOOGLETRANSLATE($A1086,""en"",""ja"")"),"シラ")</f>
        <v>シラ</v>
      </c>
      <c r="I1086" s="9" t="str">
        <f>IFERROR(__xludf.DUMMYFUNCTION("GOOGLETRANSLATE($A1086,""en"",""ko"")"),"실라")</f>
        <v>실라</v>
      </c>
      <c r="J1086" s="9" t="str">
        <f>IFERROR(__xludf.DUMMYFUNCTION("GOOGLETRANSLATE($A1086,""en"",""pt-BR"")"),"Sila")</f>
        <v>Sila</v>
      </c>
    </row>
    <row r="1087">
      <c r="A1087" s="9" t="str">
        <f>IFERROR(__xludf.DUMMYFUNCTION("""COMPUTED_VALUE"""),"Ñuble")</f>
        <v>Ñuble</v>
      </c>
      <c r="B1087" s="9" t="str">
        <f>IFERROR(__xludf.DUMMYFUNCTION("""COMPUTED_VALUE"""),"cl-nb")</f>
        <v>cl-nb</v>
      </c>
      <c r="C1087" s="9" t="str">
        <f>IFERROR(__xludf.DUMMYFUNCTION("GOOGLETRANSLATE($A1087,""en"",""de"")"),"Ñuble")</f>
        <v>Ñuble</v>
      </c>
      <c r="D1087" s="9" t="str">
        <f>IFERROR(__xludf.DUMMYFUNCTION("GOOGLETRANSLATE($A1087,""en"",""fr"")"),"Ñuble")</f>
        <v>Ñuble</v>
      </c>
      <c r="E1087" s="9" t="str">
        <f>IFERROR(__xludf.DUMMYFUNCTION("GOOGLETRANSLATE($A1087,""en"",""es"")"),"Ñuble")</f>
        <v>Ñuble</v>
      </c>
      <c r="F1087" s="9" t="str">
        <f>IFERROR(__xludf.DUMMYFUNCTION("GOOGLETRANSLATE($A1087,""en"",""it"")"),"Doppio")</f>
        <v>Doppio</v>
      </c>
      <c r="G1087" s="9" t="str">
        <f>IFERROR(__xludf.DUMMYFUNCTION("GOOGLETRANSLATE($A1087,""en"",""zh-cn"")"),"努布尔")</f>
        <v>努布尔</v>
      </c>
      <c r="H1087" s="9" t="str">
        <f>IFERROR(__xludf.DUMMYFUNCTION("GOOGLETRANSLATE($A1087,""en"",""ja"")"),"ユーブル")</f>
        <v>ユーブル</v>
      </c>
      <c r="I1087" s="9" t="str">
        <f>IFERROR(__xludf.DUMMYFUNCTION("GOOGLETRANSLATE($A1087,""en"",""ko"")"),"노블")</f>
        <v>노블</v>
      </c>
      <c r="J1087" s="9" t="str">
        <f>IFERROR(__xludf.DUMMYFUNCTION("GOOGLETRANSLATE($A1087,""en"",""pt-BR"")"),"Ñúble")</f>
        <v>Ñúble</v>
      </c>
    </row>
    <row r="1088">
      <c r="A1088" s="9" t="str">
        <f>IFERROR(__xludf.DUMMYFUNCTION("""COMPUTED_VALUE"""),"Valparaíso")</f>
        <v>Valparaíso</v>
      </c>
      <c r="B1088" s="9" t="str">
        <f>IFERROR(__xludf.DUMMYFUNCTION("""COMPUTED_VALUE"""),"cl-vs")</f>
        <v>cl-vs</v>
      </c>
      <c r="C1088" s="9" t="str">
        <f>IFERROR(__xludf.DUMMYFUNCTION("GOOGLETRANSLATE($A1088,""en"",""de"")"),"Valparaíso")</f>
        <v>Valparaíso</v>
      </c>
      <c r="D1088" s="9" t="str">
        <f>IFERROR(__xludf.DUMMYFUNCTION("GOOGLETRANSLATE($A1088,""en"",""fr"")"),"Valparaiso")</f>
        <v>Valparaiso</v>
      </c>
      <c r="E1088" s="9" t="str">
        <f>IFERROR(__xludf.DUMMYFUNCTION("GOOGLETRANSLATE($A1088,""en"",""es"")"),"Valparaíso")</f>
        <v>Valparaíso</v>
      </c>
      <c r="F1088" s="9" t="str">
        <f>IFERROR(__xludf.DUMMYFUNCTION("GOOGLETRANSLATE($A1088,""en"",""it"")"),"Valparaíso")</f>
        <v>Valparaíso</v>
      </c>
      <c r="G1088" s="9" t="str">
        <f>IFERROR(__xludf.DUMMYFUNCTION("GOOGLETRANSLATE($A1088,""en"",""zh-cn"")"),"瓦尔帕莱索")</f>
        <v>瓦尔帕莱索</v>
      </c>
      <c r="H1088" s="9" t="str">
        <f>IFERROR(__xludf.DUMMYFUNCTION("GOOGLETRANSLATE($A1088,""en"",""ja"")"),"バルパライソ")</f>
        <v>バルパライソ</v>
      </c>
      <c r="I1088" s="9" t="str">
        <f>IFERROR(__xludf.DUMMYFUNCTION("GOOGLETRANSLATE($A1088,""en"",""ko"")"),"발파라이소")</f>
        <v>발파라이소</v>
      </c>
      <c r="J1088" s="9" t="str">
        <f>IFERROR(__xludf.DUMMYFUNCTION("GOOGLETRANSLATE($A1088,""en"",""pt-BR"")"),"Valparaíso")</f>
        <v>Valparaíso</v>
      </c>
    </row>
    <row r="1089">
      <c r="A1089" s="9" t="str">
        <f>IFERROR(__xludf.DUMMYFUNCTION("""COMPUTED_VALUE"""),"Maule")</f>
        <v>Maule</v>
      </c>
      <c r="B1089" s="9" t="str">
        <f>IFERROR(__xludf.DUMMYFUNCTION("""COMPUTED_VALUE"""),"cl-ml")</f>
        <v>cl-ml</v>
      </c>
      <c r="C1089" s="9" t="str">
        <f>IFERROR(__xludf.DUMMYFUNCTION("GOOGLETRANSLATE($A1089,""en"",""de"")"),"Maule")</f>
        <v>Maule</v>
      </c>
      <c r="D1089" s="9" t="str">
        <f>IFERROR(__xludf.DUMMYFUNCTION("GOOGLETRANSLATE($A1089,""en"",""fr"")"),"Maulé")</f>
        <v>Maulé</v>
      </c>
      <c r="E1089" s="9" t="str">
        <f>IFERROR(__xludf.DUMMYFUNCTION("GOOGLETRANSLATE($A1089,""en"",""es"")"),"Maule")</f>
        <v>Maule</v>
      </c>
      <c r="F1089" s="9" t="str">
        <f>IFERROR(__xludf.DUMMYFUNCTION("GOOGLETRANSLATE($A1089,""en"",""it"")"),"Maule")</f>
        <v>Maule</v>
      </c>
      <c r="G1089" s="9" t="str">
        <f>IFERROR(__xludf.DUMMYFUNCTION("GOOGLETRANSLATE($A1089,""en"",""zh-cn"")"),"莫莱")</f>
        <v>莫莱</v>
      </c>
      <c r="H1089" s="9" t="str">
        <f>IFERROR(__xludf.DUMMYFUNCTION("GOOGLETRANSLATE($A1089,""en"",""ja"")"),"マウレ")</f>
        <v>マウレ</v>
      </c>
      <c r="I1089" s="9" t="str">
        <f>IFERROR(__xludf.DUMMYFUNCTION("GOOGLETRANSLATE($A1089,""en"",""ko"")"),"마울레")</f>
        <v>마울레</v>
      </c>
      <c r="J1089" s="9" t="str">
        <f>IFERROR(__xludf.DUMMYFUNCTION("GOOGLETRANSLATE($A1089,""en"",""pt-BR"")"),"Maulé")</f>
        <v>Maulé</v>
      </c>
    </row>
    <row r="1090">
      <c r="A1090" s="9" t="str">
        <f>IFERROR(__xludf.DUMMYFUNCTION("""COMPUTED_VALUE"""),"Atacama")</f>
        <v>Atacama</v>
      </c>
      <c r="B1090" s="9" t="str">
        <f>IFERROR(__xludf.DUMMYFUNCTION("""COMPUTED_VALUE"""),"cl-at")</f>
        <v>cl-at</v>
      </c>
      <c r="C1090" s="9" t="str">
        <f>IFERROR(__xludf.DUMMYFUNCTION("GOOGLETRANSLATE($A1090,""en"",""de"")"),"Atacama")</f>
        <v>Atacama</v>
      </c>
      <c r="D1090" s="9" t="str">
        <f>IFERROR(__xludf.DUMMYFUNCTION("GOOGLETRANSLATE($A1090,""en"",""fr"")"),"Atacama")</f>
        <v>Atacama</v>
      </c>
      <c r="E1090" s="9" t="str">
        <f>IFERROR(__xludf.DUMMYFUNCTION("GOOGLETRANSLATE($A1090,""en"",""es"")"),"atacama")</f>
        <v>atacama</v>
      </c>
      <c r="F1090" s="9" t="str">
        <f>IFERROR(__xludf.DUMMYFUNCTION("GOOGLETRANSLATE($A1090,""en"",""it"")"),"Atacama")</f>
        <v>Atacama</v>
      </c>
      <c r="G1090" s="9" t="str">
        <f>IFERROR(__xludf.DUMMYFUNCTION("GOOGLETRANSLATE($A1090,""en"",""zh-cn"")"),"阿塔卡马")</f>
        <v>阿塔卡马</v>
      </c>
      <c r="H1090" s="9" t="str">
        <f>IFERROR(__xludf.DUMMYFUNCTION("GOOGLETRANSLATE($A1090,""en"",""ja"")"),"アタカマ")</f>
        <v>アタカマ</v>
      </c>
      <c r="I1090" s="9" t="str">
        <f>IFERROR(__xludf.DUMMYFUNCTION("GOOGLETRANSLATE($A1090,""en"",""ko"")"),"아타카마")</f>
        <v>아타카마</v>
      </c>
      <c r="J1090" s="9" t="str">
        <f>IFERROR(__xludf.DUMMYFUNCTION("GOOGLETRANSLATE($A1090,""en"",""pt-BR"")"),"Atacama")</f>
        <v>Atacama</v>
      </c>
    </row>
    <row r="1091">
      <c r="A1091" s="9" t="str">
        <f>IFERROR(__xludf.DUMMYFUNCTION("""COMPUTED_VALUE"""),"Libertador General Bernardo O'Higgins")</f>
        <v>Libertador General Bernardo O'Higgins</v>
      </c>
      <c r="B1091" s="9" t="str">
        <f>IFERROR(__xludf.DUMMYFUNCTION("""COMPUTED_VALUE"""),"cl-li")</f>
        <v>cl-li</v>
      </c>
      <c r="C1091" s="9" t="str">
        <f>IFERROR(__xludf.DUMMYFUNCTION("GOOGLETRANSLATE($A1091,""en"",""de"")"),"Libertador General Bernardo O'Higgins")</f>
        <v>Libertador General Bernardo O'Higgins</v>
      </c>
      <c r="D1091" s="9" t="str">
        <f>IFERROR(__xludf.DUMMYFUNCTION("GOOGLETRANSLATE($A1091,""en"",""fr"")"),"Libertador général Bernardo O'Higgins")</f>
        <v>Libertador général Bernardo O'Higgins</v>
      </c>
      <c r="E1091" s="9" t="str">
        <f>IFERROR(__xludf.DUMMYFUNCTION("GOOGLETRANSLATE($A1091,""en"",""es"")"),"Libertador General Bernardo O'Higgins")</f>
        <v>Libertador General Bernardo O'Higgins</v>
      </c>
      <c r="F1091" s="9" t="str">
        <f>IFERROR(__xludf.DUMMYFUNCTION("GOOGLETRANSLATE($A1091,""en"",""it"")"),"Generale libertador Bernardo O'Higgins")</f>
        <v>Generale libertador Bernardo O'Higgins</v>
      </c>
      <c r="G1091" s="9" t="str">
        <f>IFERROR(__xludf.DUMMYFUNCTION("GOOGLETRANSLATE($A1091,""en"",""zh-cn"")"),"解放者将军贝尔纳多·奥希金斯")</f>
        <v>解放者将军贝尔纳多·奥希金斯</v>
      </c>
      <c r="H1091" s="9" t="str">
        <f>IFERROR(__xludf.DUMMYFUNCTION("GOOGLETRANSLATE($A1091,""en"",""ja"")"),"リベルタドール将軍ベルナルド・オーヒギンズ")</f>
        <v>リベルタドール将軍ベルナルド・オーヒギンズ</v>
      </c>
      <c r="I1091" s="9" t="str">
        <f>IFERROR(__xludf.DUMMYFUNCTION("GOOGLETRANSLATE($A1091,""en"",""ko"")"),"자유의사 베르나르도 오히긴스 장군")</f>
        <v>자유의사 베르나르도 오히긴스 장군</v>
      </c>
      <c r="J1091" s="9" t="str">
        <f>IFERROR(__xludf.DUMMYFUNCTION("GOOGLETRANSLATE($A1091,""en"",""pt-BR"")"),"Libertador General Bernardo O'Higgins")</f>
        <v>Libertador General Bernardo O'Higgins</v>
      </c>
    </row>
    <row r="1092">
      <c r="A1092" s="9" t="str">
        <f>IFERROR(__xludf.DUMMYFUNCTION("""COMPUTED_VALUE"""),"Región Metropolitana de Santiago")</f>
        <v>Región Metropolitana de Santiago</v>
      </c>
      <c r="B1092" s="9" t="str">
        <f>IFERROR(__xludf.DUMMYFUNCTION("""COMPUTED_VALUE"""),"cl-rm")</f>
        <v>cl-rm</v>
      </c>
      <c r="C1092" s="9" t="str">
        <f>IFERROR(__xludf.DUMMYFUNCTION("GOOGLETRANSLATE($A1092,""en"",""de"")"),"Region Metropolitana de Santiago")</f>
        <v>Region Metropolitana de Santiago</v>
      </c>
      <c r="D1092" s="9" t="str">
        <f>IFERROR(__xludf.DUMMYFUNCTION("GOOGLETRANSLATE($A1092,""en"",""fr"")"),"Région métropolitaine de Santiago")</f>
        <v>Région métropolitaine de Santiago</v>
      </c>
      <c r="E1092" s="9" t="str">
        <f>IFERROR(__xludf.DUMMYFUNCTION("GOOGLETRANSLATE($A1092,""en"",""es"")"),"Región Metropolitana de Santiago")</f>
        <v>Región Metropolitana de Santiago</v>
      </c>
      <c r="F1092" s="9" t="str">
        <f>IFERROR(__xludf.DUMMYFUNCTION("GOOGLETRANSLATE($A1092,""en"",""it"")"),"Regione metropolitana di Santiago")</f>
        <v>Regione metropolitana di Santiago</v>
      </c>
      <c r="G1092" s="9" t="str">
        <f>IFERROR(__xludf.DUMMYFUNCTION("GOOGLETRANSLATE($A1092,""en"",""zh-cn"")"),"圣地亚哥大都会区")</f>
        <v>圣地亚哥大都会区</v>
      </c>
      <c r="H1092" s="9" t="str">
        <f>IFERROR(__xludf.DUMMYFUNCTION("GOOGLETRANSLATE($A1092,""en"",""ja"")"),"サンティアゴ メトロポリターナ地域")</f>
        <v>サンティアゴ メトロポリターナ地域</v>
      </c>
      <c r="I1092" s="9" t="str">
        <f>IFERROR(__xludf.DUMMYFUNCTION("GOOGLETRANSLATE($A1092,""en"",""ko"")"),"지역 메트로폴리타나 데 산티아고")</f>
        <v>지역 메트로폴리타나 데 산티아고</v>
      </c>
      <c r="J1092" s="9" t="str">
        <f>IFERROR(__xludf.DUMMYFUNCTION("GOOGLETRANSLATE($A1092,""en"",""pt-BR"")"),"Região Metropolitana de Santiago")</f>
        <v>Região Metropolitana de Santiago</v>
      </c>
    </row>
    <row r="1093">
      <c r="A1093" s="9" t="str">
        <f>IFERROR(__xludf.DUMMYFUNCTION("""COMPUTED_VALUE"""),"Aisén del General Carlos Ibañez del Campo")</f>
        <v>Aisén del General Carlos Ibañez del Campo</v>
      </c>
      <c r="B1093" s="9" t="str">
        <f>IFERROR(__xludf.DUMMYFUNCTION("""COMPUTED_VALUE"""),"cl-ai")</f>
        <v>cl-ai</v>
      </c>
      <c r="C1093" s="9" t="str">
        <f>IFERROR(__xludf.DUMMYFUNCTION("GOOGLETRANSLATE($A1093,""en"",""de"")"),"Aisén del General Carlos Ibañez del Campo")</f>
        <v>Aisén del General Carlos Ibañez del Campo</v>
      </c>
      <c r="D1093" s="9" t="str">
        <f>IFERROR(__xludf.DUMMYFUNCTION("GOOGLETRANSLATE($A1093,""en"",""fr"")"),"Aisén du général Carlos Ibañez del Campo")</f>
        <v>Aisén du général Carlos Ibañez del Campo</v>
      </c>
      <c r="E1093" s="9" t="str">
        <f>IFERROR(__xludf.DUMMYFUNCTION("GOOGLETRANSLATE($A1093,""en"",""es"")"),"Aysén del General Carlos Ibáñez del Campo")</f>
        <v>Aysén del General Carlos Ibáñez del Campo</v>
      </c>
      <c r="F1093" s="9" t="str">
        <f>IFERROR(__xludf.DUMMYFUNCTION("GOOGLETRANSLATE($A1093,""en"",""it"")"),"Aisén del Generale Carlos Ibañez del Campo")</f>
        <v>Aisén del Generale Carlos Ibañez del Campo</v>
      </c>
      <c r="G1093" s="9" t="str">
        <f>IFERROR(__xludf.DUMMYFUNCTION("GOOGLETRANSLATE($A1093,""en"",""zh-cn"")"),"卡洛斯·伊巴涅斯·德尔·坎波将军艾森")</f>
        <v>卡洛斯·伊巴涅斯·德尔·坎波将军艾森</v>
      </c>
      <c r="H1093" s="9" t="str">
        <f>IFERROR(__xludf.DUMMYFUNCTION("GOOGLETRANSLATE($A1093,""en"",""ja"")"),"アイセン・デル・ヘネラル・カルロス・イバニェス・デル・カンポ")</f>
        <v>アイセン・デル・ヘネラル・カルロス・イバニェス・デル・カンポ</v>
      </c>
      <c r="I1093" s="9" t="str">
        <f>IFERROR(__xludf.DUMMYFUNCTION("GOOGLETRANSLATE($A1093,""en"",""ko"")"),"아이센 델 헤네랄 카를로스 이바녜스 델 캄포")</f>
        <v>아이센 델 헤네랄 카를로스 이바녜스 델 캄포</v>
      </c>
      <c r="J1093" s="9" t="str">
        <f>IFERROR(__xludf.DUMMYFUNCTION("GOOGLETRANSLATE($A1093,""en"",""pt-BR"")"),"Aisén del General Carlos Ibañez del Campo")</f>
        <v>Aisén del General Carlos Ibañez del Campo</v>
      </c>
    </row>
    <row r="1094">
      <c r="A1094" s="9" t="str">
        <f>IFERROR(__xludf.DUMMYFUNCTION("""COMPUTED_VALUE"""),"Araucanía")</f>
        <v>Araucanía</v>
      </c>
      <c r="B1094" s="9" t="str">
        <f>IFERROR(__xludf.DUMMYFUNCTION("""COMPUTED_VALUE"""),"cl-ar")</f>
        <v>cl-ar</v>
      </c>
      <c r="C1094" s="9" t="str">
        <f>IFERROR(__xludf.DUMMYFUNCTION("GOOGLETRANSLATE($A1094,""en"",""de"")"),"Araukanien")</f>
        <v>Araukanien</v>
      </c>
      <c r="D1094" s="9" t="str">
        <f>IFERROR(__xludf.DUMMYFUNCTION("GOOGLETRANSLATE($A1094,""en"",""fr"")"),"Araucanie")</f>
        <v>Araucanie</v>
      </c>
      <c r="E1094" s="9" t="str">
        <f>IFERROR(__xludf.DUMMYFUNCTION("GOOGLETRANSLATE($A1094,""en"",""es"")"),"Araucanía")</f>
        <v>Araucanía</v>
      </c>
      <c r="F1094" s="9" t="str">
        <f>IFERROR(__xludf.DUMMYFUNCTION("GOOGLETRANSLATE($A1094,""en"",""it"")"),"Araucania")</f>
        <v>Araucania</v>
      </c>
      <c r="G1094" s="9" t="str">
        <f>IFERROR(__xludf.DUMMYFUNCTION("GOOGLETRANSLATE($A1094,""en"",""zh-cn"")"),"阿劳卡尼亚")</f>
        <v>阿劳卡尼亚</v>
      </c>
      <c r="H1094" s="9" t="str">
        <f>IFERROR(__xludf.DUMMYFUNCTION("GOOGLETRANSLATE($A1094,""en"",""ja"")"),"アラウカニア")</f>
        <v>アラウカニア</v>
      </c>
      <c r="I1094" s="9" t="str">
        <f>IFERROR(__xludf.DUMMYFUNCTION("GOOGLETRANSLATE($A1094,""en"",""ko"")"),"아라우카니아")</f>
        <v>아라우카니아</v>
      </c>
      <c r="J1094" s="9" t="str">
        <f>IFERROR(__xludf.DUMMYFUNCTION("GOOGLETRANSLATE($A1094,""en"",""pt-BR"")"),"Araucanía")</f>
        <v>Araucanía</v>
      </c>
    </row>
    <row r="1095">
      <c r="A1095" s="9" t="str">
        <f>IFERROR(__xludf.DUMMYFUNCTION("""COMPUTED_VALUE"""),"Biobío")</f>
        <v>Biobío</v>
      </c>
      <c r="B1095" s="9" t="str">
        <f>IFERROR(__xludf.DUMMYFUNCTION("""COMPUTED_VALUE"""),"cl-bi")</f>
        <v>cl-bi</v>
      </c>
      <c r="C1095" s="9" t="str">
        <f>IFERROR(__xludf.DUMMYFUNCTION("GOOGLETRANSLATE($A1095,""en"",""de"")"),"Biobio")</f>
        <v>Biobio</v>
      </c>
      <c r="D1095" s="9" t="str">
        <f>IFERROR(__xludf.DUMMYFUNCTION("GOOGLETRANSLATE($A1095,""en"",""fr"")"),"Biobio")</f>
        <v>Biobio</v>
      </c>
      <c r="E1095" s="9" t="str">
        <f>IFERROR(__xludf.DUMMYFUNCTION("GOOGLETRANSLATE($A1095,""en"",""es"")"),"Biobío")</f>
        <v>Biobío</v>
      </c>
      <c r="F1095" s="9" t="str">
        <f>IFERROR(__xludf.DUMMYFUNCTION("GOOGLETRANSLATE($A1095,""en"",""it"")"),"Biobio")</f>
        <v>Biobio</v>
      </c>
      <c r="G1095" s="9" t="str">
        <f>IFERROR(__xludf.DUMMYFUNCTION("GOOGLETRANSLATE($A1095,""en"",""zh-cn"")"),"比奥比奥")</f>
        <v>比奥比奥</v>
      </c>
      <c r="H1095" s="9" t="str">
        <f>IFERROR(__xludf.DUMMYFUNCTION("GOOGLETRANSLATE($A1095,""en"",""ja"")"),"ビオビオ")</f>
        <v>ビオビオ</v>
      </c>
      <c r="I1095" s="9" t="str">
        <f>IFERROR(__xludf.DUMMYFUNCTION("GOOGLETRANSLATE($A1095,""en"",""ko"")"),"비오비오")</f>
        <v>비오비오</v>
      </c>
      <c r="J1095" s="9" t="str">
        <f>IFERROR(__xludf.DUMMYFUNCTION("GOOGLETRANSLATE($A1095,""en"",""pt-BR"")"),"Biobio")</f>
        <v>Biobio</v>
      </c>
    </row>
    <row r="1096">
      <c r="A1096" s="9" t="str">
        <f>IFERROR(__xludf.DUMMYFUNCTION("""COMPUTED_VALUE"""),"Los Ríos (CL)")</f>
        <v>Los Ríos (CL)</v>
      </c>
      <c r="B1096" s="9" t="str">
        <f>IFERROR(__xludf.DUMMYFUNCTION("""COMPUTED_VALUE"""),"cl-lr")</f>
        <v>cl-lr</v>
      </c>
      <c r="C1096" s="9" t="str">
        <f>IFERROR(__xludf.DUMMYFUNCTION("GOOGLETRANSLATE($A1096,""en"",""de"")"),"Los Ríos (CL)")</f>
        <v>Los Ríos (CL)</v>
      </c>
      <c r="D1096" s="9" t="str">
        <f>IFERROR(__xludf.DUMMYFUNCTION("GOOGLETRANSLATE($A1096,""en"",""fr"")"),"Los Rios (CL)")</f>
        <v>Los Rios (CL)</v>
      </c>
      <c r="E1096" s="9" t="str">
        <f>IFERROR(__xludf.DUMMYFUNCTION("GOOGLETRANSLATE($A1096,""en"",""es"")"),"Los Ríos (CL)")</f>
        <v>Los Ríos (CL)</v>
      </c>
      <c r="F1096" s="9" t="str">
        <f>IFERROR(__xludf.DUMMYFUNCTION("GOOGLETRANSLATE($A1096,""en"",""it"")"),"Los Ríos (CL)")</f>
        <v>Los Ríos (CL)</v>
      </c>
      <c r="G1096" s="9" t="str">
        <f>IFERROR(__xludf.DUMMYFUNCTION("GOOGLETRANSLATE($A1096,""en"",""zh-cn"")"),"洛斯里奥斯 (CL)")</f>
        <v>洛斯里奥斯 (CL)</v>
      </c>
      <c r="H1096" s="9" t="str">
        <f>IFERROR(__xludf.DUMMYFUNCTION("GOOGLETRANSLATE($A1096,""en"",""ja"")"),"ロス・リオス（CL）")</f>
        <v>ロス・リオス（CL）</v>
      </c>
      <c r="I1096" s="9" t="str">
        <f>IFERROR(__xludf.DUMMYFUNCTION("GOOGLETRANSLATE($A1096,""en"",""ko"")"),"로스리오스(CL)")</f>
        <v>로스리오스(CL)</v>
      </c>
      <c r="J1096" s="9" t="str">
        <f>IFERROR(__xludf.DUMMYFUNCTION("GOOGLETRANSLATE($A1096,""en"",""pt-BR"")"),"Los Rios (CL)")</f>
        <v>Los Rios (CL)</v>
      </c>
    </row>
    <row r="1097">
      <c r="A1097" s="9" t="str">
        <f>IFERROR(__xludf.DUMMYFUNCTION("""COMPUTED_VALUE"""),"Arica and Parinacota")</f>
        <v>Arica and Parinacota</v>
      </c>
      <c r="B1097" s="9" t="str">
        <f>IFERROR(__xludf.DUMMYFUNCTION("""COMPUTED_VALUE"""),"cl-ap")</f>
        <v>cl-ap</v>
      </c>
      <c r="C1097" s="9" t="str">
        <f>IFERROR(__xludf.DUMMYFUNCTION("GOOGLETRANSLATE($A1097,""en"",""de"")"),"Arica und Parinacota")</f>
        <v>Arica und Parinacota</v>
      </c>
      <c r="D1097" s="9" t="str">
        <f>IFERROR(__xludf.DUMMYFUNCTION("GOOGLETRANSLATE($A1097,""en"",""fr"")"),"Arica et Parinacota")</f>
        <v>Arica et Parinacota</v>
      </c>
      <c r="E1097" s="9" t="str">
        <f>IFERROR(__xludf.DUMMYFUNCTION("GOOGLETRANSLATE($A1097,""en"",""es"")"),"Arica y Parinacota")</f>
        <v>Arica y Parinacota</v>
      </c>
      <c r="F1097" s="9" t="str">
        <f>IFERROR(__xludf.DUMMYFUNCTION("GOOGLETRANSLATE($A1097,""en"",""it"")"),"Arica e Parinacota")</f>
        <v>Arica e Parinacota</v>
      </c>
      <c r="G1097" s="9" t="str">
        <f>IFERROR(__xludf.DUMMYFUNCTION("GOOGLETRANSLATE($A1097,""en"",""zh-cn"")"),"阿里卡和帕里纳科塔")</f>
        <v>阿里卡和帕里纳科塔</v>
      </c>
      <c r="H1097" s="9" t="str">
        <f>IFERROR(__xludf.DUMMYFUNCTION("GOOGLETRANSLATE($A1097,""en"",""ja"")"),"アリカとパリナコタ")</f>
        <v>アリカとパリナコタ</v>
      </c>
      <c r="I1097" s="9" t="str">
        <f>IFERROR(__xludf.DUMMYFUNCTION("GOOGLETRANSLATE($A1097,""en"",""ko"")"),"아리카와 파리나코타")</f>
        <v>아리카와 파리나코타</v>
      </c>
      <c r="J1097" s="9" t="str">
        <f>IFERROR(__xludf.DUMMYFUNCTION("GOOGLETRANSLATE($A1097,""en"",""pt-BR"")"),"Arica e Parinacota")</f>
        <v>Arica e Parinacota</v>
      </c>
    </row>
    <row r="1098">
      <c r="A1098" s="9" t="str">
        <f>IFERROR(__xludf.DUMMYFUNCTION("""COMPUTED_VALUE"""),"Los Lagos")</f>
        <v>Los Lagos</v>
      </c>
      <c r="B1098" s="9" t="str">
        <f>IFERROR(__xludf.DUMMYFUNCTION("""COMPUTED_VALUE"""),"cl-ll")</f>
        <v>cl-ll</v>
      </c>
      <c r="C1098" s="9" t="str">
        <f>IFERROR(__xludf.DUMMYFUNCTION("GOOGLETRANSLATE($A1098,""en"",""de"")"),"Los Lagos")</f>
        <v>Los Lagos</v>
      </c>
      <c r="D1098" s="9" t="str">
        <f>IFERROR(__xludf.DUMMYFUNCTION("GOOGLETRANSLATE($A1098,""en"",""fr"")"),"Los Lacs")</f>
        <v>Los Lacs</v>
      </c>
      <c r="E1098" s="9" t="str">
        <f>IFERROR(__xludf.DUMMYFUNCTION("GOOGLETRANSLATE($A1098,""en"",""es"")"),"Los Lagos")</f>
        <v>Los Lagos</v>
      </c>
      <c r="F1098" s="9" t="str">
        <f>IFERROR(__xludf.DUMMYFUNCTION("GOOGLETRANSLATE($A1098,""en"",""it"")"),"Los Lagos")</f>
        <v>Los Lagos</v>
      </c>
      <c r="G1098" s="9" t="str">
        <f>IFERROR(__xludf.DUMMYFUNCTION("GOOGLETRANSLATE($A1098,""en"",""zh-cn"")"),"洛斯拉各斯")</f>
        <v>洛斯拉各斯</v>
      </c>
      <c r="H1098" s="9" t="str">
        <f>IFERROR(__xludf.DUMMYFUNCTION("GOOGLETRANSLATE($A1098,""en"",""ja"")"),"ロスラゴス")</f>
        <v>ロスラゴス</v>
      </c>
      <c r="I1098" s="9" t="str">
        <f>IFERROR(__xludf.DUMMYFUNCTION("GOOGLETRANSLATE($A1098,""en"",""ko"")"),"로스라고스")</f>
        <v>로스라고스</v>
      </c>
      <c r="J1098" s="9" t="str">
        <f>IFERROR(__xludf.DUMMYFUNCTION("GOOGLETRANSLATE($A1098,""en"",""pt-BR"")"),"Lagos")</f>
        <v>Lagos</v>
      </c>
    </row>
    <row r="1099">
      <c r="A1099" s="9" t="str">
        <f>IFERROR(__xludf.DUMMYFUNCTION("""COMPUTED_VALUE"""),"Tarapacá")</f>
        <v>Tarapacá</v>
      </c>
      <c r="B1099" s="9" t="str">
        <f>IFERROR(__xludf.DUMMYFUNCTION("""COMPUTED_VALUE"""),"cl-ta")</f>
        <v>cl-ta</v>
      </c>
      <c r="C1099" s="9" t="str">
        <f>IFERROR(__xludf.DUMMYFUNCTION("GOOGLETRANSLATE($A1099,""en"",""de"")"),"Tarapacá")</f>
        <v>Tarapacá</v>
      </c>
      <c r="D1099" s="9" t="str">
        <f>IFERROR(__xludf.DUMMYFUNCTION("GOOGLETRANSLATE($A1099,""en"",""fr"")"),"Tarapacá")</f>
        <v>Tarapacá</v>
      </c>
      <c r="E1099" s="9" t="str">
        <f>IFERROR(__xludf.DUMMYFUNCTION("GOOGLETRANSLATE($A1099,""en"",""es"")"),"Tarapacá")</f>
        <v>Tarapacá</v>
      </c>
      <c r="F1099" s="9" t="str">
        <f>IFERROR(__xludf.DUMMYFUNCTION("GOOGLETRANSLATE($A1099,""en"",""it"")"),"Tarapacà")</f>
        <v>Tarapacà</v>
      </c>
      <c r="G1099" s="9" t="str">
        <f>IFERROR(__xludf.DUMMYFUNCTION("GOOGLETRANSLATE($A1099,""en"",""zh-cn"")"),"塔拉帕卡")</f>
        <v>塔拉帕卡</v>
      </c>
      <c r="H1099" s="9" t="str">
        <f>IFERROR(__xludf.DUMMYFUNCTION("GOOGLETRANSLATE($A1099,""en"",""ja"")"),"タラパカ")</f>
        <v>タラパカ</v>
      </c>
      <c r="I1099" s="9" t="str">
        <f>IFERROR(__xludf.DUMMYFUNCTION("GOOGLETRANSLATE($A1099,""en"",""ko"")"),"타라파카")</f>
        <v>타라파카</v>
      </c>
      <c r="J1099" s="9" t="str">
        <f>IFERROR(__xludf.DUMMYFUNCTION("GOOGLETRANSLATE($A1099,""en"",""pt-BR"")"),"Tarapacá")</f>
        <v>Tarapacá</v>
      </c>
    </row>
    <row r="1100">
      <c r="A1100" s="9" t="str">
        <f>IFERROR(__xludf.DUMMYFUNCTION("""COMPUTED_VALUE"""),"Coquimbo")</f>
        <v>Coquimbo</v>
      </c>
      <c r="B1100" s="9" t="str">
        <f>IFERROR(__xludf.DUMMYFUNCTION("""COMPUTED_VALUE"""),"cl-co")</f>
        <v>cl-co</v>
      </c>
      <c r="C1100" s="9" t="str">
        <f>IFERROR(__xludf.DUMMYFUNCTION("GOOGLETRANSLATE($A1100,""en"",""de"")"),"Coquimbo")</f>
        <v>Coquimbo</v>
      </c>
      <c r="D1100" s="9" t="str">
        <f>IFERROR(__xludf.DUMMYFUNCTION("GOOGLETRANSLATE($A1100,""en"",""fr"")"),"Coquimbo")</f>
        <v>Coquimbo</v>
      </c>
      <c r="E1100" s="9" t="str">
        <f>IFERROR(__xludf.DUMMYFUNCTION("GOOGLETRANSLATE($A1100,""en"",""es"")"),"Coquimbo")</f>
        <v>Coquimbo</v>
      </c>
      <c r="F1100" s="9" t="str">
        <f>IFERROR(__xludf.DUMMYFUNCTION("GOOGLETRANSLATE($A1100,""en"",""it"")"),"Coquimbo")</f>
        <v>Coquimbo</v>
      </c>
      <c r="G1100" s="9" t="str">
        <f>IFERROR(__xludf.DUMMYFUNCTION("GOOGLETRANSLATE($A1100,""en"",""zh-cn"")"),"科金博")</f>
        <v>科金博</v>
      </c>
      <c r="H1100" s="9" t="str">
        <f>IFERROR(__xludf.DUMMYFUNCTION("GOOGLETRANSLATE($A1100,""en"",""ja"")"),"コキンボ")</f>
        <v>コキンボ</v>
      </c>
      <c r="I1100" s="9" t="str">
        <f>IFERROR(__xludf.DUMMYFUNCTION("GOOGLETRANSLATE($A1100,""en"",""ko"")"),"코킴보")</f>
        <v>코킴보</v>
      </c>
      <c r="J1100" s="9" t="str">
        <f>IFERROR(__xludf.DUMMYFUNCTION("GOOGLETRANSLATE($A1100,""en"",""pt-BR"")"),"Coquimbo")</f>
        <v>Coquimbo</v>
      </c>
    </row>
    <row r="1101">
      <c r="A1101" s="9" t="str">
        <f>IFERROR(__xludf.DUMMYFUNCTION("""COMPUTED_VALUE"""),"Magallanes")</f>
        <v>Magallanes</v>
      </c>
      <c r="B1101" s="9" t="str">
        <f>IFERROR(__xludf.DUMMYFUNCTION("""COMPUTED_VALUE"""),"cl-ma")</f>
        <v>cl-ma</v>
      </c>
      <c r="C1101" s="9" t="str">
        <f>IFERROR(__xludf.DUMMYFUNCTION("GOOGLETRANSLATE($A1101,""en"",""de"")"),"Magallanes")</f>
        <v>Magallanes</v>
      </c>
      <c r="D1101" s="9" t="str">
        <f>IFERROR(__xludf.DUMMYFUNCTION("GOOGLETRANSLATE($A1101,""en"",""fr"")"),"Magallanes")</f>
        <v>Magallanes</v>
      </c>
      <c r="E1101" s="9" t="str">
        <f>IFERROR(__xludf.DUMMYFUNCTION("GOOGLETRANSLATE($A1101,""en"",""es"")"),"magallanes")</f>
        <v>magallanes</v>
      </c>
      <c r="F1101" s="9" t="str">
        <f>IFERROR(__xludf.DUMMYFUNCTION("GOOGLETRANSLATE($A1101,""en"",""it"")"),"Magallanes")</f>
        <v>Magallanes</v>
      </c>
      <c r="G1101" s="9" t="str">
        <f>IFERROR(__xludf.DUMMYFUNCTION("GOOGLETRANSLATE($A1101,""en"",""zh-cn"")"),"麦哲伦")</f>
        <v>麦哲伦</v>
      </c>
      <c r="H1101" s="9" t="str">
        <f>IFERROR(__xludf.DUMMYFUNCTION("GOOGLETRANSLATE($A1101,""en"",""ja"")"),"マガジャネス")</f>
        <v>マガジャネス</v>
      </c>
      <c r="I1101" s="9" t="str">
        <f>IFERROR(__xludf.DUMMYFUNCTION("GOOGLETRANSLATE($A1101,""en"",""ko"")"),"마가야네스")</f>
        <v>마가야네스</v>
      </c>
      <c r="J1101" s="9" t="str">
        <f>IFERROR(__xludf.DUMMYFUNCTION("GOOGLETRANSLATE($A1101,""en"",""pt-BR"")"),"Magalhães")</f>
        <v>Magalhães</v>
      </c>
    </row>
    <row r="1102">
      <c r="A1102" s="9" t="str">
        <f>IFERROR(__xludf.DUMMYFUNCTION("""COMPUTED_VALUE"""),"Antofagasta")</f>
        <v>Antofagasta</v>
      </c>
      <c r="B1102" s="9" t="str">
        <f>IFERROR(__xludf.DUMMYFUNCTION("""COMPUTED_VALUE"""),"cl-an")</f>
        <v>cl-an</v>
      </c>
      <c r="C1102" s="9" t="str">
        <f>IFERROR(__xludf.DUMMYFUNCTION("GOOGLETRANSLATE($A1102,""en"",""de"")"),"Antofagasta")</f>
        <v>Antofagasta</v>
      </c>
      <c r="D1102" s="9" t="str">
        <f>IFERROR(__xludf.DUMMYFUNCTION("GOOGLETRANSLATE($A1102,""en"",""fr"")"),"Antofagasta")</f>
        <v>Antofagasta</v>
      </c>
      <c r="E1102" s="9" t="str">
        <f>IFERROR(__xludf.DUMMYFUNCTION("GOOGLETRANSLATE($A1102,""en"",""es"")"),"antofagasta")</f>
        <v>antofagasta</v>
      </c>
      <c r="F1102" s="9" t="str">
        <f>IFERROR(__xludf.DUMMYFUNCTION("GOOGLETRANSLATE($A1102,""en"",""it"")"),"Antofagasta")</f>
        <v>Antofagasta</v>
      </c>
      <c r="G1102" s="9" t="str">
        <f>IFERROR(__xludf.DUMMYFUNCTION("GOOGLETRANSLATE($A1102,""en"",""zh-cn"")"),"安托法加斯塔")</f>
        <v>安托法加斯塔</v>
      </c>
      <c r="H1102" s="9" t="str">
        <f>IFERROR(__xludf.DUMMYFUNCTION("GOOGLETRANSLATE($A1102,""en"",""ja"")"),"アントファガスタ")</f>
        <v>アントファガスタ</v>
      </c>
      <c r="I1102" s="9" t="str">
        <f>IFERROR(__xludf.DUMMYFUNCTION("GOOGLETRANSLATE($A1102,""en"",""ko"")"),"안토파가스타")</f>
        <v>안토파가스타</v>
      </c>
      <c r="J1102" s="9" t="str">
        <f>IFERROR(__xludf.DUMMYFUNCTION("GOOGLETRANSLATE($A1102,""en"",""pt-BR"")"),"Antofagasta")</f>
        <v>Antofagasta</v>
      </c>
    </row>
    <row r="1103">
      <c r="A1103" s="9" t="str">
        <f>IFERROR(__xludf.DUMMYFUNCTION("""COMPUTED_VALUE"""),"Xizang Zizhiqu")</f>
        <v>Xizang Zizhiqu</v>
      </c>
      <c r="B1103" s="9" t="str">
        <f>IFERROR(__xludf.DUMMYFUNCTION("""COMPUTED_VALUE"""),"cn-xz")</f>
        <v>cn-xz</v>
      </c>
      <c r="C1103" s="9" t="str">
        <f>IFERROR(__xludf.DUMMYFUNCTION("GOOGLETRANSLATE($A1103,""en"",""de"")"),"Xizang Zizhiqu")</f>
        <v>Xizang Zizhiqu</v>
      </c>
      <c r="D1103" s="9" t="str">
        <f>IFERROR(__xludf.DUMMYFUNCTION("GOOGLETRANSLATE($A1103,""en"",""fr"")"),"Xizang Zizhiqu")</f>
        <v>Xizang Zizhiqu</v>
      </c>
      <c r="E1103" s="9" t="str">
        <f>IFERROR(__xludf.DUMMYFUNCTION("GOOGLETRANSLATE($A1103,""en"",""es"")"),"Xizang Zizhiqu")</f>
        <v>Xizang Zizhiqu</v>
      </c>
      <c r="F1103" s="9" t="str">
        <f>IFERROR(__xludf.DUMMYFUNCTION("GOOGLETRANSLATE($A1103,""en"",""it"")"),"Xizang Zizhiqu")</f>
        <v>Xizang Zizhiqu</v>
      </c>
      <c r="G1103" s="9" t="str">
        <f>IFERROR(__xludf.DUMMYFUNCTION("GOOGLETRANSLATE($A1103,""en"",""zh-cn"")"),"西藏紫枝曲")</f>
        <v>西藏紫枝曲</v>
      </c>
      <c r="H1103" s="9" t="str">
        <f>IFERROR(__xludf.DUMMYFUNCTION("GOOGLETRANSLATE($A1103,""en"",""ja"")"),"西蔵子志曲")</f>
        <v>西蔵子志曲</v>
      </c>
      <c r="I1103" s="9" t="str">
        <f>IFERROR(__xludf.DUMMYFUNCTION("GOOGLETRANSLATE($A1103,""en"",""ko"")"),"시장 지즈히(Xizang Zizhiqu)")</f>
        <v>시장 지즈히(Xizang Zizhiqu)</v>
      </c>
      <c r="J1103" s="9" t="str">
        <f>IFERROR(__xludf.DUMMYFUNCTION("GOOGLETRANSLATE($A1103,""en"",""pt-BR"")"),"Xizang Zizhiqu")</f>
        <v>Xizang Zizhiqu</v>
      </c>
    </row>
    <row r="1104">
      <c r="A1104" s="9" t="str">
        <f>IFERROR(__xludf.DUMMYFUNCTION("""COMPUTED_VALUE"""),"Yunnan Sheng")</f>
        <v>Yunnan Sheng</v>
      </c>
      <c r="B1104" s="9" t="str">
        <f>IFERROR(__xludf.DUMMYFUNCTION("""COMPUTED_VALUE"""),"cn-yn")</f>
        <v>cn-yn</v>
      </c>
      <c r="C1104" s="9" t="str">
        <f>IFERROR(__xludf.DUMMYFUNCTION("GOOGLETRANSLATE($A1104,""en"",""de"")"),"Yunnan Sheng")</f>
        <v>Yunnan Sheng</v>
      </c>
      <c r="D1104" s="9" t="str">
        <f>IFERROR(__xludf.DUMMYFUNCTION("GOOGLETRANSLATE($A1104,""en"",""fr"")"),"Yunnan Sheng")</f>
        <v>Yunnan Sheng</v>
      </c>
      <c r="E1104" s="9" t="str">
        <f>IFERROR(__xludf.DUMMYFUNCTION("GOOGLETRANSLATE($A1104,""en"",""es"")"),"Yunnan Sheng")</f>
        <v>Yunnan Sheng</v>
      </c>
      <c r="F1104" s="9" t="str">
        <f>IFERROR(__xludf.DUMMYFUNCTION("GOOGLETRANSLATE($A1104,""en"",""it"")"),"Yunnan Sheng")</f>
        <v>Yunnan Sheng</v>
      </c>
      <c r="G1104" s="9" t="str">
        <f>IFERROR(__xludf.DUMMYFUNCTION("GOOGLETRANSLATE($A1104,""en"",""zh-cn"")"),"云南盛")</f>
        <v>云南盛</v>
      </c>
      <c r="H1104" s="9" t="str">
        <f>IFERROR(__xludf.DUMMYFUNCTION("GOOGLETRANSLATE($A1104,""en"",""ja"")"),"雲南省盛")</f>
        <v>雲南省盛</v>
      </c>
      <c r="I1104" s="9" t="str">
        <f>IFERROR(__xludf.DUMMYFUNCTION("GOOGLETRANSLATE($A1104,""en"",""ko"")"),"윈난 셩")</f>
        <v>윈난 셩</v>
      </c>
      <c r="J1104" s="9" t="str">
        <f>IFERROR(__xludf.DUMMYFUNCTION("GOOGLETRANSLATE($A1104,""en"",""pt-BR"")"),"Yunnan Sheng")</f>
        <v>Yunnan Sheng</v>
      </c>
    </row>
    <row r="1105">
      <c r="A1105" s="9" t="str">
        <f>IFERROR(__xludf.DUMMYFUNCTION("""COMPUTED_VALUE"""),"Zhejiang Sheng")</f>
        <v>Zhejiang Sheng</v>
      </c>
      <c r="B1105" s="9" t="str">
        <f>IFERROR(__xludf.DUMMYFUNCTION("""COMPUTED_VALUE"""),"cn-zj")</f>
        <v>cn-zj</v>
      </c>
      <c r="C1105" s="9" t="str">
        <f>IFERROR(__xludf.DUMMYFUNCTION("GOOGLETRANSLATE($A1105,""en"",""de"")"),"Zhejiang Sheng")</f>
        <v>Zhejiang Sheng</v>
      </c>
      <c r="D1105" s="9" t="str">
        <f>IFERROR(__xludf.DUMMYFUNCTION("GOOGLETRANSLATE($A1105,""en"",""fr"")"),"Zhejiang Sheng")</f>
        <v>Zhejiang Sheng</v>
      </c>
      <c r="E1105" s="9" t="str">
        <f>IFERROR(__xludf.DUMMYFUNCTION("GOOGLETRANSLATE($A1105,""en"",""es"")"),"Zhejiang Sheng")</f>
        <v>Zhejiang Sheng</v>
      </c>
      <c r="F1105" s="9" t="str">
        <f>IFERROR(__xludf.DUMMYFUNCTION("GOOGLETRANSLATE($A1105,""en"",""it"")"),"Zhejiang Sheng")</f>
        <v>Zhejiang Sheng</v>
      </c>
      <c r="G1105" s="9" t="str">
        <f>IFERROR(__xludf.DUMMYFUNCTION("GOOGLETRANSLATE($A1105,""en"",""zh-cn"")"),"浙江盛")</f>
        <v>浙江盛</v>
      </c>
      <c r="H1105" s="9" t="str">
        <f>IFERROR(__xludf.DUMMYFUNCTION("GOOGLETRANSLATE($A1105,""en"",""ja"")"),"浙江盛")</f>
        <v>浙江盛</v>
      </c>
      <c r="I1105" s="9" t="str">
        <f>IFERROR(__xludf.DUMMYFUNCTION("GOOGLETRANSLATE($A1105,""en"",""ko"")"),"절강 성")</f>
        <v>절강 성</v>
      </c>
      <c r="J1105" s="9" t="str">
        <f>IFERROR(__xludf.DUMMYFUNCTION("GOOGLETRANSLATE($A1105,""en"",""pt-BR"")"),"Zhejiang Sheng")</f>
        <v>Zhejiang Sheng</v>
      </c>
    </row>
    <row r="1106">
      <c r="A1106" s="9" t="str">
        <f>IFERROR(__xludf.DUMMYFUNCTION("""COMPUTED_VALUE"""),"Anhui Sheng")</f>
        <v>Anhui Sheng</v>
      </c>
      <c r="B1106" s="9" t="str">
        <f>IFERROR(__xludf.DUMMYFUNCTION("""COMPUTED_VALUE"""),"cn-ah")</f>
        <v>cn-ah</v>
      </c>
      <c r="C1106" s="9" t="str">
        <f>IFERROR(__xludf.DUMMYFUNCTION("GOOGLETRANSLATE($A1106,""en"",""de"")"),"Anhui Sheng")</f>
        <v>Anhui Sheng</v>
      </c>
      <c r="D1106" s="9" t="str">
        <f>IFERROR(__xludf.DUMMYFUNCTION("GOOGLETRANSLATE($A1106,""en"",""fr"")"),"Anhui Sheng")</f>
        <v>Anhui Sheng</v>
      </c>
      <c r="E1106" s="9" t="str">
        <f>IFERROR(__xludf.DUMMYFUNCTION("GOOGLETRANSLATE($A1106,""en"",""es"")"),"Anhui Sheng")</f>
        <v>Anhui Sheng</v>
      </c>
      <c r="F1106" s="9" t="str">
        <f>IFERROR(__xludf.DUMMYFUNCTION("GOOGLETRANSLATE($A1106,""en"",""it"")"),"Anhui Sheng")</f>
        <v>Anhui Sheng</v>
      </c>
      <c r="G1106" s="9" t="str">
        <f>IFERROR(__xludf.DUMMYFUNCTION("GOOGLETRANSLATE($A1106,""en"",""zh-cn"")"),"安徽盛")</f>
        <v>安徽盛</v>
      </c>
      <c r="H1106" s="9" t="str">
        <f>IFERROR(__xludf.DUMMYFUNCTION("GOOGLETRANSLATE($A1106,""en"",""ja"")"),"安徽省")</f>
        <v>安徽省</v>
      </c>
      <c r="I1106" s="9" t="str">
        <f>IFERROR(__xludf.DUMMYFUNCTION("GOOGLETRANSLATE($A1106,""en"",""ko"")"),"안휘성")</f>
        <v>안휘성</v>
      </c>
      <c r="J1106" s="9" t="str">
        <f>IFERROR(__xludf.DUMMYFUNCTION("GOOGLETRANSLATE($A1106,""en"",""pt-BR"")"),"Anhui Sheng")</f>
        <v>Anhui Sheng</v>
      </c>
    </row>
    <row r="1107">
      <c r="A1107" s="9" t="str">
        <f>IFERROR(__xludf.DUMMYFUNCTION("""COMPUTED_VALUE"""),"Beijing Shi")</f>
        <v>Beijing Shi</v>
      </c>
      <c r="B1107" s="9" t="str">
        <f>IFERROR(__xludf.DUMMYFUNCTION("""COMPUTED_VALUE"""),"cn-bj")</f>
        <v>cn-bj</v>
      </c>
      <c r="C1107" s="9" t="str">
        <f>IFERROR(__xludf.DUMMYFUNCTION("GOOGLETRANSLATE($A1107,""en"",""de"")"),"Peking Shi")</f>
        <v>Peking Shi</v>
      </c>
      <c r="D1107" s="9" t="str">
        <f>IFERROR(__xludf.DUMMYFUNCTION("GOOGLETRANSLATE($A1107,""en"",""fr"")"),"Pékin Shi")</f>
        <v>Pékin Shi</v>
      </c>
      <c r="E1107" s="9" t="str">
        <f>IFERROR(__xludf.DUMMYFUNCTION("GOOGLETRANSLATE($A1107,""en"",""es"")"),"Pekín Shi")</f>
        <v>Pekín Shi</v>
      </c>
      <c r="F1107" s="9" t="str">
        <f>IFERROR(__xludf.DUMMYFUNCTION("GOOGLETRANSLATE($A1107,""en"",""it"")"),"Pechino Shi")</f>
        <v>Pechino Shi</v>
      </c>
      <c r="G1107" s="9" t="str">
        <f>IFERROR(__xludf.DUMMYFUNCTION("GOOGLETRANSLATE($A1107,""en"",""zh-cn"")"),"北京市")</f>
        <v>北京市</v>
      </c>
      <c r="H1107" s="9" t="str">
        <f>IFERROR(__xludf.DUMMYFUNCTION("GOOGLETRANSLATE($A1107,""en"",""ja"")"),"北京市")</f>
        <v>北京市</v>
      </c>
      <c r="I1107" s="9" t="str">
        <f>IFERROR(__xludf.DUMMYFUNCTION("GOOGLETRANSLATE($A1107,""en"",""ko"")"),"베이징 시")</f>
        <v>베이징 시</v>
      </c>
      <c r="J1107" s="9" t="str">
        <f>IFERROR(__xludf.DUMMYFUNCTION("GOOGLETRANSLATE($A1107,""en"",""pt-BR"")"),"Pequim Shi")</f>
        <v>Pequim Shi</v>
      </c>
    </row>
    <row r="1108">
      <c r="A1108" s="9" t="str">
        <f>IFERROR(__xludf.DUMMYFUNCTION("""COMPUTED_VALUE"""),"Jilin Sheng")</f>
        <v>Jilin Sheng</v>
      </c>
      <c r="B1108" s="9" t="str">
        <f>IFERROR(__xludf.DUMMYFUNCTION("""COMPUTED_VALUE"""),"cn-jl")</f>
        <v>cn-jl</v>
      </c>
      <c r="C1108" s="9" t="str">
        <f>IFERROR(__xludf.DUMMYFUNCTION("GOOGLETRANSLATE($A1108,""en"",""de"")"),"Jilin Sheng")</f>
        <v>Jilin Sheng</v>
      </c>
      <c r="D1108" s="9" t="str">
        <f>IFERROR(__xludf.DUMMYFUNCTION("GOOGLETRANSLATE($A1108,""en"",""fr"")"),"Jilin Sheng")</f>
        <v>Jilin Sheng</v>
      </c>
      <c r="E1108" s="9" t="str">
        <f>IFERROR(__xludf.DUMMYFUNCTION("GOOGLETRANSLATE($A1108,""en"",""es"")"),"Jilin Sheng")</f>
        <v>Jilin Sheng</v>
      </c>
      <c r="F1108" s="9" t="str">
        <f>IFERROR(__xludf.DUMMYFUNCTION("GOOGLETRANSLATE($A1108,""en"",""it"")"),"Jilin Sheng")</f>
        <v>Jilin Sheng</v>
      </c>
      <c r="G1108" s="9" t="str">
        <f>IFERROR(__xludf.DUMMYFUNCTION("GOOGLETRANSLATE($A1108,""en"",""zh-cn"")"),"吉林生")</f>
        <v>吉林生</v>
      </c>
      <c r="H1108" s="9" t="str">
        <f>IFERROR(__xludf.DUMMYFUNCTION("GOOGLETRANSLATE($A1108,""en"",""ja"")"),"吉林省")</f>
        <v>吉林省</v>
      </c>
      <c r="I1108" s="9" t="str">
        <f>IFERROR(__xludf.DUMMYFUNCTION("GOOGLETRANSLATE($A1108,""en"",""ko"")"),"길림 성")</f>
        <v>길림 성</v>
      </c>
      <c r="J1108" s="9" t="str">
        <f>IFERROR(__xludf.DUMMYFUNCTION("GOOGLETRANSLATE($A1108,""en"",""pt-BR"")"),"Jilin Sheng")</f>
        <v>Jilin Sheng</v>
      </c>
    </row>
    <row r="1109">
      <c r="A1109" s="9" t="str">
        <f>IFERROR(__xludf.DUMMYFUNCTION("""COMPUTED_VALUE"""),"Jiangsu Sheng")</f>
        <v>Jiangsu Sheng</v>
      </c>
      <c r="B1109" s="9" t="str">
        <f>IFERROR(__xludf.DUMMYFUNCTION("""COMPUTED_VALUE"""),"cn-js")</f>
        <v>cn-js</v>
      </c>
      <c r="C1109" s="9" t="str">
        <f>IFERROR(__xludf.DUMMYFUNCTION("GOOGLETRANSLATE($A1109,""en"",""de"")"),"Jiangsu Sheng")</f>
        <v>Jiangsu Sheng</v>
      </c>
      <c r="D1109" s="9" t="str">
        <f>IFERROR(__xludf.DUMMYFUNCTION("GOOGLETRANSLATE($A1109,""en"",""fr"")"),"Jiangsu Sheng")</f>
        <v>Jiangsu Sheng</v>
      </c>
      <c r="E1109" s="9" t="str">
        <f>IFERROR(__xludf.DUMMYFUNCTION("GOOGLETRANSLATE($A1109,""en"",""es"")"),"Jiangsu Sheng")</f>
        <v>Jiangsu Sheng</v>
      </c>
      <c r="F1109" s="9" t="str">
        <f>IFERROR(__xludf.DUMMYFUNCTION("GOOGLETRANSLATE($A1109,""en"",""it"")"),"Jiangsu Sheng")</f>
        <v>Jiangsu Sheng</v>
      </c>
      <c r="G1109" s="9" t="str">
        <f>IFERROR(__xludf.DUMMYFUNCTION("GOOGLETRANSLATE($A1109,""en"",""zh-cn"")"),"江苏盛")</f>
        <v>江苏盛</v>
      </c>
      <c r="H1109" s="9" t="str">
        <f>IFERROR(__xludf.DUMMYFUNCTION("GOOGLETRANSLATE($A1109,""en"",""ja"")"),"江蘇盛")</f>
        <v>江蘇盛</v>
      </c>
      <c r="I1109" s="9" t="str">
        <f>IFERROR(__xludf.DUMMYFUNCTION("GOOGLETRANSLATE($A1109,""en"",""ko"")"),"장쑤 성")</f>
        <v>장쑤 성</v>
      </c>
      <c r="J1109" s="9" t="str">
        <f>IFERROR(__xludf.DUMMYFUNCTION("GOOGLETRANSLATE($A1109,""en"",""pt-BR"")"),"Jiangsu Sheng")</f>
        <v>Jiangsu Sheng</v>
      </c>
    </row>
    <row r="1110">
      <c r="A1110" s="9" t="str">
        <f>IFERROR(__xludf.DUMMYFUNCTION("""COMPUTED_VALUE"""),"Jiangxi Sheng")</f>
        <v>Jiangxi Sheng</v>
      </c>
      <c r="B1110" s="9" t="str">
        <f>IFERROR(__xludf.DUMMYFUNCTION("""COMPUTED_VALUE"""),"cn-jx")</f>
        <v>cn-jx</v>
      </c>
      <c r="C1110" s="9" t="str">
        <f>IFERROR(__xludf.DUMMYFUNCTION("GOOGLETRANSLATE($A1110,""en"",""de"")"),"Jiangxi Sheng")</f>
        <v>Jiangxi Sheng</v>
      </c>
      <c r="D1110" s="9" t="str">
        <f>IFERROR(__xludf.DUMMYFUNCTION("GOOGLETRANSLATE($A1110,""en"",""fr"")"),"Jiangxi Sheng")</f>
        <v>Jiangxi Sheng</v>
      </c>
      <c r="E1110" s="9" t="str">
        <f>IFERROR(__xludf.DUMMYFUNCTION("GOOGLETRANSLATE($A1110,""en"",""es"")"),"Jiangxi Sheng")</f>
        <v>Jiangxi Sheng</v>
      </c>
      <c r="F1110" s="9" t="str">
        <f>IFERROR(__xludf.DUMMYFUNCTION("GOOGLETRANSLATE($A1110,""en"",""it"")"),"Jiangxi Sheng")</f>
        <v>Jiangxi Sheng</v>
      </c>
      <c r="G1110" s="9" t="str">
        <f>IFERROR(__xludf.DUMMYFUNCTION("GOOGLETRANSLATE($A1110,""en"",""zh-cn"")"),"江西盛")</f>
        <v>江西盛</v>
      </c>
      <c r="H1110" s="9" t="str">
        <f>IFERROR(__xludf.DUMMYFUNCTION("GOOGLETRANSLATE($A1110,""en"",""ja"")"),"江西盛")</f>
        <v>江西盛</v>
      </c>
      <c r="I1110" s="9" t="str">
        <f>IFERROR(__xludf.DUMMYFUNCTION("GOOGLETRANSLATE($A1110,""en"",""ko"")"),"장시 성")</f>
        <v>장시 성</v>
      </c>
      <c r="J1110" s="9" t="str">
        <f>IFERROR(__xludf.DUMMYFUNCTION("GOOGLETRANSLATE($A1110,""en"",""pt-BR"")"),"Jiangxi Sheng")</f>
        <v>Jiangxi Sheng</v>
      </c>
    </row>
    <row r="1111">
      <c r="A1111" s="9" t="str">
        <f>IFERROR(__xludf.DUMMYFUNCTION("""COMPUTED_VALUE"""),"Liaoning Sheng")</f>
        <v>Liaoning Sheng</v>
      </c>
      <c r="B1111" s="9" t="str">
        <f>IFERROR(__xludf.DUMMYFUNCTION("""COMPUTED_VALUE"""),"cn-ln")</f>
        <v>cn-ln</v>
      </c>
      <c r="C1111" s="9" t="str">
        <f>IFERROR(__xludf.DUMMYFUNCTION("GOOGLETRANSLATE($A1111,""en"",""de"")"),"Liaoning Sheng")</f>
        <v>Liaoning Sheng</v>
      </c>
      <c r="D1111" s="9" t="str">
        <f>IFERROR(__xludf.DUMMYFUNCTION("GOOGLETRANSLATE($A1111,""en"",""fr"")"),"Liaoning Sheng")</f>
        <v>Liaoning Sheng</v>
      </c>
      <c r="E1111" s="9" t="str">
        <f>IFERROR(__xludf.DUMMYFUNCTION("GOOGLETRANSLATE($A1111,""en"",""es"")"),"Liaoning Sheng")</f>
        <v>Liaoning Sheng</v>
      </c>
      <c r="F1111" s="9" t="str">
        <f>IFERROR(__xludf.DUMMYFUNCTION("GOOGLETRANSLATE($A1111,""en"",""it"")"),"Liaoning Sheng")</f>
        <v>Liaoning Sheng</v>
      </c>
      <c r="G1111" s="9" t="str">
        <f>IFERROR(__xludf.DUMMYFUNCTION("GOOGLETRANSLATE($A1111,""en"",""zh-cn"")"),"辽宁盛")</f>
        <v>辽宁盛</v>
      </c>
      <c r="H1111" s="9" t="str">
        <f>IFERROR(__xludf.DUMMYFUNCTION("GOOGLETRANSLATE($A1111,""en"",""ja"")"),"遼寧省盛")</f>
        <v>遼寧省盛</v>
      </c>
      <c r="I1111" s="9" t="str">
        <f>IFERROR(__xludf.DUMMYFUNCTION("GOOGLETRANSLATE($A1111,""en"",""ko"")"),"랴오닝 성")</f>
        <v>랴오닝 성</v>
      </c>
      <c r="J1111" s="9" t="str">
        <f>IFERROR(__xludf.DUMMYFUNCTION("GOOGLETRANSLATE($A1111,""en"",""pt-BR"")"),"Liaoning Sheng")</f>
        <v>Liaoning Sheng</v>
      </c>
    </row>
    <row r="1112">
      <c r="A1112" s="9" t="str">
        <f>IFERROR(__xludf.DUMMYFUNCTION("""COMPUTED_VALUE"""),"Henan Sheng (CN-HEN)")</f>
        <v>Henan Sheng (CN-HEN)</v>
      </c>
      <c r="B1112" s="9" t="str">
        <f>IFERROR(__xludf.DUMMYFUNCTION("""COMPUTED_VALUE"""),"cn-hen")</f>
        <v>cn-hen</v>
      </c>
      <c r="C1112" s="9" t="str">
        <f>IFERROR(__xludf.DUMMYFUNCTION("GOOGLETRANSLATE($A1112,""en"",""de"")"),"Henan Sheng (CN-HEN)")</f>
        <v>Henan Sheng (CN-HEN)</v>
      </c>
      <c r="D1112" s="9" t="str">
        <f>IFERROR(__xludf.DUMMYFUNCTION("GOOGLETRANSLATE($A1112,""en"",""fr"")"),"Henan Sheng (CN-HEN)")</f>
        <v>Henan Sheng (CN-HEN)</v>
      </c>
      <c r="E1112" s="9" t="str">
        <f>IFERROR(__xludf.DUMMYFUNCTION("GOOGLETRANSLATE($A1112,""en"",""es"")"),"Henan Sheng (CN-HEN)")</f>
        <v>Henan Sheng (CN-HEN)</v>
      </c>
      <c r="F1112" s="9" t="str">
        <f>IFERROR(__xludf.DUMMYFUNCTION("GOOGLETRANSLATE($A1112,""en"",""it"")"),"Henan Sheng (CN-HEN)")</f>
        <v>Henan Sheng (CN-HEN)</v>
      </c>
      <c r="G1112" s="9" t="str">
        <f>IFERROR(__xludf.DUMMYFUNCTION("GOOGLETRANSLATE($A1112,""en"",""zh-cn"")"),"河南省 (CN-HEN)")</f>
        <v>河南省 (CN-HEN)</v>
      </c>
      <c r="H1112" s="9" t="str">
        <f>IFERROR(__xludf.DUMMYFUNCTION("GOOGLETRANSLATE($A1112,""en"",""ja"")"),"河南省 (CN-HEN)")</f>
        <v>河南省 (CN-HEN)</v>
      </c>
      <c r="I1112" s="9" t="str">
        <f>IFERROR(__xludf.DUMMYFUNCTION("GOOGLETRANSLATE($A1112,""en"",""ko"")"),"허난성 (CN-HEN)")</f>
        <v>허난성 (CN-HEN)</v>
      </c>
      <c r="J1112" s="9" t="str">
        <f>IFERROR(__xludf.DUMMYFUNCTION("GOOGLETRANSLATE($A1112,""en"",""pt-BR"")"),"Henan Sheng (CN-HEN)")</f>
        <v>Henan Sheng (CN-HEN)</v>
      </c>
    </row>
    <row r="1113">
      <c r="A1113" s="9" t="str">
        <f>IFERROR(__xludf.DUMMYFUNCTION("""COMPUTED_VALUE"""),"Heilongjiang Sheng (CN-HLJ)")</f>
        <v>Heilongjiang Sheng (CN-HLJ)</v>
      </c>
      <c r="B1113" s="9" t="str">
        <f>IFERROR(__xludf.DUMMYFUNCTION("""COMPUTED_VALUE"""),"cn-hlj")</f>
        <v>cn-hlj</v>
      </c>
      <c r="C1113" s="9" t="str">
        <f>IFERROR(__xludf.DUMMYFUNCTION("GOOGLETRANSLATE($A1113,""en"",""de"")"),"Heilongjiang Sheng (CN-HLJ)")</f>
        <v>Heilongjiang Sheng (CN-HLJ)</v>
      </c>
      <c r="D1113" s="9" t="str">
        <f>IFERROR(__xludf.DUMMYFUNCTION("GOOGLETRANSLATE($A1113,""en"",""fr"")"),"Heilongjiang Sheng (CN-HLJ)")</f>
        <v>Heilongjiang Sheng (CN-HLJ)</v>
      </c>
      <c r="E1113" s="9" t="str">
        <f>IFERROR(__xludf.DUMMYFUNCTION("GOOGLETRANSLATE($A1113,""en"",""es"")"),"Heilongjiang Sheng (CN-HLJ)")</f>
        <v>Heilongjiang Sheng (CN-HLJ)</v>
      </c>
      <c r="F1113" s="9" t="str">
        <f>IFERROR(__xludf.DUMMYFUNCTION("GOOGLETRANSLATE($A1113,""en"",""it"")"),"Heilongjiang Sheng (CN-HLJ)")</f>
        <v>Heilongjiang Sheng (CN-HLJ)</v>
      </c>
      <c r="G1113" s="9" t="str">
        <f>IFERROR(__xludf.DUMMYFUNCTION("GOOGLETRANSLATE($A1113,""en"",""zh-cn"")"),"黑龙江盛 (CN-HLJ)")</f>
        <v>黑龙江盛 (CN-HLJ)</v>
      </c>
      <c r="H1113" s="9" t="str">
        <f>IFERROR(__xludf.DUMMYFUNCTION("GOOGLETRANSLATE($A1113,""en"",""ja"")"),"黒竜江省盛 (CN-HLJ)")</f>
        <v>黒竜江省盛 (CN-HLJ)</v>
      </c>
      <c r="I1113" s="9" t="str">
        <f>IFERROR(__xludf.DUMMYFUNCTION("GOOGLETRANSLATE($A1113,""en"",""ko"")"),"헤이룽장성(CN-HLJ)")</f>
        <v>헤이룽장성(CN-HLJ)</v>
      </c>
      <c r="J1113" s="9" t="str">
        <f>IFERROR(__xludf.DUMMYFUNCTION("GOOGLETRANSLATE($A1113,""en"",""pt-BR"")"),"Heilongjiang Sheng (CN-HLJ)")</f>
        <v>Heilongjiang Sheng (CN-HLJ)</v>
      </c>
    </row>
    <row r="1114">
      <c r="A1114" s="9" t="str">
        <f>IFERROR(__xludf.DUMMYFUNCTION("""COMPUTED_VALUE"""),"Hunan Sheng")</f>
        <v>Hunan Sheng</v>
      </c>
      <c r="B1114" s="9" t="str">
        <f>IFERROR(__xludf.DUMMYFUNCTION("""COMPUTED_VALUE"""),"cn-hn")</f>
        <v>cn-hn</v>
      </c>
      <c r="C1114" s="9" t="str">
        <f>IFERROR(__xludf.DUMMYFUNCTION("GOOGLETRANSLATE($A1114,""en"",""de"")"),"Hunan Sheng")</f>
        <v>Hunan Sheng</v>
      </c>
      <c r="D1114" s="9" t="str">
        <f>IFERROR(__xludf.DUMMYFUNCTION("GOOGLETRANSLATE($A1114,""en"",""fr"")"),"Hunan Sheng")</f>
        <v>Hunan Sheng</v>
      </c>
      <c r="E1114" s="9" t="str">
        <f>IFERROR(__xludf.DUMMYFUNCTION("GOOGLETRANSLATE($A1114,""en"",""es"")"),"Hunan Sheng")</f>
        <v>Hunan Sheng</v>
      </c>
      <c r="F1114" s="9" t="str">
        <f>IFERROR(__xludf.DUMMYFUNCTION("GOOGLETRANSLATE($A1114,""en"",""it"")"),"Hunan Sheng")</f>
        <v>Hunan Sheng</v>
      </c>
      <c r="G1114" s="9" t="str">
        <f>IFERROR(__xludf.DUMMYFUNCTION("GOOGLETRANSLATE($A1114,""en"",""zh-cn"")"),"湖南盛")</f>
        <v>湖南盛</v>
      </c>
      <c r="H1114" s="9" t="str">
        <f>IFERROR(__xludf.DUMMYFUNCTION("GOOGLETRANSLATE($A1114,""en"",""ja"")"),"湖南省")</f>
        <v>湖南省</v>
      </c>
      <c r="I1114" s="9" t="str">
        <f>IFERROR(__xludf.DUMMYFUNCTION("GOOGLETRANSLATE($A1114,""en"",""ko"")"),"후난 셩")</f>
        <v>후난 셩</v>
      </c>
      <c r="J1114" s="9" t="str">
        <f>IFERROR(__xludf.DUMMYFUNCTION("GOOGLETRANSLATE($A1114,""en"",""pt-BR"")"),"Hunan Sheng")</f>
        <v>Hunan Sheng</v>
      </c>
    </row>
    <row r="1115">
      <c r="A1115" s="9" t="str">
        <f>IFERROR(__xludf.DUMMYFUNCTION("""COMPUTED_VALUE"""),"Hunan Sheng (CN-HUN)")</f>
        <v>Hunan Sheng (CN-HUN)</v>
      </c>
      <c r="B1115" s="9" t="str">
        <f>IFERROR(__xludf.DUMMYFUNCTION("""COMPUTED_VALUE"""),"cn-hun")</f>
        <v>cn-hun</v>
      </c>
      <c r="C1115" s="9" t="str">
        <f>IFERROR(__xludf.DUMMYFUNCTION("GOOGLETRANSLATE($A1115,""en"",""de"")"),"Hunan Sheng (CN-HUN)")</f>
        <v>Hunan Sheng (CN-HUN)</v>
      </c>
      <c r="D1115" s="9" t="str">
        <f>IFERROR(__xludf.DUMMYFUNCTION("GOOGLETRANSLATE($A1115,""en"",""fr"")"),"Hunan Sheng (CN-HUN)")</f>
        <v>Hunan Sheng (CN-HUN)</v>
      </c>
      <c r="E1115" s="9" t="str">
        <f>IFERROR(__xludf.DUMMYFUNCTION("GOOGLETRANSLATE($A1115,""en"",""es"")"),"Hunan Sheng (CN-HUN)")</f>
        <v>Hunan Sheng (CN-HUN)</v>
      </c>
      <c r="F1115" s="9" t="str">
        <f>IFERROR(__xludf.DUMMYFUNCTION("GOOGLETRANSLATE($A1115,""en"",""it"")"),"Hunan Sheng (CN-HUN)")</f>
        <v>Hunan Sheng (CN-HUN)</v>
      </c>
      <c r="G1115" s="9" t="str">
        <f>IFERROR(__xludf.DUMMYFUNCTION("GOOGLETRANSLATE($A1115,""en"",""zh-cn"")"),"湖南盛 (CN-HUN)")</f>
        <v>湖南盛 (CN-HUN)</v>
      </c>
      <c r="H1115" s="9" t="str">
        <f>IFERROR(__xludf.DUMMYFUNCTION("GOOGLETRANSLATE($A1115,""en"",""ja"")"),"湖南省 (CN-HUN)")</f>
        <v>湖南省 (CN-HUN)</v>
      </c>
      <c r="I1115" s="9" t="str">
        <f>IFERROR(__xludf.DUMMYFUNCTION("GOOGLETRANSLATE($A1115,""en"",""ko"")"),"후난성 (CN-HUN)")</f>
        <v>후난성 (CN-HUN)</v>
      </c>
      <c r="J1115" s="9" t="str">
        <f>IFERROR(__xludf.DUMMYFUNCTION("GOOGLETRANSLATE($A1115,""en"",""pt-BR"")"),"Hunan Sheng (CN-HUN)")</f>
        <v>Hunan Sheng (CN-HUN)</v>
      </c>
    </row>
    <row r="1116">
      <c r="A1116" s="9" t="str">
        <f>IFERROR(__xludf.DUMMYFUNCTION("""COMPUTED_VALUE"""),"Guangxi Zhuangzu Zizhiqu")</f>
        <v>Guangxi Zhuangzu Zizhiqu</v>
      </c>
      <c r="B1116" s="9" t="str">
        <f>IFERROR(__xludf.DUMMYFUNCTION("""COMPUTED_VALUE"""),"cn-gx")</f>
        <v>cn-gx</v>
      </c>
      <c r="C1116" s="9" t="str">
        <f>IFERROR(__xludf.DUMMYFUNCTION("GOOGLETRANSLATE($A1116,""en"",""de"")"),"Guangxi Zhuangzu Zizhiqu")</f>
        <v>Guangxi Zhuangzu Zizhiqu</v>
      </c>
      <c r="D1116" s="9" t="str">
        <f>IFERROR(__xludf.DUMMYFUNCTION("GOOGLETRANSLATE($A1116,""en"",""fr"")"),"Guangxi Zhuangzu Zizhiqu")</f>
        <v>Guangxi Zhuangzu Zizhiqu</v>
      </c>
      <c r="E1116" s="9" t="str">
        <f>IFERROR(__xludf.DUMMYFUNCTION("GOOGLETRANSLATE($A1116,""en"",""es"")"),"Guangxi Zhuangzu Zizhiqu")</f>
        <v>Guangxi Zhuangzu Zizhiqu</v>
      </c>
      <c r="F1116" s="9" t="str">
        <f>IFERROR(__xludf.DUMMYFUNCTION("GOOGLETRANSLATE($A1116,""en"",""it"")"),"Guangxi Zhuangzu Zizhiqu")</f>
        <v>Guangxi Zhuangzu Zizhiqu</v>
      </c>
      <c r="G1116" s="9" t="str">
        <f>IFERROR(__xludf.DUMMYFUNCTION("GOOGLETRANSLATE($A1116,""en"",""zh-cn"")"),"广西壮族紫枝区")</f>
        <v>广西壮族紫枝区</v>
      </c>
      <c r="H1116" s="9" t="str">
        <f>IFERROR(__xludf.DUMMYFUNCTION("GOOGLETRANSLATE($A1116,""en"",""ja"")"),"広西チワン族自治区")</f>
        <v>広西チワン族自治区</v>
      </c>
      <c r="I1116" s="9" t="str">
        <f>IFERROR(__xludf.DUMMYFUNCTION("GOOGLETRANSLATE($A1116,""en"",""ko"")"),"광시 장주 Zizhiqu")</f>
        <v>광시 장주 Zizhiqu</v>
      </c>
      <c r="J1116" s="9" t="str">
        <f>IFERROR(__xludf.DUMMYFUNCTION("GOOGLETRANSLATE($A1116,""en"",""pt-BR"")"),"Guangxi Zhuangzu Zizhiqu")</f>
        <v>Guangxi Zhuangzu Zizhiqu</v>
      </c>
    </row>
    <row r="1117">
      <c r="A1117" s="9" t="str">
        <f>IFERROR(__xludf.DUMMYFUNCTION("""COMPUTED_VALUE"""),"Guizhou Sheng")</f>
        <v>Guizhou Sheng</v>
      </c>
      <c r="B1117" s="9" t="str">
        <f>IFERROR(__xludf.DUMMYFUNCTION("""COMPUTED_VALUE"""),"cn-gz")</f>
        <v>cn-gz</v>
      </c>
      <c r="C1117" s="9" t="str">
        <f>IFERROR(__xludf.DUMMYFUNCTION("GOOGLETRANSLATE($A1117,""en"",""de"")"),"Guizhou Sheng")</f>
        <v>Guizhou Sheng</v>
      </c>
      <c r="D1117" s="9" t="str">
        <f>IFERROR(__xludf.DUMMYFUNCTION("GOOGLETRANSLATE($A1117,""en"",""fr"")"),"Guizhou Sheng")</f>
        <v>Guizhou Sheng</v>
      </c>
      <c r="E1117" s="9" t="str">
        <f>IFERROR(__xludf.DUMMYFUNCTION("GOOGLETRANSLATE($A1117,""en"",""es"")"),"Guizhou Sheng")</f>
        <v>Guizhou Sheng</v>
      </c>
      <c r="F1117" s="9" t="str">
        <f>IFERROR(__xludf.DUMMYFUNCTION("GOOGLETRANSLATE($A1117,""en"",""it"")"),"Guizhou Sheng")</f>
        <v>Guizhou Sheng</v>
      </c>
      <c r="G1117" s="9" t="str">
        <f>IFERROR(__xludf.DUMMYFUNCTION("GOOGLETRANSLATE($A1117,""en"",""zh-cn"")"),"贵州盛")</f>
        <v>贵州盛</v>
      </c>
      <c r="H1117" s="9" t="str">
        <f>IFERROR(__xludf.DUMMYFUNCTION("GOOGLETRANSLATE($A1117,""en"",""ja"")"),"貴州省盛")</f>
        <v>貴州省盛</v>
      </c>
      <c r="I1117" s="9" t="str">
        <f>IFERROR(__xludf.DUMMYFUNCTION("GOOGLETRANSLATE($A1117,""en"",""ko"")"),"귀저우 성")</f>
        <v>귀저우 성</v>
      </c>
      <c r="J1117" s="9" t="str">
        <f>IFERROR(__xludf.DUMMYFUNCTION("GOOGLETRANSLATE($A1117,""en"",""pt-BR"")"),"Guizhou Sheng")</f>
        <v>Guizhou Sheng</v>
      </c>
    </row>
    <row r="1118">
      <c r="A1118" s="9" t="str">
        <f>IFERROR(__xludf.DUMMYFUNCTION("""COMPUTED_VALUE"""),"Hubei Sheng")</f>
        <v>Hubei Sheng</v>
      </c>
      <c r="B1118" s="9" t="str">
        <f>IFERROR(__xludf.DUMMYFUNCTION("""COMPUTED_VALUE"""),"cn-hb")</f>
        <v>cn-hb</v>
      </c>
      <c r="C1118" s="9" t="str">
        <f>IFERROR(__xludf.DUMMYFUNCTION("GOOGLETRANSLATE($A1118,""en"",""de"")"),"Hubei Sheng")</f>
        <v>Hubei Sheng</v>
      </c>
      <c r="D1118" s="9" t="str">
        <f>IFERROR(__xludf.DUMMYFUNCTION("GOOGLETRANSLATE($A1118,""en"",""fr"")"),"Hubei Sheng")</f>
        <v>Hubei Sheng</v>
      </c>
      <c r="E1118" s="9" t="str">
        <f>IFERROR(__xludf.DUMMYFUNCTION("GOOGLETRANSLATE($A1118,""en"",""es"")"),"Hubei Sheng")</f>
        <v>Hubei Sheng</v>
      </c>
      <c r="F1118" s="9" t="str">
        <f>IFERROR(__xludf.DUMMYFUNCTION("GOOGLETRANSLATE($A1118,""en"",""it"")"),"Hubei Sheng")</f>
        <v>Hubei Sheng</v>
      </c>
      <c r="G1118" s="9" t="str">
        <f>IFERROR(__xludf.DUMMYFUNCTION("GOOGLETRANSLATE($A1118,""en"",""zh-cn"")"),"湖北盛")</f>
        <v>湖北盛</v>
      </c>
      <c r="H1118" s="9" t="str">
        <f>IFERROR(__xludf.DUMMYFUNCTION("GOOGLETRANSLATE($A1118,""en"",""ja"")"),"湖北盛")</f>
        <v>湖北盛</v>
      </c>
      <c r="I1118" s="9" t="str">
        <f>IFERROR(__xludf.DUMMYFUNCTION("GOOGLETRANSLATE($A1118,""en"",""ko"")"),"후베이 성")</f>
        <v>후베이 성</v>
      </c>
      <c r="J1118" s="9" t="str">
        <f>IFERROR(__xludf.DUMMYFUNCTION("GOOGLETRANSLATE($A1118,""en"",""pt-BR"")"),"Hubei Sheng")</f>
        <v>Hubei Sheng</v>
      </c>
    </row>
    <row r="1119">
      <c r="A1119" s="9" t="str">
        <f>IFERROR(__xludf.DUMMYFUNCTION("""COMPUTED_VALUE"""),"Hebei Sheng (CN-HEB)")</f>
        <v>Hebei Sheng (CN-HEB)</v>
      </c>
      <c r="B1119" s="9" t="str">
        <f>IFERROR(__xludf.DUMMYFUNCTION("""COMPUTED_VALUE"""),"cn-heb")</f>
        <v>cn-heb</v>
      </c>
      <c r="C1119" s="9" t="str">
        <f>IFERROR(__xludf.DUMMYFUNCTION("GOOGLETRANSLATE($A1119,""en"",""de"")"),"Hebei Sheng (CN-HEB)")</f>
        <v>Hebei Sheng (CN-HEB)</v>
      </c>
      <c r="D1119" s="9" t="str">
        <f>IFERROR(__xludf.DUMMYFUNCTION("GOOGLETRANSLATE($A1119,""en"",""fr"")"),"Hebei Sheng (CN-HEB)")</f>
        <v>Hebei Sheng (CN-HEB)</v>
      </c>
      <c r="E1119" s="9" t="str">
        <f>IFERROR(__xludf.DUMMYFUNCTION("GOOGLETRANSLATE($A1119,""en"",""es"")"),"Hebei Sheng (CN-HEB)")</f>
        <v>Hebei Sheng (CN-HEB)</v>
      </c>
      <c r="F1119" s="9" t="str">
        <f>IFERROR(__xludf.DUMMYFUNCTION("GOOGLETRANSLATE($A1119,""en"",""it"")"),"Hebei Sheng (CN-HEB)")</f>
        <v>Hebei Sheng (CN-HEB)</v>
      </c>
      <c r="G1119" s="9" t="str">
        <f>IFERROR(__xludf.DUMMYFUNCTION("GOOGLETRANSLATE($A1119,""en"",""zh-cn"")"),"河北盛 (CN-HEB)")</f>
        <v>河北盛 (CN-HEB)</v>
      </c>
      <c r="H1119" s="9" t="str">
        <f>IFERROR(__xludf.DUMMYFUNCTION("GOOGLETRANSLATE($A1119,""en"",""ja"")"),"河北盛 (CN-HEB)")</f>
        <v>河北盛 (CN-HEB)</v>
      </c>
      <c r="I1119" s="9" t="str">
        <f>IFERROR(__xludf.DUMMYFUNCTION("GOOGLETRANSLATE($A1119,""en"",""ko"")"),"허베이성 (CN-HEB)")</f>
        <v>허베이성 (CN-HEB)</v>
      </c>
      <c r="J1119" s="9" t="str">
        <f>IFERROR(__xludf.DUMMYFUNCTION("GOOGLETRANSLATE($A1119,""en"",""pt-BR"")"),"Hebei Sheng (CN-HEB)")</f>
        <v>Hebei Sheng (CN-HEB)</v>
      </c>
    </row>
    <row r="1120">
      <c r="A1120" s="9" t="str">
        <f>IFERROR(__xludf.DUMMYFUNCTION("""COMPUTED_VALUE"""),"Chongqing Shi")</f>
        <v>Chongqing Shi</v>
      </c>
      <c r="B1120" s="9" t="str">
        <f>IFERROR(__xludf.DUMMYFUNCTION("""COMPUTED_VALUE"""),"cn-cq")</f>
        <v>cn-cq</v>
      </c>
      <c r="C1120" s="9" t="str">
        <f>IFERROR(__xludf.DUMMYFUNCTION("GOOGLETRANSLATE($A1120,""en"",""de"")"),"Chongqing Shi")</f>
        <v>Chongqing Shi</v>
      </c>
      <c r="D1120" s="9" t="str">
        <f>IFERROR(__xludf.DUMMYFUNCTION("GOOGLETRANSLATE($A1120,""en"",""fr"")"),"Chongqing Shi")</f>
        <v>Chongqing Shi</v>
      </c>
      <c r="E1120" s="9" t="str">
        <f>IFERROR(__xludf.DUMMYFUNCTION("GOOGLETRANSLATE($A1120,""en"",""es"")"),"Chongqing Shi")</f>
        <v>Chongqing Shi</v>
      </c>
      <c r="F1120" s="9" t="str">
        <f>IFERROR(__xludf.DUMMYFUNCTION("GOOGLETRANSLATE($A1120,""en"",""it"")"),"Chongqing Shi")</f>
        <v>Chongqing Shi</v>
      </c>
      <c r="G1120" s="9" t="str">
        <f>IFERROR(__xludf.DUMMYFUNCTION("GOOGLETRANSLATE($A1120,""en"",""zh-cn"")"),"重庆市")</f>
        <v>重庆市</v>
      </c>
      <c r="H1120" s="9" t="str">
        <f>IFERROR(__xludf.DUMMYFUNCTION("GOOGLETRANSLATE($A1120,""en"",""ja"")"),"重慶市")</f>
        <v>重慶市</v>
      </c>
      <c r="I1120" s="9" t="str">
        <f>IFERROR(__xludf.DUMMYFUNCTION("GOOGLETRANSLATE($A1120,""en"",""ko"")"),"충칭 시")</f>
        <v>충칭 시</v>
      </c>
      <c r="J1120" s="9" t="str">
        <f>IFERROR(__xludf.DUMMYFUNCTION("GOOGLETRANSLATE($A1120,""en"",""pt-BR"")"),"Shi de Chongqing")</f>
        <v>Shi de Chongqing</v>
      </c>
    </row>
    <row r="1121">
      <c r="A1121" s="9" t="str">
        <f>IFERROR(__xludf.DUMMYFUNCTION("""COMPUTED_VALUE"""),"Fujian Sheng")</f>
        <v>Fujian Sheng</v>
      </c>
      <c r="B1121" s="9" t="str">
        <f>IFERROR(__xludf.DUMMYFUNCTION("""COMPUTED_VALUE"""),"cn-fj")</f>
        <v>cn-fj</v>
      </c>
      <c r="C1121" s="9" t="str">
        <f>IFERROR(__xludf.DUMMYFUNCTION("GOOGLETRANSLATE($A1121,""en"",""de"")"),"Fujian Sheng")</f>
        <v>Fujian Sheng</v>
      </c>
      <c r="D1121" s="9" t="str">
        <f>IFERROR(__xludf.DUMMYFUNCTION("GOOGLETRANSLATE($A1121,""en"",""fr"")"),"Fujian Sheng")</f>
        <v>Fujian Sheng</v>
      </c>
      <c r="E1121" s="9" t="str">
        <f>IFERROR(__xludf.DUMMYFUNCTION("GOOGLETRANSLATE($A1121,""en"",""es"")"),"Fujian Sheng")</f>
        <v>Fujian Sheng</v>
      </c>
      <c r="F1121" s="9" t="str">
        <f>IFERROR(__xludf.DUMMYFUNCTION("GOOGLETRANSLATE($A1121,""en"",""it"")"),"Fujian Sheng")</f>
        <v>Fujian Sheng</v>
      </c>
      <c r="G1121" s="9" t="str">
        <f>IFERROR(__xludf.DUMMYFUNCTION("GOOGLETRANSLATE($A1121,""en"",""zh-cn"")"),"福建盛")</f>
        <v>福建盛</v>
      </c>
      <c r="H1121" s="9" t="str">
        <f>IFERROR(__xludf.DUMMYFUNCTION("GOOGLETRANSLATE($A1121,""en"",""ja"")"),"福建盛")</f>
        <v>福建盛</v>
      </c>
      <c r="I1121" s="9" t="str">
        <f>IFERROR(__xludf.DUMMYFUNCTION("GOOGLETRANSLATE($A1121,""en"",""ko"")"),"푸젠 성")</f>
        <v>푸젠 성</v>
      </c>
      <c r="J1121" s="9" t="str">
        <f>IFERROR(__xludf.DUMMYFUNCTION("GOOGLETRANSLATE($A1121,""en"",""pt-BR"")"),"Fujian Sheng")</f>
        <v>Fujian Sheng</v>
      </c>
    </row>
    <row r="1122">
      <c r="A1122" s="9" t="str">
        <f>IFERROR(__xludf.DUMMYFUNCTION("""COMPUTED_VALUE"""),"Guangdong Sheng")</f>
        <v>Guangdong Sheng</v>
      </c>
      <c r="B1122" s="9" t="str">
        <f>IFERROR(__xludf.DUMMYFUNCTION("""COMPUTED_VALUE"""),"cn-gd")</f>
        <v>cn-gd</v>
      </c>
      <c r="C1122" s="9" t="str">
        <f>IFERROR(__xludf.DUMMYFUNCTION("GOOGLETRANSLATE($A1122,""en"",""de"")"),"Guangdong Sheng")</f>
        <v>Guangdong Sheng</v>
      </c>
      <c r="D1122" s="9" t="str">
        <f>IFERROR(__xludf.DUMMYFUNCTION("GOOGLETRANSLATE($A1122,""en"",""fr"")"),"Guangdong Sheng")</f>
        <v>Guangdong Sheng</v>
      </c>
      <c r="E1122" s="9" t="str">
        <f>IFERROR(__xludf.DUMMYFUNCTION("GOOGLETRANSLATE($A1122,""en"",""es"")"),"Guangdong Sheng")</f>
        <v>Guangdong Sheng</v>
      </c>
      <c r="F1122" s="9" t="str">
        <f>IFERROR(__xludf.DUMMYFUNCTION("GOOGLETRANSLATE($A1122,""en"",""it"")"),"Guangdong Sheng")</f>
        <v>Guangdong Sheng</v>
      </c>
      <c r="G1122" s="9" t="str">
        <f>IFERROR(__xludf.DUMMYFUNCTION("GOOGLETRANSLATE($A1122,""en"",""zh-cn"")"),"广东盛")</f>
        <v>广东盛</v>
      </c>
      <c r="H1122" s="9" t="str">
        <f>IFERROR(__xludf.DUMMYFUNCTION("GOOGLETRANSLATE($A1122,""en"",""ja"")"),"広東省盛")</f>
        <v>広東省盛</v>
      </c>
      <c r="I1122" s="9" t="str">
        <f>IFERROR(__xludf.DUMMYFUNCTION("GOOGLETRANSLATE($A1122,""en"",""ko"")"),"광동성")</f>
        <v>광동성</v>
      </c>
      <c r="J1122" s="9" t="str">
        <f>IFERROR(__xludf.DUMMYFUNCTION("GOOGLETRANSLATE($A1122,""en"",""pt-BR"")"),"Guangdong Sheng")</f>
        <v>Guangdong Sheng</v>
      </c>
    </row>
    <row r="1123">
      <c r="A1123" s="9" t="str">
        <f>IFERROR(__xludf.DUMMYFUNCTION("""COMPUTED_VALUE"""),"Gansu Sheng")</f>
        <v>Gansu Sheng</v>
      </c>
      <c r="B1123" s="9" t="str">
        <f>IFERROR(__xludf.DUMMYFUNCTION("""COMPUTED_VALUE"""),"cn-gs")</f>
        <v>cn-gs</v>
      </c>
      <c r="C1123" s="9" t="str">
        <f>IFERROR(__xludf.DUMMYFUNCTION("GOOGLETRANSLATE($A1123,""en"",""de"")"),"Gansu Sheng")</f>
        <v>Gansu Sheng</v>
      </c>
      <c r="D1123" s="9" t="str">
        <f>IFERROR(__xludf.DUMMYFUNCTION("GOOGLETRANSLATE($A1123,""en"",""fr"")"),"Gansu Sheng")</f>
        <v>Gansu Sheng</v>
      </c>
      <c r="E1123" s="9" t="str">
        <f>IFERROR(__xludf.DUMMYFUNCTION("GOOGLETRANSLATE($A1123,""en"",""es"")"),"Gansu Sheng")</f>
        <v>Gansu Sheng</v>
      </c>
      <c r="F1123" s="9" t="str">
        <f>IFERROR(__xludf.DUMMYFUNCTION("GOOGLETRANSLATE($A1123,""en"",""it"")"),"Gansu Sheng")</f>
        <v>Gansu Sheng</v>
      </c>
      <c r="G1123" s="9" t="str">
        <f>IFERROR(__xludf.DUMMYFUNCTION("GOOGLETRANSLATE($A1123,""en"",""zh-cn"")"),"甘肃盛")</f>
        <v>甘肃盛</v>
      </c>
      <c r="H1123" s="9" t="str">
        <f>IFERROR(__xludf.DUMMYFUNCTION("GOOGLETRANSLATE($A1123,""en"",""ja"")"),"甘粛盛")</f>
        <v>甘粛盛</v>
      </c>
      <c r="I1123" s="9" t="str">
        <f>IFERROR(__xludf.DUMMYFUNCTION("GOOGLETRANSLATE($A1123,""en"",""ko"")"),"간쑤 셩")</f>
        <v>간쑤 셩</v>
      </c>
      <c r="J1123" s="9" t="str">
        <f>IFERROR(__xludf.DUMMYFUNCTION("GOOGLETRANSLATE($A1123,""en"",""pt-BR"")"),"Gansu Sheng")</f>
        <v>Gansu Sheng</v>
      </c>
    </row>
    <row r="1124">
      <c r="A1124" s="9" t="str">
        <f>IFERROR(__xludf.DUMMYFUNCTION("""COMPUTED_VALUE"""),"Tianjin Shi")</f>
        <v>Tianjin Shi</v>
      </c>
      <c r="B1124" s="9" t="str">
        <f>IFERROR(__xludf.DUMMYFUNCTION("""COMPUTED_VALUE"""),"cn-tj")</f>
        <v>cn-tj</v>
      </c>
      <c r="C1124" s="9" t="str">
        <f>IFERROR(__xludf.DUMMYFUNCTION("GOOGLETRANSLATE($A1124,""en"",""de"")"),"Tianjin Shi")</f>
        <v>Tianjin Shi</v>
      </c>
      <c r="D1124" s="9" t="str">
        <f>IFERROR(__xludf.DUMMYFUNCTION("GOOGLETRANSLATE($A1124,""en"",""fr"")"),"Tianjin Shi")</f>
        <v>Tianjin Shi</v>
      </c>
      <c r="E1124" s="9" t="str">
        <f>IFERROR(__xludf.DUMMYFUNCTION("GOOGLETRANSLATE($A1124,""en"",""es"")"),"Tianjín Shi")</f>
        <v>Tianjín Shi</v>
      </c>
      <c r="F1124" s="9" t="str">
        <f>IFERROR(__xludf.DUMMYFUNCTION("GOOGLETRANSLATE($A1124,""en"",""it"")"),"Tientsin Shi")</f>
        <v>Tientsin Shi</v>
      </c>
      <c r="G1124" s="9" t="str">
        <f>IFERROR(__xludf.DUMMYFUNCTION("GOOGLETRANSLATE($A1124,""en"",""zh-cn"")"),"天津市")</f>
        <v>天津市</v>
      </c>
      <c r="H1124" s="9" t="str">
        <f>IFERROR(__xludf.DUMMYFUNCTION("GOOGLETRANSLATE($A1124,""en"",""ja"")"),"天津市")</f>
        <v>天津市</v>
      </c>
      <c r="I1124" s="9" t="str">
        <f>IFERROR(__xludf.DUMMYFUNCTION("GOOGLETRANSLATE($A1124,""en"",""ko"")"),"천진시")</f>
        <v>천진시</v>
      </c>
      <c r="J1124" s="9" t="str">
        <f>IFERROR(__xludf.DUMMYFUNCTION("GOOGLETRANSLATE($A1124,""en"",""pt-BR"")"),"Tianjin Shi")</f>
        <v>Tianjin Shi</v>
      </c>
    </row>
    <row r="1125">
      <c r="A1125" s="9" t="str">
        <f>IFERROR(__xludf.DUMMYFUNCTION("""COMPUTED_VALUE"""),"Xinjiang Uygur Zizhiqu")</f>
        <v>Xinjiang Uygur Zizhiqu</v>
      </c>
      <c r="B1125" s="9" t="str">
        <f>IFERROR(__xludf.DUMMYFUNCTION("""COMPUTED_VALUE"""),"cn-xj")</f>
        <v>cn-xj</v>
      </c>
      <c r="C1125" s="9" t="str">
        <f>IFERROR(__xludf.DUMMYFUNCTION("GOOGLETRANSLATE($A1125,""en"",""de"")"),"Xinjiang Uygur Zizhiqu")</f>
        <v>Xinjiang Uygur Zizhiqu</v>
      </c>
      <c r="D1125" s="9" t="str">
        <f>IFERROR(__xludf.DUMMYFUNCTION("GOOGLETRANSLATE($A1125,""en"",""fr"")"),"Zizhiqu ouïghour du Xinjiang")</f>
        <v>Zizhiqu ouïghour du Xinjiang</v>
      </c>
      <c r="E1125" s="9" t="str">
        <f>IFERROR(__xludf.DUMMYFUNCTION("GOOGLETRANSLATE($A1125,""en"",""es"")"),"Xinjiang Uigur Zizhiqu")</f>
        <v>Xinjiang Uigur Zizhiqu</v>
      </c>
      <c r="F1125" s="9" t="str">
        <f>IFERROR(__xludf.DUMMYFUNCTION("GOOGLETRANSLATE($A1125,""en"",""it"")"),"Xinjiang Uygur Zizhiqu")</f>
        <v>Xinjiang Uygur Zizhiqu</v>
      </c>
      <c r="G1125" s="9" t="str">
        <f>IFERROR(__xludf.DUMMYFUNCTION("GOOGLETRANSLATE($A1125,""en"",""zh-cn"")"),"新疆维吾尔族紫枝曲")</f>
        <v>新疆维吾尔族紫枝曲</v>
      </c>
      <c r="H1125" s="9" t="str">
        <f>IFERROR(__xludf.DUMMYFUNCTION("GOOGLETRANSLATE($A1125,""en"",""ja"")"),"新疆ウイグル自治区")</f>
        <v>新疆ウイグル自治区</v>
      </c>
      <c r="I1125" s="9" t="str">
        <f>IFERROR(__xludf.DUMMYFUNCTION("GOOGLETRANSLATE($A1125,""en"",""ko"")"),"신장 위구르 Zizhiqu")</f>
        <v>신장 위구르 Zizhiqu</v>
      </c>
      <c r="J1125" s="9" t="str">
        <f>IFERROR(__xludf.DUMMYFUNCTION("GOOGLETRANSLATE($A1125,""en"",""pt-BR"")"),"Uigur Zizhiqu de Xinjiang")</f>
        <v>Uigur Zizhiqu de Xinjiang</v>
      </c>
    </row>
    <row r="1126">
      <c r="A1126" s="9" t="str">
        <f>IFERROR(__xludf.DUMMYFUNCTION("""COMPUTED_VALUE"""),"Sichuan Sheng")</f>
        <v>Sichuan Sheng</v>
      </c>
      <c r="B1126" s="9" t="str">
        <f>IFERROR(__xludf.DUMMYFUNCTION("""COMPUTED_VALUE"""),"cn-sc")</f>
        <v>cn-sc</v>
      </c>
      <c r="C1126" s="9" t="str">
        <f>IFERROR(__xludf.DUMMYFUNCTION("GOOGLETRANSLATE($A1126,""en"",""de"")"),"Sichuan Sheng")</f>
        <v>Sichuan Sheng</v>
      </c>
      <c r="D1126" s="9" t="str">
        <f>IFERROR(__xludf.DUMMYFUNCTION("GOOGLETRANSLATE($A1126,""en"",""fr"")"),"Sheng du Sichuan")</f>
        <v>Sheng du Sichuan</v>
      </c>
      <c r="E1126" s="9" t="str">
        <f>IFERROR(__xludf.DUMMYFUNCTION("GOOGLETRANSLATE($A1126,""en"",""es"")"),"Sichuan Sheng")</f>
        <v>Sichuan Sheng</v>
      </c>
      <c r="F1126" s="9" t="str">
        <f>IFERROR(__xludf.DUMMYFUNCTION("GOOGLETRANSLATE($A1126,""en"",""it"")"),"Sichuan Sheng")</f>
        <v>Sichuan Sheng</v>
      </c>
      <c r="G1126" s="9" t="str">
        <f>IFERROR(__xludf.DUMMYFUNCTION("GOOGLETRANSLATE($A1126,""en"",""zh-cn"")"),"四川盛")</f>
        <v>四川盛</v>
      </c>
      <c r="H1126" s="9" t="str">
        <f>IFERROR(__xludf.DUMMYFUNCTION("GOOGLETRANSLATE($A1126,""en"",""ja"")"),"四川省")</f>
        <v>四川省</v>
      </c>
      <c r="I1126" s="9" t="str">
        <f>IFERROR(__xludf.DUMMYFUNCTION("GOOGLETRANSLATE($A1126,""en"",""ko"")"),"쓰촨 성")</f>
        <v>쓰촨 성</v>
      </c>
      <c r="J1126" s="9" t="str">
        <f>IFERROR(__xludf.DUMMYFUNCTION("GOOGLETRANSLATE($A1126,""en"",""pt-BR"")"),"Sheng de Sichuan")</f>
        <v>Sheng de Sichuan</v>
      </c>
    </row>
    <row r="1127">
      <c r="A1127" s="9" t="str">
        <f>IFERROR(__xludf.DUMMYFUNCTION("""COMPUTED_VALUE"""),"Shandong Sheng")</f>
        <v>Shandong Sheng</v>
      </c>
      <c r="B1127" s="9" t="str">
        <f>IFERROR(__xludf.DUMMYFUNCTION("""COMPUTED_VALUE"""),"cn-sd")</f>
        <v>cn-sd</v>
      </c>
      <c r="C1127" s="9" t="str">
        <f>IFERROR(__xludf.DUMMYFUNCTION("GOOGLETRANSLATE($A1127,""en"",""de"")"),"Shandong Sheng")</f>
        <v>Shandong Sheng</v>
      </c>
      <c r="D1127" s="9" t="str">
        <f>IFERROR(__xludf.DUMMYFUNCTION("GOOGLETRANSLATE($A1127,""en"",""fr"")"),"Shandong Sheng")</f>
        <v>Shandong Sheng</v>
      </c>
      <c r="E1127" s="9" t="str">
        <f>IFERROR(__xludf.DUMMYFUNCTION("GOOGLETRANSLATE($A1127,""en"",""es"")"),"Shandong Sheng")</f>
        <v>Shandong Sheng</v>
      </c>
      <c r="F1127" s="9" t="str">
        <f>IFERROR(__xludf.DUMMYFUNCTION("GOOGLETRANSLATE($A1127,""en"",""it"")"),"Shandong Sheng")</f>
        <v>Shandong Sheng</v>
      </c>
      <c r="G1127" s="9" t="str">
        <f>IFERROR(__xludf.DUMMYFUNCTION("GOOGLETRANSLATE($A1127,""en"",""zh-cn"")"),"山东盛")</f>
        <v>山东盛</v>
      </c>
      <c r="H1127" s="9" t="str">
        <f>IFERROR(__xludf.DUMMYFUNCTION("GOOGLETRANSLATE($A1127,""en"",""ja"")"),"山東省盛")</f>
        <v>山東省盛</v>
      </c>
      <c r="I1127" s="9" t="str">
        <f>IFERROR(__xludf.DUMMYFUNCTION("GOOGLETRANSLATE($A1127,""en"",""ko"")"),"산동 성")</f>
        <v>산동 성</v>
      </c>
      <c r="J1127" s="9" t="str">
        <f>IFERROR(__xludf.DUMMYFUNCTION("GOOGLETRANSLATE($A1127,""en"",""pt-BR"")"),"Shandong Sheng")</f>
        <v>Shandong Sheng</v>
      </c>
    </row>
    <row r="1128">
      <c r="A1128" s="9" t="str">
        <f>IFERROR(__xludf.DUMMYFUNCTION("""COMPUTED_VALUE"""),"Shanghai Shi")</f>
        <v>Shanghai Shi</v>
      </c>
      <c r="B1128" s="9" t="str">
        <f>IFERROR(__xludf.DUMMYFUNCTION("""COMPUTED_VALUE"""),"cn-sh")</f>
        <v>cn-sh</v>
      </c>
      <c r="C1128" s="9" t="str">
        <f>IFERROR(__xludf.DUMMYFUNCTION("GOOGLETRANSLATE($A1128,""en"",""de"")"),"Shanghai Shi")</f>
        <v>Shanghai Shi</v>
      </c>
      <c r="D1128" s="9" t="str">
        <f>IFERROR(__xludf.DUMMYFUNCTION("GOOGLETRANSLATE($A1128,""en"",""fr"")"),"Shanghai Shi")</f>
        <v>Shanghai Shi</v>
      </c>
      <c r="E1128" s="9" t="str">
        <f>IFERROR(__xludf.DUMMYFUNCTION("GOOGLETRANSLATE($A1128,""en"",""es"")"),"Shi de Shangai")</f>
        <v>Shi de Shangai</v>
      </c>
      <c r="F1128" s="9" t="str">
        <f>IFERROR(__xludf.DUMMYFUNCTION("GOOGLETRANSLATE($A1128,""en"",""it"")"),"Shangai Shi")</f>
        <v>Shangai Shi</v>
      </c>
      <c r="G1128" s="9" t="str">
        <f>IFERROR(__xludf.DUMMYFUNCTION("GOOGLETRANSLATE($A1128,""en"",""zh-cn"")"),"上海市")</f>
        <v>上海市</v>
      </c>
      <c r="H1128" s="9" t="str">
        <f>IFERROR(__xludf.DUMMYFUNCTION("GOOGLETRANSLATE($A1128,""en"",""ja"")"),"上海市")</f>
        <v>上海市</v>
      </c>
      <c r="I1128" s="9" t="str">
        <f>IFERROR(__xludf.DUMMYFUNCTION("GOOGLETRANSLATE($A1128,""en"",""ko"")"),"상하이시")</f>
        <v>상하이시</v>
      </c>
      <c r="J1128" s="9" t="str">
        <f>IFERROR(__xludf.DUMMYFUNCTION("GOOGLETRANSLATE($A1128,""en"",""pt-BR"")"),"Xangai Shi")</f>
        <v>Xangai Shi</v>
      </c>
    </row>
    <row r="1129">
      <c r="A1129" s="9" t="str">
        <f>IFERROR(__xludf.DUMMYFUNCTION("""COMPUTED_VALUE"""),"Shanxi Sheng")</f>
        <v>Shanxi Sheng</v>
      </c>
      <c r="B1129" s="9" t="str">
        <f>IFERROR(__xludf.DUMMYFUNCTION("""COMPUTED_VALUE"""),"cn-sx")</f>
        <v>cn-sx</v>
      </c>
      <c r="C1129" s="9" t="str">
        <f>IFERROR(__xludf.DUMMYFUNCTION("GOOGLETRANSLATE($A1129,""en"",""de"")"),"Shanxi Sheng")</f>
        <v>Shanxi Sheng</v>
      </c>
      <c r="D1129" s="9" t="str">
        <f>IFERROR(__xludf.DUMMYFUNCTION("GOOGLETRANSLATE($A1129,""en"",""fr"")"),"Shanxi Sheng")</f>
        <v>Shanxi Sheng</v>
      </c>
      <c r="E1129" s="9" t="str">
        <f>IFERROR(__xludf.DUMMYFUNCTION("GOOGLETRANSLATE($A1129,""en"",""es"")"),"Shanxi Sheng")</f>
        <v>Shanxi Sheng</v>
      </c>
      <c r="F1129" s="9" t="str">
        <f>IFERROR(__xludf.DUMMYFUNCTION("GOOGLETRANSLATE($A1129,""en"",""it"")"),"Shanxi Sheng")</f>
        <v>Shanxi Sheng</v>
      </c>
      <c r="G1129" s="9" t="str">
        <f>IFERROR(__xludf.DUMMYFUNCTION("GOOGLETRANSLATE($A1129,""en"",""zh-cn"")"),"山西盛")</f>
        <v>山西盛</v>
      </c>
      <c r="H1129" s="9" t="str">
        <f>IFERROR(__xludf.DUMMYFUNCTION("GOOGLETRANSLATE($A1129,""en"",""ja"")"),"山西省")</f>
        <v>山西省</v>
      </c>
      <c r="I1129" s="9" t="str">
        <f>IFERROR(__xludf.DUMMYFUNCTION("GOOGLETRANSLATE($A1129,""en"",""ko"")"),"산시 성")</f>
        <v>산시 성</v>
      </c>
      <c r="J1129" s="9" t="str">
        <f>IFERROR(__xludf.DUMMYFUNCTION("GOOGLETRANSLATE($A1129,""en"",""pt-BR"")"),"Shanxi Sheng")</f>
        <v>Shanxi Sheng</v>
      </c>
    </row>
    <row r="1130">
      <c r="A1130" s="9" t="str">
        <f>IFERROR(__xludf.DUMMYFUNCTION("""COMPUTED_VALUE"""),"Nei Mongol Zizhiqu")</f>
        <v>Nei Mongol Zizhiqu</v>
      </c>
      <c r="B1130" s="9" t="str">
        <f>IFERROR(__xludf.DUMMYFUNCTION("""COMPUTED_VALUE"""),"cn-nm")</f>
        <v>cn-nm</v>
      </c>
      <c r="C1130" s="9" t="str">
        <f>IFERROR(__xludf.DUMMYFUNCTION("GOOGLETRANSLATE($A1130,""en"",""de"")"),"Nei Mongol Zizhiqu")</f>
        <v>Nei Mongol Zizhiqu</v>
      </c>
      <c r="D1130" s="9" t="str">
        <f>IFERROR(__xludf.DUMMYFUNCTION("GOOGLETRANSLATE($A1130,""en"",""fr"")"),"Nei Mongol Zizhiqu")</f>
        <v>Nei Mongol Zizhiqu</v>
      </c>
      <c r="E1130" s="9" t="str">
        <f>IFERROR(__xludf.DUMMYFUNCTION("GOOGLETRANSLATE($A1130,""en"",""es"")"),"Nei Mongol Zizhiqu")</f>
        <v>Nei Mongol Zizhiqu</v>
      </c>
      <c r="F1130" s="9" t="str">
        <f>IFERROR(__xludf.DUMMYFUNCTION("GOOGLETRANSLATE($A1130,""en"",""it"")"),"Nei Mongol Zizhiqu")</f>
        <v>Nei Mongol Zizhiqu</v>
      </c>
      <c r="G1130" s="9" t="str">
        <f>IFERROR(__xludf.DUMMYFUNCTION("GOOGLETRANSLATE($A1130,""en"",""zh-cn"")"),"内蒙古紫枝曲")</f>
        <v>内蒙古紫枝曲</v>
      </c>
      <c r="H1130" s="9" t="str">
        <f>IFERROR(__xludf.DUMMYFUNCTION("GOOGLETRANSLATE($A1130,""en"",""ja"")"),"内蒙古子直")</f>
        <v>内蒙古子直</v>
      </c>
      <c r="I1130" s="9" t="str">
        <f>IFERROR(__xludf.DUMMYFUNCTION("GOOGLETRANSLATE($A1130,""en"",""ko"")"),"내몽골 Zizhiqu")</f>
        <v>내몽골 Zizhiqu</v>
      </c>
      <c r="J1130" s="9" t="str">
        <f>IFERROR(__xludf.DUMMYFUNCTION("GOOGLETRANSLATE($A1130,""en"",""pt-BR"")"),"Nei Mongol Zizhiqu")</f>
        <v>Nei Mongol Zizhiqu</v>
      </c>
    </row>
    <row r="1131">
      <c r="A1131" s="9" t="str">
        <f>IFERROR(__xludf.DUMMYFUNCTION("""COMPUTED_VALUE"""),"Ningxia Huizi Zizhiqu")</f>
        <v>Ningxia Huizi Zizhiqu</v>
      </c>
      <c r="B1131" s="9" t="str">
        <f>IFERROR(__xludf.DUMMYFUNCTION("""COMPUTED_VALUE"""),"cn-nx")</f>
        <v>cn-nx</v>
      </c>
      <c r="C1131" s="9" t="str">
        <f>IFERROR(__xludf.DUMMYFUNCTION("GOOGLETRANSLATE($A1131,""en"",""de"")"),"Ningxia Huizi Zizhiqu")</f>
        <v>Ningxia Huizi Zizhiqu</v>
      </c>
      <c r="D1131" s="9" t="str">
        <f>IFERROR(__xludf.DUMMYFUNCTION("GOOGLETRANSLATE($A1131,""en"",""fr"")"),"Ningxia Huizi Zizhiqu")</f>
        <v>Ningxia Huizi Zizhiqu</v>
      </c>
      <c r="E1131" s="9" t="str">
        <f>IFERROR(__xludf.DUMMYFUNCTION("GOOGLETRANSLATE($A1131,""en"",""es"")"),"Ningxia Huizi Zizhiqu")</f>
        <v>Ningxia Huizi Zizhiqu</v>
      </c>
      <c r="F1131" s="9" t="str">
        <f>IFERROR(__xludf.DUMMYFUNCTION("GOOGLETRANSLATE($A1131,""en"",""it"")"),"Ningxia Huizi Zizhiqu")</f>
        <v>Ningxia Huizi Zizhiqu</v>
      </c>
      <c r="G1131" s="9" t="str">
        <f>IFERROR(__xludf.DUMMYFUNCTION("GOOGLETRANSLATE($A1131,""en"",""zh-cn"")"),"宁夏惠子紫枝区")</f>
        <v>宁夏惠子紫枝区</v>
      </c>
      <c r="H1131" s="9" t="str">
        <f>IFERROR(__xludf.DUMMYFUNCTION("GOOGLETRANSLATE($A1131,""en"",""ja"")"),"寧夏回子子直")</f>
        <v>寧夏回子子直</v>
      </c>
      <c r="I1131" s="9" t="str">
        <f>IFERROR(__xludf.DUMMYFUNCTION("GOOGLETRANSLATE($A1131,""en"",""ko"")"),"닝샤 후이지 Zizhiqu")</f>
        <v>닝샤 후이지 Zizhiqu</v>
      </c>
      <c r="J1131" s="9" t="str">
        <f>IFERROR(__xludf.DUMMYFUNCTION("GOOGLETRANSLATE($A1131,""en"",""pt-BR"")"),"Ningxia Huizi Zizhiqu")</f>
        <v>Ningxia Huizi Zizhiqu</v>
      </c>
    </row>
    <row r="1132">
      <c r="A1132" s="9" t="str">
        <f>IFERROR(__xludf.DUMMYFUNCTION("""COMPUTED_VALUE"""),"Qinghai Sheng")</f>
        <v>Qinghai Sheng</v>
      </c>
      <c r="B1132" s="9" t="str">
        <f>IFERROR(__xludf.DUMMYFUNCTION("""COMPUTED_VALUE"""),"cn-qh")</f>
        <v>cn-qh</v>
      </c>
      <c r="C1132" s="9" t="str">
        <f>IFERROR(__xludf.DUMMYFUNCTION("GOOGLETRANSLATE($A1132,""en"",""de"")"),"Qinghai Sheng")</f>
        <v>Qinghai Sheng</v>
      </c>
      <c r="D1132" s="9" t="str">
        <f>IFERROR(__xludf.DUMMYFUNCTION("GOOGLETRANSLATE($A1132,""en"",""fr"")"),"Qinghai Sheng")</f>
        <v>Qinghai Sheng</v>
      </c>
      <c r="E1132" s="9" t="str">
        <f>IFERROR(__xludf.DUMMYFUNCTION("GOOGLETRANSLATE($A1132,""en"",""es"")"),"Qinghai Sheng")</f>
        <v>Qinghai Sheng</v>
      </c>
      <c r="F1132" s="9" t="str">
        <f>IFERROR(__xludf.DUMMYFUNCTION("GOOGLETRANSLATE($A1132,""en"",""it"")"),"Qinghai Sheng")</f>
        <v>Qinghai Sheng</v>
      </c>
      <c r="G1132" s="9" t="str">
        <f>IFERROR(__xludf.DUMMYFUNCTION("GOOGLETRANSLATE($A1132,""en"",""zh-cn"")"),"青海盛")</f>
        <v>青海盛</v>
      </c>
      <c r="H1132" s="9" t="str">
        <f>IFERROR(__xludf.DUMMYFUNCTION("GOOGLETRANSLATE($A1132,""en"",""ja"")"),"青海盛")</f>
        <v>青海盛</v>
      </c>
      <c r="I1132" s="9" t="str">
        <f>IFERROR(__xludf.DUMMYFUNCTION("GOOGLETRANSLATE($A1132,""en"",""ko"")"),"칭하이 셩")</f>
        <v>칭하이 셩</v>
      </c>
      <c r="J1132" s="9" t="str">
        <f>IFERROR(__xludf.DUMMYFUNCTION("GOOGLETRANSLATE($A1132,""en"",""pt-BR"")"),"Qinghai Sheng")</f>
        <v>Qinghai Sheng</v>
      </c>
    </row>
    <row r="1133">
      <c r="A1133" s="9" t="str">
        <f>IFERROR(__xludf.DUMMYFUNCTION("""COMPUTED_VALUE"""),"Shaanxi Sheng (CN-SAX)")</f>
        <v>Shaanxi Sheng (CN-SAX)</v>
      </c>
      <c r="B1133" s="9" t="str">
        <f>IFERROR(__xludf.DUMMYFUNCTION("""COMPUTED_VALUE"""),"cn-sax")</f>
        <v>cn-sax</v>
      </c>
      <c r="C1133" s="9" t="str">
        <f>IFERROR(__xludf.DUMMYFUNCTION("GOOGLETRANSLATE($A1133,""en"",""de"")"),"Shaanxi Sheng (CN-SAX)")</f>
        <v>Shaanxi Sheng (CN-SAX)</v>
      </c>
      <c r="D1133" s="9" t="str">
        <f>IFERROR(__xludf.DUMMYFUNCTION("GOOGLETRANSLATE($A1133,""en"",""fr"")"),"Shaanxi Sheng (CN-SAX)")</f>
        <v>Shaanxi Sheng (CN-SAX)</v>
      </c>
      <c r="E1133" s="9" t="str">
        <f>IFERROR(__xludf.DUMMYFUNCTION("GOOGLETRANSLATE($A1133,""en"",""es"")"),"Shaanxi Sheng (CN-SAX)")</f>
        <v>Shaanxi Sheng (CN-SAX)</v>
      </c>
      <c r="F1133" s="9" t="str">
        <f>IFERROR(__xludf.DUMMYFUNCTION("GOOGLETRANSLATE($A1133,""en"",""it"")"),"Shaanxi Sheng (CN-SAX)")</f>
        <v>Shaanxi Sheng (CN-SAX)</v>
      </c>
      <c r="G1133" s="9" t="str">
        <f>IFERROR(__xludf.DUMMYFUNCTION("GOOGLETRANSLATE($A1133,""en"",""zh-cn"")"),"陕西盛 (CN-SAX)")</f>
        <v>陕西盛 (CN-SAX)</v>
      </c>
      <c r="H1133" s="9" t="str">
        <f>IFERROR(__xludf.DUMMYFUNCTION("GOOGLETRANSLATE($A1133,""en"",""ja"")"),"陝西省 (CN-SAX)")</f>
        <v>陝西省 (CN-SAX)</v>
      </c>
      <c r="I1133" s="9" t="str">
        <f>IFERROR(__xludf.DUMMYFUNCTION("GOOGLETRANSLATE($A1133,""en"",""ko"")"),"산시성(CN-SAX)")</f>
        <v>산시성(CN-SAX)</v>
      </c>
      <c r="J1133" s="9" t="str">
        <f>IFERROR(__xludf.DUMMYFUNCTION("GOOGLETRANSLATE($A1133,""en"",""pt-BR"")"),"Shaanxi Sheng (CN-SAX)")</f>
        <v>Shaanxi Sheng (CN-SAX)</v>
      </c>
    </row>
    <row r="1134">
      <c r="A1134" s="9" t="str">
        <f>IFERROR(__xludf.DUMMYFUNCTION("""COMPUTED_VALUE"""),"Henan Sheng")</f>
        <v>Henan Sheng</v>
      </c>
      <c r="B1134" s="9" t="str">
        <f>IFERROR(__xludf.DUMMYFUNCTION("""COMPUTED_VALUE"""),"cn-ha")</f>
        <v>cn-ha</v>
      </c>
      <c r="C1134" s="9" t="str">
        <f>IFERROR(__xludf.DUMMYFUNCTION("GOOGLETRANSLATE($A1134,""en"",""de"")"),"Henan Sheng")</f>
        <v>Henan Sheng</v>
      </c>
      <c r="D1134" s="9" t="str">
        <f>IFERROR(__xludf.DUMMYFUNCTION("GOOGLETRANSLATE($A1134,""en"",""fr"")"),"Henan Sheng")</f>
        <v>Henan Sheng</v>
      </c>
      <c r="E1134" s="9" t="str">
        <f>IFERROR(__xludf.DUMMYFUNCTION("GOOGLETRANSLATE($A1134,""en"",""es"")"),"Henan Sheng")</f>
        <v>Henan Sheng</v>
      </c>
      <c r="F1134" s="9" t="str">
        <f>IFERROR(__xludf.DUMMYFUNCTION("GOOGLETRANSLATE($A1134,""en"",""it"")"),"Henan Sheng")</f>
        <v>Henan Sheng</v>
      </c>
      <c r="G1134" s="9" t="str">
        <f>IFERROR(__xludf.DUMMYFUNCTION("GOOGLETRANSLATE($A1134,""en"",""zh-cn"")"),"河南盛")</f>
        <v>河南盛</v>
      </c>
      <c r="H1134" s="9" t="str">
        <f>IFERROR(__xludf.DUMMYFUNCTION("GOOGLETRANSLATE($A1134,""en"",""ja"")"),"河南盛")</f>
        <v>河南盛</v>
      </c>
      <c r="I1134" s="9" t="str">
        <f>IFERROR(__xludf.DUMMYFUNCTION("GOOGLETRANSLATE($A1134,""en"",""ko"")"),"허난 셩")</f>
        <v>허난 셩</v>
      </c>
      <c r="J1134" s="9" t="str">
        <f>IFERROR(__xludf.DUMMYFUNCTION("GOOGLETRANSLATE($A1134,""en"",""pt-BR"")"),"Henan Sheng")</f>
        <v>Henan Sheng</v>
      </c>
    </row>
    <row r="1135">
      <c r="A1135" s="9" t="str">
        <f>IFERROR(__xludf.DUMMYFUNCTION("""COMPUTED_VALUE"""),"Heilongjiang Sheng")</f>
        <v>Heilongjiang Sheng</v>
      </c>
      <c r="B1135" s="9" t="str">
        <f>IFERROR(__xludf.DUMMYFUNCTION("""COMPUTED_VALUE"""),"cn-hl")</f>
        <v>cn-hl</v>
      </c>
      <c r="C1135" s="9" t="str">
        <f>IFERROR(__xludf.DUMMYFUNCTION("GOOGLETRANSLATE($A1135,""en"",""de"")"),"Heilongjiang Sheng")</f>
        <v>Heilongjiang Sheng</v>
      </c>
      <c r="D1135" s="9" t="str">
        <f>IFERROR(__xludf.DUMMYFUNCTION("GOOGLETRANSLATE($A1135,""en"",""fr"")"),"Heilongjiang Sheng")</f>
        <v>Heilongjiang Sheng</v>
      </c>
      <c r="E1135" s="9" t="str">
        <f>IFERROR(__xludf.DUMMYFUNCTION("GOOGLETRANSLATE($A1135,""en"",""es"")"),"Heilongjiang Sheng")</f>
        <v>Heilongjiang Sheng</v>
      </c>
      <c r="F1135" s="9" t="str">
        <f>IFERROR(__xludf.DUMMYFUNCTION("GOOGLETRANSLATE($A1135,""en"",""it"")"),"Heilongjiang Sheng")</f>
        <v>Heilongjiang Sheng</v>
      </c>
      <c r="G1135" s="9" t="str">
        <f>IFERROR(__xludf.DUMMYFUNCTION("GOOGLETRANSLATE($A1135,""en"",""zh-cn"")"),"黑龙江盛")</f>
        <v>黑龙江盛</v>
      </c>
      <c r="H1135" s="9" t="str">
        <f>IFERROR(__xludf.DUMMYFUNCTION("GOOGLETRANSLATE($A1135,""en"",""ja"")"),"黒竜江省盛")</f>
        <v>黒竜江省盛</v>
      </c>
      <c r="I1135" s="9" t="str">
        <f>IFERROR(__xludf.DUMMYFUNCTION("GOOGLETRANSLATE($A1135,""en"",""ko"")"),"헤이룽장 성")</f>
        <v>헤이룽장 성</v>
      </c>
      <c r="J1135" s="9" t="str">
        <f>IFERROR(__xludf.DUMMYFUNCTION("GOOGLETRANSLATE($A1135,""en"",""pt-BR"")"),"Heilongjiang Sheng")</f>
        <v>Heilongjiang Sheng</v>
      </c>
    </row>
    <row r="1136">
      <c r="A1136" s="9" t="str">
        <f>IFERROR(__xludf.DUMMYFUNCTION("""COMPUTED_VALUE"""),"Hebei Sheng")</f>
        <v>Hebei Sheng</v>
      </c>
      <c r="B1136" s="9" t="str">
        <f>IFERROR(__xludf.DUMMYFUNCTION("""COMPUTED_VALUE"""),"cn-he")</f>
        <v>cn-he</v>
      </c>
      <c r="C1136" s="9" t="str">
        <f>IFERROR(__xludf.DUMMYFUNCTION("GOOGLETRANSLATE($A1136,""en"",""de"")"),"Hebei Sheng")</f>
        <v>Hebei Sheng</v>
      </c>
      <c r="D1136" s="9" t="str">
        <f>IFERROR(__xludf.DUMMYFUNCTION("GOOGLETRANSLATE($A1136,""en"",""fr"")"),"Hebei Sheng")</f>
        <v>Hebei Sheng</v>
      </c>
      <c r="E1136" s="9" t="str">
        <f>IFERROR(__xludf.DUMMYFUNCTION("GOOGLETRANSLATE($A1136,""en"",""es"")"),"Hebei Sheng")</f>
        <v>Hebei Sheng</v>
      </c>
      <c r="F1136" s="9" t="str">
        <f>IFERROR(__xludf.DUMMYFUNCTION("GOOGLETRANSLATE($A1136,""en"",""it"")"),"Hebei Sheng")</f>
        <v>Hebei Sheng</v>
      </c>
      <c r="G1136" s="9" t="str">
        <f>IFERROR(__xludf.DUMMYFUNCTION("GOOGLETRANSLATE($A1136,""en"",""zh-cn"")"),"河北盛")</f>
        <v>河北盛</v>
      </c>
      <c r="H1136" s="9" t="str">
        <f>IFERROR(__xludf.DUMMYFUNCTION("GOOGLETRANSLATE($A1136,""en"",""ja"")"),"河北盛")</f>
        <v>河北盛</v>
      </c>
      <c r="I1136" s="9" t="str">
        <f>IFERROR(__xludf.DUMMYFUNCTION("GOOGLETRANSLATE($A1136,""en"",""ko"")"),"허베이 셩")</f>
        <v>허베이 셩</v>
      </c>
      <c r="J1136" s="9" t="str">
        <f>IFERROR(__xludf.DUMMYFUNCTION("GOOGLETRANSLATE($A1136,""en"",""pt-BR"")"),"Hebei Sheng")</f>
        <v>Hebei Sheng</v>
      </c>
    </row>
    <row r="1137">
      <c r="A1137" s="9" t="str">
        <f>IFERROR(__xludf.DUMMYFUNCTION("""COMPUTED_VALUE"""),"Shaanxi Sheng")</f>
        <v>Shaanxi Sheng</v>
      </c>
      <c r="B1137" s="9" t="str">
        <f>IFERROR(__xludf.DUMMYFUNCTION("""COMPUTED_VALUE"""),"cn-sn")</f>
        <v>cn-sn</v>
      </c>
      <c r="C1137" s="9" t="str">
        <f>IFERROR(__xludf.DUMMYFUNCTION("GOOGLETRANSLATE($A1137,""en"",""de"")"),"Shaanxi Sheng")</f>
        <v>Shaanxi Sheng</v>
      </c>
      <c r="D1137" s="9" t="str">
        <f>IFERROR(__xludf.DUMMYFUNCTION("GOOGLETRANSLATE($A1137,""en"",""fr"")"),"Shaanxi Sheng")</f>
        <v>Shaanxi Sheng</v>
      </c>
      <c r="E1137" s="9" t="str">
        <f>IFERROR(__xludf.DUMMYFUNCTION("GOOGLETRANSLATE($A1137,""en"",""es"")"),"Shaanxi Sheng")</f>
        <v>Shaanxi Sheng</v>
      </c>
      <c r="F1137" s="9" t="str">
        <f>IFERROR(__xludf.DUMMYFUNCTION("GOOGLETRANSLATE($A1137,""en"",""it"")"),"Shaanxi Sheng")</f>
        <v>Shaanxi Sheng</v>
      </c>
      <c r="G1137" s="9" t="str">
        <f>IFERROR(__xludf.DUMMYFUNCTION("GOOGLETRANSLATE($A1137,""en"",""zh-cn"")"),"陕西盛")</f>
        <v>陕西盛</v>
      </c>
      <c r="H1137" s="9" t="str">
        <f>IFERROR(__xludf.DUMMYFUNCTION("GOOGLETRANSLATE($A1137,""en"",""ja"")"),"陝西省盛")</f>
        <v>陝西省盛</v>
      </c>
      <c r="I1137" s="9" t="str">
        <f>IFERROR(__xludf.DUMMYFUNCTION("GOOGLETRANSLATE($A1137,""en"",""ko"")"),"산시 성")</f>
        <v>산시 성</v>
      </c>
      <c r="J1137" s="9" t="str">
        <f>IFERROR(__xludf.DUMMYFUNCTION("GOOGLETRANSLATE($A1137,""en"",""pt-BR"")"),"Shaanxi Sheng")</f>
        <v>Shaanxi Sheng</v>
      </c>
    </row>
    <row r="1138">
      <c r="A1138" s="9" t="str">
        <f>IFERROR(__xludf.DUMMYFUNCTION("""COMPUTED_VALUE"""),"Xianggang Tebiexingzhengqu")</f>
        <v>Xianggang Tebiexingzhengqu</v>
      </c>
      <c r="B1138" s="9" t="str">
        <f>IFERROR(__xludf.DUMMYFUNCTION("""COMPUTED_VALUE"""),"cn-hk")</f>
        <v>cn-hk</v>
      </c>
      <c r="C1138" s="9" t="str">
        <f>IFERROR(__xludf.DUMMYFUNCTION("GOOGLETRANSLATE($A1138,""en"",""de"")"),"Xianggang Tebiexingzhengqu")</f>
        <v>Xianggang Tebiexingzhengqu</v>
      </c>
      <c r="D1138" s="9" t="str">
        <f>IFERROR(__xludf.DUMMYFUNCTION("GOOGLETRANSLATE($A1138,""en"",""fr"")"),"Xianggang Tebiexingzhengqu")</f>
        <v>Xianggang Tebiexingzhengqu</v>
      </c>
      <c r="E1138" s="9" t="str">
        <f>IFERROR(__xludf.DUMMYFUNCTION("GOOGLETRANSLATE($A1138,""en"",""es"")"),"Xianggang Tebiexingzhengqu")</f>
        <v>Xianggang Tebiexingzhengqu</v>
      </c>
      <c r="F1138" s="9" t="str">
        <f>IFERROR(__xludf.DUMMYFUNCTION("GOOGLETRANSLATE($A1138,""en"",""it"")"),"Xianggang Tebiexingzhengqu")</f>
        <v>Xianggang Tebiexingzhengqu</v>
      </c>
      <c r="G1138" s="9" t="str">
        <f>IFERROR(__xludf.DUMMYFUNCTION("GOOGLETRANSLATE($A1138,""en"",""zh-cn"")"),"香港特别行政区")</f>
        <v>香港特别行政区</v>
      </c>
      <c r="H1138" s="9" t="str">
        <f>IFERROR(__xludf.DUMMYFUNCTION("GOOGLETRANSLATE($A1138,""en"",""ja"")"),"Xianggang Tebiexingzhengqu")</f>
        <v>Xianggang Tebiexingzhengqu</v>
      </c>
      <c r="I1138" s="9" t="str">
        <f>IFERROR(__xludf.DUMMYFUNCTION("GOOGLETRANSLATE($A1138,""en"",""ko"")"),"Xianggang Tebiexingzhengqu")</f>
        <v>Xianggang Tebiexingzhengqu</v>
      </c>
      <c r="J1138" s="9" t="str">
        <f>IFERROR(__xludf.DUMMYFUNCTION("GOOGLETRANSLATE($A1138,""en"",""pt-BR"")"),"Xianggang Tebiexingzhengqu")</f>
        <v>Xianggang Tebiexingzhengqu</v>
      </c>
    </row>
    <row r="1139">
      <c r="A1139" s="9" t="str">
        <f>IFERROR(__xludf.DUMMYFUNCTION("""COMPUTED_VALUE"""),"Hainan Sheng")</f>
        <v>Hainan Sheng</v>
      </c>
      <c r="B1139" s="9" t="str">
        <f>IFERROR(__xludf.DUMMYFUNCTION("""COMPUTED_VALUE"""),"cn-hi")</f>
        <v>cn-hi</v>
      </c>
      <c r="C1139" s="9" t="str">
        <f>IFERROR(__xludf.DUMMYFUNCTION("GOOGLETRANSLATE($A1139,""en"",""de"")"),"Hainan Sheng")</f>
        <v>Hainan Sheng</v>
      </c>
      <c r="D1139" s="9" t="str">
        <f>IFERROR(__xludf.DUMMYFUNCTION("GOOGLETRANSLATE($A1139,""en"",""fr"")"),"Hainan Sheng")</f>
        <v>Hainan Sheng</v>
      </c>
      <c r="E1139" s="9" t="str">
        <f>IFERROR(__xludf.DUMMYFUNCTION("GOOGLETRANSLATE($A1139,""en"",""es"")"),"Hainan Sheng")</f>
        <v>Hainan Sheng</v>
      </c>
      <c r="F1139" s="9" t="str">
        <f>IFERROR(__xludf.DUMMYFUNCTION("GOOGLETRANSLATE($A1139,""en"",""it"")"),"Hainan Sheng")</f>
        <v>Hainan Sheng</v>
      </c>
      <c r="G1139" s="9" t="str">
        <f>IFERROR(__xludf.DUMMYFUNCTION("GOOGLETRANSLATE($A1139,""en"",""zh-cn"")"),"海南盛")</f>
        <v>海南盛</v>
      </c>
      <c r="H1139" s="9" t="str">
        <f>IFERROR(__xludf.DUMMYFUNCTION("GOOGLETRANSLATE($A1139,""en"",""ja"")"),"海南盛")</f>
        <v>海南盛</v>
      </c>
      <c r="I1139" s="9" t="str">
        <f>IFERROR(__xludf.DUMMYFUNCTION("GOOGLETRANSLATE($A1139,""en"",""ko"")"),"하이난 셩")</f>
        <v>하이난 셩</v>
      </c>
      <c r="J1139" s="9" t="str">
        <f>IFERROR(__xludf.DUMMYFUNCTION("GOOGLETRANSLATE($A1139,""en"",""pt-BR"")"),"Hainan Sheng")</f>
        <v>Hainan Sheng</v>
      </c>
    </row>
    <row r="1140">
      <c r="A1140" s="9" t="str">
        <f>IFERROR(__xludf.DUMMYFUNCTION("""COMPUTED_VALUE"""),"Bolívar (CO)")</f>
        <v>Bolívar (CO)</v>
      </c>
      <c r="B1140" s="9" t="str">
        <f>IFERROR(__xludf.DUMMYFUNCTION("""COMPUTED_VALUE"""),"co-bol")</f>
        <v>co-bol</v>
      </c>
      <c r="C1140" s="9" t="str">
        <f>IFERROR(__xludf.DUMMYFUNCTION("GOOGLETRANSLATE($A1140,""en"",""de"")"),"Bolívar (CO)")</f>
        <v>Bolívar (CO)</v>
      </c>
      <c r="D1140" s="9" t="str">
        <f>IFERROR(__xludf.DUMMYFUNCTION("GOOGLETRANSLATE($A1140,""en"",""fr"")"),"Bolivar (CO)")</f>
        <v>Bolivar (CO)</v>
      </c>
      <c r="E1140" s="9" t="str">
        <f>IFERROR(__xludf.DUMMYFUNCTION("GOOGLETRANSLATE($A1140,""en"",""es"")"),"Bolívar (CO)")</f>
        <v>Bolívar (CO)</v>
      </c>
      <c r="F1140" s="9" t="str">
        <f>IFERROR(__xludf.DUMMYFUNCTION("GOOGLETRANSLATE($A1140,""en"",""it"")"),"Bolivar (CO)")</f>
        <v>Bolivar (CO)</v>
      </c>
      <c r="G1140" s="9" t="str">
        <f>IFERROR(__xludf.DUMMYFUNCTION("GOOGLETRANSLATE($A1140,""en"",""zh-cn"")"),"玻利瓦尔 (科罗拉多州)")</f>
        <v>玻利瓦尔 (科罗拉多州)</v>
      </c>
      <c r="H1140" s="9" t="str">
        <f>IFERROR(__xludf.DUMMYFUNCTION("GOOGLETRANSLATE($A1140,""en"",""ja"")"),"ボリバル (コロラド州)")</f>
        <v>ボリバル (コロラド州)</v>
      </c>
      <c r="I1140" s="9" t="str">
        <f>IFERROR(__xludf.DUMMYFUNCTION("GOOGLETRANSLATE($A1140,""en"",""ko"")"),"볼리바르(CO)")</f>
        <v>볼리바르(CO)</v>
      </c>
      <c r="J1140" s="9" t="str">
        <f>IFERROR(__xludf.DUMMYFUNCTION("GOOGLETRANSLATE($A1140,""en"",""pt-BR"")"),"Bolívar (CO)")</f>
        <v>Bolívar (CO)</v>
      </c>
    </row>
    <row r="1141">
      <c r="A1141" s="9" t="str">
        <f>IFERROR(__xludf.DUMMYFUNCTION("""COMPUTED_VALUE"""),"Caldas")</f>
        <v>Caldas</v>
      </c>
      <c r="B1141" s="9" t="str">
        <f>IFERROR(__xludf.DUMMYFUNCTION("""COMPUTED_VALUE"""),"co-cal")</f>
        <v>co-cal</v>
      </c>
      <c r="C1141" s="9" t="str">
        <f>IFERROR(__xludf.DUMMYFUNCTION("GOOGLETRANSLATE($A1141,""en"",""de"")"),"Caldas")</f>
        <v>Caldas</v>
      </c>
      <c r="D1141" s="9" t="str">
        <f>IFERROR(__xludf.DUMMYFUNCTION("GOOGLETRANSLATE($A1141,""en"",""fr"")"),"Caldas")</f>
        <v>Caldas</v>
      </c>
      <c r="E1141" s="9" t="str">
        <f>IFERROR(__xludf.DUMMYFUNCTION("GOOGLETRANSLATE($A1141,""en"",""es"")"),"Caldas")</f>
        <v>Caldas</v>
      </c>
      <c r="F1141" s="9" t="str">
        <f>IFERROR(__xludf.DUMMYFUNCTION("GOOGLETRANSLATE($A1141,""en"",""it"")"),"Caldas")</f>
        <v>Caldas</v>
      </c>
      <c r="G1141" s="9" t="str">
        <f>IFERROR(__xludf.DUMMYFUNCTION("GOOGLETRANSLATE($A1141,""en"",""zh-cn"")"),"卡尔达斯")</f>
        <v>卡尔达斯</v>
      </c>
      <c r="H1141" s="9" t="str">
        <f>IFERROR(__xludf.DUMMYFUNCTION("GOOGLETRANSLATE($A1141,""en"",""ja"")"),"カルダス")</f>
        <v>カルダス</v>
      </c>
      <c r="I1141" s="9" t="str">
        <f>IFERROR(__xludf.DUMMYFUNCTION("GOOGLETRANSLATE($A1141,""en"",""ko"")"),"칼다스")</f>
        <v>칼다스</v>
      </c>
      <c r="J1141" s="9" t="str">
        <f>IFERROR(__xludf.DUMMYFUNCTION("GOOGLETRANSLATE($A1141,""en"",""pt-BR"")"),"Caldas")</f>
        <v>Caldas</v>
      </c>
    </row>
    <row r="1142">
      <c r="A1142" s="9" t="str">
        <f>IFERROR(__xludf.DUMMYFUNCTION("""COMPUTED_VALUE"""),"Risaralda")</f>
        <v>Risaralda</v>
      </c>
      <c r="B1142" s="9" t="str">
        <f>IFERROR(__xludf.DUMMYFUNCTION("""COMPUTED_VALUE"""),"co-ris")</f>
        <v>co-ris</v>
      </c>
      <c r="C1142" s="9" t="str">
        <f>IFERROR(__xludf.DUMMYFUNCTION("GOOGLETRANSLATE($A1142,""en"",""de"")"),"Risaralda")</f>
        <v>Risaralda</v>
      </c>
      <c r="D1142" s="9" t="str">
        <f>IFERROR(__xludf.DUMMYFUNCTION("GOOGLETRANSLATE($A1142,""en"",""fr"")"),"Risaralda")</f>
        <v>Risaralda</v>
      </c>
      <c r="E1142" s="9" t="str">
        <f>IFERROR(__xludf.DUMMYFUNCTION("GOOGLETRANSLATE($A1142,""en"",""es"")"),"rosaralda")</f>
        <v>rosaralda</v>
      </c>
      <c r="F1142" s="9" t="str">
        <f>IFERROR(__xludf.DUMMYFUNCTION("GOOGLETRANSLATE($A1142,""en"",""it"")"),"Risaralda")</f>
        <v>Risaralda</v>
      </c>
      <c r="G1142" s="9" t="str">
        <f>IFERROR(__xludf.DUMMYFUNCTION("GOOGLETRANSLATE($A1142,""en"",""zh-cn"")"),"里萨拉尔达")</f>
        <v>里萨拉尔达</v>
      </c>
      <c r="H1142" s="9" t="str">
        <f>IFERROR(__xludf.DUMMYFUNCTION("GOOGLETRANSLATE($A1142,""en"",""ja"")"),"リサラルダ")</f>
        <v>リサラルダ</v>
      </c>
      <c r="I1142" s="9" t="str">
        <f>IFERROR(__xludf.DUMMYFUNCTION("GOOGLETRANSLATE($A1142,""en"",""ko"")"),"리사랄다")</f>
        <v>리사랄다</v>
      </c>
      <c r="J1142" s="9" t="str">
        <f>IFERROR(__xludf.DUMMYFUNCTION("GOOGLETRANSLATE($A1142,""en"",""pt-BR"")"),"Risaralda")</f>
        <v>Risaralda</v>
      </c>
    </row>
    <row r="1143">
      <c r="A1143" s="9" t="str">
        <f>IFERROR(__xludf.DUMMYFUNCTION("""COMPUTED_VALUE"""),"Cundinamarca")</f>
        <v>Cundinamarca</v>
      </c>
      <c r="B1143" s="9" t="str">
        <f>IFERROR(__xludf.DUMMYFUNCTION("""COMPUTED_VALUE"""),"co-cun")</f>
        <v>co-cun</v>
      </c>
      <c r="C1143" s="9" t="str">
        <f>IFERROR(__xludf.DUMMYFUNCTION("GOOGLETRANSLATE($A1143,""en"",""de"")"),"Cundinamarca")</f>
        <v>Cundinamarca</v>
      </c>
      <c r="D1143" s="9" t="str">
        <f>IFERROR(__xludf.DUMMYFUNCTION("GOOGLETRANSLATE($A1143,""en"",""fr"")"),"Cundinamarca")</f>
        <v>Cundinamarca</v>
      </c>
      <c r="E1143" s="9" t="str">
        <f>IFERROR(__xludf.DUMMYFUNCTION("GOOGLETRANSLATE($A1143,""en"",""es"")"),"Cundinamarca")</f>
        <v>Cundinamarca</v>
      </c>
      <c r="F1143" s="9" t="str">
        <f>IFERROR(__xludf.DUMMYFUNCTION("GOOGLETRANSLATE($A1143,""en"",""it"")"),"Cundinamarca")</f>
        <v>Cundinamarca</v>
      </c>
      <c r="G1143" s="9" t="str">
        <f>IFERROR(__xludf.DUMMYFUNCTION("GOOGLETRANSLATE($A1143,""en"",""zh-cn"")"),"昆迪纳马卡")</f>
        <v>昆迪纳马卡</v>
      </c>
      <c r="H1143" s="9" t="str">
        <f>IFERROR(__xludf.DUMMYFUNCTION("GOOGLETRANSLATE($A1143,""en"",""ja"")"),"クンディナマルカ")</f>
        <v>クンディナマルカ</v>
      </c>
      <c r="I1143" s="9" t="str">
        <f>IFERROR(__xludf.DUMMYFUNCTION("GOOGLETRANSLATE($A1143,""en"",""ko"")"),"쿤디나마르카")</f>
        <v>쿤디나마르카</v>
      </c>
      <c r="J1143" s="9" t="str">
        <f>IFERROR(__xludf.DUMMYFUNCTION("GOOGLETRANSLATE($A1143,""en"",""pt-BR"")"),"Cundinamarca")</f>
        <v>Cundinamarca</v>
      </c>
    </row>
    <row r="1144">
      <c r="A1144" s="9" t="str">
        <f>IFERROR(__xludf.DUMMYFUNCTION("""COMPUTED_VALUE"""),"Huila (CO)")</f>
        <v>Huila (CO)</v>
      </c>
      <c r="B1144" s="9" t="str">
        <f>IFERROR(__xludf.DUMMYFUNCTION("""COMPUTED_VALUE"""),"co-hui")</f>
        <v>co-hui</v>
      </c>
      <c r="C1144" s="9" t="str">
        <f>IFERROR(__xludf.DUMMYFUNCTION("GOOGLETRANSLATE($A1144,""en"",""de"")"),"Huila (CO)")</f>
        <v>Huila (CO)</v>
      </c>
      <c r="D1144" s="9" t="str">
        <f>IFERROR(__xludf.DUMMYFUNCTION("GOOGLETRANSLATE($A1144,""en"",""fr"")"),"Huila (CO)")</f>
        <v>Huila (CO)</v>
      </c>
      <c r="E1144" s="9" t="str">
        <f>IFERROR(__xludf.DUMMYFUNCTION("GOOGLETRANSLATE($A1144,""en"",""es"")"),"Huila (CO)")</f>
        <v>Huila (CO)</v>
      </c>
      <c r="F1144" s="9" t="str">
        <f>IFERROR(__xludf.DUMMYFUNCTION("GOOGLETRANSLATE($A1144,""en"",""it"")"),"Huila (CO)")</f>
        <v>Huila (CO)</v>
      </c>
      <c r="G1144" s="9" t="str">
        <f>IFERROR(__xludf.DUMMYFUNCTION("GOOGLETRANSLATE($A1144,""en"",""zh-cn"")"),"威拉(科罗拉多州)")</f>
        <v>威拉(科罗拉多州)</v>
      </c>
      <c r="H1144" s="9" t="str">
        <f>IFERROR(__xludf.DUMMYFUNCTION("GOOGLETRANSLATE($A1144,""en"",""ja"")"),"ウィラ（コロラド州）")</f>
        <v>ウィラ（コロラド州）</v>
      </c>
      <c r="I1144" s="9" t="str">
        <f>IFERROR(__xludf.DUMMYFUNCTION("GOOGLETRANSLATE($A1144,""en"",""ko"")"),"후일라(CO)")</f>
        <v>후일라(CO)</v>
      </c>
      <c r="J1144" s="9" t="str">
        <f>IFERROR(__xludf.DUMMYFUNCTION("GOOGLETRANSLATE($A1144,""en"",""pt-BR"")"),"Huíla (CO)")</f>
        <v>Huíla (CO)</v>
      </c>
    </row>
    <row r="1145">
      <c r="A1145" s="9" t="str">
        <f>IFERROR(__xludf.DUMMYFUNCTION("""COMPUTED_VALUE"""),"Tolima")</f>
        <v>Tolima</v>
      </c>
      <c r="B1145" s="9" t="str">
        <f>IFERROR(__xludf.DUMMYFUNCTION("""COMPUTED_VALUE"""),"co-tol")</f>
        <v>co-tol</v>
      </c>
      <c r="C1145" s="9" t="str">
        <f>IFERROR(__xludf.DUMMYFUNCTION("GOOGLETRANSLATE($A1145,""en"",""de"")"),"Tolima")</f>
        <v>Tolima</v>
      </c>
      <c r="D1145" s="9" t="str">
        <f>IFERROR(__xludf.DUMMYFUNCTION("GOOGLETRANSLATE($A1145,""en"",""fr"")"),"Tolima")</f>
        <v>Tolima</v>
      </c>
      <c r="E1145" s="9" t="str">
        <f>IFERROR(__xludf.DUMMYFUNCTION("GOOGLETRANSLATE($A1145,""en"",""es"")"),"Tolima")</f>
        <v>Tolima</v>
      </c>
      <c r="F1145" s="9" t="str">
        <f>IFERROR(__xludf.DUMMYFUNCTION("GOOGLETRANSLATE($A1145,""en"",""it"")"),"Tolima")</f>
        <v>Tolima</v>
      </c>
      <c r="G1145" s="9" t="str">
        <f>IFERROR(__xludf.DUMMYFUNCTION("GOOGLETRANSLATE($A1145,""en"",""zh-cn"")"),"托利马")</f>
        <v>托利马</v>
      </c>
      <c r="H1145" s="9" t="str">
        <f>IFERROR(__xludf.DUMMYFUNCTION("GOOGLETRANSLATE($A1145,""en"",""ja"")"),"トリマ")</f>
        <v>トリマ</v>
      </c>
      <c r="I1145" s="9" t="str">
        <f>IFERROR(__xludf.DUMMYFUNCTION("GOOGLETRANSLATE($A1145,""en"",""ko"")"),"톨리마")</f>
        <v>톨리마</v>
      </c>
      <c r="J1145" s="9" t="str">
        <f>IFERROR(__xludf.DUMMYFUNCTION("GOOGLETRANSLATE($A1145,""en"",""pt-BR"")"),"Tolima")</f>
        <v>Tolima</v>
      </c>
    </row>
    <row r="1146">
      <c r="A1146" s="9" t="str">
        <f>IFERROR(__xludf.DUMMYFUNCTION("""COMPUTED_VALUE"""),"Meta")</f>
        <v>Meta</v>
      </c>
      <c r="B1146" s="9" t="str">
        <f>IFERROR(__xludf.DUMMYFUNCTION("""COMPUTED_VALUE"""),"co-met")</f>
        <v>co-met</v>
      </c>
      <c r="C1146" s="9" t="str">
        <f>IFERROR(__xludf.DUMMYFUNCTION("GOOGLETRANSLATE($A1146,""en"",""de"")"),"Meta")</f>
        <v>Meta</v>
      </c>
      <c r="D1146" s="9" t="str">
        <f>IFERROR(__xludf.DUMMYFUNCTION("GOOGLETRANSLATE($A1146,""en"",""fr"")"),"Méta")</f>
        <v>Méta</v>
      </c>
      <c r="E1146" s="9" t="str">
        <f>IFERROR(__xludf.DUMMYFUNCTION("GOOGLETRANSLATE($A1146,""en"",""es"")"),"Meta")</f>
        <v>Meta</v>
      </c>
      <c r="F1146" s="9" t="str">
        <f>IFERROR(__xludf.DUMMYFUNCTION("GOOGLETRANSLATE($A1146,""en"",""it"")"),"Meta")</f>
        <v>Meta</v>
      </c>
      <c r="G1146" s="9" t="str">
        <f>IFERROR(__xludf.DUMMYFUNCTION("GOOGLETRANSLATE($A1146,""en"",""zh-cn"")"),"元")</f>
        <v>元</v>
      </c>
      <c r="H1146" s="9" t="str">
        <f>IFERROR(__xludf.DUMMYFUNCTION("GOOGLETRANSLATE($A1146,""en"",""ja"")"),"メタ")</f>
        <v>メタ</v>
      </c>
      <c r="I1146" s="9" t="str">
        <f>IFERROR(__xludf.DUMMYFUNCTION("GOOGLETRANSLATE($A1146,""en"",""ko"")"),"메타")</f>
        <v>메타</v>
      </c>
      <c r="J1146" s="9" t="str">
        <f>IFERROR(__xludf.DUMMYFUNCTION("GOOGLETRANSLATE($A1146,""en"",""pt-BR"")"),"meta")</f>
        <v>meta</v>
      </c>
    </row>
    <row r="1147">
      <c r="A1147" s="9" t="str">
        <f>IFERROR(__xludf.DUMMYFUNCTION("""COMPUTED_VALUE"""),"Nariño")</f>
        <v>Nariño</v>
      </c>
      <c r="B1147" s="9" t="str">
        <f>IFERROR(__xludf.DUMMYFUNCTION("""COMPUTED_VALUE"""),"co-nar")</f>
        <v>co-nar</v>
      </c>
      <c r="C1147" s="9" t="str">
        <f>IFERROR(__xludf.DUMMYFUNCTION("GOOGLETRANSLATE($A1147,""en"",""de"")"),"Nariño")</f>
        <v>Nariño</v>
      </c>
      <c r="D1147" s="9" t="str">
        <f>IFERROR(__xludf.DUMMYFUNCTION("GOOGLETRANSLATE($A1147,""en"",""fr"")"),"Narino")</f>
        <v>Narino</v>
      </c>
      <c r="E1147" s="9" t="str">
        <f>IFERROR(__xludf.DUMMYFUNCTION("GOOGLETRANSLATE($A1147,""en"",""es"")"),"Nariño")</f>
        <v>Nariño</v>
      </c>
      <c r="F1147" s="9" t="str">
        <f>IFERROR(__xludf.DUMMYFUNCTION("GOOGLETRANSLATE($A1147,""en"",""it"")"),"Narino")</f>
        <v>Narino</v>
      </c>
      <c r="G1147" s="9" t="str">
        <f>IFERROR(__xludf.DUMMYFUNCTION("GOOGLETRANSLATE($A1147,""en"",""zh-cn"")"),"纳里尼奥")</f>
        <v>纳里尼奥</v>
      </c>
      <c r="H1147" s="9" t="str">
        <f>IFERROR(__xludf.DUMMYFUNCTION("GOOGLETRANSLATE($A1147,""en"",""ja"")"),"ナリーニョ")</f>
        <v>ナリーニョ</v>
      </c>
      <c r="I1147" s="9" t="str">
        <f>IFERROR(__xludf.DUMMYFUNCTION("GOOGLETRANSLATE($A1147,""en"",""ko"")"),"나리뇨")</f>
        <v>나리뇨</v>
      </c>
      <c r="J1147" s="9" t="str">
        <f>IFERROR(__xludf.DUMMYFUNCTION("GOOGLETRANSLATE($A1147,""en"",""pt-BR"")"),"Nariño")</f>
        <v>Nariño</v>
      </c>
    </row>
    <row r="1148">
      <c r="A1148" s="9" t="str">
        <f>IFERROR(__xludf.DUMMYFUNCTION("""COMPUTED_VALUE"""),"Córdoba (CO)")</f>
        <v>Córdoba (CO)</v>
      </c>
      <c r="B1148" s="9" t="str">
        <f>IFERROR(__xludf.DUMMYFUNCTION("""COMPUTED_VALUE"""),"co-cor")</f>
        <v>co-cor</v>
      </c>
      <c r="C1148" s="9" t="str">
        <f>IFERROR(__xludf.DUMMYFUNCTION("GOOGLETRANSLATE($A1148,""en"",""de"")"),"Córdoba (CO)")</f>
        <v>Córdoba (CO)</v>
      </c>
      <c r="D1148" s="9" t="str">
        <f>IFERROR(__xludf.DUMMYFUNCTION("GOOGLETRANSLATE($A1148,""en"",""fr"")"),"Cordoue (CO)")</f>
        <v>Cordoue (CO)</v>
      </c>
      <c r="E1148" s="9" t="str">
        <f>IFERROR(__xludf.DUMMYFUNCTION("GOOGLETRANSLATE($A1148,""en"",""es"")"),"Córdoba (CO)")</f>
        <v>Córdoba (CO)</v>
      </c>
      <c r="F1148" s="9" t="str">
        <f>IFERROR(__xludf.DUMMYFUNCTION("GOOGLETRANSLATE($A1148,""en"",""it"")"),"Cordova (CO)")</f>
        <v>Cordova (CO)</v>
      </c>
      <c r="G1148" s="9" t="str">
        <f>IFERROR(__xludf.DUMMYFUNCTION("GOOGLETRANSLATE($A1148,""en"",""zh-cn"")"),"科尔多瓦 (CO)")</f>
        <v>科尔多瓦 (CO)</v>
      </c>
      <c r="H1148" s="9" t="str">
        <f>IFERROR(__xludf.DUMMYFUNCTION("GOOGLETRANSLATE($A1148,""en"",""ja"")"),"コルドバ (コロラド州)")</f>
        <v>コルドバ (コロラド州)</v>
      </c>
      <c r="I1148" s="9" t="str">
        <f>IFERROR(__xludf.DUMMYFUNCTION("GOOGLETRANSLATE($A1148,""en"",""ko"")"),"코르도바(CO)")</f>
        <v>코르도바(CO)</v>
      </c>
      <c r="J1148" s="9" t="str">
        <f>IFERROR(__xludf.DUMMYFUNCTION("GOOGLETRANSLATE($A1148,""en"",""pt-BR"")"),"Córdoba (CO)")</f>
        <v>Córdoba (CO)</v>
      </c>
    </row>
    <row r="1149">
      <c r="A1149" s="9" t="str">
        <f>IFERROR(__xludf.DUMMYFUNCTION("""COMPUTED_VALUE"""),"Putumayo")</f>
        <v>Putumayo</v>
      </c>
      <c r="B1149" s="9" t="str">
        <f>IFERROR(__xludf.DUMMYFUNCTION("""COMPUTED_VALUE"""),"co-put")</f>
        <v>co-put</v>
      </c>
      <c r="C1149" s="9" t="str">
        <f>IFERROR(__xludf.DUMMYFUNCTION("GOOGLETRANSLATE($A1149,""en"",""de"")"),"Putumayo")</f>
        <v>Putumayo</v>
      </c>
      <c r="D1149" s="9" t="str">
        <f>IFERROR(__xludf.DUMMYFUNCTION("GOOGLETRANSLATE($A1149,""en"",""fr"")"),"Putumayo")</f>
        <v>Putumayo</v>
      </c>
      <c r="E1149" s="9" t="str">
        <f>IFERROR(__xludf.DUMMYFUNCTION("GOOGLETRANSLATE($A1149,""en"",""es"")"),"Putumayo")</f>
        <v>Putumayo</v>
      </c>
      <c r="F1149" s="9" t="str">
        <f>IFERROR(__xludf.DUMMYFUNCTION("GOOGLETRANSLATE($A1149,""en"",""it"")"),"Putumayo")</f>
        <v>Putumayo</v>
      </c>
      <c r="G1149" s="9" t="str">
        <f>IFERROR(__xludf.DUMMYFUNCTION("GOOGLETRANSLATE($A1149,""en"",""zh-cn"")"),"普图马约")</f>
        <v>普图马约</v>
      </c>
      <c r="H1149" s="9" t="str">
        <f>IFERROR(__xludf.DUMMYFUNCTION("GOOGLETRANSLATE($A1149,""en"",""ja"")"),"プトゥマヨ")</f>
        <v>プトゥマヨ</v>
      </c>
      <c r="I1149" s="9" t="str">
        <f>IFERROR(__xludf.DUMMYFUNCTION("GOOGLETRANSLATE($A1149,""en"",""ko"")"),"푸투마요")</f>
        <v>푸투마요</v>
      </c>
      <c r="J1149" s="9" t="str">
        <f>IFERROR(__xludf.DUMMYFUNCTION("GOOGLETRANSLATE($A1149,""en"",""pt-BR"")"),"Putumayo")</f>
        <v>Putumayo</v>
      </c>
    </row>
    <row r="1150">
      <c r="A1150" s="9" t="str">
        <f>IFERROR(__xludf.DUMMYFUNCTION("""COMPUTED_VALUE"""),"Casanare")</f>
        <v>Casanare</v>
      </c>
      <c r="B1150" s="9" t="str">
        <f>IFERROR(__xludf.DUMMYFUNCTION("""COMPUTED_VALUE"""),"co-cas")</f>
        <v>co-cas</v>
      </c>
      <c r="C1150" s="9" t="str">
        <f>IFERROR(__xludf.DUMMYFUNCTION("GOOGLETRANSLATE($A1150,""en"",""de"")"),"Casanare")</f>
        <v>Casanare</v>
      </c>
      <c r="D1150" s="9" t="str">
        <f>IFERROR(__xludf.DUMMYFUNCTION("GOOGLETRANSLATE($A1150,""en"",""fr"")"),"Casanare")</f>
        <v>Casanare</v>
      </c>
      <c r="E1150" s="9" t="str">
        <f>IFERROR(__xludf.DUMMYFUNCTION("GOOGLETRANSLATE($A1150,""en"",""es"")"),"Casanare")</f>
        <v>Casanare</v>
      </c>
      <c r="F1150" s="9" t="str">
        <f>IFERROR(__xludf.DUMMYFUNCTION("GOOGLETRANSLATE($A1150,""en"",""it"")"),"Casanare")</f>
        <v>Casanare</v>
      </c>
      <c r="G1150" s="9" t="str">
        <f>IFERROR(__xludf.DUMMYFUNCTION("GOOGLETRANSLATE($A1150,""en"",""zh-cn"")"),"卡萨纳雷")</f>
        <v>卡萨纳雷</v>
      </c>
      <c r="H1150" s="9" t="str">
        <f>IFERROR(__xludf.DUMMYFUNCTION("GOOGLETRANSLATE($A1150,""en"",""ja"")"),"カサナレ")</f>
        <v>カサナレ</v>
      </c>
      <c r="I1150" s="9" t="str">
        <f>IFERROR(__xludf.DUMMYFUNCTION("GOOGLETRANSLATE($A1150,""en"",""ko"")"),"카사나레")</f>
        <v>카사나레</v>
      </c>
      <c r="J1150" s="9" t="str">
        <f>IFERROR(__xludf.DUMMYFUNCTION("GOOGLETRANSLATE($A1150,""en"",""pt-BR"")"),"Casanare")</f>
        <v>Casanare</v>
      </c>
    </row>
    <row r="1151">
      <c r="A1151" s="9" t="str">
        <f>IFERROR(__xludf.DUMMYFUNCTION("""COMPUTED_VALUE"""),"Cesar")</f>
        <v>Cesar</v>
      </c>
      <c r="B1151" s="9" t="str">
        <f>IFERROR(__xludf.DUMMYFUNCTION("""COMPUTED_VALUE"""),"co-ces")</f>
        <v>co-ces</v>
      </c>
      <c r="C1151" s="9" t="str">
        <f>IFERROR(__xludf.DUMMYFUNCTION("GOOGLETRANSLATE($A1151,""en"",""de"")"),"Cäsar")</f>
        <v>Cäsar</v>
      </c>
      <c r="D1151" s="9" t="str">
        <f>IFERROR(__xludf.DUMMYFUNCTION("GOOGLETRANSLATE($A1151,""en"",""fr"")"),"César")</f>
        <v>César</v>
      </c>
      <c r="E1151" s="9" t="str">
        <f>IFERROR(__xludf.DUMMYFUNCTION("GOOGLETRANSLATE($A1151,""en"",""es"")"),"César")</f>
        <v>César</v>
      </c>
      <c r="F1151" s="9" t="str">
        <f>IFERROR(__xludf.DUMMYFUNCTION("GOOGLETRANSLATE($A1151,""en"",""it"")"),"Cesare")</f>
        <v>Cesare</v>
      </c>
      <c r="G1151" s="9" t="str">
        <f>IFERROR(__xludf.DUMMYFUNCTION("GOOGLETRANSLATE($A1151,""en"",""zh-cn"")"),"塞萨尔")</f>
        <v>塞萨尔</v>
      </c>
      <c r="H1151" s="9" t="str">
        <f>IFERROR(__xludf.DUMMYFUNCTION("GOOGLETRANSLATE($A1151,""en"",""ja"")"),"セザール")</f>
        <v>セザール</v>
      </c>
      <c r="I1151" s="9" t="str">
        <f>IFERROR(__xludf.DUMMYFUNCTION("GOOGLETRANSLATE($A1151,""en"",""ko"")"),"세자르")</f>
        <v>세자르</v>
      </c>
      <c r="J1151" s="9" t="str">
        <f>IFERROR(__xludf.DUMMYFUNCTION("GOOGLETRANSLATE($A1151,""en"",""pt-BR"")"),"César")</f>
        <v>César</v>
      </c>
    </row>
    <row r="1152">
      <c r="A1152" s="9" t="str">
        <f>IFERROR(__xludf.DUMMYFUNCTION("""COMPUTED_VALUE"""),"Valle del Cauca")</f>
        <v>Valle del Cauca</v>
      </c>
      <c r="B1152" s="9" t="str">
        <f>IFERROR(__xludf.DUMMYFUNCTION("""COMPUTED_VALUE"""),"co-vac")</f>
        <v>co-vac</v>
      </c>
      <c r="C1152" s="9" t="str">
        <f>IFERROR(__xludf.DUMMYFUNCTION("GOOGLETRANSLATE($A1152,""en"",""de"")"),"Valle del Cauca")</f>
        <v>Valle del Cauca</v>
      </c>
      <c r="D1152" s="9" t="str">
        <f>IFERROR(__xludf.DUMMYFUNCTION("GOOGLETRANSLATE($A1152,""en"",""fr"")"),"Vallée du Cauca")</f>
        <v>Vallée du Cauca</v>
      </c>
      <c r="E1152" s="9" t="str">
        <f>IFERROR(__xludf.DUMMYFUNCTION("GOOGLETRANSLATE($A1152,""en"",""es"")"),"Valle del Cauca")</f>
        <v>Valle del Cauca</v>
      </c>
      <c r="F1152" s="9" t="str">
        <f>IFERROR(__xludf.DUMMYFUNCTION("GOOGLETRANSLATE($A1152,""en"",""it"")"),"Valle del Cauca")</f>
        <v>Valle del Cauca</v>
      </c>
      <c r="G1152" s="9" t="str">
        <f>IFERROR(__xludf.DUMMYFUNCTION("GOOGLETRANSLATE($A1152,""en"",""zh-cn"")"),"考卡山谷")</f>
        <v>考卡山谷</v>
      </c>
      <c r="H1152" s="9" t="str">
        <f>IFERROR(__xludf.DUMMYFUNCTION("GOOGLETRANSLATE($A1152,""en"",""ja"")"),"バジェ デル カウカ")</f>
        <v>バジェ デル カウカ</v>
      </c>
      <c r="I1152" s="9" t="str">
        <f>IFERROR(__xludf.DUMMYFUNCTION("GOOGLETRANSLATE($A1152,""en"",""ko"")"),"발레 델 카우카")</f>
        <v>발레 델 카우카</v>
      </c>
      <c r="J1152" s="9" t="str">
        <f>IFERROR(__xludf.DUMMYFUNCTION("GOOGLETRANSLATE($A1152,""en"",""pt-BR"")"),"Vale do Cauca")</f>
        <v>Vale do Cauca</v>
      </c>
    </row>
    <row r="1153">
      <c r="A1153" s="9" t="str">
        <f>IFERROR(__xludf.DUMMYFUNCTION("""COMPUTED_VALUE"""),"Amazonas (CO)")</f>
        <v>Amazonas (CO)</v>
      </c>
      <c r="B1153" s="9" t="str">
        <f>IFERROR(__xludf.DUMMYFUNCTION("""COMPUTED_VALUE"""),"co-ama")</f>
        <v>co-ama</v>
      </c>
      <c r="C1153" s="9" t="str">
        <f>IFERROR(__xludf.DUMMYFUNCTION("GOOGLETRANSLATE($A1153,""en"",""de"")"),"Amazonas (CO)")</f>
        <v>Amazonas (CO)</v>
      </c>
      <c r="D1153" s="9" t="str">
        <f>IFERROR(__xludf.DUMMYFUNCTION("GOOGLETRANSLATE($A1153,""en"",""fr"")"),"Amazonas (CO)")</f>
        <v>Amazonas (CO)</v>
      </c>
      <c r="E1153" s="9" t="str">
        <f>IFERROR(__xludf.DUMMYFUNCTION("GOOGLETRANSLATE($A1153,""en"",""es"")"),"Amazonas (CO)")</f>
        <v>Amazonas (CO)</v>
      </c>
      <c r="F1153" s="9" t="str">
        <f>IFERROR(__xludf.DUMMYFUNCTION("GOOGLETRANSLATE($A1153,""en"",""it"")"),"Amazzonia (CO)")</f>
        <v>Amazzonia (CO)</v>
      </c>
      <c r="G1153" s="9" t="str">
        <f>IFERROR(__xludf.DUMMYFUNCTION("GOOGLETRANSLATE($A1153,""en"",""zh-cn"")"),"亚马逊 (科罗拉多州)")</f>
        <v>亚马逊 (科罗拉多州)</v>
      </c>
      <c r="H1153" s="9" t="str">
        <f>IFERROR(__xludf.DUMMYFUNCTION("GOOGLETRANSLATE($A1153,""en"",""ja"")"),"アマゾナス州（コロラド州）")</f>
        <v>アマゾナス州（コロラド州）</v>
      </c>
      <c r="I1153" s="9" t="str">
        <f>IFERROR(__xludf.DUMMYFUNCTION("GOOGLETRANSLATE($A1153,""en"",""ko"")"),"아마조나스(CO)")</f>
        <v>아마조나스(CO)</v>
      </c>
      <c r="J1153" s="9" t="str">
        <f>IFERROR(__xludf.DUMMYFUNCTION("GOOGLETRANSLATE($A1153,""en"",""pt-BR"")"),"Amazonas (CO)")</f>
        <v>Amazonas (CO)</v>
      </c>
    </row>
    <row r="1154">
      <c r="A1154" s="9" t="str">
        <f>IFERROR(__xludf.DUMMYFUNCTION("""COMPUTED_VALUE"""),"Norte de Santander")</f>
        <v>Norte de Santander</v>
      </c>
      <c r="B1154" s="9" t="str">
        <f>IFERROR(__xludf.DUMMYFUNCTION("""COMPUTED_VALUE"""),"co-nsa")</f>
        <v>co-nsa</v>
      </c>
      <c r="C1154" s="9" t="str">
        <f>IFERROR(__xludf.DUMMYFUNCTION("GOOGLETRANSLATE($A1154,""en"",""de"")"),"Norden von Santander")</f>
        <v>Norden von Santander</v>
      </c>
      <c r="D1154" s="9" t="str">
        <f>IFERROR(__xludf.DUMMYFUNCTION("GOOGLETRANSLATE($A1154,""en"",""fr"")"),"Nord de Santander")</f>
        <v>Nord de Santander</v>
      </c>
      <c r="E1154" s="9" t="str">
        <f>IFERROR(__xludf.DUMMYFUNCTION("GOOGLETRANSLATE($A1154,""en"",""es"")"),"norte de santander")</f>
        <v>norte de santander</v>
      </c>
      <c r="F1154" s="9" t="str">
        <f>IFERROR(__xludf.DUMMYFUNCTION("GOOGLETRANSLATE($A1154,""en"",""it"")"),"Nord di Santander")</f>
        <v>Nord di Santander</v>
      </c>
      <c r="G1154" s="9" t="str">
        <f>IFERROR(__xludf.DUMMYFUNCTION("GOOGLETRANSLATE($A1154,""en"",""zh-cn"")"),"北桑坦德")</f>
        <v>北桑坦德</v>
      </c>
      <c r="H1154" s="9" t="str">
        <f>IFERROR(__xludf.DUMMYFUNCTION("GOOGLETRANSLATE($A1154,""en"",""ja"")"),"ノルテ デ サンタンデール")</f>
        <v>ノルテ デ サンタンデール</v>
      </c>
      <c r="I1154" s="9" t="str">
        <f>IFERROR(__xludf.DUMMYFUNCTION("GOOGLETRANSLATE($A1154,""en"",""ko"")"),"노르테 데 산탄데르")</f>
        <v>노르테 데 산탄데르</v>
      </c>
      <c r="J1154" s="9" t="str">
        <f>IFERROR(__xludf.DUMMYFUNCTION("GOOGLETRANSLATE($A1154,""en"",""pt-BR"")"),"Norte de Santander")</f>
        <v>Norte de Santander</v>
      </c>
    </row>
    <row r="1155">
      <c r="A1155" s="9" t="str">
        <f>IFERROR(__xludf.DUMMYFUNCTION("""COMPUTED_VALUE"""),"Vaupés")</f>
        <v>Vaupés</v>
      </c>
      <c r="B1155" s="9" t="str">
        <f>IFERROR(__xludf.DUMMYFUNCTION("""COMPUTED_VALUE"""),"co-vau")</f>
        <v>co-vau</v>
      </c>
      <c r="C1155" s="9" t="str">
        <f>IFERROR(__xludf.DUMMYFUNCTION("GOOGLETRANSLATE($A1155,""en"",""de"")"),"Vaupés")</f>
        <v>Vaupés</v>
      </c>
      <c r="D1155" s="9" t="str">
        <f>IFERROR(__xludf.DUMMYFUNCTION("GOOGLETRANSLATE($A1155,""en"",""fr"")"),"Vaupés")</f>
        <v>Vaupés</v>
      </c>
      <c r="E1155" s="9" t="str">
        <f>IFERROR(__xludf.DUMMYFUNCTION("GOOGLETRANSLATE($A1155,""en"",""es"")"),"Vaupés")</f>
        <v>Vaupés</v>
      </c>
      <c r="F1155" s="9" t="str">
        <f>IFERROR(__xludf.DUMMYFUNCTION("GOOGLETRANSLATE($A1155,""en"",""it"")"),"Vaupés")</f>
        <v>Vaupés</v>
      </c>
      <c r="G1155" s="9" t="str">
        <f>IFERROR(__xludf.DUMMYFUNCTION("GOOGLETRANSLATE($A1155,""en"",""zh-cn"")"),"沃佩斯")</f>
        <v>沃佩斯</v>
      </c>
      <c r="H1155" s="9" t="str">
        <f>IFERROR(__xludf.DUMMYFUNCTION("GOOGLETRANSLATE($A1155,""en"",""ja"")"),"ヴォーペ")</f>
        <v>ヴォーペ</v>
      </c>
      <c r="I1155" s="9" t="str">
        <f>IFERROR(__xludf.DUMMYFUNCTION("GOOGLETRANSLATE($A1155,""en"",""ko"")"),"보페")</f>
        <v>보페</v>
      </c>
      <c r="J1155" s="9" t="str">
        <f>IFERROR(__xludf.DUMMYFUNCTION("GOOGLETRANSLATE($A1155,""en"",""pt-BR"")"),"Vaupés")</f>
        <v>Vaupés</v>
      </c>
    </row>
    <row r="1156">
      <c r="A1156" s="9" t="str">
        <f>IFERROR(__xludf.DUMMYFUNCTION("""COMPUTED_VALUE"""),"San Andrés, Providencia y Santa Catalina")</f>
        <v>San Andrés, Providencia y Santa Catalina</v>
      </c>
      <c r="B1156" s="9" t="str">
        <f>IFERROR(__xludf.DUMMYFUNCTION("""COMPUTED_VALUE"""),"co-sap")</f>
        <v>co-sap</v>
      </c>
      <c r="C1156" s="9" t="str">
        <f>IFERROR(__xludf.DUMMYFUNCTION("GOOGLETRANSLATE($A1156,""en"",""de"")"),"San Andrés, Providencia und Santa Catalina")</f>
        <v>San Andrés, Providencia und Santa Catalina</v>
      </c>
      <c r="D1156" s="9" t="str">
        <f>IFERROR(__xludf.DUMMYFUNCTION("GOOGLETRANSLATE($A1156,""en"",""fr"")"),"San Andrés, Providencia et Santa Catalina")</f>
        <v>San Andrés, Providencia et Santa Catalina</v>
      </c>
      <c r="E1156" s="9" t="str">
        <f>IFERROR(__xludf.DUMMYFUNCTION("GOOGLETRANSLATE($A1156,""en"",""es"")"),"San Andrés, Providencia y Santa Catalina")</f>
        <v>San Andrés, Providencia y Santa Catalina</v>
      </c>
      <c r="F1156" s="9" t="str">
        <f>IFERROR(__xludf.DUMMYFUNCTION("GOOGLETRANSLATE($A1156,""en"",""it"")"),"San Andrés, Providencia e Santa Catalina")</f>
        <v>San Andrés, Providencia e Santa Catalina</v>
      </c>
      <c r="G1156" s="9" t="str">
        <f>IFERROR(__xludf.DUMMYFUNCTION("GOOGLETRANSLATE($A1156,""en"",""zh-cn"")"),"圣安德烈斯、普罗维登西亚和圣卡塔利娜")</f>
        <v>圣安德烈斯、普罗维登西亚和圣卡塔利娜</v>
      </c>
      <c r="H1156" s="9" t="str">
        <f>IFERROR(__xludf.DUMMYFUNCTION("GOOGLETRANSLATE($A1156,""en"",""ja"")"),"サンアンドレス、プロビデンシア、サンタカタリナ")</f>
        <v>サンアンドレス、プロビデンシア、サンタカタリナ</v>
      </c>
      <c r="I1156" s="9" t="str">
        <f>IFERROR(__xludf.DUMMYFUNCTION("GOOGLETRANSLATE($A1156,""en"",""ko"")"),"산안드레스, 프로비덴시아, 산타카탈리나")</f>
        <v>산안드레스, 프로비덴시아, 산타카탈리나</v>
      </c>
      <c r="J1156" s="9" t="str">
        <f>IFERROR(__xludf.DUMMYFUNCTION("GOOGLETRANSLATE($A1156,""en"",""pt-BR"")"),"San Andrés, Providência e Santa Catalina")</f>
        <v>San Andrés, Providência e Santa Catalina</v>
      </c>
    </row>
    <row r="1157">
      <c r="A1157" s="9" t="str">
        <f>IFERROR(__xludf.DUMMYFUNCTION("""COMPUTED_VALUE"""),"Boyacá")</f>
        <v>Boyacá</v>
      </c>
      <c r="B1157" s="9" t="str">
        <f>IFERROR(__xludf.DUMMYFUNCTION("""COMPUTED_VALUE"""),"co-boy")</f>
        <v>co-boy</v>
      </c>
      <c r="C1157" s="9" t="str">
        <f>IFERROR(__xludf.DUMMYFUNCTION("GOOGLETRANSLATE($A1157,""en"",""de"")"),"Boyacá")</f>
        <v>Boyacá</v>
      </c>
      <c r="D1157" s="9" t="str">
        <f>IFERROR(__xludf.DUMMYFUNCTION("GOOGLETRANSLATE($A1157,""en"",""fr"")"),"Boyaca")</f>
        <v>Boyaca</v>
      </c>
      <c r="E1157" s="9" t="str">
        <f>IFERROR(__xludf.DUMMYFUNCTION("GOOGLETRANSLATE($A1157,""en"",""es"")"),"Boyacá")</f>
        <v>Boyacá</v>
      </c>
      <c r="F1157" s="9" t="str">
        <f>IFERROR(__xludf.DUMMYFUNCTION("GOOGLETRANSLATE($A1157,""en"",""it"")"),"Boyaca")</f>
        <v>Boyaca</v>
      </c>
      <c r="G1157" s="9" t="str">
        <f>IFERROR(__xludf.DUMMYFUNCTION("GOOGLETRANSLATE($A1157,""en"",""zh-cn"")"),"博亚卡")</f>
        <v>博亚卡</v>
      </c>
      <c r="H1157" s="9" t="str">
        <f>IFERROR(__xludf.DUMMYFUNCTION("GOOGLETRANSLATE($A1157,""en"",""ja"")"),"ボヤカ")</f>
        <v>ボヤカ</v>
      </c>
      <c r="I1157" s="9" t="str">
        <f>IFERROR(__xludf.DUMMYFUNCTION("GOOGLETRANSLATE($A1157,""en"",""ko"")"),"보야카")</f>
        <v>보야카</v>
      </c>
      <c r="J1157" s="9" t="str">
        <f>IFERROR(__xludf.DUMMYFUNCTION("GOOGLETRANSLATE($A1157,""en"",""pt-BR"")"),"Boyacá")</f>
        <v>Boyacá</v>
      </c>
    </row>
    <row r="1158">
      <c r="A1158" s="9" t="str">
        <f>IFERROR(__xludf.DUMMYFUNCTION("""COMPUTED_VALUE"""),"Santander")</f>
        <v>Santander</v>
      </c>
      <c r="B1158" s="9" t="str">
        <f>IFERROR(__xludf.DUMMYFUNCTION("""COMPUTED_VALUE"""),"co-san")</f>
        <v>co-san</v>
      </c>
      <c r="C1158" s="9" t="str">
        <f>IFERROR(__xludf.DUMMYFUNCTION("GOOGLETRANSLATE($A1158,""en"",""de"")"),"Santander")</f>
        <v>Santander</v>
      </c>
      <c r="D1158" s="9" t="str">
        <f>IFERROR(__xludf.DUMMYFUNCTION("GOOGLETRANSLATE($A1158,""en"",""fr"")"),"Santander")</f>
        <v>Santander</v>
      </c>
      <c r="E1158" s="9" t="str">
        <f>IFERROR(__xludf.DUMMYFUNCTION("GOOGLETRANSLATE($A1158,""en"",""es"")"),"Santander")</f>
        <v>Santander</v>
      </c>
      <c r="F1158" s="9" t="str">
        <f>IFERROR(__xludf.DUMMYFUNCTION("GOOGLETRANSLATE($A1158,""en"",""it"")"),"Santander")</f>
        <v>Santander</v>
      </c>
      <c r="G1158" s="9" t="str">
        <f>IFERROR(__xludf.DUMMYFUNCTION("GOOGLETRANSLATE($A1158,""en"",""zh-cn"")"),"桑坦德银行")</f>
        <v>桑坦德银行</v>
      </c>
      <c r="H1158" s="9" t="str">
        <f>IFERROR(__xludf.DUMMYFUNCTION("GOOGLETRANSLATE($A1158,""en"",""ja"")"),"サンタンデール")</f>
        <v>サンタンデール</v>
      </c>
      <c r="I1158" s="9" t="str">
        <f>IFERROR(__xludf.DUMMYFUNCTION("GOOGLETRANSLATE($A1158,""en"",""ko"")"),"산탄데르")</f>
        <v>산탄데르</v>
      </c>
      <c r="J1158" s="9" t="str">
        <f>IFERROR(__xludf.DUMMYFUNCTION("GOOGLETRANSLATE($A1158,""en"",""pt-BR"")"),"Santander")</f>
        <v>Santander</v>
      </c>
    </row>
    <row r="1159">
      <c r="A1159" s="9" t="str">
        <f>IFERROR(__xludf.DUMMYFUNCTION("""COMPUTED_VALUE"""),"Cauca")</f>
        <v>Cauca</v>
      </c>
      <c r="B1159" s="9" t="str">
        <f>IFERROR(__xludf.DUMMYFUNCTION("""COMPUTED_VALUE"""),"co-cau")</f>
        <v>co-cau</v>
      </c>
      <c r="C1159" s="9" t="str">
        <f>IFERROR(__xludf.DUMMYFUNCTION("GOOGLETRANSLATE($A1159,""en"",""de"")"),"Cauca")</f>
        <v>Cauca</v>
      </c>
      <c r="D1159" s="9" t="str">
        <f>IFERROR(__xludf.DUMMYFUNCTION("GOOGLETRANSLATE($A1159,""en"",""fr"")"),"Cauca")</f>
        <v>Cauca</v>
      </c>
      <c r="E1159" s="9" t="str">
        <f>IFERROR(__xludf.DUMMYFUNCTION("GOOGLETRANSLATE($A1159,""en"",""es"")"),"Caucas")</f>
        <v>Caucas</v>
      </c>
      <c r="F1159" s="9" t="str">
        <f>IFERROR(__xludf.DUMMYFUNCTION("GOOGLETRANSLATE($A1159,""en"",""it"")"),"Cauca")</f>
        <v>Cauca</v>
      </c>
      <c r="G1159" s="9" t="str">
        <f>IFERROR(__xludf.DUMMYFUNCTION("GOOGLETRANSLATE($A1159,""en"",""zh-cn"")"),"考卡")</f>
        <v>考卡</v>
      </c>
      <c r="H1159" s="9" t="str">
        <f>IFERROR(__xludf.DUMMYFUNCTION("GOOGLETRANSLATE($A1159,""en"",""ja"")"),"カウカ")</f>
        <v>カウカ</v>
      </c>
      <c r="I1159" s="9" t="str">
        <f>IFERROR(__xludf.DUMMYFUNCTION("GOOGLETRANSLATE($A1159,""en"",""ko"")"),"코카")</f>
        <v>코카</v>
      </c>
      <c r="J1159" s="9" t="str">
        <f>IFERROR(__xludf.DUMMYFUNCTION("GOOGLETRANSLATE($A1159,""en"",""pt-BR"")"),"Cauca")</f>
        <v>Cauca</v>
      </c>
    </row>
    <row r="1160">
      <c r="A1160" s="9" t="str">
        <f>IFERROR(__xludf.DUMMYFUNCTION("""COMPUTED_VALUE"""),"Chocó")</f>
        <v>Chocó</v>
      </c>
      <c r="B1160" s="9" t="str">
        <f>IFERROR(__xludf.DUMMYFUNCTION("""COMPUTED_VALUE"""),"co-cho")</f>
        <v>co-cho</v>
      </c>
      <c r="C1160" s="9" t="str">
        <f>IFERROR(__xludf.DUMMYFUNCTION("GOOGLETRANSLATE($A1160,""en"",""de"")"),"Choco")</f>
        <v>Choco</v>
      </c>
      <c r="D1160" s="9" t="str">
        <f>IFERROR(__xludf.DUMMYFUNCTION("GOOGLETRANSLATE($A1160,""en"",""fr"")"),"Choco")</f>
        <v>Choco</v>
      </c>
      <c r="E1160" s="9" t="str">
        <f>IFERROR(__xludf.DUMMYFUNCTION("GOOGLETRANSLATE($A1160,""en"",""es"")"),"choco")</f>
        <v>choco</v>
      </c>
      <c r="F1160" s="9" t="str">
        <f>IFERROR(__xludf.DUMMYFUNCTION("GOOGLETRANSLATE($A1160,""en"",""it"")"),"Cioccolato")</f>
        <v>Cioccolato</v>
      </c>
      <c r="G1160" s="9" t="str">
        <f>IFERROR(__xludf.DUMMYFUNCTION("GOOGLETRANSLATE($A1160,""en"",""zh-cn"")"),"乔科")</f>
        <v>乔科</v>
      </c>
      <c r="H1160" s="9" t="str">
        <f>IFERROR(__xludf.DUMMYFUNCTION("GOOGLETRANSLATE($A1160,""en"",""ja"")"),"チョコ")</f>
        <v>チョコ</v>
      </c>
      <c r="I1160" s="9" t="str">
        <f>IFERROR(__xludf.DUMMYFUNCTION("GOOGLETRANSLATE($A1160,""en"",""ko"")"),"초코")</f>
        <v>초코</v>
      </c>
      <c r="J1160" s="9" t="str">
        <f>IFERROR(__xludf.DUMMYFUNCTION("GOOGLETRANSLATE($A1160,""en"",""pt-BR"")"),"Chocó")</f>
        <v>Chocó</v>
      </c>
    </row>
    <row r="1161">
      <c r="A1161" s="9" t="str">
        <f>IFERROR(__xludf.DUMMYFUNCTION("""COMPUTED_VALUE"""),"La Guajira")</f>
        <v>La Guajira</v>
      </c>
      <c r="B1161" s="9" t="str">
        <f>IFERROR(__xludf.DUMMYFUNCTION("""COMPUTED_VALUE"""),"co-lag")</f>
        <v>co-lag</v>
      </c>
      <c r="C1161" s="9" t="str">
        <f>IFERROR(__xludf.DUMMYFUNCTION("GOOGLETRANSLATE($A1161,""en"",""de"")"),"La Guajira")</f>
        <v>La Guajira</v>
      </c>
      <c r="D1161" s="9" t="str">
        <f>IFERROR(__xludf.DUMMYFUNCTION("GOOGLETRANSLATE($A1161,""en"",""fr"")"),"La Guajira")</f>
        <v>La Guajira</v>
      </c>
      <c r="E1161" s="9" t="str">
        <f>IFERROR(__xludf.DUMMYFUNCTION("GOOGLETRANSLATE($A1161,""en"",""es"")"),"La Guajira")</f>
        <v>La Guajira</v>
      </c>
      <c r="F1161" s="9" t="str">
        <f>IFERROR(__xludf.DUMMYFUNCTION("GOOGLETRANSLATE($A1161,""en"",""it"")"),"La Guajira")</f>
        <v>La Guajira</v>
      </c>
      <c r="G1161" s="9" t="str">
        <f>IFERROR(__xludf.DUMMYFUNCTION("GOOGLETRANSLATE($A1161,""en"",""zh-cn"")"),"拉瓜希拉")</f>
        <v>拉瓜希拉</v>
      </c>
      <c r="H1161" s="9" t="str">
        <f>IFERROR(__xludf.DUMMYFUNCTION("GOOGLETRANSLATE($A1161,""en"",""ja"")"),"ラ・グアヒラ")</f>
        <v>ラ・グアヒラ</v>
      </c>
      <c r="I1161" s="9" t="str">
        <f>IFERROR(__xludf.DUMMYFUNCTION("GOOGLETRANSLATE($A1161,""en"",""ko"")"),"라 구아히라")</f>
        <v>라 구아히라</v>
      </c>
      <c r="J1161" s="9" t="str">
        <f>IFERROR(__xludf.DUMMYFUNCTION("GOOGLETRANSLATE($A1161,""en"",""pt-BR"")"),"La Guajira")</f>
        <v>La Guajira</v>
      </c>
    </row>
    <row r="1162">
      <c r="A1162" s="9" t="str">
        <f>IFERROR(__xludf.DUMMYFUNCTION("""COMPUTED_VALUE"""),"Distrito Capital de Bogotá")</f>
        <v>Distrito Capital de Bogotá</v>
      </c>
      <c r="B1162" s="9" t="str">
        <f>IFERROR(__xludf.DUMMYFUNCTION("""COMPUTED_VALUE"""),"co-dc")</f>
        <v>co-dc</v>
      </c>
      <c r="C1162" s="9" t="str">
        <f>IFERROR(__xludf.DUMMYFUNCTION("GOOGLETRANSLATE($A1162,""en"",""de"")"),"Distrito Capital de Bogotá")</f>
        <v>Distrito Capital de Bogotá</v>
      </c>
      <c r="D1162" s="9" t="str">
        <f>IFERROR(__xludf.DUMMYFUNCTION("GOOGLETRANSLATE($A1162,""en"",""fr"")"),"District Capital de Bogota")</f>
        <v>District Capital de Bogota</v>
      </c>
      <c r="E1162" s="9" t="str">
        <f>IFERROR(__xludf.DUMMYFUNCTION("GOOGLETRANSLATE($A1162,""en"",""es"")"),"Distrito Capital de Bogotá")</f>
        <v>Distrito Capital de Bogotá</v>
      </c>
      <c r="F1162" s="9" t="str">
        <f>IFERROR(__xludf.DUMMYFUNCTION("GOOGLETRANSLATE($A1162,""en"",""it"")"),"Distretto Capitale di Bogotà")</f>
        <v>Distretto Capitale di Bogotà</v>
      </c>
      <c r="G1162" s="9" t="str">
        <f>IFERROR(__xludf.DUMMYFUNCTION("GOOGLETRANSLATE($A1162,""en"",""zh-cn"")"),"波哥大首都区")</f>
        <v>波哥大首都区</v>
      </c>
      <c r="H1162" s="9" t="str">
        <f>IFERROR(__xludf.DUMMYFUNCTION("GOOGLETRANSLATE($A1162,""en"",""ja"")"),"ボゴタ首都地区")</f>
        <v>ボゴタ首都地区</v>
      </c>
      <c r="I1162" s="9" t="str">
        <f>IFERROR(__xludf.DUMMYFUNCTION("GOOGLETRANSLATE($A1162,""en"",""ko"")"),"Distrito Capital de Bogotá")</f>
        <v>Distrito Capital de Bogotá</v>
      </c>
      <c r="J1162" s="9" t="str">
        <f>IFERROR(__xludf.DUMMYFUNCTION("GOOGLETRANSLATE($A1162,""en"",""pt-BR"")"),"Distrito Capital de Bogotá")</f>
        <v>Distrito Capital de Bogotá</v>
      </c>
    </row>
    <row r="1163">
      <c r="A1163" s="9" t="str">
        <f>IFERROR(__xludf.DUMMYFUNCTION("""COMPUTED_VALUE"""),"Guaviare")</f>
        <v>Guaviare</v>
      </c>
      <c r="B1163" s="9" t="str">
        <f>IFERROR(__xludf.DUMMYFUNCTION("""COMPUTED_VALUE"""),"co-guv")</f>
        <v>co-guv</v>
      </c>
      <c r="C1163" s="9" t="str">
        <f>IFERROR(__xludf.DUMMYFUNCTION("GOOGLETRANSLATE($A1163,""en"",""de"")"),"Guaviare")</f>
        <v>Guaviare</v>
      </c>
      <c r="D1163" s="9" t="str">
        <f>IFERROR(__xludf.DUMMYFUNCTION("GOOGLETRANSLATE($A1163,""en"",""fr"")"),"Guaviare")</f>
        <v>Guaviare</v>
      </c>
      <c r="E1163" s="9" t="str">
        <f>IFERROR(__xludf.DUMMYFUNCTION("GOOGLETRANSLATE($A1163,""en"",""es"")"),"Guaviare")</f>
        <v>Guaviare</v>
      </c>
      <c r="F1163" s="9" t="str">
        <f>IFERROR(__xludf.DUMMYFUNCTION("GOOGLETRANSLATE($A1163,""en"",""it"")"),"Guaviare")</f>
        <v>Guaviare</v>
      </c>
      <c r="G1163" s="9" t="str">
        <f>IFERROR(__xludf.DUMMYFUNCTION("GOOGLETRANSLATE($A1163,""en"",""zh-cn"")"),"瓜维亚雷")</f>
        <v>瓜维亚雷</v>
      </c>
      <c r="H1163" s="9" t="str">
        <f>IFERROR(__xludf.DUMMYFUNCTION("GOOGLETRANSLATE($A1163,""en"",""ja"")"),"グアビアレ")</f>
        <v>グアビアレ</v>
      </c>
      <c r="I1163" s="9" t="str">
        <f>IFERROR(__xludf.DUMMYFUNCTION("GOOGLETRANSLATE($A1163,""en"",""ko"")"),"과비아레")</f>
        <v>과비아레</v>
      </c>
      <c r="J1163" s="9" t="str">
        <f>IFERROR(__xludf.DUMMYFUNCTION("GOOGLETRANSLATE($A1163,""en"",""pt-BR"")"),"Guaviaré")</f>
        <v>Guaviaré</v>
      </c>
    </row>
    <row r="1164">
      <c r="A1164" s="9" t="str">
        <f>IFERROR(__xludf.DUMMYFUNCTION("""COMPUTED_VALUE"""),"Guainía")</f>
        <v>Guainía</v>
      </c>
      <c r="B1164" s="9" t="str">
        <f>IFERROR(__xludf.DUMMYFUNCTION("""COMPUTED_VALUE"""),"co-gua")</f>
        <v>co-gua</v>
      </c>
      <c r="C1164" s="9" t="str">
        <f>IFERROR(__xludf.DUMMYFUNCTION("GOOGLETRANSLATE($A1164,""en"",""de"")"),"Guainía")</f>
        <v>Guainía</v>
      </c>
      <c r="D1164" s="9" t="str">
        <f>IFERROR(__xludf.DUMMYFUNCTION("GOOGLETRANSLATE($A1164,""en"",""fr"")"),"Guainía")</f>
        <v>Guainía</v>
      </c>
      <c r="E1164" s="9" t="str">
        <f>IFERROR(__xludf.DUMMYFUNCTION("GOOGLETRANSLATE($A1164,""en"",""es"")"),"Guainía")</f>
        <v>Guainía</v>
      </c>
      <c r="F1164" s="9" t="str">
        <f>IFERROR(__xludf.DUMMYFUNCTION("GOOGLETRANSLATE($A1164,""en"",""it"")"),"Guainía")</f>
        <v>Guainía</v>
      </c>
      <c r="G1164" s="9" t="str">
        <f>IFERROR(__xludf.DUMMYFUNCTION("GOOGLETRANSLATE($A1164,""en"",""zh-cn"")"),"瓜伊尼亚")</f>
        <v>瓜伊尼亚</v>
      </c>
      <c r="H1164" s="9" t="str">
        <f>IFERROR(__xludf.DUMMYFUNCTION("GOOGLETRANSLATE($A1164,""en"",""ja"")"),"グアイニア")</f>
        <v>グアイニア</v>
      </c>
      <c r="I1164" s="9" t="str">
        <f>IFERROR(__xludf.DUMMYFUNCTION("GOOGLETRANSLATE($A1164,""en"",""ko"")"),"구아이니아")</f>
        <v>구아이니아</v>
      </c>
      <c r="J1164" s="9" t="str">
        <f>IFERROR(__xludf.DUMMYFUNCTION("GOOGLETRANSLATE($A1164,""en"",""pt-BR"")"),"Guainía")</f>
        <v>Guainía</v>
      </c>
    </row>
    <row r="1165">
      <c r="A1165" s="9" t="str">
        <f>IFERROR(__xludf.DUMMYFUNCTION("""COMPUTED_VALUE"""),"Quindío")</f>
        <v>Quindío</v>
      </c>
      <c r="B1165" s="9" t="str">
        <f>IFERROR(__xludf.DUMMYFUNCTION("""COMPUTED_VALUE"""),"co-qui")</f>
        <v>co-qui</v>
      </c>
      <c r="C1165" s="9" t="str">
        <f>IFERROR(__xludf.DUMMYFUNCTION("GOOGLETRANSLATE($A1165,""en"",""de"")"),"Quindio")</f>
        <v>Quindio</v>
      </c>
      <c r="D1165" s="9" t="str">
        <f>IFERROR(__xludf.DUMMYFUNCTION("GOOGLETRANSLATE($A1165,""en"",""fr"")"),"Quindio")</f>
        <v>Quindio</v>
      </c>
      <c r="E1165" s="9" t="str">
        <f>IFERROR(__xludf.DUMMYFUNCTION("GOOGLETRANSLATE($A1165,""en"",""es"")"),"Quindío")</f>
        <v>Quindío</v>
      </c>
      <c r="F1165" s="9" t="str">
        <f>IFERROR(__xludf.DUMMYFUNCTION("GOOGLETRANSLATE($A1165,""en"",""it"")"),"Quindio")</f>
        <v>Quindio</v>
      </c>
      <c r="G1165" s="9" t="str">
        <f>IFERROR(__xludf.DUMMYFUNCTION("GOOGLETRANSLATE($A1165,""en"",""zh-cn"")"),"金迪奥")</f>
        <v>金迪奥</v>
      </c>
      <c r="H1165" s="9" t="str">
        <f>IFERROR(__xludf.DUMMYFUNCTION("GOOGLETRANSLATE($A1165,""en"",""ja"")"),"キンディオ")</f>
        <v>キンディオ</v>
      </c>
      <c r="I1165" s="9" t="str">
        <f>IFERROR(__xludf.DUMMYFUNCTION("GOOGLETRANSLATE($A1165,""en"",""ko"")"),"킨디오")</f>
        <v>킨디오</v>
      </c>
      <c r="J1165" s="9" t="str">
        <f>IFERROR(__xludf.DUMMYFUNCTION("GOOGLETRANSLATE($A1165,""en"",""pt-BR"")"),"Quindío")</f>
        <v>Quindío</v>
      </c>
    </row>
    <row r="1166">
      <c r="A1166" s="9" t="str">
        <f>IFERROR(__xludf.DUMMYFUNCTION("""COMPUTED_VALUE"""),"Vichada")</f>
        <v>Vichada</v>
      </c>
      <c r="B1166" s="9" t="str">
        <f>IFERROR(__xludf.DUMMYFUNCTION("""COMPUTED_VALUE"""),"co-vid")</f>
        <v>co-vid</v>
      </c>
      <c r="C1166" s="9" t="str">
        <f>IFERROR(__xludf.DUMMYFUNCTION("GOOGLETRANSLATE($A1166,""en"",""de"")"),"Vichada")</f>
        <v>Vichada</v>
      </c>
      <c r="D1166" s="9" t="str">
        <f>IFERROR(__xludf.DUMMYFUNCTION("GOOGLETRANSLATE($A1166,""en"",""fr"")"),"Vicada")</f>
        <v>Vicada</v>
      </c>
      <c r="E1166" s="9" t="str">
        <f>IFERROR(__xludf.DUMMYFUNCTION("GOOGLETRANSLATE($A1166,""en"",""es"")"),"vichada")</f>
        <v>vichada</v>
      </c>
      <c r="F1166" s="9" t="str">
        <f>IFERROR(__xludf.DUMMYFUNCTION("GOOGLETRANSLATE($A1166,""en"",""it"")"),"Vicada")</f>
        <v>Vicada</v>
      </c>
      <c r="G1166" s="9" t="str">
        <f>IFERROR(__xludf.DUMMYFUNCTION("GOOGLETRANSLATE($A1166,""en"",""zh-cn"")"),"维查达")</f>
        <v>维查达</v>
      </c>
      <c r="H1166" s="9" t="str">
        <f>IFERROR(__xludf.DUMMYFUNCTION("GOOGLETRANSLATE($A1166,""en"",""ja"")"),"ビチャダ")</f>
        <v>ビチャダ</v>
      </c>
      <c r="I1166" s="9" t="str">
        <f>IFERROR(__xludf.DUMMYFUNCTION("GOOGLETRANSLATE($A1166,""en"",""ko"")"),"비차다")</f>
        <v>비차다</v>
      </c>
      <c r="J1166" s="9" t="str">
        <f>IFERROR(__xludf.DUMMYFUNCTION("GOOGLETRANSLATE($A1166,""en"",""pt-BR"")"),"Vichada")</f>
        <v>Vichada</v>
      </c>
    </row>
    <row r="1167">
      <c r="A1167" s="9" t="str">
        <f>IFERROR(__xludf.DUMMYFUNCTION("""COMPUTED_VALUE"""),"Antioquia")</f>
        <v>Antioquia</v>
      </c>
      <c r="B1167" s="9" t="str">
        <f>IFERROR(__xludf.DUMMYFUNCTION("""COMPUTED_VALUE"""),"co-ant")</f>
        <v>co-ant</v>
      </c>
      <c r="C1167" s="9" t="str">
        <f>IFERROR(__xludf.DUMMYFUNCTION("GOOGLETRANSLATE($A1167,""en"",""de"")"),"Antioquia")</f>
        <v>Antioquia</v>
      </c>
      <c r="D1167" s="9" t="str">
        <f>IFERROR(__xludf.DUMMYFUNCTION("GOOGLETRANSLATE($A1167,""en"",""fr"")"),"Antioche")</f>
        <v>Antioche</v>
      </c>
      <c r="E1167" s="9" t="str">
        <f>IFERROR(__xludf.DUMMYFUNCTION("GOOGLETRANSLATE($A1167,""en"",""es"")"),"Antioquía")</f>
        <v>Antioquía</v>
      </c>
      <c r="F1167" s="9" t="str">
        <f>IFERROR(__xludf.DUMMYFUNCTION("GOOGLETRANSLATE($A1167,""en"",""it"")"),"Antiochia")</f>
        <v>Antiochia</v>
      </c>
      <c r="G1167" s="9" t="str">
        <f>IFERROR(__xludf.DUMMYFUNCTION("GOOGLETRANSLATE($A1167,""en"",""zh-cn"")"),"安蒂奥基亚")</f>
        <v>安蒂奥基亚</v>
      </c>
      <c r="H1167" s="9" t="str">
        <f>IFERROR(__xludf.DUMMYFUNCTION("GOOGLETRANSLATE($A1167,""en"",""ja"")"),"アンティオキア")</f>
        <v>アンティオキア</v>
      </c>
      <c r="I1167" s="9" t="str">
        <f>IFERROR(__xludf.DUMMYFUNCTION("GOOGLETRANSLATE($A1167,""en"",""ko"")"),"안티오키아")</f>
        <v>안티오키아</v>
      </c>
      <c r="J1167" s="9" t="str">
        <f>IFERROR(__xludf.DUMMYFUNCTION("GOOGLETRANSLATE($A1167,""en"",""pt-BR"")"),"Antioquia")</f>
        <v>Antioquia</v>
      </c>
    </row>
    <row r="1168">
      <c r="A1168" s="9" t="str">
        <f>IFERROR(__xludf.DUMMYFUNCTION("""COMPUTED_VALUE"""),"Arauca")</f>
        <v>Arauca</v>
      </c>
      <c r="B1168" s="9" t="str">
        <f>IFERROR(__xludf.DUMMYFUNCTION("""COMPUTED_VALUE"""),"co-ara")</f>
        <v>co-ara</v>
      </c>
      <c r="C1168" s="9" t="str">
        <f>IFERROR(__xludf.DUMMYFUNCTION("GOOGLETRANSLATE($A1168,""en"",""de"")"),"Arauca")</f>
        <v>Arauca</v>
      </c>
      <c r="D1168" s="9" t="str">
        <f>IFERROR(__xludf.DUMMYFUNCTION("GOOGLETRANSLATE($A1168,""en"",""fr"")"),"Arauca")</f>
        <v>Arauca</v>
      </c>
      <c r="E1168" s="9" t="str">
        <f>IFERROR(__xludf.DUMMYFUNCTION("GOOGLETRANSLATE($A1168,""en"",""es"")"),"arauca")</f>
        <v>arauca</v>
      </c>
      <c r="F1168" s="9" t="str">
        <f>IFERROR(__xludf.DUMMYFUNCTION("GOOGLETRANSLATE($A1168,""en"",""it"")"),"Arauca")</f>
        <v>Arauca</v>
      </c>
      <c r="G1168" s="9" t="str">
        <f>IFERROR(__xludf.DUMMYFUNCTION("GOOGLETRANSLATE($A1168,""en"",""zh-cn"")"),"阿劳卡")</f>
        <v>阿劳卡</v>
      </c>
      <c r="H1168" s="9" t="str">
        <f>IFERROR(__xludf.DUMMYFUNCTION("GOOGLETRANSLATE($A1168,""en"",""ja"")"),"アラウカ")</f>
        <v>アラウカ</v>
      </c>
      <c r="I1168" s="9" t="str">
        <f>IFERROR(__xludf.DUMMYFUNCTION("GOOGLETRANSLATE($A1168,""en"",""ko"")"),"아라우카")</f>
        <v>아라우카</v>
      </c>
      <c r="J1168" s="9" t="str">
        <f>IFERROR(__xludf.DUMMYFUNCTION("GOOGLETRANSLATE($A1168,""en"",""pt-BR"")"),"Arauca")</f>
        <v>Arauca</v>
      </c>
    </row>
    <row r="1169">
      <c r="A1169" s="9" t="str">
        <f>IFERROR(__xludf.DUMMYFUNCTION("""COMPUTED_VALUE"""),"Atlántico")</f>
        <v>Atlántico</v>
      </c>
      <c r="B1169" s="9" t="str">
        <f>IFERROR(__xludf.DUMMYFUNCTION("""COMPUTED_VALUE"""),"co-atl")</f>
        <v>co-atl</v>
      </c>
      <c r="C1169" s="9" t="str">
        <f>IFERROR(__xludf.DUMMYFUNCTION("GOOGLETRANSLATE($A1169,""en"",""de"")"),"Atlantico")</f>
        <v>Atlantico</v>
      </c>
      <c r="D1169" s="9" t="str">
        <f>IFERROR(__xludf.DUMMYFUNCTION("GOOGLETRANSLATE($A1169,""en"",""fr"")"),"Atlantique")</f>
        <v>Atlantique</v>
      </c>
      <c r="E1169" s="9" t="str">
        <f>IFERROR(__xludf.DUMMYFUNCTION("GOOGLETRANSLATE($A1169,""en"",""es"")"),"Atlántico")</f>
        <v>Atlántico</v>
      </c>
      <c r="F1169" s="9" t="str">
        <f>IFERROR(__xludf.DUMMYFUNCTION("GOOGLETRANSLATE($A1169,""en"",""it"")"),"Atlantico")</f>
        <v>Atlantico</v>
      </c>
      <c r="G1169" s="9" t="str">
        <f>IFERROR(__xludf.DUMMYFUNCTION("GOOGLETRANSLATE($A1169,""en"",""zh-cn"")"),"大西洋号")</f>
        <v>大西洋号</v>
      </c>
      <c r="H1169" s="9" t="str">
        <f>IFERROR(__xludf.DUMMYFUNCTION("GOOGLETRANSLATE($A1169,""en"",""ja"")"),"アトランティコ")</f>
        <v>アトランティコ</v>
      </c>
      <c r="I1169" s="9" t="str">
        <f>IFERROR(__xludf.DUMMYFUNCTION("GOOGLETRANSLATE($A1169,""en"",""ko"")"),"아틀란티코")</f>
        <v>아틀란티코</v>
      </c>
      <c r="J1169" s="9" t="str">
        <f>IFERROR(__xludf.DUMMYFUNCTION("GOOGLETRANSLATE($A1169,""en"",""pt-BR"")"),"Atlântico")</f>
        <v>Atlântico</v>
      </c>
    </row>
    <row r="1170">
      <c r="A1170" s="9" t="str">
        <f>IFERROR(__xludf.DUMMYFUNCTION("""COMPUTED_VALUE"""),"Sucre (CO)")</f>
        <v>Sucre (CO)</v>
      </c>
      <c r="B1170" s="9" t="str">
        <f>IFERROR(__xludf.DUMMYFUNCTION("""COMPUTED_VALUE"""),"co-suc")</f>
        <v>co-suc</v>
      </c>
      <c r="C1170" s="9" t="str">
        <f>IFERROR(__xludf.DUMMYFUNCTION("GOOGLETRANSLATE($A1170,""en"",""de"")"),"Sucre (CO)")</f>
        <v>Sucre (CO)</v>
      </c>
      <c r="D1170" s="9" t="str">
        <f>IFERROR(__xludf.DUMMYFUNCTION("GOOGLETRANSLATE($A1170,""en"",""fr"")"),"Sucre (CO)")</f>
        <v>Sucre (CO)</v>
      </c>
      <c r="E1170" s="9" t="str">
        <f>IFERROR(__xludf.DUMMYFUNCTION("GOOGLETRANSLATE($A1170,""en"",""es"")"),"Sucre (CO)")</f>
        <v>Sucre (CO)</v>
      </c>
      <c r="F1170" s="9" t="str">
        <f>IFERROR(__xludf.DUMMYFUNCTION("GOOGLETRANSLATE($A1170,""en"",""it"")"),"Sucre (CO)")</f>
        <v>Sucre (CO)</v>
      </c>
      <c r="G1170" s="9" t="str">
        <f>IFERROR(__xludf.DUMMYFUNCTION("GOOGLETRANSLATE($A1170,""en"",""zh-cn"")"),"苏克雷 (科罗拉多州)")</f>
        <v>苏克雷 (科罗拉多州)</v>
      </c>
      <c r="H1170" s="9" t="str">
        <f>IFERROR(__xludf.DUMMYFUNCTION("GOOGLETRANSLATE($A1170,""en"",""ja"")"),"スクレ (CO)")</f>
        <v>スクレ (CO)</v>
      </c>
      <c r="I1170" s="9" t="str">
        <f>IFERROR(__xludf.DUMMYFUNCTION("GOOGLETRANSLATE($A1170,""en"",""ko"")"),"수크레(CO)")</f>
        <v>수크레(CO)</v>
      </c>
      <c r="J1170" s="9" t="str">
        <f>IFERROR(__xludf.DUMMYFUNCTION("GOOGLETRANSLATE($A1170,""en"",""pt-BR"")"),"Sucre (CO)")</f>
        <v>Sucre (CO)</v>
      </c>
    </row>
    <row r="1171">
      <c r="A1171" s="9" t="str">
        <f>IFERROR(__xludf.DUMMYFUNCTION("""COMPUTED_VALUE"""),"Magdalena")</f>
        <v>Magdalena</v>
      </c>
      <c r="B1171" s="9" t="str">
        <f>IFERROR(__xludf.DUMMYFUNCTION("""COMPUTED_VALUE"""),"co-mag")</f>
        <v>co-mag</v>
      </c>
      <c r="C1171" s="9" t="str">
        <f>IFERROR(__xludf.DUMMYFUNCTION("GOOGLETRANSLATE($A1171,""en"",""de"")"),"Magdalena")</f>
        <v>Magdalena</v>
      </c>
      <c r="D1171" s="9" t="str">
        <f>IFERROR(__xludf.DUMMYFUNCTION("GOOGLETRANSLATE($A1171,""en"",""fr"")"),"Madeleine")</f>
        <v>Madeleine</v>
      </c>
      <c r="E1171" s="9" t="str">
        <f>IFERROR(__xludf.DUMMYFUNCTION("GOOGLETRANSLATE($A1171,""en"",""es"")"),"Magdalena")</f>
        <v>Magdalena</v>
      </c>
      <c r="F1171" s="9" t="str">
        <f>IFERROR(__xludf.DUMMYFUNCTION("GOOGLETRANSLATE($A1171,""en"",""it"")"),"Maddalena")</f>
        <v>Maddalena</v>
      </c>
      <c r="G1171" s="9" t="str">
        <f>IFERROR(__xludf.DUMMYFUNCTION("GOOGLETRANSLATE($A1171,""en"",""zh-cn"")"),"马格达莱纳")</f>
        <v>马格达莱纳</v>
      </c>
      <c r="H1171" s="9" t="str">
        <f>IFERROR(__xludf.DUMMYFUNCTION("GOOGLETRANSLATE($A1171,""en"",""ja"")"),"マグダレナ")</f>
        <v>マグダレナ</v>
      </c>
      <c r="I1171" s="9" t="str">
        <f>IFERROR(__xludf.DUMMYFUNCTION("GOOGLETRANSLATE($A1171,""en"",""ko"")"),"막달레나")</f>
        <v>막달레나</v>
      </c>
      <c r="J1171" s="9" t="str">
        <f>IFERROR(__xludf.DUMMYFUNCTION("GOOGLETRANSLATE($A1171,""en"",""pt-BR"")"),"Madalena")</f>
        <v>Madalena</v>
      </c>
    </row>
    <row r="1172">
      <c r="A1172" s="9" t="str">
        <f>IFERROR(__xludf.DUMMYFUNCTION("""COMPUTED_VALUE"""),"Caquetá")</f>
        <v>Caquetá</v>
      </c>
      <c r="B1172" s="9" t="str">
        <f>IFERROR(__xludf.DUMMYFUNCTION("""COMPUTED_VALUE"""),"co-caq")</f>
        <v>co-caq</v>
      </c>
      <c r="C1172" s="9" t="str">
        <f>IFERROR(__xludf.DUMMYFUNCTION("GOOGLETRANSLATE($A1172,""en"",""de"")"),"Caquetá")</f>
        <v>Caquetá</v>
      </c>
      <c r="D1172" s="9" t="str">
        <f>IFERROR(__xludf.DUMMYFUNCTION("GOOGLETRANSLATE($A1172,""en"",""fr"")"),"Caquetá")</f>
        <v>Caquetá</v>
      </c>
      <c r="E1172" s="9" t="str">
        <f>IFERROR(__xludf.DUMMYFUNCTION("GOOGLETRANSLATE($A1172,""en"",""es"")"),"Caquetá")</f>
        <v>Caquetá</v>
      </c>
      <c r="F1172" s="9" t="str">
        <f>IFERROR(__xludf.DUMMYFUNCTION("GOOGLETRANSLATE($A1172,""en"",""it"")"),"Caquetà")</f>
        <v>Caquetà</v>
      </c>
      <c r="G1172" s="9" t="str">
        <f>IFERROR(__xludf.DUMMYFUNCTION("GOOGLETRANSLATE($A1172,""en"",""zh-cn"")"),"卡克塔")</f>
        <v>卡克塔</v>
      </c>
      <c r="H1172" s="9" t="str">
        <f>IFERROR(__xludf.DUMMYFUNCTION("GOOGLETRANSLATE($A1172,""en"",""ja"")"),"カケタ")</f>
        <v>カケタ</v>
      </c>
      <c r="I1172" s="9" t="str">
        <f>IFERROR(__xludf.DUMMYFUNCTION("GOOGLETRANSLATE($A1172,""en"",""ko"")"),"카케타")</f>
        <v>카케타</v>
      </c>
      <c r="J1172" s="9" t="str">
        <f>IFERROR(__xludf.DUMMYFUNCTION("GOOGLETRANSLATE($A1172,""en"",""pt-BR"")"),"Caquetá")</f>
        <v>Caquetá</v>
      </c>
    </row>
    <row r="1173">
      <c r="A1173" s="9" t="str">
        <f>IFERROR(__xludf.DUMMYFUNCTION("""COMPUTED_VALUE"""),"Andjazîdja (Anjazījah)")</f>
        <v>Andjazîdja (Anjazījah)</v>
      </c>
      <c r="B1173" s="9" t="str">
        <f>IFERROR(__xludf.DUMMYFUNCTION("""COMPUTED_VALUE"""),"km-g")</f>
        <v>km-g</v>
      </c>
      <c r="C1173" s="9" t="str">
        <f>IFERROR(__xludf.DUMMYFUNCTION("GOOGLETRANSLATE($A1173,""en"",""de"")"),"Andjazîdja (Anjazījah)")</f>
        <v>Andjazîdja (Anjazījah)</v>
      </c>
      <c r="D1173" s="9" t="str">
        <f>IFERROR(__xludf.DUMMYFUNCTION("GOOGLETRANSLATE($A1173,""en"",""fr"")"),"Andjazîdja (Anjazījah)")</f>
        <v>Andjazîdja (Anjazījah)</v>
      </c>
      <c r="E1173" s="9" t="str">
        <f>IFERROR(__xludf.DUMMYFUNCTION("GOOGLETRANSLATE($A1173,""en"",""es"")"),"Andjazîdja (Anjazījah)")</f>
        <v>Andjazîdja (Anjazījah)</v>
      </c>
      <c r="F1173" s="9" t="str">
        <f>IFERROR(__xludf.DUMMYFUNCTION("GOOGLETRANSLATE($A1173,""en"",""it"")"),"Andjazîdja (Anjazījah)")</f>
        <v>Andjazîdja (Anjazījah)</v>
      </c>
      <c r="G1173" s="9" t="str">
        <f>IFERROR(__xludf.DUMMYFUNCTION("GOOGLETRANSLATE($A1173,""en"",""zh-cn"")"),"安贾齐贾 (Anjazījah)")</f>
        <v>安贾齐贾 (Anjazījah)</v>
      </c>
      <c r="H1173" s="9" t="str">
        <f>IFERROR(__xludf.DUMMYFUNCTION("GOOGLETRANSLATE($A1173,""en"",""ja"")"),"アンジャジジャ (アンジャジジャ)")</f>
        <v>アンジャジジャ (アンジャジジャ)</v>
      </c>
      <c r="I1173" s="9" t="str">
        <f>IFERROR(__xludf.DUMMYFUNCTION("GOOGLETRANSLATE($A1173,""en"",""ko"")"),"안자지자(Anjazījah)")</f>
        <v>안자지자(Anjazījah)</v>
      </c>
      <c r="J1173" s="9" t="str">
        <f>IFERROR(__xludf.DUMMYFUNCTION("GOOGLETRANSLATE($A1173,""en"",""pt-BR"")"),"Andjazîdja (Anjazījah)")</f>
        <v>Andjazîdja (Anjazījah)</v>
      </c>
    </row>
    <row r="1174">
      <c r="A1174" s="9" t="str">
        <f>IFERROR(__xludf.DUMMYFUNCTION("""COMPUTED_VALUE"""),"Moûhîlî (Mūhīlī)")</f>
        <v>Moûhîlî (Mūhīlī)</v>
      </c>
      <c r="B1174" s="9" t="str">
        <f>IFERROR(__xludf.DUMMYFUNCTION("""COMPUTED_VALUE"""),"km-m")</f>
        <v>km-m</v>
      </c>
      <c r="C1174" s="9" t="str">
        <f>IFERROR(__xludf.DUMMYFUNCTION("GOOGLETRANSLATE($A1174,""en"",""de"")"),"Moûhîlî (Mūhīlī)")</f>
        <v>Moûhîlî (Mūhīlī)</v>
      </c>
      <c r="D1174" s="9" t="str">
        <f>IFERROR(__xludf.DUMMYFUNCTION("GOOGLETRANSLATE($A1174,""en"",""fr"")"),"Moûhîlî (Mūhīlī)")</f>
        <v>Moûhîlî (Mūhīlī)</v>
      </c>
      <c r="E1174" s="9" t="str">
        <f>IFERROR(__xludf.DUMMYFUNCTION("GOOGLETRANSLATE($A1174,""en"",""es"")"),"Moûhîlî (Mūhīlī)")</f>
        <v>Moûhîlî (Mūhīlī)</v>
      </c>
      <c r="F1174" s="9" t="str">
        <f>IFERROR(__xludf.DUMMYFUNCTION("GOOGLETRANSLATE($A1174,""en"",""it"")"),"Moûhîlî (Mūhīlī)")</f>
        <v>Moûhîlî (Mūhīlī)</v>
      </c>
      <c r="G1174" s="9" t="str">
        <f>IFERROR(__xludf.DUMMYFUNCTION("GOOGLETRANSLATE($A1174,""en"",""zh-cn"")"),"穆希利 (Mūhīlī)")</f>
        <v>穆希利 (Mūhīlī)</v>
      </c>
      <c r="H1174" s="9" t="str">
        <f>IFERROR(__xludf.DUMMYFUNCTION("GOOGLETRANSLATE($A1174,""en"",""ja"")"),"ムーヒリー (ムーヒリー)")</f>
        <v>ムーヒリー (ムーヒリー)</v>
      </c>
      <c r="I1174" s="9" t="str">
        <f>IFERROR(__xludf.DUMMYFUNCTION("GOOGLETRANSLATE($A1174,""en"",""ko"")"),"Moûhîlî (Mūhīlī)")</f>
        <v>Moûhîlî (Mūhīlī)</v>
      </c>
      <c r="J1174" s="9" t="str">
        <f>IFERROR(__xludf.DUMMYFUNCTION("GOOGLETRANSLATE($A1174,""en"",""pt-BR"")"),"Moûhîlî (Mūhīlī)")</f>
        <v>Moûhîlî (Mūhīlī)</v>
      </c>
    </row>
    <row r="1175">
      <c r="A1175" s="9" t="str">
        <f>IFERROR(__xludf.DUMMYFUNCTION("""COMPUTED_VALUE"""),"Andjouân (Anjwān)")</f>
        <v>Andjouân (Anjwān)</v>
      </c>
      <c r="B1175" s="9" t="str">
        <f>IFERROR(__xludf.DUMMYFUNCTION("""COMPUTED_VALUE"""),"km-a")</f>
        <v>km-a</v>
      </c>
      <c r="C1175" s="9" t="str">
        <f>IFERROR(__xludf.DUMMYFUNCTION("GOOGLETRANSLATE($A1175,""en"",""de"")"),"Andjouân (Anjwān)")</f>
        <v>Andjouân (Anjwān)</v>
      </c>
      <c r="D1175" s="9" t="str">
        <f>IFERROR(__xludf.DUMMYFUNCTION("GOOGLETRANSLATE($A1175,""en"",""fr"")"),"Andjouân (Anjwan)")</f>
        <v>Andjouân (Anjwan)</v>
      </c>
      <c r="E1175" s="9" t="str">
        <f>IFERROR(__xludf.DUMMYFUNCTION("GOOGLETRANSLATE($A1175,""en"",""es"")"),"Andjouân (Anjwān)")</f>
        <v>Andjouân (Anjwān)</v>
      </c>
      <c r="F1175" s="9" t="str">
        <f>IFERROR(__xludf.DUMMYFUNCTION("GOOGLETRANSLATE($A1175,""en"",""it"")"),"Andjouân (Anjwan)")</f>
        <v>Andjouân (Anjwan)</v>
      </c>
      <c r="G1175" s="9" t="str">
        <f>IFERROR(__xludf.DUMMYFUNCTION("GOOGLETRANSLATE($A1175,""en"",""zh-cn"")"),"安朱安 (Anjwān)")</f>
        <v>安朱安 (Anjwān)</v>
      </c>
      <c r="H1175" s="9" t="str">
        <f>IFERROR(__xludf.DUMMYFUNCTION("GOOGLETRANSLATE($A1175,""en"",""ja"")"),"アンジュアン (アンジュワン)")</f>
        <v>アンジュアン (アンジュワン)</v>
      </c>
      <c r="I1175" s="9" t="str">
        <f>IFERROR(__xludf.DUMMYFUNCTION("GOOGLETRANSLATE($A1175,""en"",""ko"")"),"안주안(Anjwān)")</f>
        <v>안주안(Anjwān)</v>
      </c>
      <c r="J1175" s="9" t="str">
        <f>IFERROR(__xludf.DUMMYFUNCTION("GOOGLETRANSLATE($A1175,""en"",""pt-BR"")"),"Andjouân (Anjwan)")</f>
        <v>Andjouân (Anjwan)</v>
      </c>
    </row>
    <row r="1176">
      <c r="A1176" s="9" t="str">
        <f>IFERROR(__xludf.DUMMYFUNCTION("""COMPUTED_VALUE"""),"San José (CR)")</f>
        <v>San José (CR)</v>
      </c>
      <c r="B1176" s="9" t="str">
        <f>IFERROR(__xludf.DUMMYFUNCTION("""COMPUTED_VALUE"""),"cr-sj")</f>
        <v>cr-sj</v>
      </c>
      <c r="C1176" s="9" t="str">
        <f>IFERROR(__xludf.DUMMYFUNCTION("GOOGLETRANSLATE($A1176,""en"",""de"")"),"San José (CR)")</f>
        <v>San José (CR)</v>
      </c>
      <c r="D1176" s="9" t="str">
        <f>IFERROR(__xludf.DUMMYFUNCTION("GOOGLETRANSLATE($A1176,""en"",""fr"")"),"San José (CR)")</f>
        <v>San José (CR)</v>
      </c>
      <c r="E1176" s="9" t="str">
        <f>IFERROR(__xludf.DUMMYFUNCTION("GOOGLETRANSLATE($A1176,""en"",""es"")"),"San José (CR)")</f>
        <v>San José (CR)</v>
      </c>
      <c r="F1176" s="9" t="str">
        <f>IFERROR(__xludf.DUMMYFUNCTION("GOOGLETRANSLATE($A1176,""en"",""it"")"),"San José (CR)")</f>
        <v>San José (CR)</v>
      </c>
      <c r="G1176" s="9" t="str">
        <f>IFERROR(__xludf.DUMMYFUNCTION("GOOGLETRANSLATE($A1176,""en"",""zh-cn"")"),"圣何塞 (CR)")</f>
        <v>圣何塞 (CR)</v>
      </c>
      <c r="H1176" s="9" t="str">
        <f>IFERROR(__xludf.DUMMYFUNCTION("GOOGLETRANSLATE($A1176,""en"",""ja"")"),"サンホセ（CR）")</f>
        <v>サンホセ（CR）</v>
      </c>
      <c r="I1176" s="9" t="str">
        <f>IFERROR(__xludf.DUMMYFUNCTION("GOOGLETRANSLATE($A1176,""en"",""ko"")"),"산호세(CR)")</f>
        <v>산호세(CR)</v>
      </c>
      <c r="J1176" s="9" t="str">
        <f>IFERROR(__xludf.DUMMYFUNCTION("GOOGLETRANSLATE($A1176,""en"",""pt-BR"")"),"São José (CR)")</f>
        <v>São José (CR)</v>
      </c>
    </row>
    <row r="1177">
      <c r="A1177" s="9" t="str">
        <f>IFERROR(__xludf.DUMMYFUNCTION("""COMPUTED_VALUE"""),"Puntarenas")</f>
        <v>Puntarenas</v>
      </c>
      <c r="B1177" s="9" t="str">
        <f>IFERROR(__xludf.DUMMYFUNCTION("""COMPUTED_VALUE"""),"cr-p")</f>
        <v>cr-p</v>
      </c>
      <c r="C1177" s="9" t="str">
        <f>IFERROR(__xludf.DUMMYFUNCTION("GOOGLETRANSLATE($A1177,""en"",""de"")"),"Puntarenas")</f>
        <v>Puntarenas</v>
      </c>
      <c r="D1177" s="9" t="str">
        <f>IFERROR(__xludf.DUMMYFUNCTION("GOOGLETRANSLATE($A1177,""en"",""fr"")"),"Puntarenas")</f>
        <v>Puntarenas</v>
      </c>
      <c r="E1177" s="9" t="str">
        <f>IFERROR(__xludf.DUMMYFUNCTION("GOOGLETRANSLATE($A1177,""en"",""es"")"),"Puntarenas")</f>
        <v>Puntarenas</v>
      </c>
      <c r="F1177" s="9" t="str">
        <f>IFERROR(__xludf.DUMMYFUNCTION("GOOGLETRANSLATE($A1177,""en"",""it"")"),"Puntarenas")</f>
        <v>Puntarenas</v>
      </c>
      <c r="G1177" s="9" t="str">
        <f>IFERROR(__xludf.DUMMYFUNCTION("GOOGLETRANSLATE($A1177,""en"",""zh-cn"")"),"蓬塔雷纳斯")</f>
        <v>蓬塔雷纳斯</v>
      </c>
      <c r="H1177" s="9" t="str">
        <f>IFERROR(__xludf.DUMMYFUNCTION("GOOGLETRANSLATE($A1177,""en"",""ja"")"),"プンタレナス")</f>
        <v>プンタレナス</v>
      </c>
      <c r="I1177" s="9" t="str">
        <f>IFERROR(__xludf.DUMMYFUNCTION("GOOGLETRANSLATE($A1177,""en"",""ko"")"),"푼타레나스")</f>
        <v>푼타레나스</v>
      </c>
      <c r="J1177" s="9" t="str">
        <f>IFERROR(__xludf.DUMMYFUNCTION("GOOGLETRANSLATE($A1177,""en"",""pt-BR"")"),"Puntarenas")</f>
        <v>Puntarenas</v>
      </c>
    </row>
    <row r="1178">
      <c r="A1178" s="9" t="str">
        <f>IFERROR(__xludf.DUMMYFUNCTION("""COMPUTED_VALUE"""),"Alajuela")</f>
        <v>Alajuela</v>
      </c>
      <c r="B1178" s="9" t="str">
        <f>IFERROR(__xludf.DUMMYFUNCTION("""COMPUTED_VALUE"""),"cr-a")</f>
        <v>cr-a</v>
      </c>
      <c r="C1178" s="9" t="str">
        <f>IFERROR(__xludf.DUMMYFUNCTION("GOOGLETRANSLATE($A1178,""en"",""de"")"),"Alajuela")</f>
        <v>Alajuela</v>
      </c>
      <c r="D1178" s="9" t="str">
        <f>IFERROR(__xludf.DUMMYFUNCTION("GOOGLETRANSLATE($A1178,""en"",""fr"")"),"Alajuela")</f>
        <v>Alajuela</v>
      </c>
      <c r="E1178" s="9" t="str">
        <f>IFERROR(__xludf.DUMMYFUNCTION("GOOGLETRANSLATE($A1178,""en"",""es"")"),"Alajuela")</f>
        <v>Alajuela</v>
      </c>
      <c r="F1178" s="9" t="str">
        <f>IFERROR(__xludf.DUMMYFUNCTION("GOOGLETRANSLATE($A1178,""en"",""it"")"),"Alajuela")</f>
        <v>Alajuela</v>
      </c>
      <c r="G1178" s="9" t="str">
        <f>IFERROR(__xludf.DUMMYFUNCTION("GOOGLETRANSLATE($A1178,""en"",""zh-cn"")"),"阿拉胡埃拉")</f>
        <v>阿拉胡埃拉</v>
      </c>
      <c r="H1178" s="9" t="str">
        <f>IFERROR(__xludf.DUMMYFUNCTION("GOOGLETRANSLATE($A1178,""en"",""ja"")"),"アラフエラ")</f>
        <v>アラフエラ</v>
      </c>
      <c r="I1178" s="9" t="str">
        <f>IFERROR(__xludf.DUMMYFUNCTION("GOOGLETRANSLATE($A1178,""en"",""ko"")"),"알라후엘라")</f>
        <v>알라후엘라</v>
      </c>
      <c r="J1178" s="9" t="str">
        <f>IFERROR(__xludf.DUMMYFUNCTION("GOOGLETRANSLATE($A1178,""en"",""pt-BR"")"),"Alajuela")</f>
        <v>Alajuela</v>
      </c>
    </row>
    <row r="1179">
      <c r="A1179" s="9" t="str">
        <f>IFERROR(__xludf.DUMMYFUNCTION("""COMPUTED_VALUE"""),"Guanacaste")</f>
        <v>Guanacaste</v>
      </c>
      <c r="B1179" s="9" t="str">
        <f>IFERROR(__xludf.DUMMYFUNCTION("""COMPUTED_VALUE"""),"cr-g")</f>
        <v>cr-g</v>
      </c>
      <c r="C1179" s="9" t="str">
        <f>IFERROR(__xludf.DUMMYFUNCTION("GOOGLETRANSLATE($A1179,""en"",""de"")"),"Guanacaste")</f>
        <v>Guanacaste</v>
      </c>
      <c r="D1179" s="9" t="str">
        <f>IFERROR(__xludf.DUMMYFUNCTION("GOOGLETRANSLATE($A1179,""en"",""fr"")"),"Guanacaste")</f>
        <v>Guanacaste</v>
      </c>
      <c r="E1179" s="9" t="str">
        <f>IFERROR(__xludf.DUMMYFUNCTION("GOOGLETRANSLATE($A1179,""en"",""es"")"),"Guanacaste")</f>
        <v>Guanacaste</v>
      </c>
      <c r="F1179" s="9" t="str">
        <f>IFERROR(__xludf.DUMMYFUNCTION("GOOGLETRANSLATE($A1179,""en"",""it"")"),"Guanacaste")</f>
        <v>Guanacaste</v>
      </c>
      <c r="G1179" s="9" t="str">
        <f>IFERROR(__xludf.DUMMYFUNCTION("GOOGLETRANSLATE($A1179,""en"",""zh-cn"")"),"瓜纳卡斯特")</f>
        <v>瓜纳卡斯特</v>
      </c>
      <c r="H1179" s="9" t="str">
        <f>IFERROR(__xludf.DUMMYFUNCTION("GOOGLETRANSLATE($A1179,""en"",""ja"")"),"グアナカステ")</f>
        <v>グアナカステ</v>
      </c>
      <c r="I1179" s="9" t="str">
        <f>IFERROR(__xludf.DUMMYFUNCTION("GOOGLETRANSLATE($A1179,""en"",""ko"")"),"과나카스테")</f>
        <v>과나카스테</v>
      </c>
      <c r="J1179" s="9" t="str">
        <f>IFERROR(__xludf.DUMMYFUNCTION("GOOGLETRANSLATE($A1179,""en"",""pt-BR"")"),"Guanacaste")</f>
        <v>Guanacaste</v>
      </c>
    </row>
    <row r="1180">
      <c r="A1180" s="9" t="str">
        <f>IFERROR(__xludf.DUMMYFUNCTION("""COMPUTED_VALUE"""),"Limón")</f>
        <v>Limón</v>
      </c>
      <c r="B1180" s="9" t="str">
        <f>IFERROR(__xludf.DUMMYFUNCTION("""COMPUTED_VALUE"""),"cr-l")</f>
        <v>cr-l</v>
      </c>
      <c r="C1180" s="9" t="str">
        <f>IFERROR(__xludf.DUMMYFUNCTION("GOOGLETRANSLATE($A1180,""en"",""de"")"),"Limón")</f>
        <v>Limón</v>
      </c>
      <c r="D1180" s="9" t="str">
        <f>IFERROR(__xludf.DUMMYFUNCTION("GOOGLETRANSLATE($A1180,""en"",""fr"")"),"citron")</f>
        <v>citron</v>
      </c>
      <c r="E1180" s="9" t="str">
        <f>IFERROR(__xludf.DUMMYFUNCTION("GOOGLETRANSLATE($A1180,""en"",""es"")"),"limon")</f>
        <v>limon</v>
      </c>
      <c r="F1180" s="9" t="str">
        <f>IFERROR(__xludf.DUMMYFUNCTION("GOOGLETRANSLATE($A1180,""en"",""it"")"),"Limon")</f>
        <v>Limon</v>
      </c>
      <c r="G1180" s="9" t="str">
        <f>IFERROR(__xludf.DUMMYFUNCTION("GOOGLETRANSLATE($A1180,""en"",""zh-cn"")"),"柠檬")</f>
        <v>柠檬</v>
      </c>
      <c r="H1180" s="9" t="str">
        <f>IFERROR(__xludf.DUMMYFUNCTION("GOOGLETRANSLATE($A1180,""en"",""ja"")"),"リモン")</f>
        <v>リモン</v>
      </c>
      <c r="I1180" s="9" t="str">
        <f>IFERROR(__xludf.DUMMYFUNCTION("GOOGLETRANSLATE($A1180,""en"",""ko"")"),"리몬")</f>
        <v>리몬</v>
      </c>
      <c r="J1180" s="9" t="str">
        <f>IFERROR(__xludf.DUMMYFUNCTION("GOOGLETRANSLATE($A1180,""en"",""pt-BR"")"),"Limão")</f>
        <v>Limão</v>
      </c>
    </row>
    <row r="1181">
      <c r="A1181" s="9" t="str">
        <f>IFERROR(__xludf.DUMMYFUNCTION("""COMPUTED_VALUE"""),"Cartago")</f>
        <v>Cartago</v>
      </c>
      <c r="B1181" s="9" t="str">
        <f>IFERROR(__xludf.DUMMYFUNCTION("""COMPUTED_VALUE"""),"cr-c")</f>
        <v>cr-c</v>
      </c>
      <c r="C1181" s="9" t="str">
        <f>IFERROR(__xludf.DUMMYFUNCTION("GOOGLETRANSLATE($A1181,""en"",""de"")"),"Cartago")</f>
        <v>Cartago</v>
      </c>
      <c r="D1181" s="9" t="str">
        <f>IFERROR(__xludf.DUMMYFUNCTION("GOOGLETRANSLATE($A1181,""en"",""fr"")"),"Cartago")</f>
        <v>Cartago</v>
      </c>
      <c r="E1181" s="9" t="str">
        <f>IFERROR(__xludf.DUMMYFUNCTION("GOOGLETRANSLATE($A1181,""en"",""es"")"),"Cartago")</f>
        <v>Cartago</v>
      </c>
      <c r="F1181" s="9" t="str">
        <f>IFERROR(__xludf.DUMMYFUNCTION("GOOGLETRANSLATE($A1181,""en"",""it"")"),"Cartago")</f>
        <v>Cartago</v>
      </c>
      <c r="G1181" s="9" t="str">
        <f>IFERROR(__xludf.DUMMYFUNCTION("GOOGLETRANSLATE($A1181,""en"",""zh-cn"")"),"卡塔戈")</f>
        <v>卡塔戈</v>
      </c>
      <c r="H1181" s="9" t="str">
        <f>IFERROR(__xludf.DUMMYFUNCTION("GOOGLETRANSLATE($A1181,""en"",""ja"")"),"カルタゴ")</f>
        <v>カルタゴ</v>
      </c>
      <c r="I1181" s="9" t="str">
        <f>IFERROR(__xludf.DUMMYFUNCTION("GOOGLETRANSLATE($A1181,""en"",""ko"")"),"카르타고")</f>
        <v>카르타고</v>
      </c>
      <c r="J1181" s="9" t="str">
        <f>IFERROR(__xludf.DUMMYFUNCTION("GOOGLETRANSLATE($A1181,""en"",""pt-BR"")"),"Cartago")</f>
        <v>Cartago</v>
      </c>
    </row>
    <row r="1182">
      <c r="A1182" s="9" t="str">
        <f>IFERROR(__xludf.DUMMYFUNCTION("""COMPUTED_VALUE"""),"Heredia")</f>
        <v>Heredia</v>
      </c>
      <c r="B1182" s="9" t="str">
        <f>IFERROR(__xludf.DUMMYFUNCTION("""COMPUTED_VALUE"""),"cr-h")</f>
        <v>cr-h</v>
      </c>
      <c r="C1182" s="9" t="str">
        <f>IFERROR(__xludf.DUMMYFUNCTION("GOOGLETRANSLATE($A1182,""en"",""de"")"),"Heredia")</f>
        <v>Heredia</v>
      </c>
      <c r="D1182" s="9" t="str">
        <f>IFERROR(__xludf.DUMMYFUNCTION("GOOGLETRANSLATE($A1182,""en"",""fr"")"),"Hérédia")</f>
        <v>Hérédia</v>
      </c>
      <c r="E1182" s="9" t="str">
        <f>IFERROR(__xludf.DUMMYFUNCTION("GOOGLETRANSLATE($A1182,""en"",""es"")"),"Heredia")</f>
        <v>Heredia</v>
      </c>
      <c r="F1182" s="9" t="str">
        <f>IFERROR(__xludf.DUMMYFUNCTION("GOOGLETRANSLATE($A1182,""en"",""it"")"),"Heredia")</f>
        <v>Heredia</v>
      </c>
      <c r="G1182" s="9" t="str">
        <f>IFERROR(__xludf.DUMMYFUNCTION("GOOGLETRANSLATE($A1182,""en"",""zh-cn"")"),"埃雷迪亚")</f>
        <v>埃雷迪亚</v>
      </c>
      <c r="H1182" s="9" t="str">
        <f>IFERROR(__xludf.DUMMYFUNCTION("GOOGLETRANSLATE($A1182,""en"",""ja"")"),"エレディア")</f>
        <v>エレディア</v>
      </c>
      <c r="I1182" s="9" t="str">
        <f>IFERROR(__xludf.DUMMYFUNCTION("GOOGLETRANSLATE($A1182,""en"",""ko"")"),"헤레디아")</f>
        <v>헤레디아</v>
      </c>
      <c r="J1182" s="9" t="str">
        <f>IFERROR(__xludf.DUMMYFUNCTION("GOOGLETRANSLATE($A1182,""en"",""pt-BR"")"),"Heredia")</f>
        <v>Heredia</v>
      </c>
    </row>
    <row r="1183">
      <c r="A1183" s="9" t="str">
        <f>IFERROR(__xludf.DUMMYFUNCTION("""COMPUTED_VALUE"""),"Savanes (Région des)")</f>
        <v>Savanes (Région des)</v>
      </c>
      <c r="B1183" s="9" t="str">
        <f>IFERROR(__xludf.DUMMYFUNCTION("""COMPUTED_VALUE"""),"ci-03")</f>
        <v>ci-03</v>
      </c>
      <c r="C1183" s="9" t="str">
        <f>IFERROR(__xludf.DUMMYFUNCTION("GOOGLETRANSLATE($A1183,""en"",""de"")"),"Savanes (Region des)")</f>
        <v>Savanes (Region des)</v>
      </c>
      <c r="D1183" s="9" t="str">
        <f>IFERROR(__xludf.DUMMYFUNCTION("GOOGLETRANSLATE($A1183,""en"",""fr"")"),"Savanes (Région des)")</f>
        <v>Savanes (Région des)</v>
      </c>
      <c r="E1183" s="9" t="str">
        <f>IFERROR(__xludf.DUMMYFUNCTION("GOOGLETRANSLATE($A1183,""en"",""es"")"),"Savanes (Región de)")</f>
        <v>Savanes (Región de)</v>
      </c>
      <c r="F1183" s="9" t="str">
        <f>IFERROR(__xludf.DUMMYFUNCTION("GOOGLETRANSLATE($A1183,""en"",""it"")"),"Savanes (Regione des)")</f>
        <v>Savanes (Regione des)</v>
      </c>
      <c r="G1183" s="9" t="str">
        <f>IFERROR(__xludf.DUMMYFUNCTION("GOOGLETRANSLATE($A1183,""en"",""zh-cn"")"),"萨瓦讷 (Région des)")</f>
        <v>萨瓦讷 (Région des)</v>
      </c>
      <c r="H1183" s="9" t="str">
        <f>IFERROR(__xludf.DUMMYFUNCTION("GOOGLETRANSLATE($A1183,""en"",""ja"")"),"サバンヌ (レジョン デ)")</f>
        <v>サバンヌ (レジョン デ)</v>
      </c>
      <c r="I1183" s="9" t="str">
        <f>IFERROR(__xludf.DUMMYFUNCTION("GOOGLETRANSLATE($A1183,""en"",""ko"")"),"사바네스(Région des)")</f>
        <v>사바네스(Région des)</v>
      </c>
      <c r="J1183" s="9" t="str">
        <f>IFERROR(__xludf.DUMMYFUNCTION("GOOGLETRANSLATE($A1183,""en"",""pt-BR"")"),"Savanes (Região des)")</f>
        <v>Savanes (Região des)</v>
      </c>
    </row>
    <row r="1184">
      <c r="A1184" s="9" t="str">
        <f>IFERROR(__xludf.DUMMYFUNCTION("""COMPUTED_VALUE"""),"Moyen-Comoé (Région du)")</f>
        <v>Moyen-Comoé (Région du)</v>
      </c>
      <c r="B1184" s="9" t="str">
        <f>IFERROR(__xludf.DUMMYFUNCTION("""COMPUTED_VALUE"""),"ci-05")</f>
        <v>ci-05</v>
      </c>
      <c r="C1184" s="9" t="str">
        <f>IFERROR(__xludf.DUMMYFUNCTION("GOOGLETRANSLATE($A1184,""en"",""de"")"),"Moyen-Comoé (Region du)")</f>
        <v>Moyen-Comoé (Region du)</v>
      </c>
      <c r="D1184" s="9" t="str">
        <f>IFERROR(__xludf.DUMMYFUNCTION("GOOGLETRANSLATE($A1184,""en"",""fr"")"),"Moyen-Comoé (Région du)")</f>
        <v>Moyen-Comoé (Région du)</v>
      </c>
      <c r="E1184" s="9" t="str">
        <f>IFERROR(__xludf.DUMMYFUNCTION("GOOGLETRANSLATE($A1184,""en"",""es"")"),"Moyen-Comoé (Región del)")</f>
        <v>Moyen-Comoé (Región del)</v>
      </c>
      <c r="F1184" s="9" t="str">
        <f>IFERROR(__xludf.DUMMYFUNCTION("GOOGLETRANSLATE($A1184,""en"",""it"")"),"Moyen-Comoé (Regione del)")</f>
        <v>Moyen-Comoé (Regione del)</v>
      </c>
      <c r="G1184" s="9" t="str">
        <f>IFERROR(__xludf.DUMMYFUNCTION("GOOGLETRANSLATE($A1184,""en"",""zh-cn"")"),"中科莫埃 (Région du)")</f>
        <v>中科莫埃 (Région du)</v>
      </c>
      <c r="H1184" s="9" t="str">
        <f>IFERROR(__xludf.DUMMYFUNCTION("GOOGLETRANSLATE($A1184,""en"",""ja"")"),"モエン・コモエ (地域圏)")</f>
        <v>モエン・コモエ (地域圏)</v>
      </c>
      <c r="I1184" s="9" t="str">
        <f>IFERROR(__xludf.DUMMYFUNCTION("GOOGLETRANSLATE($A1184,""en"",""ko"")"),"모옌코모에(Region du)")</f>
        <v>모옌코모에(Region du)</v>
      </c>
      <c r="J1184" s="9" t="str">
        <f>IFERROR(__xludf.DUMMYFUNCTION("GOOGLETRANSLATE($A1184,""en"",""pt-BR"")"),"Moyen-Comoé (Região do)")</f>
        <v>Moyen-Comoé (Região do)</v>
      </c>
    </row>
    <row r="1185">
      <c r="A1185" s="9" t="str">
        <f>IFERROR(__xludf.DUMMYFUNCTION("""COMPUTED_VALUE"""),"Worodougou (Région du)")</f>
        <v>Worodougou (Région du)</v>
      </c>
      <c r="B1185" s="9" t="str">
        <f>IFERROR(__xludf.DUMMYFUNCTION("""COMPUTED_VALUE"""),"ci-14")</f>
        <v>ci-14</v>
      </c>
      <c r="C1185" s="9" t="str">
        <f>IFERROR(__xludf.DUMMYFUNCTION("GOOGLETRANSLATE($A1185,""en"",""de"")"),"Worodougou (Region du)")</f>
        <v>Worodougou (Region du)</v>
      </c>
      <c r="D1185" s="9" t="str">
        <f>IFERROR(__xludf.DUMMYFUNCTION("GOOGLETRANSLATE($A1185,""en"",""fr"")"),"Worodougou (Région du)")</f>
        <v>Worodougou (Région du)</v>
      </c>
      <c r="E1185" s="9" t="str">
        <f>IFERROR(__xludf.DUMMYFUNCTION("GOOGLETRANSLATE($A1185,""en"",""es"")"),"Worodougou (Región del)")</f>
        <v>Worodougou (Región del)</v>
      </c>
      <c r="F1185" s="9" t="str">
        <f>IFERROR(__xludf.DUMMYFUNCTION("GOOGLETRANSLATE($A1185,""en"",""it"")"),"Worodougou (Regione del)")</f>
        <v>Worodougou (Regione del)</v>
      </c>
      <c r="G1185" s="9" t="str">
        <f>IFERROR(__xludf.DUMMYFUNCTION("GOOGLETRANSLATE($A1185,""en"",""zh-cn"")"),"沃罗杜古 (Région du)")</f>
        <v>沃罗杜古 (Région du)</v>
      </c>
      <c r="H1185" s="9" t="str">
        <f>IFERROR(__xludf.DUMMYFUNCTION("GOOGLETRANSLATE($A1185,""en"",""ja"")"),"ウォロドゥグー (地域圏)")</f>
        <v>ウォロドゥグー (地域圏)</v>
      </c>
      <c r="I1185" s="9" t="str">
        <f>IFERROR(__xludf.DUMMYFUNCTION("GOOGLETRANSLATE($A1185,""en"",""ko"")"),"워로두구(Region du)")</f>
        <v>워로두구(Region du)</v>
      </c>
      <c r="J1185" s="9" t="str">
        <f>IFERROR(__xludf.DUMMYFUNCTION("GOOGLETRANSLATE($A1185,""en"",""pt-BR"")"),"Worodougou (Região do)")</f>
        <v>Worodougou (Região do)</v>
      </c>
    </row>
    <row r="1186">
      <c r="A1186" s="9" t="str">
        <f>IFERROR(__xludf.DUMMYFUNCTION("""COMPUTED_VALUE"""),"Haut-Sassandra (Région du)")</f>
        <v>Haut-Sassandra (Région du)</v>
      </c>
      <c r="B1186" s="9" t="str">
        <f>IFERROR(__xludf.DUMMYFUNCTION("""COMPUTED_VALUE"""),"ci-02")</f>
        <v>ci-02</v>
      </c>
      <c r="C1186" s="9" t="str">
        <f>IFERROR(__xludf.DUMMYFUNCTION("GOOGLETRANSLATE($A1186,""en"",""de"")"),"Haut-Sassandra (Region du)")</f>
        <v>Haut-Sassandra (Region du)</v>
      </c>
      <c r="D1186" s="9" t="str">
        <f>IFERROR(__xludf.DUMMYFUNCTION("GOOGLETRANSLATE($A1186,""en"",""fr"")"),"Haut-Sassandra (Région du)")</f>
        <v>Haut-Sassandra (Région du)</v>
      </c>
      <c r="E1186" s="9" t="str">
        <f>IFERROR(__xludf.DUMMYFUNCTION("GOOGLETRANSLATE($A1186,""en"",""es"")"),"Haut-Sassandra (Región del)")</f>
        <v>Haut-Sassandra (Región del)</v>
      </c>
      <c r="F1186" s="9" t="str">
        <f>IFERROR(__xludf.DUMMYFUNCTION("GOOGLETRANSLATE($A1186,""en"",""it"")"),"Alto Sassandra (Regione del)")</f>
        <v>Alto Sassandra (Regione del)</v>
      </c>
      <c r="G1186" s="9" t="str">
        <f>IFERROR(__xludf.DUMMYFUNCTION("GOOGLETRANSLATE($A1186,""en"",""zh-cn"")"),"上萨珊德拉 (Région du)")</f>
        <v>上萨珊德拉 (Région du)</v>
      </c>
      <c r="H1186" s="9" t="str">
        <f>IFERROR(__xludf.DUMMYFUNCTION("GOOGLETRANSLATE($A1186,""en"",""ja"")"),"オー・ササンドラ (地域圏)")</f>
        <v>オー・ササンドラ (地域圏)</v>
      </c>
      <c r="I1186" s="9" t="str">
        <f>IFERROR(__xludf.DUMMYFUNCTION("GOOGLETRANSLATE($A1186,""en"",""ko"")"),"오사산드라(Region du)")</f>
        <v>오사산드라(Region du)</v>
      </c>
      <c r="J1186" s="9" t="str">
        <f>IFERROR(__xludf.DUMMYFUNCTION("GOOGLETRANSLATE($A1186,""en"",""pt-BR"")"),"Haut-Sassandra (Região do)")</f>
        <v>Haut-Sassandra (Região do)</v>
      </c>
    </row>
    <row r="1187">
      <c r="A1187" s="9" t="str">
        <f>IFERROR(__xludf.DUMMYFUNCTION("""COMPUTED_VALUE"""),"Moyen-Cavally (Région du)")</f>
        <v>Moyen-Cavally (Région du)</v>
      </c>
      <c r="B1187" s="9" t="str">
        <f>IFERROR(__xludf.DUMMYFUNCTION("""COMPUTED_VALUE"""),"ci-19")</f>
        <v>ci-19</v>
      </c>
      <c r="C1187" s="9" t="str">
        <f>IFERROR(__xludf.DUMMYFUNCTION("GOOGLETRANSLATE($A1187,""en"",""de"")"),"Moyen-Cavally (Region du)")</f>
        <v>Moyen-Cavally (Region du)</v>
      </c>
      <c r="D1187" s="9" t="str">
        <f>IFERROR(__xludf.DUMMYFUNCTION("GOOGLETRANSLATE($A1187,""en"",""fr"")"),"Moyen-Cavally (Région du)")</f>
        <v>Moyen-Cavally (Région du)</v>
      </c>
      <c r="E1187" s="9" t="str">
        <f>IFERROR(__xludf.DUMMYFUNCTION("GOOGLETRANSLATE($A1187,""en"",""es"")"),"Moyen-Cavally (Región del)")</f>
        <v>Moyen-Cavally (Región del)</v>
      </c>
      <c r="F1187" s="9" t="str">
        <f>IFERROR(__xludf.DUMMYFUNCTION("GOOGLETRANSLATE($A1187,""en"",""it"")"),"Moyen-Cavally (Regione del)")</f>
        <v>Moyen-Cavally (Regione del)</v>
      </c>
      <c r="G1187" s="9" t="str">
        <f>IFERROR(__xludf.DUMMYFUNCTION("GOOGLETRANSLATE($A1187,""en"",""zh-cn"")"),"中卡瓦利 (Région du)")</f>
        <v>中卡瓦利 (Région du)</v>
      </c>
      <c r="H1187" s="9" t="str">
        <f>IFERROR(__xludf.DUMMYFUNCTION("GOOGLETRANSLATE($A1187,""en"",""ja"")"),"モエン＝カヴァリー (地域圏)")</f>
        <v>モエン＝カヴァリー (地域圏)</v>
      </c>
      <c r="I1187" s="9" t="str">
        <f>IFERROR(__xludf.DUMMYFUNCTION("GOOGLETRANSLATE($A1187,""en"",""ko"")"),"Moyen-Cavally(Région du)")</f>
        <v>Moyen-Cavally(Région du)</v>
      </c>
      <c r="J1187" s="9" t="str">
        <f>IFERROR(__xludf.DUMMYFUNCTION("GOOGLETRANSLATE($A1187,""en"",""pt-BR"")"),"Moyen-Cavally (Região do)")</f>
        <v>Moyen-Cavally (Região do)</v>
      </c>
    </row>
    <row r="1188">
      <c r="A1188" s="9" t="str">
        <f>IFERROR(__xludf.DUMMYFUNCTION("""COMPUTED_VALUE"""),"Bas-Sassandra (Région du)")</f>
        <v>Bas-Sassandra (Région du)</v>
      </c>
      <c r="B1188" s="9" t="str">
        <f>IFERROR(__xludf.DUMMYFUNCTION("""COMPUTED_VALUE"""),"ci-09")</f>
        <v>ci-09</v>
      </c>
      <c r="C1188" s="9" t="str">
        <f>IFERROR(__xludf.DUMMYFUNCTION("GOOGLETRANSLATE($A1188,""en"",""de"")"),"Bas-Sassandra (Region du)")</f>
        <v>Bas-Sassandra (Region du)</v>
      </c>
      <c r="D1188" s="9" t="str">
        <f>IFERROR(__xludf.DUMMYFUNCTION("GOOGLETRANSLATE($A1188,""en"",""fr"")"),"Bas-Sassandra (Région du)")</f>
        <v>Bas-Sassandra (Région du)</v>
      </c>
      <c r="E1188" s="9" t="str">
        <f>IFERROR(__xludf.DUMMYFUNCTION("GOOGLETRANSLATE($A1188,""en"",""es"")"),"Bas-Sassandra (Región del)")</f>
        <v>Bas-Sassandra (Región del)</v>
      </c>
      <c r="F1188" s="9" t="str">
        <f>IFERROR(__xludf.DUMMYFUNCTION("GOOGLETRANSLATE($A1188,""en"",""it"")"),"Basso-Sassandra (Regione del)")</f>
        <v>Basso-Sassandra (Regione del)</v>
      </c>
      <c r="G1188" s="9" t="str">
        <f>IFERROR(__xludf.DUMMYFUNCTION("GOOGLETRANSLATE($A1188,""en"",""zh-cn"")"),"Bas-Sassandra (Région du)")</f>
        <v>Bas-Sassandra (Région du)</v>
      </c>
      <c r="H1188" s="9" t="str">
        <f>IFERROR(__xludf.DUMMYFUNCTION("GOOGLETRANSLATE($A1188,""en"",""ja"")"),"バ＝ササンドラ (地域)")</f>
        <v>バ＝ササンドラ (地域)</v>
      </c>
      <c r="I1188" s="9" t="str">
        <f>IFERROR(__xludf.DUMMYFUNCTION("GOOGLETRANSLATE($A1188,""en"",""ko"")"),"바사산드라(Region du)")</f>
        <v>바사산드라(Region du)</v>
      </c>
      <c r="J1188" s="9" t="str">
        <f>IFERROR(__xludf.DUMMYFUNCTION("GOOGLETRANSLATE($A1188,""en"",""pt-BR"")"),"Bas-Sassandra (Região do)")</f>
        <v>Bas-Sassandra (Região do)</v>
      </c>
    </row>
    <row r="1189">
      <c r="A1189" s="9" t="str">
        <f>IFERROR(__xludf.DUMMYFUNCTION("""COMPUTED_VALUE"""),"Abidjan")</f>
        <v>Abidjan</v>
      </c>
      <c r="B1189" s="9" t="str">
        <f>IFERROR(__xludf.DUMMYFUNCTION("""COMPUTED_VALUE"""),"ci-ab")</f>
        <v>ci-ab</v>
      </c>
      <c r="C1189" s="9" t="str">
        <f>IFERROR(__xludf.DUMMYFUNCTION("GOOGLETRANSLATE($A1189,""en"",""de"")"),"Abidjan")</f>
        <v>Abidjan</v>
      </c>
      <c r="D1189" s="9" t="str">
        <f>IFERROR(__xludf.DUMMYFUNCTION("GOOGLETRANSLATE($A1189,""en"",""fr"")"),"Abidjan")</f>
        <v>Abidjan</v>
      </c>
      <c r="E1189" s="9" t="str">
        <f>IFERROR(__xludf.DUMMYFUNCTION("GOOGLETRANSLATE($A1189,""en"",""es"")"),"Abiyán")</f>
        <v>Abiyán</v>
      </c>
      <c r="F1189" s="9" t="str">
        <f>IFERROR(__xludf.DUMMYFUNCTION("GOOGLETRANSLATE($A1189,""en"",""it"")"),"Abidjan")</f>
        <v>Abidjan</v>
      </c>
      <c r="G1189" s="9" t="str">
        <f>IFERROR(__xludf.DUMMYFUNCTION("GOOGLETRANSLATE($A1189,""en"",""zh-cn"")"),"阿比让")</f>
        <v>阿比让</v>
      </c>
      <c r="H1189" s="9" t="str">
        <f>IFERROR(__xludf.DUMMYFUNCTION("GOOGLETRANSLATE($A1189,""en"",""ja"")"),"アビジャン")</f>
        <v>アビジャン</v>
      </c>
      <c r="I1189" s="9" t="str">
        <f>IFERROR(__xludf.DUMMYFUNCTION("GOOGLETRANSLATE($A1189,""en"",""ko"")"),"아비장")</f>
        <v>아비장</v>
      </c>
      <c r="J1189" s="9" t="str">
        <f>IFERROR(__xludf.DUMMYFUNCTION("GOOGLETRANSLATE($A1189,""en"",""pt-BR"")"),"Abidjan")</f>
        <v>Abidjan</v>
      </c>
    </row>
    <row r="1190">
      <c r="A1190" s="9" t="str">
        <f>IFERROR(__xludf.DUMMYFUNCTION("""COMPUTED_VALUE"""),"Agnébi (Région de l')")</f>
        <v>Agnébi (Région de l')</v>
      </c>
      <c r="B1190" s="9" t="str">
        <f>IFERROR(__xludf.DUMMYFUNCTION("""COMPUTED_VALUE"""),"ci-16")</f>
        <v>ci-16</v>
      </c>
      <c r="C1190" s="9" t="str">
        <f>IFERROR(__xludf.DUMMYFUNCTION("GOOGLETRANSLATE($A1190,""en"",""de"")"),"Agnébi (Region de l')")</f>
        <v>Agnébi (Region de l')</v>
      </c>
      <c r="D1190" s="9" t="str">
        <f>IFERROR(__xludf.DUMMYFUNCTION("GOOGLETRANSLATE($A1190,""en"",""fr"")"),"Agnébi (Région de l')")</f>
        <v>Agnébi (Région de l')</v>
      </c>
      <c r="E1190" s="9" t="str">
        <f>IFERROR(__xludf.DUMMYFUNCTION("GOOGLETRANSLATE($A1190,""en"",""es"")"),"Agnébi (Región de l')")</f>
        <v>Agnébi (Región de l')</v>
      </c>
      <c r="F1190" s="9" t="str">
        <f>IFERROR(__xludf.DUMMYFUNCTION("GOOGLETRANSLATE($A1190,""en"",""it"")"),"Agnébi (Regione dell')")</f>
        <v>Agnébi (Regione dell')</v>
      </c>
      <c r="G1190" s="9" t="str">
        <f>IFERROR(__xludf.DUMMYFUNCTION("GOOGLETRANSLATE($A1190,""en"",""zh-cn"")"),"Agnébi（地区）")</f>
        <v>Agnébi（地区）</v>
      </c>
      <c r="H1190" s="9" t="str">
        <f>IFERROR(__xludf.DUMMYFUNCTION("GOOGLETRANSLATE($A1190,""en"",""ja"")"),"アニェビ (地域)")</f>
        <v>アニェビ (地域)</v>
      </c>
      <c r="I1190" s="9" t="str">
        <f>IFERROR(__xludf.DUMMYFUNCTION("GOOGLETRANSLATE($A1190,""en"",""ko"")"),"아그네비(Région de l')")</f>
        <v>아그네비(Région de l')</v>
      </c>
      <c r="J1190" s="9" t="str">
        <f>IFERROR(__xludf.DUMMYFUNCTION("GOOGLETRANSLATE($A1190,""en"",""pt-BR"")"),"Agnébi (Região de l')")</f>
        <v>Agnébi (Região de l')</v>
      </c>
    </row>
    <row r="1191">
      <c r="A1191" s="9" t="str">
        <f>IFERROR(__xludf.DUMMYFUNCTION("""COMPUTED_VALUE"""),"Comoé")</f>
        <v>Comoé</v>
      </c>
      <c r="B1191" s="9" t="str">
        <f>IFERROR(__xludf.DUMMYFUNCTION("""COMPUTED_VALUE"""),"ci-cm")</f>
        <v>ci-cm</v>
      </c>
      <c r="C1191" s="9" t="str">
        <f>IFERROR(__xludf.DUMMYFUNCTION("GOOGLETRANSLATE($A1191,""en"",""de"")"),"Comoé")</f>
        <v>Comoé</v>
      </c>
      <c r="D1191" s="9" t="str">
        <f>IFERROR(__xludf.DUMMYFUNCTION("GOOGLETRANSLATE($A1191,""en"",""fr"")"),"Comoé")</f>
        <v>Comoé</v>
      </c>
      <c r="E1191" s="9" t="str">
        <f>IFERROR(__xludf.DUMMYFUNCTION("GOOGLETRANSLATE($A1191,""en"",""es"")"),"Comoé")</f>
        <v>Comoé</v>
      </c>
      <c r="F1191" s="9" t="str">
        <f>IFERROR(__xludf.DUMMYFUNCTION("GOOGLETRANSLATE($A1191,""en"",""it"")"),"Comoè")</f>
        <v>Comoè</v>
      </c>
      <c r="G1191" s="9" t="str">
        <f>IFERROR(__xludf.DUMMYFUNCTION("GOOGLETRANSLATE($A1191,""en"",""zh-cn"")"),"科莫埃")</f>
        <v>科莫埃</v>
      </c>
      <c r="H1191" s="9" t="str">
        <f>IFERROR(__xludf.DUMMYFUNCTION("GOOGLETRANSLATE($A1191,""en"",""ja"")"),"コモエ")</f>
        <v>コモエ</v>
      </c>
      <c r="I1191" s="9" t="str">
        <f>IFERROR(__xludf.DUMMYFUNCTION("GOOGLETRANSLATE($A1191,""en"",""ko"")"),"코모에")</f>
        <v>코모에</v>
      </c>
      <c r="J1191" s="9" t="str">
        <f>IFERROR(__xludf.DUMMYFUNCTION("GOOGLETRANSLATE($A1191,""en"",""pt-BR"")"),"Comoé")</f>
        <v>Comoé</v>
      </c>
    </row>
    <row r="1192">
      <c r="A1192" s="9" t="str">
        <f>IFERROR(__xludf.DUMMYFUNCTION("""COMPUTED_VALUE"""),"Bas-Sassandra")</f>
        <v>Bas-Sassandra</v>
      </c>
      <c r="B1192" s="9" t="str">
        <f>IFERROR(__xludf.DUMMYFUNCTION("""COMPUTED_VALUE"""),"ci-bs")</f>
        <v>ci-bs</v>
      </c>
      <c r="C1192" s="9" t="str">
        <f>IFERROR(__xludf.DUMMYFUNCTION("GOOGLETRANSLATE($A1192,""en"",""de"")"),"Bas-Sassandra")</f>
        <v>Bas-Sassandra</v>
      </c>
      <c r="D1192" s="9" t="str">
        <f>IFERROR(__xludf.DUMMYFUNCTION("GOOGLETRANSLATE($A1192,""en"",""fr"")"),"Bas-Sassandra")</f>
        <v>Bas-Sassandra</v>
      </c>
      <c r="E1192" s="9" t="str">
        <f>IFERROR(__xludf.DUMMYFUNCTION("GOOGLETRANSLATE($A1192,""en"",""es"")"),"Bas-Sassandra")</f>
        <v>Bas-Sassandra</v>
      </c>
      <c r="F1192" s="9" t="str">
        <f>IFERROR(__xludf.DUMMYFUNCTION("GOOGLETRANSLATE($A1192,""en"",""it"")"),"Basso-Sassandra")</f>
        <v>Basso-Sassandra</v>
      </c>
      <c r="G1192" s="9" t="str">
        <f>IFERROR(__xludf.DUMMYFUNCTION("GOOGLETRANSLATE($A1192,""en"",""zh-cn"")"),"沉香")</f>
        <v>沉香</v>
      </c>
      <c r="H1192" s="9" t="str">
        <f>IFERROR(__xludf.DUMMYFUNCTION("GOOGLETRANSLATE($A1192,""en"",""ja"")"),"バス・ササンドラ")</f>
        <v>バス・ササンドラ</v>
      </c>
      <c r="I1192" s="9" t="str">
        <f>IFERROR(__xludf.DUMMYFUNCTION("GOOGLETRANSLATE($A1192,""en"",""ko"")"),"바사산드라")</f>
        <v>바사산드라</v>
      </c>
      <c r="J1192" s="9" t="str">
        <f>IFERROR(__xludf.DUMMYFUNCTION("GOOGLETRANSLATE($A1192,""en"",""pt-BR"")"),"Bas-Sassandra")</f>
        <v>Bas-Sassandra</v>
      </c>
    </row>
    <row r="1193">
      <c r="A1193" s="9" t="str">
        <f>IFERROR(__xludf.DUMMYFUNCTION("""COMPUTED_VALUE"""),"Marahoué (Région de la)")</f>
        <v>Marahoué (Région de la)</v>
      </c>
      <c r="B1193" s="9" t="str">
        <f>IFERROR(__xludf.DUMMYFUNCTION("""COMPUTED_VALUE"""),"ci-12")</f>
        <v>ci-12</v>
      </c>
      <c r="C1193" s="9" t="str">
        <f>IFERROR(__xludf.DUMMYFUNCTION("GOOGLETRANSLATE($A1193,""en"",""de"")"),"Marahoué (Region de la)")</f>
        <v>Marahoué (Region de la)</v>
      </c>
      <c r="D1193" s="9" t="str">
        <f>IFERROR(__xludf.DUMMYFUNCTION("GOOGLETRANSLATE($A1193,""en"",""fr"")"),"Marahoué (Région de la)")</f>
        <v>Marahoué (Région de la)</v>
      </c>
      <c r="E1193" s="9" t="str">
        <f>IFERROR(__xludf.DUMMYFUNCTION("GOOGLETRANSLATE($A1193,""en"",""es"")"),"Marahoué (Región de la)")</f>
        <v>Marahoué (Región de la)</v>
      </c>
      <c r="F1193" s="9" t="str">
        <f>IFERROR(__xludf.DUMMYFUNCTION("GOOGLETRANSLATE($A1193,""en"",""it"")"),"Marahoué (Regione della)")</f>
        <v>Marahoué (Regione della)</v>
      </c>
      <c r="G1193" s="9" t="str">
        <f>IFERROR(__xludf.DUMMYFUNCTION("GOOGLETRANSLATE($A1193,""en"",""zh-cn"")"),"马拉维 (Marahoué)")</f>
        <v>马拉维 (Marahoué)</v>
      </c>
      <c r="H1193" s="9" t="str">
        <f>IFERROR(__xludf.DUMMYFUNCTION("GOOGLETRANSLATE($A1193,""en"",""ja"")"),"マラウエ (地域)")</f>
        <v>マラウエ (地域)</v>
      </c>
      <c r="I1193" s="9" t="str">
        <f>IFERROR(__xludf.DUMMYFUNCTION("GOOGLETRANSLATE($A1193,""en"",""ko"")"),"마라후에(레지옹 드 라)")</f>
        <v>마라후에(레지옹 드 라)</v>
      </c>
      <c r="J1193" s="9" t="str">
        <f>IFERROR(__xludf.DUMMYFUNCTION("GOOGLETRANSLATE($A1193,""en"",""pt-BR"")"),"Marahoué (Região de la)")</f>
        <v>Marahoué (Região de la)</v>
      </c>
    </row>
    <row r="1194">
      <c r="A1194" s="9" t="str">
        <f>IFERROR(__xludf.DUMMYFUNCTION("""COMPUTED_VALUE"""),"Zanzan")</f>
        <v>Zanzan</v>
      </c>
      <c r="B1194" s="9" t="str">
        <f>IFERROR(__xludf.DUMMYFUNCTION("""COMPUTED_VALUE"""),"ci-zz")</f>
        <v>ci-zz</v>
      </c>
      <c r="C1194" s="9" t="str">
        <f>IFERROR(__xludf.DUMMYFUNCTION("GOOGLETRANSLATE($A1194,""en"",""de"")"),"Zanzan")</f>
        <v>Zanzan</v>
      </c>
      <c r="D1194" s="9" t="str">
        <f>IFERROR(__xludf.DUMMYFUNCTION("GOOGLETRANSLATE($A1194,""en"",""fr"")"),"Zanzan")</f>
        <v>Zanzan</v>
      </c>
      <c r="E1194" s="9" t="str">
        <f>IFERROR(__xludf.DUMMYFUNCTION("GOOGLETRANSLATE($A1194,""en"",""es"")"),"Zanzán")</f>
        <v>Zanzán</v>
      </c>
      <c r="F1194" s="9" t="str">
        <f>IFERROR(__xludf.DUMMYFUNCTION("GOOGLETRANSLATE($A1194,""en"",""it"")"),"Zanzan")</f>
        <v>Zanzan</v>
      </c>
      <c r="G1194" s="9" t="str">
        <f>IFERROR(__xludf.DUMMYFUNCTION("GOOGLETRANSLATE($A1194,""en"",""zh-cn"")"),"赞赞")</f>
        <v>赞赞</v>
      </c>
      <c r="H1194" s="9" t="str">
        <f>IFERROR(__xludf.DUMMYFUNCTION("GOOGLETRANSLATE($A1194,""en"",""ja"")"),"ザンザン")</f>
        <v>ザンザン</v>
      </c>
      <c r="I1194" s="9" t="str">
        <f>IFERROR(__xludf.DUMMYFUNCTION("GOOGLETRANSLATE($A1194,""en"",""ko"")"),"잔잔")</f>
        <v>잔잔</v>
      </c>
      <c r="J1194" s="9" t="str">
        <f>IFERROR(__xludf.DUMMYFUNCTION("GOOGLETRANSLATE($A1194,""en"",""pt-BR"")"),"Zanzan")</f>
        <v>Zanzan</v>
      </c>
    </row>
    <row r="1195">
      <c r="A1195" s="9" t="str">
        <f>IFERROR(__xludf.DUMMYFUNCTION("""COMPUTED_VALUE"""),"Yamoussoukro")</f>
        <v>Yamoussoukro</v>
      </c>
      <c r="B1195" s="9" t="str">
        <f>IFERROR(__xludf.DUMMYFUNCTION("""COMPUTED_VALUE"""),"ci-ym")</f>
        <v>ci-ym</v>
      </c>
      <c r="C1195" s="9" t="str">
        <f>IFERROR(__xludf.DUMMYFUNCTION("GOOGLETRANSLATE($A1195,""en"",""de"")"),"Yamoussoukro")</f>
        <v>Yamoussoukro</v>
      </c>
      <c r="D1195" s="9" t="str">
        <f>IFERROR(__xludf.DUMMYFUNCTION("GOOGLETRANSLATE($A1195,""en"",""fr"")"),"Yamoussoukro")</f>
        <v>Yamoussoukro</v>
      </c>
      <c r="E1195" s="9" t="str">
        <f>IFERROR(__xludf.DUMMYFUNCTION("GOOGLETRANSLATE($A1195,""en"",""es"")"),"Yamusukro")</f>
        <v>Yamusukro</v>
      </c>
      <c r="F1195" s="9" t="str">
        <f>IFERROR(__xludf.DUMMYFUNCTION("GOOGLETRANSLATE($A1195,""en"",""it"")"),"Yamoussoukro")</f>
        <v>Yamoussoukro</v>
      </c>
      <c r="G1195" s="9" t="str">
        <f>IFERROR(__xludf.DUMMYFUNCTION("GOOGLETRANSLATE($A1195,""en"",""zh-cn"")"),"亚穆苏克罗")</f>
        <v>亚穆苏克罗</v>
      </c>
      <c r="H1195" s="9" t="str">
        <f>IFERROR(__xludf.DUMMYFUNCTION("GOOGLETRANSLATE($A1195,""en"",""ja"")"),"ヤムスクロ")</f>
        <v>ヤムスクロ</v>
      </c>
      <c r="I1195" s="9" t="str">
        <f>IFERROR(__xludf.DUMMYFUNCTION("GOOGLETRANSLATE($A1195,""en"",""ko"")"),"야무수크로")</f>
        <v>야무수크로</v>
      </c>
      <c r="J1195" s="9" t="str">
        <f>IFERROR(__xludf.DUMMYFUNCTION("GOOGLETRANSLATE($A1195,""en"",""pt-BR"")"),"Yamoussoukro")</f>
        <v>Yamoussoukro</v>
      </c>
    </row>
    <row r="1196">
      <c r="A1196" s="9" t="str">
        <f>IFERROR(__xludf.DUMMYFUNCTION("""COMPUTED_VALUE"""),"Woroba")</f>
        <v>Woroba</v>
      </c>
      <c r="B1196" s="9" t="str">
        <f>IFERROR(__xludf.DUMMYFUNCTION("""COMPUTED_VALUE"""),"ci-wr")</f>
        <v>ci-wr</v>
      </c>
      <c r="C1196" s="9" t="str">
        <f>IFERROR(__xludf.DUMMYFUNCTION("GOOGLETRANSLATE($A1196,""en"",""de"")"),"Woroba")</f>
        <v>Woroba</v>
      </c>
      <c r="D1196" s="9" t="str">
        <f>IFERROR(__xludf.DUMMYFUNCTION("GOOGLETRANSLATE($A1196,""en"",""fr"")"),"Woroba")</f>
        <v>Woroba</v>
      </c>
      <c r="E1196" s="9" t="str">
        <f>IFERROR(__xludf.DUMMYFUNCTION("GOOGLETRANSLATE($A1196,""en"",""es"")"),"Woroba")</f>
        <v>Woroba</v>
      </c>
      <c r="F1196" s="9" t="str">
        <f>IFERROR(__xludf.DUMMYFUNCTION("GOOGLETRANSLATE($A1196,""en"",""it"")"),"Woroba")</f>
        <v>Woroba</v>
      </c>
      <c r="G1196" s="9" t="str">
        <f>IFERROR(__xludf.DUMMYFUNCTION("GOOGLETRANSLATE($A1196,""en"",""zh-cn"")"),"沃罗巴")</f>
        <v>沃罗巴</v>
      </c>
      <c r="H1196" s="9" t="str">
        <f>IFERROR(__xludf.DUMMYFUNCTION("GOOGLETRANSLATE($A1196,""en"",""ja"")"),"ウォロバ")</f>
        <v>ウォロバ</v>
      </c>
      <c r="I1196" s="9" t="str">
        <f>IFERROR(__xludf.DUMMYFUNCTION("GOOGLETRANSLATE($A1196,""en"",""ko"")"),"워로바")</f>
        <v>워로바</v>
      </c>
      <c r="J1196" s="9" t="str">
        <f>IFERROR(__xludf.DUMMYFUNCTION("GOOGLETRANSLATE($A1196,""en"",""pt-BR"")"),"Woroba")</f>
        <v>Woroba</v>
      </c>
    </row>
    <row r="1197">
      <c r="A1197" s="9" t="str">
        <f>IFERROR(__xludf.DUMMYFUNCTION("""COMPUTED_VALUE"""),"Denguélé")</f>
        <v>Denguélé</v>
      </c>
      <c r="B1197" s="9" t="str">
        <f>IFERROR(__xludf.DUMMYFUNCTION("""COMPUTED_VALUE"""),"ci-dn")</f>
        <v>ci-dn</v>
      </c>
      <c r="C1197" s="9" t="str">
        <f>IFERROR(__xludf.DUMMYFUNCTION("GOOGLETRANSLATE($A1197,""en"",""de"")"),"Denguélé")</f>
        <v>Denguélé</v>
      </c>
      <c r="D1197" s="9" t="str">
        <f>IFERROR(__xludf.DUMMYFUNCTION("GOOGLETRANSLATE($A1197,""en"",""fr"")"),"Denguele")</f>
        <v>Denguele</v>
      </c>
      <c r="E1197" s="9" t="str">
        <f>IFERROR(__xludf.DUMMYFUNCTION("GOOGLETRANSLATE($A1197,""en"",""es"")"),"Denguelé")</f>
        <v>Denguelé</v>
      </c>
      <c r="F1197" s="9" t="str">
        <f>IFERROR(__xludf.DUMMYFUNCTION("GOOGLETRANSLATE($A1197,""en"",""it"")"),"Denguelé")</f>
        <v>Denguelé</v>
      </c>
      <c r="G1197" s="9" t="str">
        <f>IFERROR(__xludf.DUMMYFUNCTION("GOOGLETRANSLATE($A1197,""en"",""zh-cn"")"),"登盖莱")</f>
        <v>登盖莱</v>
      </c>
      <c r="H1197" s="9" t="str">
        <f>IFERROR(__xludf.DUMMYFUNCTION("GOOGLETRANSLATE($A1197,""en"",""ja"")"),"デングエレ")</f>
        <v>デングエレ</v>
      </c>
      <c r="I1197" s="9" t="str">
        <f>IFERROR(__xludf.DUMMYFUNCTION("GOOGLETRANSLATE($A1197,""en"",""ko"")"),"뎅겔레")</f>
        <v>뎅겔레</v>
      </c>
      <c r="J1197" s="9" t="str">
        <f>IFERROR(__xludf.DUMMYFUNCTION("GOOGLETRANSLATE($A1197,""en"",""pt-BR"")"),"Denguelé")</f>
        <v>Denguelé</v>
      </c>
    </row>
    <row r="1198">
      <c r="A1198" s="9" t="str">
        <f>IFERROR(__xludf.DUMMYFUNCTION("""COMPUTED_VALUE"""),"Gôh-Djiboua")</f>
        <v>Gôh-Djiboua</v>
      </c>
      <c r="B1198" s="9" t="str">
        <f>IFERROR(__xludf.DUMMYFUNCTION("""COMPUTED_VALUE"""),"ci-gd")</f>
        <v>ci-gd</v>
      </c>
      <c r="C1198" s="9" t="str">
        <f>IFERROR(__xludf.DUMMYFUNCTION("GOOGLETRANSLATE($A1198,""en"",""de"")"),"Gôh-Dschiboua")</f>
        <v>Gôh-Dschiboua</v>
      </c>
      <c r="D1198" s="9" t="str">
        <f>IFERROR(__xludf.DUMMYFUNCTION("GOOGLETRANSLATE($A1198,""en"",""fr"")"),"Gôh-Djiboua")</f>
        <v>Gôh-Djiboua</v>
      </c>
      <c r="E1198" s="9" t="str">
        <f>IFERROR(__xludf.DUMMYFUNCTION("GOOGLETRANSLATE($A1198,""en"",""es"")"),"Gôh-Djiboua")</f>
        <v>Gôh-Djiboua</v>
      </c>
      <c r="F1198" s="9" t="str">
        <f>IFERROR(__xludf.DUMMYFUNCTION("GOOGLETRANSLATE($A1198,""en"",""it"")"),"Gôh-Djiboua")</f>
        <v>Gôh-Djiboua</v>
      </c>
      <c r="G1198" s="9" t="str">
        <f>IFERROR(__xludf.DUMMYFUNCTION("GOOGLETRANSLATE($A1198,""en"",""zh-cn"")"),"戈吉布阿")</f>
        <v>戈吉布阿</v>
      </c>
      <c r="H1198" s="9" t="str">
        <f>IFERROR(__xludf.DUMMYFUNCTION("GOOGLETRANSLATE($A1198,""en"",""ja"")"),"ゴージブア")</f>
        <v>ゴージブア</v>
      </c>
      <c r="I1198" s="9" t="str">
        <f>IFERROR(__xludf.DUMMYFUNCTION("GOOGLETRANSLATE($A1198,""en"",""ko"")"),"고지부아")</f>
        <v>고지부아</v>
      </c>
      <c r="J1198" s="9" t="str">
        <f>IFERROR(__xludf.DUMMYFUNCTION("GOOGLETRANSLATE($A1198,""en"",""pt-BR"")"),"Gôh-Djiboua")</f>
        <v>Gôh-Djiboua</v>
      </c>
    </row>
    <row r="1199">
      <c r="A1199" s="9" t="str">
        <f>IFERROR(__xludf.DUMMYFUNCTION("""COMPUTED_VALUE"""),"Lacs")</f>
        <v>Lacs</v>
      </c>
      <c r="B1199" s="9" t="str">
        <f>IFERROR(__xludf.DUMMYFUNCTION("""COMPUTED_VALUE"""),"ci-lc")</f>
        <v>ci-lc</v>
      </c>
      <c r="C1199" s="9" t="str">
        <f>IFERROR(__xludf.DUMMYFUNCTION("GOOGLETRANSLATE($A1199,""en"",""de"")"),"Lacs")</f>
        <v>Lacs</v>
      </c>
      <c r="D1199" s="9" t="str">
        <f>IFERROR(__xludf.DUMMYFUNCTION("GOOGLETRANSLATE($A1199,""en"",""fr"")"),"Lacs")</f>
        <v>Lacs</v>
      </c>
      <c r="E1199" s="9" t="str">
        <f>IFERROR(__xludf.DUMMYFUNCTION("GOOGLETRANSLATE($A1199,""en"",""es"")"),"lagos")</f>
        <v>lagos</v>
      </c>
      <c r="F1199" s="9" t="str">
        <f>IFERROR(__xludf.DUMMYFUNCTION("GOOGLETRANSLATE($A1199,""en"",""it"")"),"Laghi")</f>
        <v>Laghi</v>
      </c>
      <c r="G1199" s="9" t="str">
        <f>IFERROR(__xludf.DUMMYFUNCTION("GOOGLETRANSLATE($A1199,""en"",""zh-cn"")"),"拉克斯")</f>
        <v>拉克斯</v>
      </c>
      <c r="H1199" s="9" t="str">
        <f>IFERROR(__xludf.DUMMYFUNCTION("GOOGLETRANSLATE($A1199,""en"",""ja"")"),"ラックス")</f>
        <v>ラックス</v>
      </c>
      <c r="I1199" s="9" t="str">
        <f>IFERROR(__xludf.DUMMYFUNCTION("GOOGLETRANSLATE($A1199,""en"",""ko"")"),"락스")</f>
        <v>락스</v>
      </c>
      <c r="J1199" s="9" t="str">
        <f>IFERROR(__xludf.DUMMYFUNCTION("GOOGLETRANSLATE($A1199,""en"",""pt-BR"")"),"Lacas")</f>
        <v>Lacas</v>
      </c>
    </row>
    <row r="1200">
      <c r="A1200" s="9" t="str">
        <f>IFERROR(__xludf.DUMMYFUNCTION("""COMPUTED_VALUE"""),"Fromager (Région du)")</f>
        <v>Fromager (Région du)</v>
      </c>
      <c r="B1200" s="9" t="str">
        <f>IFERROR(__xludf.DUMMYFUNCTION("""COMPUTED_VALUE"""),"ci-18")</f>
        <v>ci-18</v>
      </c>
      <c r="C1200" s="9" t="str">
        <f>IFERROR(__xludf.DUMMYFUNCTION("GOOGLETRANSLATE($A1200,""en"",""de"")"),"Fromager (Region du)")</f>
        <v>Fromager (Region du)</v>
      </c>
      <c r="D1200" s="9" t="str">
        <f>IFERROR(__xludf.DUMMYFUNCTION("GOOGLETRANSLATE($A1200,""en"",""fr"")"),"Fromager (Région du)")</f>
        <v>Fromager (Région du)</v>
      </c>
      <c r="E1200" s="9" t="str">
        <f>IFERROR(__xludf.DUMMYFUNCTION("GOOGLETRANSLATE($A1200,""en"",""es"")"),"Fromager (Región del)")</f>
        <v>Fromager (Región del)</v>
      </c>
      <c r="F1200" s="9" t="str">
        <f>IFERROR(__xludf.DUMMYFUNCTION("GOOGLETRANSLATE($A1200,""en"",""it"")"),"Fromager (Regione del)")</f>
        <v>Fromager (Regione del)</v>
      </c>
      <c r="G1200" s="9" t="str">
        <f>IFERROR(__xludf.DUMMYFUNCTION("GOOGLETRANSLATE($A1200,""en"",""zh-cn"")"),"弗洛玛格 (Region du)")</f>
        <v>弗洛玛格 (Region du)</v>
      </c>
      <c r="H1200" s="9" t="str">
        <f>IFERROR(__xludf.DUMMYFUNCTION("GOOGLETRANSLATE($A1200,""en"",""ja"")"),"フロマジェ (地域圏)")</f>
        <v>フロマジェ (地域圏)</v>
      </c>
      <c r="I1200" s="9" t="str">
        <f>IFERROR(__xludf.DUMMYFUNCTION("GOOGLETRANSLATE($A1200,""en"",""ko"")"),"Fromager(뒤 지역)")</f>
        <v>Fromager(뒤 지역)</v>
      </c>
      <c r="J1200" s="9" t="str">
        <f>IFERROR(__xludf.DUMMYFUNCTION("GOOGLETRANSLATE($A1200,""en"",""pt-BR"")"),"Fromager (Região do)")</f>
        <v>Fromager (Região do)</v>
      </c>
    </row>
    <row r="1201">
      <c r="A1201" s="9" t="str">
        <f>IFERROR(__xludf.DUMMYFUNCTION("""COMPUTED_VALUE"""),"Zanzan (Région du)")</f>
        <v>Zanzan (Région du)</v>
      </c>
      <c r="B1201" s="9" t="str">
        <f>IFERROR(__xludf.DUMMYFUNCTION("""COMPUTED_VALUE"""),"ci-08")</f>
        <v>ci-08</v>
      </c>
      <c r="C1201" s="9" t="str">
        <f>IFERROR(__xludf.DUMMYFUNCTION("GOOGLETRANSLATE($A1201,""en"",""de"")"),"Zanzan (Region du)")</f>
        <v>Zanzan (Region du)</v>
      </c>
      <c r="D1201" s="9" t="str">
        <f>IFERROR(__xludf.DUMMYFUNCTION("GOOGLETRANSLATE($A1201,""en"",""fr"")"),"Zanzan (Région du)")</f>
        <v>Zanzan (Région du)</v>
      </c>
      <c r="E1201" s="9" t="str">
        <f>IFERROR(__xludf.DUMMYFUNCTION("GOOGLETRANSLATE($A1201,""en"",""es"")"),"Zanzan (Región del)")</f>
        <v>Zanzan (Región del)</v>
      </c>
      <c r="F1201" s="9" t="str">
        <f>IFERROR(__xludf.DUMMYFUNCTION("GOOGLETRANSLATE($A1201,""en"",""it"")"),"Zanzan (Regione del)")</f>
        <v>Zanzan (Regione del)</v>
      </c>
      <c r="G1201" s="9" t="str">
        <f>IFERROR(__xludf.DUMMYFUNCTION("GOOGLETRANSLATE($A1201,""en"",""zh-cn"")"),"赞赞 (Région du)")</f>
        <v>赞赞 (Région du)</v>
      </c>
      <c r="H1201" s="9" t="str">
        <f>IFERROR(__xludf.DUMMYFUNCTION("GOOGLETRANSLATE($A1201,""en"",""ja"")"),"ザンザン (Région du)")</f>
        <v>ザンザン (Région du)</v>
      </c>
      <c r="I1201" s="9" t="str">
        <f>IFERROR(__xludf.DUMMYFUNCTION("GOOGLETRANSLATE($A1201,""en"",""ko"")"),"잔잔(Region du)")</f>
        <v>잔잔(Region du)</v>
      </c>
      <c r="J1201" s="9" t="str">
        <f>IFERROR(__xludf.DUMMYFUNCTION("GOOGLETRANSLATE($A1201,""en"",""pt-BR"")"),"Zanzan (Região do)")</f>
        <v>Zanzan (Região do)</v>
      </c>
    </row>
    <row r="1202">
      <c r="A1202" s="9" t="str">
        <f>IFERROR(__xludf.DUMMYFUNCTION("""COMPUTED_VALUE"""),"Sud-Bandama (Région du)")</f>
        <v>Sud-Bandama (Région du)</v>
      </c>
      <c r="B1202" s="9" t="str">
        <f>IFERROR(__xludf.DUMMYFUNCTION("""COMPUTED_VALUE"""),"ci-15")</f>
        <v>ci-15</v>
      </c>
      <c r="C1202" s="9" t="str">
        <f>IFERROR(__xludf.DUMMYFUNCTION("GOOGLETRANSLATE($A1202,""en"",""de"")"),"Sud-Bandama (Region du)")</f>
        <v>Sud-Bandama (Region du)</v>
      </c>
      <c r="D1202" s="9" t="str">
        <f>IFERROR(__xludf.DUMMYFUNCTION("GOOGLETRANSLATE($A1202,""en"",""fr"")"),"Sud-Bandama (Région du)")</f>
        <v>Sud-Bandama (Région du)</v>
      </c>
      <c r="E1202" s="9" t="str">
        <f>IFERROR(__xludf.DUMMYFUNCTION("GOOGLETRANSLATE($A1202,""en"",""es"")"),"Sud-Bandama (Región del)")</f>
        <v>Sud-Bandama (Región del)</v>
      </c>
      <c r="F1202" s="9" t="str">
        <f>IFERROR(__xludf.DUMMYFUNCTION("GOOGLETRANSLATE($A1202,""en"",""it"")"),"Sud-Bandama (Regione del)")</f>
        <v>Sud-Bandama (Regione del)</v>
      </c>
      <c r="G1202" s="9" t="str">
        <f>IFERROR(__xludf.DUMMYFUNCTION("GOOGLETRANSLATE($A1202,""en"",""zh-cn"")"),"南班达马 (Région du)")</f>
        <v>南班达马 (Région du)</v>
      </c>
      <c r="H1202" s="9" t="str">
        <f>IFERROR(__xludf.DUMMYFUNCTION("GOOGLETRANSLATE($A1202,""en"",""ja"")"),"Sud-Bandama (地域圏)")</f>
        <v>Sud-Bandama (地域圏)</v>
      </c>
      <c r="I1202" s="9" t="str">
        <f>IFERROR(__xludf.DUMMYFUNCTION("GOOGLETRANSLATE($A1202,""en"",""ko"")"),"Sud-Bandama(지역 뒤)")</f>
        <v>Sud-Bandama(지역 뒤)</v>
      </c>
      <c r="J1202" s="9" t="str">
        <f>IFERROR(__xludf.DUMMYFUNCTION("GOOGLETRANSLATE($A1202,""en"",""pt-BR"")"),"Sud-Bandama (Região do)")</f>
        <v>Sud-Bandama (Região do)</v>
      </c>
    </row>
    <row r="1203">
      <c r="A1203" s="9" t="str">
        <f>IFERROR(__xludf.DUMMYFUNCTION("""COMPUTED_VALUE"""),"Denguélé (Région du)")</f>
        <v>Denguélé (Région du)</v>
      </c>
      <c r="B1203" s="9" t="str">
        <f>IFERROR(__xludf.DUMMYFUNCTION("""COMPUTED_VALUE"""),"ci-10")</f>
        <v>ci-10</v>
      </c>
      <c r="C1203" s="9" t="str">
        <f>IFERROR(__xludf.DUMMYFUNCTION("GOOGLETRANSLATE($A1203,""en"",""de"")"),"Denguélé (Region du)")</f>
        <v>Denguélé (Region du)</v>
      </c>
      <c r="D1203" s="9" t="str">
        <f>IFERROR(__xludf.DUMMYFUNCTION("GOOGLETRANSLATE($A1203,""en"",""fr"")"),"Denguélé (Région du)")</f>
        <v>Denguélé (Région du)</v>
      </c>
      <c r="E1203" s="9" t="str">
        <f>IFERROR(__xludf.DUMMYFUNCTION("GOOGLETRANSLATE($A1203,""en"",""es"")"),"Denguélé (Región del)")</f>
        <v>Denguélé (Región del)</v>
      </c>
      <c r="F1203" s="9" t="str">
        <f>IFERROR(__xludf.DUMMYFUNCTION("GOOGLETRANSLATE($A1203,""en"",""it"")"),"Denguélé (Regione del)")</f>
        <v>Denguélé (Regione del)</v>
      </c>
      <c r="G1203" s="9" t="str">
        <f>IFERROR(__xludf.DUMMYFUNCTION("GOOGLETRANSLATE($A1203,""en"",""zh-cn"")"),"登盖莱 (Région du)")</f>
        <v>登盖莱 (Région du)</v>
      </c>
      <c r="H1203" s="9" t="str">
        <f>IFERROR(__xludf.DUMMYFUNCTION("GOOGLETRANSLATE($A1203,""en"",""ja"")"),"デングエレ (地域)")</f>
        <v>デングエレ (地域)</v>
      </c>
      <c r="I1203" s="9" t="str">
        <f>IFERROR(__xludf.DUMMYFUNCTION("GOOGLETRANSLATE($A1203,""en"",""ko"")"),"뎅겔레(Region du)")</f>
        <v>뎅겔레(Region du)</v>
      </c>
      <c r="J1203" s="9" t="str">
        <f>IFERROR(__xludf.DUMMYFUNCTION("GOOGLETRANSLATE($A1203,""en"",""pt-BR"")"),"Denguélé (Região do)")</f>
        <v>Denguélé (Região do)</v>
      </c>
    </row>
    <row r="1204">
      <c r="A1204" s="9" t="str">
        <f>IFERROR(__xludf.DUMMYFUNCTION("""COMPUTED_VALUE"""),"Nzi-Comoé (Région)")</f>
        <v>Nzi-Comoé (Région)</v>
      </c>
      <c r="B1204" s="9" t="str">
        <f>IFERROR(__xludf.DUMMYFUNCTION("""COMPUTED_VALUE"""),"ci-11")</f>
        <v>ci-11</v>
      </c>
      <c r="C1204" s="9" t="str">
        <f>IFERROR(__xludf.DUMMYFUNCTION("GOOGLETRANSLATE($A1204,""en"",""de"")"),"Nzi-Comoé (Region)")</f>
        <v>Nzi-Comoé (Region)</v>
      </c>
      <c r="D1204" s="9" t="str">
        <f>IFERROR(__xludf.DUMMYFUNCTION("GOOGLETRANSLATE($A1204,""en"",""fr"")"),"Nzi-Comoé (Région)")</f>
        <v>Nzi-Comoé (Région)</v>
      </c>
      <c r="E1204" s="9" t="str">
        <f>IFERROR(__xludf.DUMMYFUNCTION("GOOGLETRANSLATE($A1204,""en"",""es"")"),"Nzi-Comoé (Región)")</f>
        <v>Nzi-Comoé (Región)</v>
      </c>
      <c r="F1204" s="9" t="str">
        <f>IFERROR(__xludf.DUMMYFUNCTION("GOOGLETRANSLATE($A1204,""en"",""it"")"),"Nzi-Comoé (Regione)")</f>
        <v>Nzi-Comoé (Regione)</v>
      </c>
      <c r="G1204" s="9" t="str">
        <f>IFERROR(__xludf.DUMMYFUNCTION("GOOGLETRANSLATE($A1204,""en"",""zh-cn"")"),"恩齐-科莫埃（大区）")</f>
        <v>恩齐-科莫埃（大区）</v>
      </c>
      <c r="H1204" s="9" t="str">
        <f>IFERROR(__xludf.DUMMYFUNCTION("GOOGLETRANSLATE($A1204,""en"",""ja"")"),"ンジ・コモエ (地域)")</f>
        <v>ンジ・コモエ (地域)</v>
      </c>
      <c r="I1204" s="9" t="str">
        <f>IFERROR(__xludf.DUMMYFUNCTION("GOOGLETRANSLATE($A1204,""en"",""ko"")"),"Nzi-Comoé(지역)")</f>
        <v>Nzi-Comoé(지역)</v>
      </c>
      <c r="J1204" s="9" t="str">
        <f>IFERROR(__xludf.DUMMYFUNCTION("GOOGLETRANSLATE($A1204,""en"",""pt-BR"")"),"Nzi-Comoé (Região)")</f>
        <v>Nzi-Comoé (Região)</v>
      </c>
    </row>
    <row r="1205">
      <c r="A1205" s="9" t="str">
        <f>IFERROR(__xludf.DUMMYFUNCTION("""COMPUTED_VALUE"""),"18 Montagnes (Région des)")</f>
        <v>18 Montagnes (Région des)</v>
      </c>
      <c r="B1205" s="9" t="str">
        <f>IFERROR(__xludf.DUMMYFUNCTION("""COMPUTED_VALUE"""),"ci-06")</f>
        <v>ci-06</v>
      </c>
      <c r="C1205" s="9" t="str">
        <f>IFERROR(__xludf.DUMMYFUNCTION("GOOGLETRANSLATE($A1205,""en"",""de"")"),"18 Montagne (Region des)")</f>
        <v>18 Montagne (Region des)</v>
      </c>
      <c r="D1205" s="9" t="str">
        <f>IFERROR(__xludf.DUMMYFUNCTION("GOOGLETRANSLATE($A1205,""en"",""fr"")"),"18 Montagnes (Région des)")</f>
        <v>18 Montagnes (Région des)</v>
      </c>
      <c r="E1205" s="9" t="str">
        <f>IFERROR(__xludf.DUMMYFUNCTION("GOOGLETRANSLATE($A1205,""en"",""es"")"),"18 Montañas (Región de)")</f>
        <v>18 Montañas (Región de)</v>
      </c>
      <c r="F1205" s="9" t="str">
        <f>IFERROR(__xludf.DUMMYFUNCTION("GOOGLETRANSLATE($A1205,""en"",""it"")"),"18 Montagnes (Regione des)")</f>
        <v>18 Montagnes (Regione des)</v>
      </c>
      <c r="G1205" s="9" t="str">
        <f>IFERROR(__xludf.DUMMYFUNCTION("GOOGLETRANSLATE($A1205,""en"",""zh-cn"")"),"18 山地 (Région des)")</f>
        <v>18 山地 (Région des)</v>
      </c>
      <c r="H1205" s="9" t="str">
        <f>IFERROR(__xludf.DUMMYFUNCTION("GOOGLETRANSLATE($A1205,""en"",""ja"")"),"18 モンターニュ (地域圏)")</f>
        <v>18 モンターニュ (地域圏)</v>
      </c>
      <c r="I1205" s="9" t="str">
        <f>IFERROR(__xludf.DUMMYFUNCTION("GOOGLETRANSLATE($A1205,""en"",""ko"")"),"18 몽타뉴(Région des)")</f>
        <v>18 몽타뉴(Région des)</v>
      </c>
      <c r="J1205" s="9" t="str">
        <f>IFERROR(__xludf.DUMMYFUNCTION("GOOGLETRANSLATE($A1205,""en"",""pt-BR"")"),"18 Montagnes (Região des)")</f>
        <v>18 Montagnes (Região des)</v>
      </c>
    </row>
    <row r="1206">
      <c r="A1206" s="9" t="str">
        <f>IFERROR(__xludf.DUMMYFUNCTION("""COMPUTED_VALUE"""),"Bafing (Région du)")</f>
        <v>Bafing (Région du)</v>
      </c>
      <c r="B1206" s="9" t="str">
        <f>IFERROR(__xludf.DUMMYFUNCTION("""COMPUTED_VALUE"""),"ci-17")</f>
        <v>ci-17</v>
      </c>
      <c r="C1206" s="9" t="str">
        <f>IFERROR(__xludf.DUMMYFUNCTION("GOOGLETRANSLATE($A1206,""en"",""de"")"),"Bafing (Region du)")</f>
        <v>Bafing (Region du)</v>
      </c>
      <c r="D1206" s="9" t="str">
        <f>IFERROR(__xludf.DUMMYFUNCTION("GOOGLETRANSLATE($A1206,""en"",""fr"")"),"Bafing (Région du)")</f>
        <v>Bafing (Région du)</v>
      </c>
      <c r="E1206" s="9" t="str">
        <f>IFERROR(__xludf.DUMMYFUNCTION("GOOGLETRANSLATE($A1206,""en"",""es"")"),"Bafing (Región del)")</f>
        <v>Bafing (Región del)</v>
      </c>
      <c r="F1206" s="9" t="str">
        <f>IFERROR(__xludf.DUMMYFUNCTION("GOOGLETRANSLATE($A1206,""en"",""it"")"),"Bafing (Regione del)")</f>
        <v>Bafing (Regione del)</v>
      </c>
      <c r="G1206" s="9" t="str">
        <f>IFERROR(__xludf.DUMMYFUNCTION("GOOGLETRANSLATE($A1206,""en"",""zh-cn"")"),"巴芬（Région du）")</f>
        <v>巴芬（Région du）</v>
      </c>
      <c r="H1206" s="9" t="str">
        <f>IFERROR(__xludf.DUMMYFUNCTION("GOOGLETRANSLATE($A1206,""en"",""ja"")"),"バフィング (地域)")</f>
        <v>バフィング (地域)</v>
      </c>
      <c r="I1206" s="9" t="str">
        <f>IFERROR(__xludf.DUMMYFUNCTION("GOOGLETRANSLATE($A1206,""en"",""ko"")"),"바핑(Region du)")</f>
        <v>바핑(Region du)</v>
      </c>
      <c r="J1206" s="9" t="str">
        <f>IFERROR(__xludf.DUMMYFUNCTION("GOOGLETRANSLATE($A1206,""en"",""pt-BR"")"),"Bafing (Região do)")</f>
        <v>Bafing (Região do)</v>
      </c>
    </row>
    <row r="1207">
      <c r="A1207" s="9" t="str">
        <f>IFERROR(__xludf.DUMMYFUNCTION("""COMPUTED_VALUE"""),"Lagunes")</f>
        <v>Lagunes</v>
      </c>
      <c r="B1207" s="9" t="str">
        <f>IFERROR(__xludf.DUMMYFUNCTION("""COMPUTED_VALUE"""),"ci-lg")</f>
        <v>ci-lg</v>
      </c>
      <c r="C1207" s="9" t="str">
        <f>IFERROR(__xludf.DUMMYFUNCTION("GOOGLETRANSLATE($A1207,""en"",""de"")"),"Lagunen")</f>
        <v>Lagunen</v>
      </c>
      <c r="D1207" s="9" t="str">
        <f>IFERROR(__xludf.DUMMYFUNCTION("GOOGLETRANSLATE($A1207,""en"",""fr"")"),"Lagunes")</f>
        <v>Lagunes</v>
      </c>
      <c r="E1207" s="9" t="str">
        <f>IFERROR(__xludf.DUMMYFUNCTION("GOOGLETRANSLATE($A1207,""en"",""es"")"),"lagunas")</f>
        <v>lagunas</v>
      </c>
      <c r="F1207" s="9" t="str">
        <f>IFERROR(__xludf.DUMMYFUNCTION("GOOGLETRANSLATE($A1207,""en"",""it"")"),"Lagune")</f>
        <v>Lagune</v>
      </c>
      <c r="G1207" s="9" t="str">
        <f>IFERROR(__xludf.DUMMYFUNCTION("GOOGLETRANSLATE($A1207,""en"",""zh-cn"")"),"拉古内斯")</f>
        <v>拉古内斯</v>
      </c>
      <c r="H1207" s="9" t="str">
        <f>IFERROR(__xludf.DUMMYFUNCTION("GOOGLETRANSLATE($A1207,""en"",""ja"")"),"ラグネス")</f>
        <v>ラグネス</v>
      </c>
      <c r="I1207" s="9" t="str">
        <f>IFERROR(__xludf.DUMMYFUNCTION("GOOGLETRANSLATE($A1207,""en"",""ko"")"),"라군")</f>
        <v>라군</v>
      </c>
      <c r="J1207" s="9" t="str">
        <f>IFERROR(__xludf.DUMMYFUNCTION("GOOGLETRANSLATE($A1207,""en"",""pt-BR"")"),"Lagunas")</f>
        <v>Lagunas</v>
      </c>
    </row>
    <row r="1208">
      <c r="A1208" s="9" t="str">
        <f>IFERROR(__xludf.DUMMYFUNCTION("""COMPUTED_VALUE"""),"Sud-Comoé (Région du)")</f>
        <v>Sud-Comoé (Région du)</v>
      </c>
      <c r="B1208" s="9" t="str">
        <f>IFERROR(__xludf.DUMMYFUNCTION("""COMPUTED_VALUE"""),"ci-13")</f>
        <v>ci-13</v>
      </c>
      <c r="C1208" s="9" t="str">
        <f>IFERROR(__xludf.DUMMYFUNCTION("GOOGLETRANSLATE($A1208,""en"",""de"")"),"Sud-Comoé (Region du)")</f>
        <v>Sud-Comoé (Region du)</v>
      </c>
      <c r="D1208" s="9" t="str">
        <f>IFERROR(__xludf.DUMMYFUNCTION("GOOGLETRANSLATE($A1208,""en"",""fr"")"),"Sud-Comoé (Région du)")</f>
        <v>Sud-Comoé (Région du)</v>
      </c>
      <c r="E1208" s="9" t="str">
        <f>IFERROR(__xludf.DUMMYFUNCTION("GOOGLETRANSLATE($A1208,""en"",""es"")"),"Sud-Comoé (Región del)")</f>
        <v>Sud-Comoé (Región del)</v>
      </c>
      <c r="F1208" s="9" t="str">
        <f>IFERROR(__xludf.DUMMYFUNCTION("GOOGLETRANSLATE($A1208,""en"",""it"")"),"Sud-Comoé (Regione del)")</f>
        <v>Sud-Comoé (Regione del)</v>
      </c>
      <c r="G1208" s="9" t="str">
        <f>IFERROR(__xludf.DUMMYFUNCTION("GOOGLETRANSLATE($A1208,""en"",""zh-cn"")"),"南科莫埃 (Région du)")</f>
        <v>南科莫埃 (Région du)</v>
      </c>
      <c r="H1208" s="9" t="str">
        <f>IFERROR(__xludf.DUMMYFUNCTION("GOOGLETRANSLATE($A1208,""en"",""ja"")"),"シュド・コモエ (地域圏)")</f>
        <v>シュド・コモエ (地域圏)</v>
      </c>
      <c r="I1208" s="9" t="str">
        <f>IFERROR(__xludf.DUMMYFUNCTION("GOOGLETRANSLATE($A1208,""en"",""ko"")"),"쉬드 꼬모에(Region du)")</f>
        <v>쉬드 꼬모에(Region du)</v>
      </c>
      <c r="J1208" s="9" t="str">
        <f>IFERROR(__xludf.DUMMYFUNCTION("GOOGLETRANSLATE($A1208,""en"",""pt-BR"")"),"Sud-Comoé (Região do)")</f>
        <v>Sud-Comoé (Região do)</v>
      </c>
    </row>
    <row r="1209">
      <c r="A1209" s="9" t="str">
        <f>IFERROR(__xludf.DUMMYFUNCTION("""COMPUTED_VALUE"""),"Sassandra-Marahoué")</f>
        <v>Sassandra-Marahoué</v>
      </c>
      <c r="B1209" s="9" t="str">
        <f>IFERROR(__xludf.DUMMYFUNCTION("""COMPUTED_VALUE"""),"ci-sm")</f>
        <v>ci-sm</v>
      </c>
      <c r="C1209" s="9" t="str">
        <f>IFERROR(__xludf.DUMMYFUNCTION("GOOGLETRANSLATE($A1209,""en"",""de"")"),"Sassandra-Marahoué")</f>
        <v>Sassandra-Marahoué</v>
      </c>
      <c r="D1209" s="9" t="str">
        <f>IFERROR(__xludf.DUMMYFUNCTION("GOOGLETRANSLATE($A1209,""en"",""fr"")"),"Sassandra-Marahoué")</f>
        <v>Sassandra-Marahoué</v>
      </c>
      <c r="E1209" s="9" t="str">
        <f>IFERROR(__xludf.DUMMYFUNCTION("GOOGLETRANSLATE($A1209,""en"",""es"")"),"Sassandra-Marahoué")</f>
        <v>Sassandra-Marahoué</v>
      </c>
      <c r="F1209" s="9" t="str">
        <f>IFERROR(__xludf.DUMMYFUNCTION("GOOGLETRANSLATE($A1209,""en"",""it"")"),"Sassandra-Marahoué")</f>
        <v>Sassandra-Marahoué</v>
      </c>
      <c r="G1209" s="9" t="str">
        <f>IFERROR(__xludf.DUMMYFUNCTION("GOOGLETRANSLATE($A1209,""en"",""zh-cn"")"),"萨珊德拉-马拉维")</f>
        <v>萨珊德拉-马拉维</v>
      </c>
      <c r="H1209" s="9" t="str">
        <f>IFERROR(__xludf.DUMMYFUNCTION("GOOGLETRANSLATE($A1209,""en"",""ja"")"),"ササンドラ・マラウエ")</f>
        <v>ササンドラ・マラウエ</v>
      </c>
      <c r="I1209" s="9" t="str">
        <f>IFERROR(__xludf.DUMMYFUNCTION("GOOGLETRANSLATE($A1209,""en"",""ko"")"),"사산드라-마라후에")</f>
        <v>사산드라-마라후에</v>
      </c>
      <c r="J1209" s="9" t="str">
        <f>IFERROR(__xludf.DUMMYFUNCTION("GOOGLETRANSLATE($A1209,""en"",""pt-BR"")"),"Sassandra-Marahoué")</f>
        <v>Sassandra-Marahoué</v>
      </c>
    </row>
    <row r="1210">
      <c r="A1210" s="9" t="str">
        <f>IFERROR(__xludf.DUMMYFUNCTION("""COMPUTED_VALUE"""),"Savanes")</f>
        <v>Savanes</v>
      </c>
      <c r="B1210" s="9" t="str">
        <f>IFERROR(__xludf.DUMMYFUNCTION("""COMPUTED_VALUE"""),"ci-sv")</f>
        <v>ci-sv</v>
      </c>
      <c r="C1210" s="9" t="str">
        <f>IFERROR(__xludf.DUMMYFUNCTION("GOOGLETRANSLATE($A1210,""en"",""de"")"),"Savanes")</f>
        <v>Savanes</v>
      </c>
      <c r="D1210" s="9" t="str">
        <f>IFERROR(__xludf.DUMMYFUNCTION("GOOGLETRANSLATE($A1210,""en"",""fr"")"),"Savanes")</f>
        <v>Savanes</v>
      </c>
      <c r="E1210" s="9" t="str">
        <f>IFERROR(__xludf.DUMMYFUNCTION("GOOGLETRANSLATE($A1210,""en"",""es"")"),"sabanas")</f>
        <v>sabanas</v>
      </c>
      <c r="F1210" s="9" t="str">
        <f>IFERROR(__xludf.DUMMYFUNCTION("GOOGLETRANSLATE($A1210,""en"",""it"")"),"Savane")</f>
        <v>Savane</v>
      </c>
      <c r="G1210" s="9" t="str">
        <f>IFERROR(__xludf.DUMMYFUNCTION("GOOGLETRANSLATE($A1210,""en"",""zh-cn"")"),"萨瓦内斯")</f>
        <v>萨瓦内斯</v>
      </c>
      <c r="H1210" s="9" t="str">
        <f>IFERROR(__xludf.DUMMYFUNCTION("GOOGLETRANSLATE($A1210,""en"",""ja"")"),"サバネス")</f>
        <v>サバネス</v>
      </c>
      <c r="I1210" s="9" t="str">
        <f>IFERROR(__xludf.DUMMYFUNCTION("GOOGLETRANSLATE($A1210,""en"",""ko"")"),"사바네스")</f>
        <v>사바네스</v>
      </c>
      <c r="J1210" s="9" t="str">
        <f>IFERROR(__xludf.DUMMYFUNCTION("GOOGLETRANSLATE($A1210,""en"",""pt-BR"")"),"Savanas")</f>
        <v>Savanas</v>
      </c>
    </row>
    <row r="1211">
      <c r="A1211" s="9" t="str">
        <f>IFERROR(__xludf.DUMMYFUNCTION("""COMPUTED_VALUE"""),"Vallée du Bandama")</f>
        <v>Vallée du Bandama</v>
      </c>
      <c r="B1211" s="9" t="str">
        <f>IFERROR(__xludf.DUMMYFUNCTION("""COMPUTED_VALUE"""),"ci-vb")</f>
        <v>ci-vb</v>
      </c>
      <c r="C1211" s="9" t="str">
        <f>IFERROR(__xludf.DUMMYFUNCTION("GOOGLETRANSLATE($A1211,""en"",""de"")"),"Vallée du Bandama")</f>
        <v>Vallée du Bandama</v>
      </c>
      <c r="D1211" s="9" t="str">
        <f>IFERROR(__xludf.DUMMYFUNCTION("GOOGLETRANSLATE($A1211,""en"",""fr"")"),"Vallée du Bandama")</f>
        <v>Vallée du Bandama</v>
      </c>
      <c r="E1211" s="9" t="str">
        <f>IFERROR(__xludf.DUMMYFUNCTION("GOOGLETRANSLATE($A1211,""en"",""es"")"),"Valle del Bandama")</f>
        <v>Valle del Bandama</v>
      </c>
      <c r="F1211" s="9" t="str">
        <f>IFERROR(__xludf.DUMMYFUNCTION("GOOGLETRANSLATE($A1211,""en"",""it"")"),"Valle del Bandama")</f>
        <v>Valle del Bandama</v>
      </c>
      <c r="G1211" s="9" t="str">
        <f>IFERROR(__xludf.DUMMYFUNCTION("GOOGLETRANSLATE($A1211,""en"",""zh-cn"")"),"班达马谷")</f>
        <v>班达马谷</v>
      </c>
      <c r="H1211" s="9" t="str">
        <f>IFERROR(__xludf.DUMMYFUNCTION("GOOGLETRANSLATE($A1211,""en"",""ja"")"),"バンダマ渓谷")</f>
        <v>バンダマ渓谷</v>
      </c>
      <c r="I1211" s="9" t="str">
        <f>IFERROR(__xludf.DUMMYFUNCTION("GOOGLETRANSLATE($A1211,""en"",""ko"")"),"발레 뒤 반다마")</f>
        <v>발레 뒤 반다마</v>
      </c>
      <c r="J1211" s="9" t="str">
        <f>IFERROR(__xludf.DUMMYFUNCTION("GOOGLETRANSLATE($A1211,""en"",""pt-BR"")"),"Vale do Bandama")</f>
        <v>Vale do Bandama</v>
      </c>
    </row>
    <row r="1212">
      <c r="A1212" s="9" t="str">
        <f>IFERROR(__xludf.DUMMYFUNCTION("""COMPUTED_VALUE"""),"Montagnes")</f>
        <v>Montagnes</v>
      </c>
      <c r="B1212" s="9" t="str">
        <f>IFERROR(__xludf.DUMMYFUNCTION("""COMPUTED_VALUE"""),"ci-mg")</f>
        <v>ci-mg</v>
      </c>
      <c r="C1212" s="9" t="str">
        <f>IFERROR(__xludf.DUMMYFUNCTION("GOOGLETRANSLATE($A1212,""en"",""de"")"),"Montagnes")</f>
        <v>Montagnes</v>
      </c>
      <c r="D1212" s="9" t="str">
        <f>IFERROR(__xludf.DUMMYFUNCTION("GOOGLETRANSLATE($A1212,""en"",""fr"")"),"Montagnes")</f>
        <v>Montagnes</v>
      </c>
      <c r="E1212" s="9" t="str">
        <f>IFERROR(__xludf.DUMMYFUNCTION("GOOGLETRANSLATE($A1212,""en"",""es"")"),"montañas")</f>
        <v>montañas</v>
      </c>
      <c r="F1212" s="9" t="str">
        <f>IFERROR(__xludf.DUMMYFUNCTION("GOOGLETRANSLATE($A1212,""en"",""it"")"),"Montagne")</f>
        <v>Montagne</v>
      </c>
      <c r="G1212" s="9" t="str">
        <f>IFERROR(__xludf.DUMMYFUNCTION("GOOGLETRANSLATE($A1212,""en"",""zh-cn"")"),"山地")</f>
        <v>山地</v>
      </c>
      <c r="H1212" s="9" t="str">
        <f>IFERROR(__xludf.DUMMYFUNCTION("GOOGLETRANSLATE($A1212,""en"",""ja"")"),"モンターニュ")</f>
        <v>モンターニュ</v>
      </c>
      <c r="I1212" s="9" t="str">
        <f>IFERROR(__xludf.DUMMYFUNCTION("GOOGLETRANSLATE($A1212,""en"",""ko"")"),"몽타뉴")</f>
        <v>몽타뉴</v>
      </c>
      <c r="J1212" s="9" t="str">
        <f>IFERROR(__xludf.DUMMYFUNCTION("GOOGLETRANSLATE($A1212,""en"",""pt-BR"")"),"Montanhas")</f>
        <v>Montanhas</v>
      </c>
    </row>
    <row r="1213">
      <c r="A1213" s="9" t="str">
        <f>IFERROR(__xludf.DUMMYFUNCTION("""COMPUTED_VALUE"""),"Lacs (Région des)")</f>
        <v>Lacs (Région des)</v>
      </c>
      <c r="B1213" s="9" t="str">
        <f>IFERROR(__xludf.DUMMYFUNCTION("""COMPUTED_VALUE"""),"ci-07")</f>
        <v>ci-07</v>
      </c>
      <c r="C1213" s="9" t="str">
        <f>IFERROR(__xludf.DUMMYFUNCTION("GOOGLETRANSLATE($A1213,""en"",""de"")"),"Lacs (Region des)")</f>
        <v>Lacs (Region des)</v>
      </c>
      <c r="D1213" s="9" t="str">
        <f>IFERROR(__xludf.DUMMYFUNCTION("GOOGLETRANSLATE($A1213,""en"",""fr"")"),"Lacs (Région des)")</f>
        <v>Lacs (Région des)</v>
      </c>
      <c r="E1213" s="9" t="str">
        <f>IFERROR(__xludf.DUMMYFUNCTION("GOOGLETRANSLATE($A1213,""en"",""es"")"),"Lacs (Región de)")</f>
        <v>Lacs (Región de)</v>
      </c>
      <c r="F1213" s="9" t="str">
        <f>IFERROR(__xludf.DUMMYFUNCTION("GOOGLETRANSLATE($A1213,""en"",""it"")"),"Laghi (Regione dei)")</f>
        <v>Laghi (Regione dei)</v>
      </c>
      <c r="G1213" s="9" t="str">
        <f>IFERROR(__xludf.DUMMYFUNCTION("GOOGLETRANSLATE($A1213,""en"",""zh-cn"")"),"拉克斯 (Région des)")</f>
        <v>拉克斯 (Région des)</v>
      </c>
      <c r="H1213" s="9" t="str">
        <f>IFERROR(__xludf.DUMMYFUNCTION("GOOGLETRANSLATE($A1213,""en"",""ja"")"),"ラック (レジョン・デ)")</f>
        <v>ラック (レジョン・デ)</v>
      </c>
      <c r="I1213" s="9" t="str">
        <f>IFERROR(__xludf.DUMMYFUNCTION("GOOGLETRANSLATE($A1213,""en"",""ko"")"),"락스(Région des)")</f>
        <v>락스(Région des)</v>
      </c>
      <c r="J1213" s="9" t="str">
        <f>IFERROR(__xludf.DUMMYFUNCTION("GOOGLETRANSLATE($A1213,""en"",""pt-BR"")"),"Lacs (Região des)")</f>
        <v>Lacs (Região des)</v>
      </c>
    </row>
    <row r="1214">
      <c r="A1214" s="9" t="str">
        <f>IFERROR(__xludf.DUMMYFUNCTION("""COMPUTED_VALUE"""),"Lagunes (Région des)")</f>
        <v>Lagunes (Région des)</v>
      </c>
      <c r="B1214" s="9" t="str">
        <f>IFERROR(__xludf.DUMMYFUNCTION("""COMPUTED_VALUE"""),"ci-01")</f>
        <v>ci-01</v>
      </c>
      <c r="C1214" s="9" t="str">
        <f>IFERROR(__xludf.DUMMYFUNCTION("GOOGLETRANSLATE($A1214,""en"",""de"")"),"Lagunes (Region des)")</f>
        <v>Lagunes (Region des)</v>
      </c>
      <c r="D1214" s="9" t="str">
        <f>IFERROR(__xludf.DUMMYFUNCTION("GOOGLETRANSLATE($A1214,""en"",""fr"")"),"Lagunes (Région des)")</f>
        <v>Lagunes (Région des)</v>
      </c>
      <c r="E1214" s="9" t="str">
        <f>IFERROR(__xludf.DUMMYFUNCTION("GOOGLETRANSLATE($A1214,""en"",""es"")"),"Lagunes (Región de)")</f>
        <v>Lagunes (Región de)</v>
      </c>
      <c r="F1214" s="9" t="str">
        <f>IFERROR(__xludf.DUMMYFUNCTION("GOOGLETRANSLATE($A1214,""en"",""it"")"),"Lagunes (Regione dei)")</f>
        <v>Lagunes (Regione dei)</v>
      </c>
      <c r="G1214" s="9" t="str">
        <f>IFERROR(__xludf.DUMMYFUNCTION("GOOGLETRANSLATE($A1214,""en"",""zh-cn"")"),"泻湖 (Région des)")</f>
        <v>泻湖 (Région des)</v>
      </c>
      <c r="H1214" s="9" t="str">
        <f>IFERROR(__xludf.DUMMYFUNCTION("GOOGLETRANSLATE($A1214,""en"",""ja"")"),"ラグーヌ (地域)")</f>
        <v>ラグーヌ (地域)</v>
      </c>
      <c r="I1214" s="9" t="str">
        <f>IFERROR(__xludf.DUMMYFUNCTION("GOOGLETRANSLATE($A1214,""en"",""ko"")"),"라구네스(Région des)")</f>
        <v>라구네스(Région des)</v>
      </c>
      <c r="J1214" s="9" t="str">
        <f>IFERROR(__xludf.DUMMYFUNCTION("GOOGLETRANSLATE($A1214,""en"",""pt-BR"")"),"Lagunes (Região des)")</f>
        <v>Lagunes (Região des)</v>
      </c>
    </row>
    <row r="1215">
      <c r="A1215" s="9" t="str">
        <f>IFERROR(__xludf.DUMMYFUNCTION("""COMPUTED_VALUE"""),"Vallée du Bandama (Région de la)")</f>
        <v>Vallée du Bandama (Région de la)</v>
      </c>
      <c r="B1215" s="9" t="str">
        <f>IFERROR(__xludf.DUMMYFUNCTION("""COMPUTED_VALUE"""),"ci-04")</f>
        <v>ci-04</v>
      </c>
      <c r="C1215" s="9" t="str">
        <f>IFERROR(__xludf.DUMMYFUNCTION("GOOGLETRANSLATE($A1215,""en"",""de"")"),"Vallée du Bandama (Region de la)")</f>
        <v>Vallée du Bandama (Region de la)</v>
      </c>
      <c r="D1215" s="9" t="str">
        <f>IFERROR(__xludf.DUMMYFUNCTION("GOOGLETRANSLATE($A1215,""en"",""fr"")"),"Vallée du Bandama (Région de la)")</f>
        <v>Vallée du Bandama (Région de la)</v>
      </c>
      <c r="E1215" s="9" t="str">
        <f>IFERROR(__xludf.DUMMYFUNCTION("GOOGLETRANSLATE($A1215,""en"",""es"")"),"Vallée du Bandama (Región de la)")</f>
        <v>Vallée du Bandama (Región de la)</v>
      </c>
      <c r="F1215" s="9" t="str">
        <f>IFERROR(__xludf.DUMMYFUNCTION("GOOGLETRANSLATE($A1215,""en"",""it"")"),"Valle del Bandama (Regione della)")</f>
        <v>Valle del Bandama (Regione della)</v>
      </c>
      <c r="G1215" s="9" t="str">
        <f>IFERROR(__xludf.DUMMYFUNCTION("GOOGLETRANSLATE($A1215,""en"",""zh-cn"")"),"班达马山谷 (Région de la)")</f>
        <v>班达马山谷 (Région de la)</v>
      </c>
      <c r="H1215" s="9" t="str">
        <f>IFERROR(__xludf.DUMMYFUNCTION("GOOGLETRANSLATE($A1215,""en"",""ja"")"),"バンダマ渓谷 (地域)")</f>
        <v>バンダマ渓谷 (地域)</v>
      </c>
      <c r="I1215" s="9" t="str">
        <f>IFERROR(__xludf.DUMMYFUNCTION("GOOGLETRANSLATE($A1215,""en"",""ko"")"),"Vallée du Bandama(레지옹 드 라)")</f>
        <v>Vallée du Bandama(레지옹 드 라)</v>
      </c>
      <c r="J1215" s="9" t="str">
        <f>IFERROR(__xludf.DUMMYFUNCTION("GOOGLETRANSLATE($A1215,""en"",""pt-BR"")"),"Vallée du Bandama (Região de la)")</f>
        <v>Vallée du Bandama (Região de la)</v>
      </c>
    </row>
    <row r="1216">
      <c r="A1216" s="9" t="str">
        <f>IFERROR(__xludf.DUMMYFUNCTION("""COMPUTED_VALUE"""),"Šibensko-kninska županija")</f>
        <v>Šibensko-kninska županija</v>
      </c>
      <c r="B1216" s="9" t="str">
        <f>IFERROR(__xludf.DUMMYFUNCTION("""COMPUTED_VALUE"""),"hr-15")</f>
        <v>hr-15</v>
      </c>
      <c r="C1216" s="9" t="str">
        <f>IFERROR(__xludf.DUMMYFUNCTION("GOOGLETRANSLATE($A1216,""en"",""de"")"),"Šibensko-kninska županija")</f>
        <v>Šibensko-kninska županija</v>
      </c>
      <c r="D1216" s="9" t="str">
        <f>IFERROR(__xludf.DUMMYFUNCTION("GOOGLETRANSLATE($A1216,""en"",""fr"")"),"Sibensko-kninska Zupanija")</f>
        <v>Sibensko-kninska Zupanija</v>
      </c>
      <c r="E1216" s="9" t="str">
        <f>IFERROR(__xludf.DUMMYFUNCTION("GOOGLETRANSLATE($A1216,""en"",""es"")"),"Šibensko-kninska županija")</f>
        <v>Šibensko-kninska županija</v>
      </c>
      <c r="F1216" s="9" t="str">
        <f>IFERROR(__xludf.DUMMYFUNCTION("GOOGLETRANSLATE($A1216,""en"",""it"")"),"Šibensko-kninska županija")</f>
        <v>Šibensko-kninska županija</v>
      </c>
      <c r="G1216" s="9" t="str">
        <f>IFERROR(__xludf.DUMMYFUNCTION("GOOGLETRANSLATE($A1216,""en"",""zh-cn"")"),"希本斯科-克宁斯卡县")</f>
        <v>希本斯科-克宁斯卡县</v>
      </c>
      <c r="H1216" s="9" t="str">
        <f>IFERROR(__xludf.DUMMYFUNCTION("GOOGLETRANSLATE($A1216,""en"",""ja"")"),"シベンスコ・クニンスカ・ジュパニヤ")</f>
        <v>シベンスコ・クニンスカ・ジュパニヤ</v>
      </c>
      <c r="I1216" s="9" t="str">
        <f>IFERROR(__xludf.DUMMYFUNCTION("GOOGLETRANSLATE($A1216,""en"",""ko"")"),"시벤스코-크닌스카 županija")</f>
        <v>시벤스코-크닌스카 županija</v>
      </c>
      <c r="J1216" s="9" t="str">
        <f>IFERROR(__xludf.DUMMYFUNCTION("GOOGLETRANSLATE($A1216,""en"",""pt-BR"")"),"Šibensko-kninska županija")</f>
        <v>Šibensko-kninska županija</v>
      </c>
    </row>
    <row r="1217">
      <c r="A1217" s="9" t="str">
        <f>IFERROR(__xludf.DUMMYFUNCTION("""COMPUTED_VALUE"""),"Primorsko-goranska županija")</f>
        <v>Primorsko-goranska županija</v>
      </c>
      <c r="B1217" s="9" t="str">
        <f>IFERROR(__xludf.DUMMYFUNCTION("""COMPUTED_VALUE"""),"hr-08")</f>
        <v>hr-08</v>
      </c>
      <c r="C1217" s="9" t="str">
        <f>IFERROR(__xludf.DUMMYFUNCTION("GOOGLETRANSLATE($A1217,""en"",""de"")"),"Primorsko-goranska županija")</f>
        <v>Primorsko-goranska županija</v>
      </c>
      <c r="D1217" s="9" t="str">
        <f>IFERROR(__xludf.DUMMYFUNCTION("GOOGLETRANSLATE($A1217,""en"",""fr"")"),"Primorsko-goranska Zupanija")</f>
        <v>Primorsko-goranska Zupanija</v>
      </c>
      <c r="E1217" s="9" t="str">
        <f>IFERROR(__xludf.DUMMYFUNCTION("GOOGLETRANSLATE($A1217,""en"",""es"")"),"Primorsko-goranska županija")</f>
        <v>Primorsko-goranska županija</v>
      </c>
      <c r="F1217" s="9" t="str">
        <f>IFERROR(__xludf.DUMMYFUNCTION("GOOGLETRANSLATE($A1217,""en"",""it"")"),"Primorsko-goranska županija")</f>
        <v>Primorsko-goranska županija</v>
      </c>
      <c r="G1217" s="9" t="str">
        <f>IFERROR(__xludf.DUMMYFUNCTION("GOOGLETRANSLATE($A1217,""en"",""zh-cn"")"),"滨海边疆区")</f>
        <v>滨海边疆区</v>
      </c>
      <c r="H1217" s="9" t="str">
        <f>IFERROR(__xludf.DUMMYFUNCTION("GOOGLETRANSLATE($A1217,""en"",""ja"")"),"プリモルスコ ゴランスカ ジュパニヤ")</f>
        <v>プリモルスコ ゴランスカ ジュパニヤ</v>
      </c>
      <c r="I1217" s="9" t="str">
        <f>IFERROR(__xludf.DUMMYFUNCTION("GOOGLETRANSLATE($A1217,""en"",""ko"")"),"Primorsko-goranska županija")</f>
        <v>Primorsko-goranska županija</v>
      </c>
      <c r="J1217" s="9" t="str">
        <f>IFERROR(__xludf.DUMMYFUNCTION("GOOGLETRANSLATE($A1217,""en"",""pt-BR"")"),"Primorsko-goranska županija")</f>
        <v>Primorsko-goranska županija</v>
      </c>
    </row>
    <row r="1218">
      <c r="A1218" s="9" t="str">
        <f>IFERROR(__xludf.DUMMYFUNCTION("""COMPUTED_VALUE"""),"Brodsko-posavska županija")</f>
        <v>Brodsko-posavska županija</v>
      </c>
      <c r="B1218" s="9" t="str">
        <f>IFERROR(__xludf.DUMMYFUNCTION("""COMPUTED_VALUE"""),"hr-12")</f>
        <v>hr-12</v>
      </c>
      <c r="C1218" s="9" t="str">
        <f>IFERROR(__xludf.DUMMYFUNCTION("GOOGLETRANSLATE($A1218,""en"",""de"")"),"Brodsko-posavska županija")</f>
        <v>Brodsko-posavska županija</v>
      </c>
      <c r="D1218" s="9" t="str">
        <f>IFERROR(__xludf.DUMMYFUNCTION("GOOGLETRANSLATE($A1218,""en"",""fr"")"),"Brodsko-posavska županija")</f>
        <v>Brodsko-posavska županija</v>
      </c>
      <c r="E1218" s="9" t="str">
        <f>IFERROR(__xludf.DUMMYFUNCTION("GOOGLETRANSLATE($A1218,""en"",""es"")"),"Brodsko-posavska županija")</f>
        <v>Brodsko-posavska županija</v>
      </c>
      <c r="F1218" s="9" t="str">
        <f>IFERROR(__xludf.DUMMYFUNCTION("GOOGLETRANSLATE($A1218,""en"",""it"")"),"Brodsko-posavska županija")</f>
        <v>Brodsko-posavska županija</v>
      </c>
      <c r="G1218" s="9" t="str">
        <f>IFERROR(__xludf.DUMMYFUNCTION("GOOGLETRANSLATE($A1218,""en"",""zh-cn"")"),"布罗茨科波萨夫斯卡县")</f>
        <v>布罗茨科波萨夫斯卡县</v>
      </c>
      <c r="H1218" s="9" t="str">
        <f>IFERROR(__xludf.DUMMYFUNCTION("GOOGLETRANSLATE($A1218,""en"",""ja"")"),"ブロツコ・ポサフスカ・ジュパニヤ")</f>
        <v>ブロツコ・ポサフスカ・ジュパニヤ</v>
      </c>
      <c r="I1218" s="9" t="str">
        <f>IFERROR(__xludf.DUMMYFUNCTION("GOOGLETRANSLATE($A1218,""en"",""ko"")"),"Brodsko-posavska županija")</f>
        <v>Brodsko-posavska županija</v>
      </c>
      <c r="J1218" s="9" t="str">
        <f>IFERROR(__xludf.DUMMYFUNCTION("GOOGLETRANSLATE($A1218,""en"",""pt-BR"")"),"Brodsko-posavska županija")</f>
        <v>Brodsko-posavska županija</v>
      </c>
    </row>
    <row r="1219">
      <c r="A1219" s="9" t="str">
        <f>IFERROR(__xludf.DUMMYFUNCTION("""COMPUTED_VALUE"""),"Osječko-baranjska županija")</f>
        <v>Osječko-baranjska županija</v>
      </c>
      <c r="B1219" s="9" t="str">
        <f>IFERROR(__xludf.DUMMYFUNCTION("""COMPUTED_VALUE"""),"hr-14")</f>
        <v>hr-14</v>
      </c>
      <c r="C1219" s="9" t="str">
        <f>IFERROR(__xludf.DUMMYFUNCTION("GOOGLETRANSLATE($A1219,""en"",""de"")"),"Osječko-baranjska županija")</f>
        <v>Osječko-baranjska županija</v>
      </c>
      <c r="D1219" s="9" t="str">
        <f>IFERROR(__xludf.DUMMYFUNCTION("GOOGLETRANSLATE($A1219,""en"",""fr"")"),"Osječko-baranjska županija")</f>
        <v>Osječko-baranjska županija</v>
      </c>
      <c r="E1219" s="9" t="str">
        <f>IFERROR(__xludf.DUMMYFUNCTION("GOOGLETRANSLATE($A1219,""en"",""es"")"),"Osječko-baranjska županija")</f>
        <v>Osječko-baranjska županija</v>
      </c>
      <c r="F1219" s="9" t="str">
        <f>IFERROR(__xludf.DUMMYFUNCTION("GOOGLETRANSLATE($A1219,""en"",""it"")"),"Osječko-baranjska županija")</f>
        <v>Osječko-baranjska županija</v>
      </c>
      <c r="G1219" s="9" t="str">
        <f>IFERROR(__xludf.DUMMYFUNCTION("GOOGLETRANSLATE($A1219,""en"",""zh-cn"")"),"奥耶奇科巴拉尼亚县")</f>
        <v>奥耶奇科巴拉尼亚县</v>
      </c>
      <c r="H1219" s="9" t="str">
        <f>IFERROR(__xludf.DUMMYFUNCTION("GOOGLETRANSLATE($A1219,""en"",""ja"")"),"オシェチコ・バランジスカ・ジュパニヤ")</f>
        <v>オシェチコ・バランジスカ・ジュパニヤ</v>
      </c>
      <c r="I1219" s="9" t="str">
        <f>IFERROR(__xludf.DUMMYFUNCTION("GOOGLETRANSLATE($A1219,""en"",""ko"")"),"오예코-바란스카(Osječko-baranjska) županija")</f>
        <v>오예코-바란스카(Osječko-baranjska) županija</v>
      </c>
      <c r="J1219" s="9" t="str">
        <f>IFERROR(__xludf.DUMMYFUNCTION("GOOGLETRANSLATE($A1219,""en"",""pt-BR"")"),"Osječko-baranjska županija")</f>
        <v>Osječko-baranjska županija</v>
      </c>
    </row>
    <row r="1220">
      <c r="A1220" s="9" t="str">
        <f>IFERROR(__xludf.DUMMYFUNCTION("""COMPUTED_VALUE"""),"Istarska županija")</f>
        <v>Istarska županija</v>
      </c>
      <c r="B1220" s="9" t="str">
        <f>IFERROR(__xludf.DUMMYFUNCTION("""COMPUTED_VALUE"""),"hr-18")</f>
        <v>hr-18</v>
      </c>
      <c r="C1220" s="9" t="str">
        <f>IFERROR(__xludf.DUMMYFUNCTION("GOOGLETRANSLATE($A1220,""en"",""de"")"),"Istarska županija")</f>
        <v>Istarska županija</v>
      </c>
      <c r="D1220" s="9" t="str">
        <f>IFERROR(__xludf.DUMMYFUNCTION("GOOGLETRANSLATE($A1220,""en"",""fr"")"),"Istarska Zupanija")</f>
        <v>Istarska Zupanija</v>
      </c>
      <c r="E1220" s="9" t="str">
        <f>IFERROR(__xludf.DUMMYFUNCTION("GOOGLETRANSLATE($A1220,""en"",""es"")"),"Istarska županija")</f>
        <v>Istarska županija</v>
      </c>
      <c r="F1220" s="9" t="str">
        <f>IFERROR(__xludf.DUMMYFUNCTION("GOOGLETRANSLATE($A1220,""en"",""it"")"),"Istarska županija")</f>
        <v>Istarska županija</v>
      </c>
      <c r="G1220" s="9" t="str">
        <f>IFERROR(__xludf.DUMMYFUNCTION("GOOGLETRANSLATE($A1220,""en"",""zh-cn"")"),"伊斯卡·祖帕尼娅")</f>
        <v>伊斯卡·祖帕尼娅</v>
      </c>
      <c r="H1220" s="9" t="str">
        <f>IFERROR(__xludf.DUMMYFUNCTION("GOOGLETRANSLATE($A1220,""en"",""ja"")"),"イスタルスカ ジュパニヤ")</f>
        <v>イスタルスカ ジュパニヤ</v>
      </c>
      <c r="I1220" s="9" t="str">
        <f>IFERROR(__xludf.DUMMYFUNCTION("GOOGLETRANSLATE($A1220,""en"",""ko"")"),"이스타르스카 주파니야")</f>
        <v>이스타르스카 주파니야</v>
      </c>
      <c r="J1220" s="9" t="str">
        <f>IFERROR(__xludf.DUMMYFUNCTION("GOOGLETRANSLATE($A1220,""en"",""pt-BR"")"),"Istarska županija")</f>
        <v>Istarska županija</v>
      </c>
    </row>
    <row r="1221">
      <c r="A1221" s="9" t="str">
        <f>IFERROR(__xludf.DUMMYFUNCTION("""COMPUTED_VALUE"""),"Zadarska županija")</f>
        <v>Zadarska županija</v>
      </c>
      <c r="B1221" s="9" t="str">
        <f>IFERROR(__xludf.DUMMYFUNCTION("""COMPUTED_VALUE"""),"hr-13")</f>
        <v>hr-13</v>
      </c>
      <c r="C1221" s="9" t="str">
        <f>IFERROR(__xludf.DUMMYFUNCTION("GOOGLETRANSLATE($A1221,""en"",""de"")"),"Zadarska županija")</f>
        <v>Zadarska županija</v>
      </c>
      <c r="D1221" s="9" t="str">
        <f>IFERROR(__xludf.DUMMYFUNCTION("GOOGLETRANSLATE($A1221,""en"",""fr"")"),"Zadarska Zupanija")</f>
        <v>Zadarska Zupanija</v>
      </c>
      <c r="E1221" s="9" t="str">
        <f>IFERROR(__xludf.DUMMYFUNCTION("GOOGLETRANSLATE($A1221,""en"",""es"")"),"Zadarska županija")</f>
        <v>Zadarska županija</v>
      </c>
      <c r="F1221" s="9" t="str">
        <f>IFERROR(__xludf.DUMMYFUNCTION("GOOGLETRANSLATE($A1221,""en"",""it"")"),"Zadarska županija")</f>
        <v>Zadarska županija</v>
      </c>
      <c r="G1221" s="9" t="str">
        <f>IFERROR(__xludf.DUMMYFUNCTION("GOOGLETRANSLATE($A1221,""en"",""zh-cn"")"),"扎达尔斯卡县")</f>
        <v>扎达尔斯卡县</v>
      </c>
      <c r="H1221" s="9" t="str">
        <f>IFERROR(__xludf.DUMMYFUNCTION("GOOGLETRANSLATE($A1221,""en"",""ja"")"),"ザダルスカ・ジュパニヤ")</f>
        <v>ザダルスカ・ジュパニヤ</v>
      </c>
      <c r="I1221" s="9" t="str">
        <f>IFERROR(__xludf.DUMMYFUNCTION("GOOGLETRANSLATE($A1221,""en"",""ko"")"),"자다르스카 주파니야")</f>
        <v>자다르스카 주파니야</v>
      </c>
      <c r="J1221" s="9" t="str">
        <f>IFERROR(__xludf.DUMMYFUNCTION("GOOGLETRANSLATE($A1221,""en"",""pt-BR"")"),"Zadarska županija")</f>
        <v>Zadarska županija</v>
      </c>
    </row>
    <row r="1222">
      <c r="A1222" s="9" t="str">
        <f>IFERROR(__xludf.DUMMYFUNCTION("""COMPUTED_VALUE"""),"Karlovačka županija")</f>
        <v>Karlovačka županija</v>
      </c>
      <c r="B1222" s="9" t="str">
        <f>IFERROR(__xludf.DUMMYFUNCTION("""COMPUTED_VALUE"""),"hr-04")</f>
        <v>hr-04</v>
      </c>
      <c r="C1222" s="9" t="str">
        <f>IFERROR(__xludf.DUMMYFUNCTION("GOOGLETRANSLATE($A1222,""en"",""de"")"),"Karlovačka županija")</f>
        <v>Karlovačka županija</v>
      </c>
      <c r="D1222" s="9" t="str">
        <f>IFERROR(__xludf.DUMMYFUNCTION("GOOGLETRANSLATE($A1222,""en"",""fr"")"),"Karlovačka Zupanija")</f>
        <v>Karlovačka Zupanija</v>
      </c>
      <c r="E1222" s="9" t="str">
        <f>IFERROR(__xludf.DUMMYFUNCTION("GOOGLETRANSLATE($A1222,""en"",""es"")"),"Karlovačka županija")</f>
        <v>Karlovačka županija</v>
      </c>
      <c r="F1222" s="9" t="str">
        <f>IFERROR(__xludf.DUMMYFUNCTION("GOOGLETRANSLATE($A1222,""en"",""it"")"),"Karlovačka županija")</f>
        <v>Karlovačka županija</v>
      </c>
      <c r="G1222" s="9" t="str">
        <f>IFERROR(__xludf.DUMMYFUNCTION("GOOGLETRANSLATE($A1222,""en"",""zh-cn"")"),"卡洛瓦卡县")</f>
        <v>卡洛瓦卡县</v>
      </c>
      <c r="H1222" s="9" t="str">
        <f>IFERROR(__xludf.DUMMYFUNCTION("GOOGLETRANSLATE($A1222,""en"",""ja"")"),"カルロヴァチュカ・ジュパニヤ")</f>
        <v>カルロヴァチュカ・ジュパニヤ</v>
      </c>
      <c r="I1222" s="9" t="str">
        <f>IFERROR(__xludf.DUMMYFUNCTION("GOOGLETRANSLATE($A1222,""en"",""ko"")"),"Karlovačka županija")</f>
        <v>Karlovačka županija</v>
      </c>
      <c r="J1222" s="9" t="str">
        <f>IFERROR(__xludf.DUMMYFUNCTION("GOOGLETRANSLATE($A1222,""en"",""pt-BR"")"),"Karlovačka županija")</f>
        <v>Karlovačka županija</v>
      </c>
    </row>
    <row r="1223">
      <c r="A1223" s="9" t="str">
        <f>IFERROR(__xludf.DUMMYFUNCTION("""COMPUTED_VALUE"""),"Vukovarsko-srijemska županija")</f>
        <v>Vukovarsko-srijemska županija</v>
      </c>
      <c r="B1223" s="9" t="str">
        <f>IFERROR(__xludf.DUMMYFUNCTION("""COMPUTED_VALUE"""),"hr-16")</f>
        <v>hr-16</v>
      </c>
      <c r="C1223" s="9" t="str">
        <f>IFERROR(__xludf.DUMMYFUNCTION("GOOGLETRANSLATE($A1223,""en"",""de"")"),"Vukovarsko-srijemska županija")</f>
        <v>Vukovarsko-srijemska županija</v>
      </c>
      <c r="D1223" s="9" t="str">
        <f>IFERROR(__xludf.DUMMYFUNCTION("GOOGLETRANSLATE($A1223,""en"",""fr"")"),"Vukovarsko-Srijemska Zupanija")</f>
        <v>Vukovarsko-Srijemska Zupanija</v>
      </c>
      <c r="E1223" s="9" t="str">
        <f>IFERROR(__xludf.DUMMYFUNCTION("GOOGLETRANSLATE($A1223,""en"",""es"")"),"Vukovarsko-srijemska županija")</f>
        <v>Vukovarsko-srijemska županija</v>
      </c>
      <c r="F1223" s="9" t="str">
        <f>IFERROR(__xludf.DUMMYFUNCTION("GOOGLETRANSLATE($A1223,""en"",""it"")"),"Vukovarsko-srijemska županija")</f>
        <v>Vukovarsko-srijemska županija</v>
      </c>
      <c r="G1223" s="9" t="str">
        <f>IFERROR(__xludf.DUMMYFUNCTION("GOOGLETRANSLATE($A1223,""en"",""zh-cn"")"),"武科瓦尔斯科-斯里耶姆斯卡县")</f>
        <v>武科瓦尔斯科-斯里耶姆斯卡县</v>
      </c>
      <c r="H1223" s="9" t="str">
        <f>IFERROR(__xludf.DUMMYFUNCTION("GOOGLETRANSLATE($A1223,""en"",""ja"")"),"ヴコヴァルスコ・スリイェムスカ・ジュパニヤ")</f>
        <v>ヴコヴァルスコ・スリイェムスカ・ジュパニヤ</v>
      </c>
      <c r="I1223" s="9" t="str">
        <f>IFERROR(__xludf.DUMMYFUNCTION("GOOGLETRANSLATE($A1223,""en"",""ko"")"),"Vukovarsko-srijemska županija")</f>
        <v>Vukovarsko-srijemska županija</v>
      </c>
      <c r="J1223" s="9" t="str">
        <f>IFERROR(__xludf.DUMMYFUNCTION("GOOGLETRANSLATE($A1223,""en"",""pt-BR"")"),"Vukovarsko-srijemska županija")</f>
        <v>Vukovarsko-srijemska županija</v>
      </c>
    </row>
    <row r="1224">
      <c r="A1224" s="9" t="str">
        <f>IFERROR(__xludf.DUMMYFUNCTION("""COMPUTED_VALUE"""),"Sisačko-moslavačka županija")</f>
        <v>Sisačko-moslavačka županija</v>
      </c>
      <c r="B1224" s="9" t="str">
        <f>IFERROR(__xludf.DUMMYFUNCTION("""COMPUTED_VALUE"""),"hr-03")</f>
        <v>hr-03</v>
      </c>
      <c r="C1224" s="9" t="str">
        <f>IFERROR(__xludf.DUMMYFUNCTION("GOOGLETRANSLATE($A1224,""en"",""de"")"),"Sisačko-moslavačka županija")</f>
        <v>Sisačko-moslavačka županija</v>
      </c>
      <c r="D1224" s="9" t="str">
        <f>IFERROR(__xludf.DUMMYFUNCTION("GOOGLETRANSLATE($A1224,""en"",""fr"")"),"Sisačko-moslavačka županija")</f>
        <v>Sisačko-moslavačka županija</v>
      </c>
      <c r="E1224" s="9" t="str">
        <f>IFERROR(__xludf.DUMMYFUNCTION("GOOGLETRANSLATE($A1224,""en"",""es"")"),"Sisačko-moslavačka županija")</f>
        <v>Sisačko-moslavačka županija</v>
      </c>
      <c r="F1224" s="9" t="str">
        <f>IFERROR(__xludf.DUMMYFUNCTION("GOOGLETRANSLATE($A1224,""en"",""it"")"),"Sisačko-moslavačka županija")</f>
        <v>Sisačko-moslavačka županija</v>
      </c>
      <c r="G1224" s="9" t="str">
        <f>IFERROR(__xludf.DUMMYFUNCTION("GOOGLETRANSLATE($A1224,""en"",""zh-cn"")"),"西萨科莫斯拉瓦卡县")</f>
        <v>西萨科莫斯拉瓦卡县</v>
      </c>
      <c r="H1224" s="9" t="str">
        <f>IFERROR(__xludf.DUMMYFUNCTION("GOOGLETRANSLATE($A1224,""en"",""ja"")"),"シサチコ・モスラヴァチュカ・ジュパニヤ")</f>
        <v>シサチコ・モスラヴァチュカ・ジュパニヤ</v>
      </c>
      <c r="I1224" s="9" t="str">
        <f>IFERROR(__xludf.DUMMYFUNCTION("GOOGLETRANSLATE($A1224,""en"",""ko"")"),"Sisačko-moslavačka županija")</f>
        <v>Sisačko-moslavačka županija</v>
      </c>
      <c r="J1224" s="9" t="str">
        <f>IFERROR(__xludf.DUMMYFUNCTION("GOOGLETRANSLATE($A1224,""en"",""pt-BR"")"),"Sisačko-moslavačka županija")</f>
        <v>Sisačko-moslavačka županija</v>
      </c>
    </row>
    <row r="1225">
      <c r="A1225" s="9" t="str">
        <f>IFERROR(__xludf.DUMMYFUNCTION("""COMPUTED_VALUE"""),"Grad Zagreb")</f>
        <v>Grad Zagreb</v>
      </c>
      <c r="B1225" s="9" t="str">
        <f>IFERROR(__xludf.DUMMYFUNCTION("""COMPUTED_VALUE"""),"hr-21")</f>
        <v>hr-21</v>
      </c>
      <c r="C1225" s="9" t="str">
        <f>IFERROR(__xludf.DUMMYFUNCTION("GOOGLETRANSLATE($A1225,""en"",""de"")"),"Grad Zagreb")</f>
        <v>Grad Zagreb</v>
      </c>
      <c r="D1225" s="9" t="str">
        <f>IFERROR(__xludf.DUMMYFUNCTION("GOOGLETRANSLATE($A1225,""en"",""fr"")"),"Diplômé de Zagreb")</f>
        <v>Diplômé de Zagreb</v>
      </c>
      <c r="E1225" s="9" t="str">
        <f>IFERROR(__xludf.DUMMYFUNCTION("GOOGLETRANSLATE($A1225,""en"",""es"")"),"Graduado Zagreb")</f>
        <v>Graduado Zagreb</v>
      </c>
      <c r="F1225" s="9" t="str">
        <f>IFERROR(__xludf.DUMMYFUNCTION("GOOGLETRANSLATE($A1225,""en"",""it"")"),"Grad Zagabria")</f>
        <v>Grad Zagabria</v>
      </c>
      <c r="G1225" s="9" t="str">
        <f>IFERROR(__xludf.DUMMYFUNCTION("GOOGLETRANSLATE($A1225,""en"",""zh-cn"")"),"萨格勒布毕业生")</f>
        <v>萨格勒布毕业生</v>
      </c>
      <c r="H1225" s="9" t="str">
        <f>IFERROR(__xludf.DUMMYFUNCTION("GOOGLETRANSLATE($A1225,""en"",""ja"")"),"グラッド・ザグレブ")</f>
        <v>グラッド・ザグレブ</v>
      </c>
      <c r="I1225" s="9" t="str">
        <f>IFERROR(__xludf.DUMMYFUNCTION("GOOGLETRANSLATE($A1225,""en"",""ko"")"),"그라드 자그레브")</f>
        <v>그라드 자그레브</v>
      </c>
      <c r="J1225" s="9" t="str">
        <f>IFERROR(__xludf.DUMMYFUNCTION("GOOGLETRANSLATE($A1225,""en"",""pt-BR"")"),"Grad Zagreb")</f>
        <v>Grad Zagreb</v>
      </c>
    </row>
    <row r="1226">
      <c r="A1226" s="9" t="str">
        <f>IFERROR(__xludf.DUMMYFUNCTION("""COMPUTED_VALUE"""),"Požeško-slavonska županija")</f>
        <v>Požeško-slavonska županija</v>
      </c>
      <c r="B1226" s="9" t="str">
        <f>IFERROR(__xludf.DUMMYFUNCTION("""COMPUTED_VALUE"""),"hr-11")</f>
        <v>hr-11</v>
      </c>
      <c r="C1226" s="9" t="str">
        <f>IFERROR(__xludf.DUMMYFUNCTION("GOOGLETRANSLATE($A1226,""en"",""de"")"),"Požeško-slavonska županija")</f>
        <v>Požeško-slavonska županija</v>
      </c>
      <c r="D1226" s="9" t="str">
        <f>IFERROR(__xludf.DUMMYFUNCTION("GOOGLETRANSLATE($A1226,""en"",""fr"")"),"Požeško-slavonska županija")</f>
        <v>Požeško-slavonska županija</v>
      </c>
      <c r="E1226" s="9" t="str">
        <f>IFERROR(__xludf.DUMMYFUNCTION("GOOGLETRANSLATE($A1226,""en"",""es"")"),"Požeško-slavonska županija")</f>
        <v>Požeško-slavonska županija</v>
      </c>
      <c r="F1226" s="9" t="str">
        <f>IFERROR(__xludf.DUMMYFUNCTION("GOOGLETRANSLATE($A1226,""en"",""it"")"),"Požeško-slavonska županija")</f>
        <v>Požeško-slavonska županija</v>
      </c>
      <c r="G1226" s="9" t="str">
        <f>IFERROR(__xludf.DUMMYFUNCTION("GOOGLETRANSLATE($A1226,""en"",""zh-cn"")"),"波热斯科-斯拉旺县")</f>
        <v>波热斯科-斯拉旺县</v>
      </c>
      <c r="H1226" s="9" t="str">
        <f>IFERROR(__xludf.DUMMYFUNCTION("GOOGLETRANSLATE($A1226,""en"",""ja"")"),"ポジェシュコ スラヴォンスカ ジュパニヤ")</f>
        <v>ポジェシュコ スラヴォンスカ ジュパニヤ</v>
      </c>
      <c r="I1226" s="9" t="str">
        <f>IFERROR(__xludf.DUMMYFUNCTION("GOOGLETRANSLATE($A1226,""en"",""ko"")"),"포제스코-슬라본스카 županija")</f>
        <v>포제스코-슬라본스카 županija</v>
      </c>
      <c r="J1226" s="9" t="str">
        <f>IFERROR(__xludf.DUMMYFUNCTION("GOOGLETRANSLATE($A1226,""en"",""pt-BR"")"),"Požeško-slavonska županija")</f>
        <v>Požeško-slavonska županija</v>
      </c>
    </row>
    <row r="1227">
      <c r="A1227" s="9" t="str">
        <f>IFERROR(__xludf.DUMMYFUNCTION("""COMPUTED_VALUE"""),"Bjelovarsko-bilogorska županija")</f>
        <v>Bjelovarsko-bilogorska županija</v>
      </c>
      <c r="B1227" s="9" t="str">
        <f>IFERROR(__xludf.DUMMYFUNCTION("""COMPUTED_VALUE"""),"hr-07")</f>
        <v>hr-07</v>
      </c>
      <c r="C1227" s="9" t="str">
        <f>IFERROR(__xludf.DUMMYFUNCTION("GOOGLETRANSLATE($A1227,""en"",""de"")"),"Bjelovarsko-bilogorska županija")</f>
        <v>Bjelovarsko-bilogorska županija</v>
      </c>
      <c r="D1227" s="9" t="str">
        <f>IFERROR(__xludf.DUMMYFUNCTION("GOOGLETRANSLATE($A1227,""en"",""fr"")"),"Bjelovarsko-bilogorska županija")</f>
        <v>Bjelovarsko-bilogorska županija</v>
      </c>
      <c r="E1227" s="9" t="str">
        <f>IFERROR(__xludf.DUMMYFUNCTION("GOOGLETRANSLATE($A1227,""en"",""es"")"),"Bjelovarsko-bilogorska županija")</f>
        <v>Bjelovarsko-bilogorska županija</v>
      </c>
      <c r="F1227" s="9" t="str">
        <f>IFERROR(__xludf.DUMMYFUNCTION("GOOGLETRANSLATE($A1227,""en"",""it"")"),"Bjelovarsko-bilogorska županija")</f>
        <v>Bjelovarsko-bilogorska županija</v>
      </c>
      <c r="G1227" s="9" t="str">
        <f>IFERROR(__xludf.DUMMYFUNCTION("GOOGLETRANSLATE($A1227,""en"",""zh-cn"")"),"别洛瓦尔-双语家庭")</f>
        <v>别洛瓦尔-双语家庭</v>
      </c>
      <c r="H1227" s="9" t="str">
        <f>IFERROR(__xludf.DUMMYFUNCTION("GOOGLETRANSLATE($A1227,""en"",""ja"")"),"ビェロヴァルスコ・ビロゴルスカ・ジュパニヤ")</f>
        <v>ビェロヴァルスコ・ビロゴルスカ・ジュパニヤ</v>
      </c>
      <c r="I1227" s="9" t="str">
        <f>IFERROR(__xludf.DUMMYFUNCTION("GOOGLETRANSLATE($A1227,""en"",""ko"")"),"Bjelovarsko-bilogorska županija")</f>
        <v>Bjelovarsko-bilogorska županija</v>
      </c>
      <c r="J1227" s="9" t="str">
        <f>IFERROR(__xludf.DUMMYFUNCTION("GOOGLETRANSLATE($A1227,""en"",""pt-BR"")"),"Bjelovarsko-bilogorska županija")</f>
        <v>Bjelovarsko-bilogorska županija</v>
      </c>
    </row>
    <row r="1228">
      <c r="A1228" s="9" t="str">
        <f>IFERROR(__xludf.DUMMYFUNCTION("""COMPUTED_VALUE"""),"Dubrovačko-neretvanska županija")</f>
        <v>Dubrovačko-neretvanska županija</v>
      </c>
      <c r="B1228" s="9" t="str">
        <f>IFERROR(__xludf.DUMMYFUNCTION("""COMPUTED_VALUE"""),"hr-19")</f>
        <v>hr-19</v>
      </c>
      <c r="C1228" s="9" t="str">
        <f>IFERROR(__xludf.DUMMYFUNCTION("GOOGLETRANSLATE($A1228,""en"",""de"")"),"Dubrovačko-neretvanska županija")</f>
        <v>Dubrovačko-neretvanska županija</v>
      </c>
      <c r="D1228" s="9" t="str">
        <f>IFERROR(__xludf.DUMMYFUNCTION("GOOGLETRANSLATE($A1228,""en"",""fr"")"),"Dubrovačko-neretvanska županija")</f>
        <v>Dubrovačko-neretvanska županija</v>
      </c>
      <c r="E1228" s="9" t="str">
        <f>IFERROR(__xludf.DUMMYFUNCTION("GOOGLETRANSLATE($A1228,""en"",""es"")"),"Dubrovačko-neretvanska županija")</f>
        <v>Dubrovačko-neretvanska županija</v>
      </c>
      <c r="F1228" s="9" t="str">
        <f>IFERROR(__xludf.DUMMYFUNCTION("GOOGLETRANSLATE($A1228,""en"",""it"")"),"Dubrovačko-neretvanska županija")</f>
        <v>Dubrovačko-neretvanska županija</v>
      </c>
      <c r="G1228" s="9" t="str">
        <f>IFERROR(__xludf.DUMMYFUNCTION("GOOGLETRANSLATE($A1228,""en"",""zh-cn"")"),"杜布罗瓦-内雷特瓦县")</f>
        <v>杜布罗瓦-内雷特瓦县</v>
      </c>
      <c r="H1228" s="9" t="str">
        <f>IFERROR(__xludf.DUMMYFUNCTION("GOOGLETRANSLATE($A1228,""en"",""ja"")"),"ドゥブロヴァチコ ネレトヴァンスカ ジュパニヤ")</f>
        <v>ドゥブロヴァチコ ネレトヴァンスカ ジュパニヤ</v>
      </c>
      <c r="I1228" s="9" t="str">
        <f>IFERROR(__xludf.DUMMYFUNCTION("GOOGLETRANSLATE($A1228,""en"",""ko"")"),"Dubrovačko-neretvanska županija")</f>
        <v>Dubrovačko-neretvanska županija</v>
      </c>
      <c r="J1228" s="9" t="str">
        <f>IFERROR(__xludf.DUMMYFUNCTION("GOOGLETRANSLATE($A1228,""en"",""pt-BR"")"),"Dubrovačko-neretvanska županija")</f>
        <v>Dubrovačko-neretvanska županija</v>
      </c>
    </row>
    <row r="1229">
      <c r="A1229" s="9" t="str">
        <f>IFERROR(__xludf.DUMMYFUNCTION("""COMPUTED_VALUE"""),"Međimurska županija")</f>
        <v>Međimurska županija</v>
      </c>
      <c r="B1229" s="9" t="str">
        <f>IFERROR(__xludf.DUMMYFUNCTION("""COMPUTED_VALUE"""),"hr-20")</f>
        <v>hr-20</v>
      </c>
      <c r="C1229" s="9" t="str">
        <f>IFERROR(__xludf.DUMMYFUNCTION("GOOGLETRANSLATE($A1229,""en"",""de"")"),"Međimurska županija")</f>
        <v>Međimurska županija</v>
      </c>
      <c r="D1229" s="9" t="str">
        <f>IFERROR(__xludf.DUMMYFUNCTION("GOOGLETRANSLATE($A1229,""en"",""fr"")"),"Međimurska Zupanija")</f>
        <v>Međimurska Zupanija</v>
      </c>
      <c r="E1229" s="9" t="str">
        <f>IFERROR(__xludf.DUMMYFUNCTION("GOOGLETRANSLATE($A1229,""en"",""es"")"),"Međimurska županija")</f>
        <v>Međimurska županija</v>
      </c>
      <c r="F1229" s="9" t="str">
        <f>IFERROR(__xludf.DUMMYFUNCTION("GOOGLETRANSLATE($A1229,""en"",""it"")"),"Međimurska županija")</f>
        <v>Međimurska županija</v>
      </c>
      <c r="G1229" s="9" t="str">
        <f>IFERROR(__xludf.DUMMYFUNCTION("GOOGLETRANSLATE($A1229,""en"",""zh-cn"")"),"梅吉穆尔斯卡县")</f>
        <v>梅吉穆尔斯卡县</v>
      </c>
      <c r="H1229" s="9" t="str">
        <f>IFERROR(__xludf.DUMMYFUNCTION("GOOGLETRANSLATE($A1229,""en"",""ja"")"),"メイムルスカ・ジュパニヤ")</f>
        <v>メイムルスカ・ジュパニヤ</v>
      </c>
      <c r="I1229" s="9" t="str">
        <f>IFERROR(__xludf.DUMMYFUNCTION("GOOGLETRANSLATE($A1229,""en"",""ko"")"),"메지무르스카 주파니야")</f>
        <v>메지무르스카 주파니야</v>
      </c>
      <c r="J1229" s="9" t="str">
        <f>IFERROR(__xludf.DUMMYFUNCTION("GOOGLETRANSLATE($A1229,""en"",""pt-BR"")"),"Međimurska županija")</f>
        <v>Međimurska županija</v>
      </c>
    </row>
    <row r="1230">
      <c r="A1230" s="9" t="str">
        <f>IFERROR(__xludf.DUMMYFUNCTION("""COMPUTED_VALUE"""),"Splitsko-dalmatinska županija")</f>
        <v>Splitsko-dalmatinska županija</v>
      </c>
      <c r="B1230" s="9" t="str">
        <f>IFERROR(__xludf.DUMMYFUNCTION("""COMPUTED_VALUE"""),"hr-17")</f>
        <v>hr-17</v>
      </c>
      <c r="C1230" s="9" t="str">
        <f>IFERROR(__xludf.DUMMYFUNCTION("GOOGLETRANSLATE($A1230,""en"",""de"")"),"Splitsko-dalmatinska županija")</f>
        <v>Splitsko-dalmatinska županija</v>
      </c>
      <c r="D1230" s="9" t="str">
        <f>IFERROR(__xludf.DUMMYFUNCTION("GOOGLETRANSLATE($A1230,""en"",""fr"")"),"Splitsko-Dalmatinska Zupanija")</f>
        <v>Splitsko-Dalmatinska Zupanija</v>
      </c>
      <c r="E1230" s="9" t="str">
        <f>IFERROR(__xludf.DUMMYFUNCTION("GOOGLETRANSLATE($A1230,""en"",""es"")"),"Splitsko-dalmatina županija")</f>
        <v>Splitsko-dalmatina županija</v>
      </c>
      <c r="F1230" s="9" t="str">
        <f>IFERROR(__xludf.DUMMYFUNCTION("GOOGLETRANSLATE($A1230,""en"",""it"")"),"Splitsko-dalmatinska županija")</f>
        <v>Splitsko-dalmatinska županija</v>
      </c>
      <c r="G1230" s="9" t="str">
        <f>IFERROR(__xludf.DUMMYFUNCTION("GOOGLETRANSLATE($A1230,""en"",""zh-cn"")"),"斯普利特斯科-达尔马提亚县")</f>
        <v>斯普利特斯科-达尔马提亚县</v>
      </c>
      <c r="H1230" s="9" t="str">
        <f>IFERROR(__xludf.DUMMYFUNCTION("GOOGLETRANSLATE($A1230,""en"",""ja"")"),"スプリツコ ダルマチンスカ ジュパニヤ")</f>
        <v>スプリツコ ダルマチンスカ ジュパニヤ</v>
      </c>
      <c r="I1230" s="9" t="str">
        <f>IFERROR(__xludf.DUMMYFUNCTION("GOOGLETRANSLATE($A1230,""en"",""ko"")"),"스플리트스코-달마틴스카 županija")</f>
        <v>스플리트스코-달마틴스카 županija</v>
      </c>
      <c r="J1230" s="9" t="str">
        <f>IFERROR(__xludf.DUMMYFUNCTION("GOOGLETRANSLATE($A1230,""en"",""pt-BR"")"),"Splitsko-Dalmatinska županija")</f>
        <v>Splitsko-Dalmatinska županija</v>
      </c>
    </row>
    <row r="1231">
      <c r="A1231" s="9" t="str">
        <f>IFERROR(__xludf.DUMMYFUNCTION("""COMPUTED_VALUE"""),"Varaždinska županija")</f>
        <v>Varaždinska županija</v>
      </c>
      <c r="B1231" s="9" t="str">
        <f>IFERROR(__xludf.DUMMYFUNCTION("""COMPUTED_VALUE"""),"hr-05")</f>
        <v>hr-05</v>
      </c>
      <c r="C1231" s="9" t="str">
        <f>IFERROR(__xludf.DUMMYFUNCTION("GOOGLETRANSLATE($A1231,""en"",""de"")"),"Varaždinska županija")</f>
        <v>Varaždinska županija</v>
      </c>
      <c r="D1231" s="9" t="str">
        <f>IFERROR(__xludf.DUMMYFUNCTION("GOOGLETRANSLATE($A1231,""en"",""fr"")"),"Varaždinska županija")</f>
        <v>Varaždinska županija</v>
      </c>
      <c r="E1231" s="9" t="str">
        <f>IFERROR(__xludf.DUMMYFUNCTION("GOOGLETRANSLATE($A1231,""en"",""es"")"),"Varaždinska županija")</f>
        <v>Varaždinska županija</v>
      </c>
      <c r="F1231" s="9" t="str">
        <f>IFERROR(__xludf.DUMMYFUNCTION("GOOGLETRANSLATE($A1231,""en"",""it"")"),"Varaždinska županija")</f>
        <v>Varaždinska županija</v>
      </c>
      <c r="G1231" s="9" t="str">
        <f>IFERROR(__xludf.DUMMYFUNCTION("GOOGLETRANSLATE($A1231,""en"",""zh-cn"")"),"瓦拉日丁斯卡县")</f>
        <v>瓦拉日丁斯卡县</v>
      </c>
      <c r="H1231" s="9" t="str">
        <f>IFERROR(__xludf.DUMMYFUNCTION("GOOGLETRANSLATE($A1231,""en"",""ja"")"),"ヴァラジュディンスカ・ジュパニヤ")</f>
        <v>ヴァラジュディンスカ・ジュパニヤ</v>
      </c>
      <c r="I1231" s="9" t="str">
        <f>IFERROR(__xludf.DUMMYFUNCTION("GOOGLETRANSLATE($A1231,""en"",""ko"")"),"Varaždinska županija")</f>
        <v>Varaždinska županija</v>
      </c>
      <c r="J1231" s="9" t="str">
        <f>IFERROR(__xludf.DUMMYFUNCTION("GOOGLETRANSLATE($A1231,""en"",""pt-BR"")"),"Varazdinska županija")</f>
        <v>Varazdinska županija</v>
      </c>
    </row>
    <row r="1232">
      <c r="A1232" s="9" t="str">
        <f>IFERROR(__xludf.DUMMYFUNCTION("""COMPUTED_VALUE"""),"Ličko-senjska županija")</f>
        <v>Ličko-senjska županija</v>
      </c>
      <c r="B1232" s="9" t="str">
        <f>IFERROR(__xludf.DUMMYFUNCTION("""COMPUTED_VALUE"""),"hr-09")</f>
        <v>hr-09</v>
      </c>
      <c r="C1232" s="9" t="str">
        <f>IFERROR(__xludf.DUMMYFUNCTION("GOOGLETRANSLATE($A1232,""en"",""de"")"),"Ličko-senjska županija")</f>
        <v>Ličko-senjska županija</v>
      </c>
      <c r="D1232" s="9" t="str">
        <f>IFERROR(__xludf.DUMMYFUNCTION("GOOGLETRANSLATE($A1232,""en"",""fr"")"),"Ličko-senjska županija")</f>
        <v>Ličko-senjska županija</v>
      </c>
      <c r="E1232" s="9" t="str">
        <f>IFERROR(__xludf.DUMMYFUNCTION("GOOGLETRANSLATE($A1232,""en"",""es"")"),"Ličko-senjska županija")</f>
        <v>Ličko-senjska županija</v>
      </c>
      <c r="F1232" s="9" t="str">
        <f>IFERROR(__xludf.DUMMYFUNCTION("GOOGLETRANSLATE($A1232,""en"",""it"")"),"Ličko-senjska županija")</f>
        <v>Ličko-senjska županija</v>
      </c>
      <c r="G1232" s="9" t="str">
        <f>IFERROR(__xludf.DUMMYFUNCTION("GOOGLETRANSLATE($A1232,""en"",""zh-cn"")"),"利科森尼斯卡县")</f>
        <v>利科森尼斯卡县</v>
      </c>
      <c r="H1232" s="9" t="str">
        <f>IFERROR(__xludf.DUMMYFUNCTION("GOOGLETRANSLATE($A1232,""en"",""ja"")"),"リチコ・セニスカ・ジュパニヤ")</f>
        <v>リチコ・セニスカ・ジュパニヤ</v>
      </c>
      <c r="I1232" s="9" t="str">
        <f>IFERROR(__xludf.DUMMYFUNCTION("GOOGLETRANSLATE($A1232,""en"",""ko"")"),"Ličko-senjska županija")</f>
        <v>Ličko-senjska županija</v>
      </c>
      <c r="J1232" s="9" t="str">
        <f>IFERROR(__xludf.DUMMYFUNCTION("GOOGLETRANSLATE($A1232,""en"",""pt-BR"")"),"Ličko-senjska županija")</f>
        <v>Ličko-senjska županija</v>
      </c>
    </row>
    <row r="1233">
      <c r="A1233" s="9" t="str">
        <f>IFERROR(__xludf.DUMMYFUNCTION("""COMPUTED_VALUE"""),"Koprivničko-križevačka županija")</f>
        <v>Koprivničko-križevačka županija</v>
      </c>
      <c r="B1233" s="9" t="str">
        <f>IFERROR(__xludf.DUMMYFUNCTION("""COMPUTED_VALUE"""),"hr-06")</f>
        <v>hr-06</v>
      </c>
      <c r="C1233" s="9" t="str">
        <f>IFERROR(__xludf.DUMMYFUNCTION("GOOGLETRANSLATE($A1233,""en"",""de"")"),"Koprivničko-križevačka županija")</f>
        <v>Koprivničko-križevačka županija</v>
      </c>
      <c r="D1233" s="9" t="str">
        <f>IFERROR(__xludf.DUMMYFUNCTION("GOOGLETRANSLATE($A1233,""en"",""fr"")"),"Koprivničko-križevačka županija")</f>
        <v>Koprivničko-križevačka županija</v>
      </c>
      <c r="E1233" s="9" t="str">
        <f>IFERROR(__xludf.DUMMYFUNCTION("GOOGLETRANSLATE($A1233,""en"",""es"")"),"Koprivničko-križevačka županija")</f>
        <v>Koprivničko-križevačka županija</v>
      </c>
      <c r="F1233" s="9" t="str">
        <f>IFERROR(__xludf.DUMMYFUNCTION("GOOGLETRANSLATE($A1233,""en"",""it"")"),"Koprivničko-križevačka županija")</f>
        <v>Koprivničko-križevačka županija</v>
      </c>
      <c r="G1233" s="9" t="str">
        <f>IFERROR(__xludf.DUMMYFUNCTION("GOOGLETRANSLATE($A1233,""en"",""zh-cn"")"),"科普里夫尼科克里泽瓦卡县")</f>
        <v>科普里夫尼科克里泽瓦卡县</v>
      </c>
      <c r="H1233" s="9" t="str">
        <f>IFERROR(__xludf.DUMMYFUNCTION("GOOGLETRANSLATE($A1233,""en"",""ja"")"),"コプリヴニコ・クリジェヴァチュカ・ジュパニア")</f>
        <v>コプリヴニコ・クリジェヴァチュカ・ジュパニア</v>
      </c>
      <c r="I1233" s="9" t="str">
        <f>IFERROR(__xludf.DUMMYFUNCTION("GOOGLETRANSLATE($A1233,""en"",""ko"")"),"Koprivničko-križevačka županija")</f>
        <v>Koprivničko-križevačka županija</v>
      </c>
      <c r="J1233" s="9" t="str">
        <f>IFERROR(__xludf.DUMMYFUNCTION("GOOGLETRANSLATE($A1233,""en"",""pt-BR"")"),"Koprivničko-križevačka županija")</f>
        <v>Koprivničko-križevačka županija</v>
      </c>
    </row>
    <row r="1234">
      <c r="A1234" s="9" t="str">
        <f>IFERROR(__xludf.DUMMYFUNCTION("""COMPUTED_VALUE"""),"Virovitičko-podravska županija")</f>
        <v>Virovitičko-podravska županija</v>
      </c>
      <c r="B1234" s="9" t="str">
        <f>IFERROR(__xludf.DUMMYFUNCTION("""COMPUTED_VALUE"""),"hr-10")</f>
        <v>hr-10</v>
      </c>
      <c r="C1234" s="9" t="str">
        <f>IFERROR(__xludf.DUMMYFUNCTION("GOOGLETRANSLATE($A1234,""en"",""de"")"),"Virovitičko-podravska županija")</f>
        <v>Virovitičko-podravska županija</v>
      </c>
      <c r="D1234" s="9" t="str">
        <f>IFERROR(__xludf.DUMMYFUNCTION("GOOGLETRANSLATE($A1234,""en"",""fr"")"),"Virovitičko-podravska županija")</f>
        <v>Virovitičko-podravska županija</v>
      </c>
      <c r="E1234" s="9" t="str">
        <f>IFERROR(__xludf.DUMMYFUNCTION("GOOGLETRANSLATE($A1234,""en"",""es"")"),"Virovitičko-podravska županija")</f>
        <v>Virovitičko-podravska županija</v>
      </c>
      <c r="F1234" s="9" t="str">
        <f>IFERROR(__xludf.DUMMYFUNCTION("GOOGLETRANSLATE($A1234,""en"",""it"")"),"Virovitičko-podravska županija")</f>
        <v>Virovitičko-podravska županija</v>
      </c>
      <c r="G1234" s="9" t="str">
        <f>IFERROR(__xludf.DUMMYFUNCTION("GOOGLETRANSLATE($A1234,""en"",""zh-cn"")"),"维罗维提科波德拉夫斯卡县")</f>
        <v>维罗维提科波德拉夫斯卡县</v>
      </c>
      <c r="H1234" s="9" t="str">
        <f>IFERROR(__xludf.DUMMYFUNCTION("GOOGLETRANSLATE($A1234,""en"",""ja"")"),"ヴィロヴィチコ ポドラヴスカ ジュパニヤ")</f>
        <v>ヴィロヴィチコ ポドラヴスカ ジュパニヤ</v>
      </c>
      <c r="I1234" s="9" t="str">
        <f>IFERROR(__xludf.DUMMYFUNCTION("GOOGLETRANSLATE($A1234,""en"",""ko"")"),"Virovitičko-podravska županija")</f>
        <v>Virovitičko-podravska županija</v>
      </c>
      <c r="J1234" s="9" t="str">
        <f>IFERROR(__xludf.DUMMYFUNCTION("GOOGLETRANSLATE($A1234,""en"",""pt-BR"")"),"Virovitičko-podravska županija")</f>
        <v>Virovitičko-podravska županija</v>
      </c>
    </row>
    <row r="1235">
      <c r="A1235" s="9" t="str">
        <f>IFERROR(__xludf.DUMMYFUNCTION("""COMPUTED_VALUE"""),"Zagrebačka županija")</f>
        <v>Zagrebačka županija</v>
      </c>
      <c r="B1235" s="9" t="str">
        <f>IFERROR(__xludf.DUMMYFUNCTION("""COMPUTED_VALUE"""),"hr-01")</f>
        <v>hr-01</v>
      </c>
      <c r="C1235" s="9" t="str">
        <f>IFERROR(__xludf.DUMMYFUNCTION("GOOGLETRANSLATE($A1235,""en"",""de"")"),"Zagrebačka županija")</f>
        <v>Zagrebačka županija</v>
      </c>
      <c r="D1235" s="9" t="str">
        <f>IFERROR(__xludf.DUMMYFUNCTION("GOOGLETRANSLATE($A1235,""en"",""fr"")"),"Zagrebačka županija")</f>
        <v>Zagrebačka županija</v>
      </c>
      <c r="E1235" s="9" t="str">
        <f>IFERROR(__xludf.DUMMYFUNCTION("GOOGLETRANSLATE($A1235,""en"",""es"")"),"Zagrebačka županija")</f>
        <v>Zagrebačka županija</v>
      </c>
      <c r="F1235" s="9" t="str">
        <f>IFERROR(__xludf.DUMMYFUNCTION("GOOGLETRANSLATE($A1235,""en"",""it"")"),"Zagrebačka županija")</f>
        <v>Zagrebačka županija</v>
      </c>
      <c r="G1235" s="9" t="str">
        <f>IFERROR(__xludf.DUMMYFUNCTION("GOOGLETRANSLATE($A1235,""en"",""zh-cn"")"),"萨格勒巴奇卡县")</f>
        <v>萨格勒巴奇卡县</v>
      </c>
      <c r="H1235" s="9" t="str">
        <f>IFERROR(__xludf.DUMMYFUNCTION("GOOGLETRANSLATE($A1235,""en"",""ja"")"),"ザグレバッカ ジュパニヤ")</f>
        <v>ザグレバッカ ジュパニヤ</v>
      </c>
      <c r="I1235" s="9" t="str">
        <f>IFERROR(__xludf.DUMMYFUNCTION("GOOGLETRANSLATE($A1235,""en"",""ko"")"),"자그레바츠카 주파니야")</f>
        <v>자그레바츠카 주파니야</v>
      </c>
      <c r="J1235" s="9" t="str">
        <f>IFERROR(__xludf.DUMMYFUNCTION("GOOGLETRANSLATE($A1235,""en"",""pt-BR"")"),"Zagrebačka županija")</f>
        <v>Zagrebačka županija</v>
      </c>
    </row>
    <row r="1236">
      <c r="A1236" s="9" t="str">
        <f>IFERROR(__xludf.DUMMYFUNCTION("""COMPUTED_VALUE"""),"Krapinsko-zagorska županija")</f>
        <v>Krapinsko-zagorska županija</v>
      </c>
      <c r="B1236" s="9" t="str">
        <f>IFERROR(__xludf.DUMMYFUNCTION("""COMPUTED_VALUE"""),"hr-02")</f>
        <v>hr-02</v>
      </c>
      <c r="C1236" s="9" t="str">
        <f>IFERROR(__xludf.DUMMYFUNCTION("GOOGLETRANSLATE($A1236,""en"",""de"")"),"Krapinsko-zagorska županija")</f>
        <v>Krapinsko-zagorska županija</v>
      </c>
      <c r="D1236" s="9" t="str">
        <f>IFERROR(__xludf.DUMMYFUNCTION("GOOGLETRANSLATE($A1236,""en"",""fr"")"),"Krapinsko-zagorska Zupanija")</f>
        <v>Krapinsko-zagorska Zupanija</v>
      </c>
      <c r="E1236" s="9" t="str">
        <f>IFERROR(__xludf.DUMMYFUNCTION("GOOGLETRANSLATE($A1236,""en"",""es"")"),"Krapinsko-zagorska županija")</f>
        <v>Krapinsko-zagorska županija</v>
      </c>
      <c r="F1236" s="9" t="str">
        <f>IFERROR(__xludf.DUMMYFUNCTION("GOOGLETRANSLATE($A1236,""en"",""it"")"),"Krapinsko-zagorska županija")</f>
        <v>Krapinsko-zagorska županija</v>
      </c>
      <c r="G1236" s="9" t="str">
        <f>IFERROR(__xludf.DUMMYFUNCTION("GOOGLETRANSLATE($A1236,""en"",""zh-cn"")"),"克拉宾斯科-扎戈尔斯卡县")</f>
        <v>克拉宾斯科-扎戈尔斯卡县</v>
      </c>
      <c r="H1236" s="9" t="str">
        <f>IFERROR(__xludf.DUMMYFUNCTION("GOOGLETRANSLATE($A1236,""en"",""ja"")"),"クラピンスコ・ザゴルスカ・ジュパニヤ")</f>
        <v>クラピンスコ・ザゴルスカ・ジュパニヤ</v>
      </c>
      <c r="I1236" s="9" t="str">
        <f>IFERROR(__xludf.DUMMYFUNCTION("GOOGLETRANSLATE($A1236,""en"",""ko"")"),"크라핀스코자고르스카 주파니야")</f>
        <v>크라핀스코자고르스카 주파니야</v>
      </c>
      <c r="J1236" s="9" t="str">
        <f>IFERROR(__xludf.DUMMYFUNCTION("GOOGLETRANSLATE($A1236,""en"",""pt-BR"")"),"Krapinsko-zagorska županija")</f>
        <v>Krapinsko-zagorska županija</v>
      </c>
    </row>
    <row r="1237">
      <c r="A1237" s="9" t="str">
        <f>IFERROR(__xludf.DUMMYFUNCTION("""COMPUTED_VALUE"""),"Guantánamo")</f>
        <v>Guantánamo</v>
      </c>
      <c r="B1237" s="9" t="str">
        <f>IFERROR(__xludf.DUMMYFUNCTION("""COMPUTED_VALUE"""),"cu-14")</f>
        <v>cu-14</v>
      </c>
      <c r="C1237" s="9" t="str">
        <f>IFERROR(__xludf.DUMMYFUNCTION("GOOGLETRANSLATE($A1237,""en"",""de"")"),"Guantanamo")</f>
        <v>Guantanamo</v>
      </c>
      <c r="D1237" s="9" t="str">
        <f>IFERROR(__xludf.DUMMYFUNCTION("GOOGLETRANSLATE($A1237,""en"",""fr"")"),"Guantanamo")</f>
        <v>Guantanamo</v>
      </c>
      <c r="E1237" s="9" t="str">
        <f>IFERROR(__xludf.DUMMYFUNCTION("GOOGLETRANSLATE($A1237,""en"",""es"")"),"Guantánamo")</f>
        <v>Guantánamo</v>
      </c>
      <c r="F1237" s="9" t="str">
        <f>IFERROR(__xludf.DUMMYFUNCTION("GOOGLETRANSLATE($A1237,""en"",""it"")"),"Guantánamo")</f>
        <v>Guantánamo</v>
      </c>
      <c r="G1237" s="9" t="str">
        <f>IFERROR(__xludf.DUMMYFUNCTION("GOOGLETRANSLATE($A1237,""en"",""zh-cn"")"),"关塔那摩")</f>
        <v>关塔那摩</v>
      </c>
      <c r="H1237" s="9" t="str">
        <f>IFERROR(__xludf.DUMMYFUNCTION("GOOGLETRANSLATE($A1237,""en"",""ja"")"),"グアンタナモ")</f>
        <v>グアンタナモ</v>
      </c>
      <c r="I1237" s="9" t="str">
        <f>IFERROR(__xludf.DUMMYFUNCTION("GOOGLETRANSLATE($A1237,""en"",""ko"")"),"관타나모")</f>
        <v>관타나모</v>
      </c>
      <c r="J1237" s="9" t="str">
        <f>IFERROR(__xludf.DUMMYFUNCTION("GOOGLETRANSLATE($A1237,""en"",""pt-BR"")"),"Guantánamo")</f>
        <v>Guantánamo</v>
      </c>
    </row>
    <row r="1238">
      <c r="A1238" s="9" t="str">
        <f>IFERROR(__xludf.DUMMYFUNCTION("""COMPUTED_VALUE"""),"Matanzas")</f>
        <v>Matanzas</v>
      </c>
      <c r="B1238" s="9" t="str">
        <f>IFERROR(__xludf.DUMMYFUNCTION("""COMPUTED_VALUE"""),"cu-04")</f>
        <v>cu-04</v>
      </c>
      <c r="C1238" s="9" t="str">
        <f>IFERROR(__xludf.DUMMYFUNCTION("GOOGLETRANSLATE($A1238,""en"",""de"")"),"Matanzas")</f>
        <v>Matanzas</v>
      </c>
      <c r="D1238" s="9" t="str">
        <f>IFERROR(__xludf.DUMMYFUNCTION("GOOGLETRANSLATE($A1238,""en"",""fr"")"),"Matanzas")</f>
        <v>Matanzas</v>
      </c>
      <c r="E1238" s="9" t="str">
        <f>IFERROR(__xludf.DUMMYFUNCTION("GOOGLETRANSLATE($A1238,""en"",""es"")"),"Matanzas")</f>
        <v>Matanzas</v>
      </c>
      <c r="F1238" s="9" t="str">
        <f>IFERROR(__xludf.DUMMYFUNCTION("GOOGLETRANSLATE($A1238,""en"",""it"")"),"Matanzas")</f>
        <v>Matanzas</v>
      </c>
      <c r="G1238" s="9" t="str">
        <f>IFERROR(__xludf.DUMMYFUNCTION("GOOGLETRANSLATE($A1238,""en"",""zh-cn"")"),"马坦萨斯")</f>
        <v>马坦萨斯</v>
      </c>
      <c r="H1238" s="9" t="str">
        <f>IFERROR(__xludf.DUMMYFUNCTION("GOOGLETRANSLATE($A1238,""en"",""ja"")"),"マタンサス")</f>
        <v>マタンサス</v>
      </c>
      <c r="I1238" s="9" t="str">
        <f>IFERROR(__xludf.DUMMYFUNCTION("GOOGLETRANSLATE($A1238,""en"",""ko"")"),"마탄자스")</f>
        <v>마탄자스</v>
      </c>
      <c r="J1238" s="9" t="str">
        <f>IFERROR(__xludf.DUMMYFUNCTION("GOOGLETRANSLATE($A1238,""en"",""pt-BR"")"),"Matanzas")</f>
        <v>Matanzas</v>
      </c>
    </row>
    <row r="1239">
      <c r="A1239" s="9" t="str">
        <f>IFERROR(__xludf.DUMMYFUNCTION("""COMPUTED_VALUE"""),"Ciego de Ávila")</f>
        <v>Ciego de Ávila</v>
      </c>
      <c r="B1239" s="9" t="str">
        <f>IFERROR(__xludf.DUMMYFUNCTION("""COMPUTED_VALUE"""),"cu-08")</f>
        <v>cu-08</v>
      </c>
      <c r="C1239" s="9" t="str">
        <f>IFERROR(__xludf.DUMMYFUNCTION("GOOGLETRANSLATE($A1239,""en"",""de"")"),"Ciego de Ávila")</f>
        <v>Ciego de Ávila</v>
      </c>
      <c r="D1239" s="9" t="str">
        <f>IFERROR(__xludf.DUMMYFUNCTION("GOOGLETRANSLATE($A1239,""en"",""fr"")"),"Ciego de Avila")</f>
        <v>Ciego de Avila</v>
      </c>
      <c r="E1239" s="9" t="str">
        <f>IFERROR(__xludf.DUMMYFUNCTION("GOOGLETRANSLATE($A1239,""en"",""es"")"),"Ciego de Ávila")</f>
        <v>Ciego de Ávila</v>
      </c>
      <c r="F1239" s="9" t="str">
        <f>IFERROR(__xludf.DUMMYFUNCTION("GOOGLETRANSLATE($A1239,""en"",""it"")"),"Ciego de Ávila")</f>
        <v>Ciego de Ávila</v>
      </c>
      <c r="G1239" s="9" t="str">
        <f>IFERROR(__xludf.DUMMYFUNCTION("GOOGLETRANSLATE($A1239,""en"",""zh-cn"")"),"谢戈·德·阿维拉")</f>
        <v>谢戈·德·阿维拉</v>
      </c>
      <c r="H1239" s="9" t="str">
        <f>IFERROR(__xludf.DUMMYFUNCTION("GOOGLETRANSLATE($A1239,""en"",""ja"")"),"シエゴ デ アビラ")</f>
        <v>シエゴ デ アビラ</v>
      </c>
      <c r="I1239" s="9" t="str">
        <f>IFERROR(__xludf.DUMMYFUNCTION("GOOGLETRANSLATE($A1239,""en"",""ko"")"),"시에고 데 아빌라")</f>
        <v>시에고 데 아빌라</v>
      </c>
      <c r="J1239" s="9" t="str">
        <f>IFERROR(__xludf.DUMMYFUNCTION("GOOGLETRANSLATE($A1239,""en"",""pt-BR"")"),"Ciego de Ávila")</f>
        <v>Ciego de Ávila</v>
      </c>
    </row>
    <row r="1240">
      <c r="A1240" s="9" t="str">
        <f>IFERROR(__xludf.DUMMYFUNCTION("""COMPUTED_VALUE"""),"Pinar del Río")</f>
        <v>Pinar del Río</v>
      </c>
      <c r="B1240" s="9" t="str">
        <f>IFERROR(__xludf.DUMMYFUNCTION("""COMPUTED_VALUE"""),"cu-01")</f>
        <v>cu-01</v>
      </c>
      <c r="C1240" s="9" t="str">
        <f>IFERROR(__xludf.DUMMYFUNCTION("GOOGLETRANSLATE($A1240,""en"",""de"")"),"Pinar del Río")</f>
        <v>Pinar del Río</v>
      </c>
      <c r="D1240" s="9" t="str">
        <f>IFERROR(__xludf.DUMMYFUNCTION("GOOGLETRANSLATE($A1240,""en"",""fr"")"),"Pinar del Rio")</f>
        <v>Pinar del Rio</v>
      </c>
      <c r="E1240" s="9" t="str">
        <f>IFERROR(__xludf.DUMMYFUNCTION("GOOGLETRANSLATE($A1240,""en"",""es"")"),"pinar del rio")</f>
        <v>pinar del rio</v>
      </c>
      <c r="F1240" s="9" t="str">
        <f>IFERROR(__xludf.DUMMYFUNCTION("GOOGLETRANSLATE($A1240,""en"",""it"")"),"Pinar del Rio")</f>
        <v>Pinar del Rio</v>
      </c>
      <c r="G1240" s="9" t="str">
        <f>IFERROR(__xludf.DUMMYFUNCTION("GOOGLETRANSLATE($A1240,""en"",""zh-cn"")"),"比那尔德里奥")</f>
        <v>比那尔德里奥</v>
      </c>
      <c r="H1240" s="9" t="str">
        <f>IFERROR(__xludf.DUMMYFUNCTION("GOOGLETRANSLATE($A1240,""en"",""ja"")"),"ピナール デル リオ")</f>
        <v>ピナール デル リオ</v>
      </c>
      <c r="I1240" s="9" t="str">
        <f>IFERROR(__xludf.DUMMYFUNCTION("GOOGLETRANSLATE($A1240,""en"",""ko"")"),"피나르 델 리오")</f>
        <v>피나르 델 리오</v>
      </c>
      <c r="J1240" s="9" t="str">
        <f>IFERROR(__xludf.DUMMYFUNCTION("GOOGLETRANSLATE($A1240,""en"",""pt-BR"")"),"Pinar del Rio")</f>
        <v>Pinar del Rio</v>
      </c>
    </row>
    <row r="1241">
      <c r="A1241" s="9" t="str">
        <f>IFERROR(__xludf.DUMMYFUNCTION("""COMPUTED_VALUE"""),"Las Tunas")</f>
        <v>Las Tunas</v>
      </c>
      <c r="B1241" s="9" t="str">
        <f>IFERROR(__xludf.DUMMYFUNCTION("""COMPUTED_VALUE"""),"cu-10")</f>
        <v>cu-10</v>
      </c>
      <c r="C1241" s="9" t="str">
        <f>IFERROR(__xludf.DUMMYFUNCTION("GOOGLETRANSLATE($A1241,""en"",""de"")"),"Las Tunas")</f>
        <v>Las Tunas</v>
      </c>
      <c r="D1241" s="9" t="str">
        <f>IFERROR(__xludf.DUMMYFUNCTION("GOOGLETRANSLATE($A1241,""en"",""fr"")"),"Las Tunas")</f>
        <v>Las Tunas</v>
      </c>
      <c r="E1241" s="9" t="str">
        <f>IFERROR(__xludf.DUMMYFUNCTION("GOOGLETRANSLATE($A1241,""en"",""es"")"),"Las Tunas")</f>
        <v>Las Tunas</v>
      </c>
      <c r="F1241" s="9" t="str">
        <f>IFERROR(__xludf.DUMMYFUNCTION("GOOGLETRANSLATE($A1241,""en"",""it"")"),"Las Tunas")</f>
        <v>Las Tunas</v>
      </c>
      <c r="G1241" s="9" t="str">
        <f>IFERROR(__xludf.DUMMYFUNCTION("GOOGLETRANSLATE($A1241,""en"",""zh-cn"")"),"拉斯图纳斯")</f>
        <v>拉斯图纳斯</v>
      </c>
      <c r="H1241" s="9" t="str">
        <f>IFERROR(__xludf.DUMMYFUNCTION("GOOGLETRANSLATE($A1241,""en"",""ja"")"),"ラス・トゥーナス")</f>
        <v>ラス・トゥーナス</v>
      </c>
      <c r="I1241" s="9" t="str">
        <f>IFERROR(__xludf.DUMMYFUNCTION("GOOGLETRANSLATE($A1241,""en"",""ko"")"),"라스 투나스")</f>
        <v>라스 투나스</v>
      </c>
      <c r="J1241" s="9" t="str">
        <f>IFERROR(__xludf.DUMMYFUNCTION("GOOGLETRANSLATE($A1241,""en"",""pt-BR"")"),"Las Tunas")</f>
        <v>Las Tunas</v>
      </c>
    </row>
    <row r="1242">
      <c r="A1242" s="9" t="str">
        <f>IFERROR(__xludf.DUMMYFUNCTION("""COMPUTED_VALUE"""),"Sancti Spíritus")</f>
        <v>Sancti Spíritus</v>
      </c>
      <c r="B1242" s="9" t="str">
        <f>IFERROR(__xludf.DUMMYFUNCTION("""COMPUTED_VALUE"""),"cu-07")</f>
        <v>cu-07</v>
      </c>
      <c r="C1242" s="9" t="str">
        <f>IFERROR(__xludf.DUMMYFUNCTION("GOOGLETRANSLATE($A1242,""en"",""de"")"),"Sancti Spíritus")</f>
        <v>Sancti Spíritus</v>
      </c>
      <c r="D1242" s="9" t="str">
        <f>IFERROR(__xludf.DUMMYFUNCTION("GOOGLETRANSLATE($A1242,""en"",""fr"")"),"Sancti Spiritus")</f>
        <v>Sancti Spiritus</v>
      </c>
      <c r="E1242" s="9" t="str">
        <f>IFERROR(__xludf.DUMMYFUNCTION("GOOGLETRANSLATE($A1242,""en"",""es"")"),"Sancti Espíritu")</f>
        <v>Sancti Espíritu</v>
      </c>
      <c r="F1242" s="9" t="str">
        <f>IFERROR(__xludf.DUMMYFUNCTION("GOOGLETRANSLATE($A1242,""en"",""it"")"),"Sancti Spiritus")</f>
        <v>Sancti Spiritus</v>
      </c>
      <c r="G1242" s="9" t="str">
        <f>IFERROR(__xludf.DUMMYFUNCTION("GOOGLETRANSLATE($A1242,""en"",""zh-cn"")"),"圣神")</f>
        <v>圣神</v>
      </c>
      <c r="H1242" s="9" t="str">
        <f>IFERROR(__xludf.DUMMYFUNCTION("GOOGLETRANSLATE($A1242,""en"",""ja"")"),"サンクティ スピリトゥス")</f>
        <v>サンクティ スピリトゥス</v>
      </c>
      <c r="I1242" s="9" t="str">
        <f>IFERROR(__xludf.DUMMYFUNCTION("GOOGLETRANSLATE($A1242,""en"",""ko"")"),"상크티 스피리투스")</f>
        <v>상크티 스피리투스</v>
      </c>
      <c r="J1242" s="9" t="str">
        <f>IFERROR(__xludf.DUMMYFUNCTION("GOOGLETRANSLATE($A1242,""en"",""pt-BR"")"),"Santo Espírito")</f>
        <v>Santo Espírito</v>
      </c>
    </row>
    <row r="1243">
      <c r="A1243" s="9" t="str">
        <f>IFERROR(__xludf.DUMMYFUNCTION("""COMPUTED_VALUE"""),"Holguín")</f>
        <v>Holguín</v>
      </c>
      <c r="B1243" s="9" t="str">
        <f>IFERROR(__xludf.DUMMYFUNCTION("""COMPUTED_VALUE"""),"cu-11")</f>
        <v>cu-11</v>
      </c>
      <c r="C1243" s="9" t="str">
        <f>IFERROR(__xludf.DUMMYFUNCTION("GOOGLETRANSLATE($A1243,""en"",""de"")"),"Holguin")</f>
        <v>Holguin</v>
      </c>
      <c r="D1243" s="9" t="str">
        <f>IFERROR(__xludf.DUMMYFUNCTION("GOOGLETRANSLATE($A1243,""en"",""fr"")"),"Holguin")</f>
        <v>Holguin</v>
      </c>
      <c r="E1243" s="9" t="str">
        <f>IFERROR(__xludf.DUMMYFUNCTION("GOOGLETRANSLATE($A1243,""en"",""es"")"),"Holguín")</f>
        <v>Holguín</v>
      </c>
      <c r="F1243" s="9" t="str">
        <f>IFERROR(__xludf.DUMMYFUNCTION("GOOGLETRANSLATE($A1243,""en"",""it"")"),"Holguin")</f>
        <v>Holguin</v>
      </c>
      <c r="G1243" s="9" t="str">
        <f>IFERROR(__xludf.DUMMYFUNCTION("GOOGLETRANSLATE($A1243,""en"",""zh-cn"")"),"奥尔金")</f>
        <v>奥尔金</v>
      </c>
      <c r="H1243" s="9" t="str">
        <f>IFERROR(__xludf.DUMMYFUNCTION("GOOGLETRANSLATE($A1243,""en"",""ja"")"),"オルギン")</f>
        <v>オルギン</v>
      </c>
      <c r="I1243" s="9" t="str">
        <f>IFERROR(__xludf.DUMMYFUNCTION("GOOGLETRANSLATE($A1243,""en"",""ko"")"),"올긴")</f>
        <v>올긴</v>
      </c>
      <c r="J1243" s="9" t="str">
        <f>IFERROR(__xludf.DUMMYFUNCTION("GOOGLETRANSLATE($A1243,""en"",""pt-BR"")"),"Holguín")</f>
        <v>Holguín</v>
      </c>
    </row>
    <row r="1244">
      <c r="A1244" s="9" t="str">
        <f>IFERROR(__xludf.DUMMYFUNCTION("""COMPUTED_VALUE"""),"Camagüey")</f>
        <v>Camagüey</v>
      </c>
      <c r="B1244" s="9" t="str">
        <f>IFERROR(__xludf.DUMMYFUNCTION("""COMPUTED_VALUE"""),"cu-09")</f>
        <v>cu-09</v>
      </c>
      <c r="C1244" s="9" t="str">
        <f>IFERROR(__xludf.DUMMYFUNCTION("GOOGLETRANSLATE($A1244,""en"",""de"")"),"Camagüey")</f>
        <v>Camagüey</v>
      </c>
      <c r="D1244" s="9" t="str">
        <f>IFERROR(__xludf.DUMMYFUNCTION("GOOGLETRANSLATE($A1244,""en"",""fr"")"),"Camagüey")</f>
        <v>Camagüey</v>
      </c>
      <c r="E1244" s="9" t="str">
        <f>IFERROR(__xludf.DUMMYFUNCTION("GOOGLETRANSLATE($A1244,""en"",""es"")"),"Camagüey")</f>
        <v>Camagüey</v>
      </c>
      <c r="F1244" s="9" t="str">
        <f>IFERROR(__xludf.DUMMYFUNCTION("GOOGLETRANSLATE($A1244,""en"",""it"")"),"Camagüey")</f>
        <v>Camagüey</v>
      </c>
      <c r="G1244" s="9" t="str">
        <f>IFERROR(__xludf.DUMMYFUNCTION("GOOGLETRANSLATE($A1244,""en"",""zh-cn"")"),"卡马圭")</f>
        <v>卡马圭</v>
      </c>
      <c r="H1244" s="9" t="str">
        <f>IFERROR(__xludf.DUMMYFUNCTION("GOOGLETRANSLATE($A1244,""en"",""ja"")"),"カマグエイ")</f>
        <v>カマグエイ</v>
      </c>
      <c r="I1244" s="9" t="str">
        <f>IFERROR(__xludf.DUMMYFUNCTION("GOOGLETRANSLATE($A1244,""en"",""ko"")"),"카마궤이")</f>
        <v>카마궤이</v>
      </c>
      <c r="J1244" s="9" t="str">
        <f>IFERROR(__xludf.DUMMYFUNCTION("GOOGLETRANSLATE($A1244,""en"",""pt-BR"")"),"Camaguey")</f>
        <v>Camaguey</v>
      </c>
    </row>
    <row r="1245">
      <c r="A1245" s="9" t="str">
        <f>IFERROR(__xludf.DUMMYFUNCTION("""COMPUTED_VALUE"""),"Isla de la Juventud")</f>
        <v>Isla de la Juventud</v>
      </c>
      <c r="B1245" s="9" t="str">
        <f>IFERROR(__xludf.DUMMYFUNCTION("""COMPUTED_VALUE"""),"cu-99")</f>
        <v>cu-99</v>
      </c>
      <c r="C1245" s="9" t="str">
        <f>IFERROR(__xludf.DUMMYFUNCTION("GOOGLETRANSLATE($A1245,""en"",""de"")"),"Isla de la Juventud")</f>
        <v>Isla de la Juventud</v>
      </c>
      <c r="D1245" s="9" t="str">
        <f>IFERROR(__xludf.DUMMYFUNCTION("GOOGLETRANSLATE($A1245,""en"",""fr"")"),"Île de la Jeunesse")</f>
        <v>Île de la Jeunesse</v>
      </c>
      <c r="E1245" s="9" t="str">
        <f>IFERROR(__xludf.DUMMYFUNCTION("GOOGLETRANSLATE($A1245,""en"",""es"")"),"Isla de la Juventud")</f>
        <v>Isla de la Juventud</v>
      </c>
      <c r="F1245" s="9" t="str">
        <f>IFERROR(__xludf.DUMMYFUNCTION("GOOGLETRANSLATE($A1245,""en"",""it"")"),"Isola della Gioventù")</f>
        <v>Isola della Gioventù</v>
      </c>
      <c r="G1245" s="9" t="str">
        <f>IFERROR(__xludf.DUMMYFUNCTION("GOOGLETRANSLATE($A1245,""en"",""zh-cn"")"),"青年岛")</f>
        <v>青年岛</v>
      </c>
      <c r="H1245" s="9" t="str">
        <f>IFERROR(__xludf.DUMMYFUNCTION("GOOGLETRANSLATE($A1245,""en"",""ja"")"),"ユベントゥド島")</f>
        <v>ユベントゥド島</v>
      </c>
      <c r="I1245" s="9" t="str">
        <f>IFERROR(__xludf.DUMMYFUNCTION("GOOGLETRANSLATE($A1245,""en"",""ko"")"),"이슬라 데 라 후벤투드")</f>
        <v>이슬라 데 라 후벤투드</v>
      </c>
      <c r="J1245" s="9" t="str">
        <f>IFERROR(__xludf.DUMMYFUNCTION("GOOGLETRANSLATE($A1245,""en"",""pt-BR"")"),"Ilha da Juventude")</f>
        <v>Ilha da Juventude</v>
      </c>
    </row>
    <row r="1246">
      <c r="A1246" s="9" t="str">
        <f>IFERROR(__xludf.DUMMYFUNCTION("""COMPUTED_VALUE"""),"La Habana")</f>
        <v>La Habana</v>
      </c>
      <c r="B1246" s="9" t="str">
        <f>IFERROR(__xludf.DUMMYFUNCTION("""COMPUTED_VALUE"""),"cu-02")</f>
        <v>cu-02</v>
      </c>
      <c r="C1246" s="9" t="str">
        <f>IFERROR(__xludf.DUMMYFUNCTION("GOOGLETRANSLATE($A1246,""en"",""de"")"),"La Habana")</f>
        <v>La Habana</v>
      </c>
      <c r="D1246" s="9" t="str">
        <f>IFERROR(__xludf.DUMMYFUNCTION("GOOGLETRANSLATE($A1246,""en"",""fr"")"),"La Havane")</f>
        <v>La Havane</v>
      </c>
      <c r="E1246" s="9" t="str">
        <f>IFERROR(__xludf.DUMMYFUNCTION("GOOGLETRANSLATE($A1246,""en"",""es"")"),"La Habana")</f>
        <v>La Habana</v>
      </c>
      <c r="F1246" s="9" t="str">
        <f>IFERROR(__xludf.DUMMYFUNCTION("GOOGLETRANSLATE($A1246,""en"",""it"")"),"L'Avana")</f>
        <v>L'Avana</v>
      </c>
      <c r="G1246" s="9" t="str">
        <f>IFERROR(__xludf.DUMMYFUNCTION("GOOGLETRANSLATE($A1246,""en"",""zh-cn"")"),"哈瓦那")</f>
        <v>哈瓦那</v>
      </c>
      <c r="H1246" s="9" t="str">
        <f>IFERROR(__xludf.DUMMYFUNCTION("GOOGLETRANSLATE($A1246,""en"",""ja"")"),"ラ・ハバナ")</f>
        <v>ラ・ハバナ</v>
      </c>
      <c r="I1246" s="9" t="str">
        <f>IFERROR(__xludf.DUMMYFUNCTION("GOOGLETRANSLATE($A1246,""en"",""ko"")"),"라 하바나")</f>
        <v>라 하바나</v>
      </c>
      <c r="J1246" s="9" t="str">
        <f>IFERROR(__xludf.DUMMYFUNCTION("GOOGLETRANSLATE($A1246,""en"",""pt-BR"")"),"Havana")</f>
        <v>Havana</v>
      </c>
    </row>
    <row r="1247">
      <c r="A1247" s="9" t="str">
        <f>IFERROR(__xludf.DUMMYFUNCTION("""COMPUTED_VALUE"""),"Cienfuegos")</f>
        <v>Cienfuegos</v>
      </c>
      <c r="B1247" s="9" t="str">
        <f>IFERROR(__xludf.DUMMYFUNCTION("""COMPUTED_VALUE"""),"cu-06")</f>
        <v>cu-06</v>
      </c>
      <c r="C1247" s="9" t="str">
        <f>IFERROR(__xludf.DUMMYFUNCTION("GOOGLETRANSLATE($A1247,""en"",""de"")"),"Cienfuegos")</f>
        <v>Cienfuegos</v>
      </c>
      <c r="D1247" s="9" t="str">
        <f>IFERROR(__xludf.DUMMYFUNCTION("GOOGLETRANSLATE($A1247,""en"",""fr"")"),"Cienfuegos")</f>
        <v>Cienfuegos</v>
      </c>
      <c r="E1247" s="9" t="str">
        <f>IFERROR(__xludf.DUMMYFUNCTION("GOOGLETRANSLATE($A1247,""en"",""es"")"),"Cienfuegos")</f>
        <v>Cienfuegos</v>
      </c>
      <c r="F1247" s="9" t="str">
        <f>IFERROR(__xludf.DUMMYFUNCTION("GOOGLETRANSLATE($A1247,""en"",""it"")"),"Cienfuegos")</f>
        <v>Cienfuegos</v>
      </c>
      <c r="G1247" s="9" t="str">
        <f>IFERROR(__xludf.DUMMYFUNCTION("GOOGLETRANSLATE($A1247,""en"",""zh-cn"")"),"西恩富戈斯")</f>
        <v>西恩富戈斯</v>
      </c>
      <c r="H1247" s="9" t="str">
        <f>IFERROR(__xludf.DUMMYFUNCTION("GOOGLETRANSLATE($A1247,""en"",""ja"")"),"シエンフエーゴス")</f>
        <v>シエンフエーゴス</v>
      </c>
      <c r="I1247" s="9" t="str">
        <f>IFERROR(__xludf.DUMMYFUNCTION("GOOGLETRANSLATE($A1247,""en"",""ko"")"),"시엔푸에고스")</f>
        <v>시엔푸에고스</v>
      </c>
      <c r="J1247" s="9" t="str">
        <f>IFERROR(__xludf.DUMMYFUNCTION("GOOGLETRANSLATE($A1247,""en"",""pt-BR"")"),"Cienfuegos")</f>
        <v>Cienfuegos</v>
      </c>
    </row>
    <row r="1248">
      <c r="A1248" s="9" t="str">
        <f>IFERROR(__xludf.DUMMYFUNCTION("""COMPUTED_VALUE"""),"Villa Clara")</f>
        <v>Villa Clara</v>
      </c>
      <c r="B1248" s="9" t="str">
        <f>IFERROR(__xludf.DUMMYFUNCTION("""COMPUTED_VALUE"""),"cu-05")</f>
        <v>cu-05</v>
      </c>
      <c r="C1248" s="9" t="str">
        <f>IFERROR(__xludf.DUMMYFUNCTION("GOOGLETRANSLATE($A1248,""en"",""de"")"),"Villa Clara")</f>
        <v>Villa Clara</v>
      </c>
      <c r="D1248" s="9" t="str">
        <f>IFERROR(__xludf.DUMMYFUNCTION("GOOGLETRANSLATE($A1248,""en"",""fr"")"),"Villa Clara")</f>
        <v>Villa Clara</v>
      </c>
      <c r="E1248" s="9" t="str">
        <f>IFERROR(__xludf.DUMMYFUNCTION("GOOGLETRANSLATE($A1248,""en"",""es"")"),"villaclara")</f>
        <v>villaclara</v>
      </c>
      <c r="F1248" s="9" t="str">
        <f>IFERROR(__xludf.DUMMYFUNCTION("GOOGLETRANSLATE($A1248,""en"",""it"")"),"Villa Chiara")</f>
        <v>Villa Chiara</v>
      </c>
      <c r="G1248" s="9" t="str">
        <f>IFERROR(__xludf.DUMMYFUNCTION("GOOGLETRANSLATE($A1248,""en"",""zh-cn"")"),"克拉拉别墅")</f>
        <v>克拉拉别墅</v>
      </c>
      <c r="H1248" s="9" t="str">
        <f>IFERROR(__xludf.DUMMYFUNCTION("GOOGLETRANSLATE($A1248,""en"",""ja"")"),"ヴィラ クララ")</f>
        <v>ヴィラ クララ</v>
      </c>
      <c r="I1248" s="9" t="str">
        <f>IFERROR(__xludf.DUMMYFUNCTION("GOOGLETRANSLATE($A1248,""en"",""ko"")"),"빌라 클라라")</f>
        <v>빌라 클라라</v>
      </c>
      <c r="J1248" s="9" t="str">
        <f>IFERROR(__xludf.DUMMYFUNCTION("GOOGLETRANSLATE($A1248,""en"",""pt-BR"")"),"Vila Clara")</f>
        <v>Vila Clara</v>
      </c>
    </row>
    <row r="1249">
      <c r="A1249" s="9" t="str">
        <f>IFERROR(__xludf.DUMMYFUNCTION("""COMPUTED_VALUE"""),"Santiago de Cuba")</f>
        <v>Santiago de Cuba</v>
      </c>
      <c r="B1249" s="9" t="str">
        <f>IFERROR(__xludf.DUMMYFUNCTION("""COMPUTED_VALUE"""),"cu-13")</f>
        <v>cu-13</v>
      </c>
      <c r="C1249" s="9" t="str">
        <f>IFERROR(__xludf.DUMMYFUNCTION("GOOGLETRANSLATE($A1249,""en"",""de"")"),"Santiago de Cuba")</f>
        <v>Santiago de Cuba</v>
      </c>
      <c r="D1249" s="9" t="str">
        <f>IFERROR(__xludf.DUMMYFUNCTION("GOOGLETRANSLATE($A1249,""en"",""fr"")"),"Santiago de Cuba")</f>
        <v>Santiago de Cuba</v>
      </c>
      <c r="E1249" s="9" t="str">
        <f>IFERROR(__xludf.DUMMYFUNCTION("GOOGLETRANSLATE($A1249,""en"",""es"")"),"santiago de cuba")</f>
        <v>santiago de cuba</v>
      </c>
      <c r="F1249" s="9" t="str">
        <f>IFERROR(__xludf.DUMMYFUNCTION("GOOGLETRANSLATE($A1249,""en"",""it"")"),"Santiago di Cuba")</f>
        <v>Santiago di Cuba</v>
      </c>
      <c r="G1249" s="9" t="str">
        <f>IFERROR(__xludf.DUMMYFUNCTION("GOOGLETRANSLATE($A1249,""en"",""zh-cn"")"),"古巴圣地亚哥")</f>
        <v>古巴圣地亚哥</v>
      </c>
      <c r="H1249" s="9" t="str">
        <f>IFERROR(__xludf.DUMMYFUNCTION("GOOGLETRANSLATE($A1249,""en"",""ja"")"),"サンティアゴ・デ・クーバ")</f>
        <v>サンティアゴ・デ・クーバ</v>
      </c>
      <c r="I1249" s="9" t="str">
        <f>IFERROR(__xludf.DUMMYFUNCTION("GOOGLETRANSLATE($A1249,""en"",""ko"")"),"산티아고 데 쿠바")</f>
        <v>산티아고 데 쿠바</v>
      </c>
      <c r="J1249" s="9" t="str">
        <f>IFERROR(__xludf.DUMMYFUNCTION("GOOGLETRANSLATE($A1249,""en"",""pt-BR"")"),"Santiago de Cuba")</f>
        <v>Santiago de Cuba</v>
      </c>
    </row>
    <row r="1250">
      <c r="A1250" s="9" t="str">
        <f>IFERROR(__xludf.DUMMYFUNCTION("""COMPUTED_VALUE"""),"Granma")</f>
        <v>Granma</v>
      </c>
      <c r="B1250" s="9" t="str">
        <f>IFERROR(__xludf.DUMMYFUNCTION("""COMPUTED_VALUE"""),"cu-12")</f>
        <v>cu-12</v>
      </c>
      <c r="C1250" s="9" t="str">
        <f>IFERROR(__xludf.DUMMYFUNCTION("GOOGLETRANSLATE($A1250,""en"",""de"")"),"Oma")</f>
        <v>Oma</v>
      </c>
      <c r="D1250" s="9" t="str">
        <f>IFERROR(__xludf.DUMMYFUNCTION("GOOGLETRANSLATE($A1250,""en"",""fr"")"),"grand-mère")</f>
        <v>grand-mère</v>
      </c>
      <c r="E1250" s="9" t="str">
        <f>IFERROR(__xludf.DUMMYFUNCTION("GOOGLETRANSLATE($A1250,""en"",""es"")"),"abuela")</f>
        <v>abuela</v>
      </c>
      <c r="F1250" s="9" t="str">
        <f>IFERROR(__xludf.DUMMYFUNCTION("GOOGLETRANSLATE($A1250,""en"",""it"")"),"Nonna")</f>
        <v>Nonna</v>
      </c>
      <c r="G1250" s="9" t="str">
        <f>IFERROR(__xludf.DUMMYFUNCTION("GOOGLETRANSLATE($A1250,""en"",""zh-cn"")"),"格拉玛")</f>
        <v>格拉玛</v>
      </c>
      <c r="H1250" s="9" t="str">
        <f>IFERROR(__xludf.DUMMYFUNCTION("GOOGLETRANSLATE($A1250,""en"",""ja"")"),"おばあちゃん")</f>
        <v>おばあちゃん</v>
      </c>
      <c r="I1250" s="9" t="str">
        <f>IFERROR(__xludf.DUMMYFUNCTION("GOOGLETRANSLATE($A1250,""en"",""ko"")"),"그랜마")</f>
        <v>그랜마</v>
      </c>
      <c r="J1250" s="9" t="str">
        <f>IFERROR(__xludf.DUMMYFUNCTION("GOOGLETRANSLATE($A1250,""en"",""pt-BR"")"),"vovó")</f>
        <v>vovó</v>
      </c>
    </row>
    <row r="1251">
      <c r="A1251" s="9" t="str">
        <f>IFERROR(__xludf.DUMMYFUNCTION("""COMPUTED_VALUE"""),"Ciudad de La Habana")</f>
        <v>Ciudad de La Habana</v>
      </c>
      <c r="B1251" s="9" t="str">
        <f>IFERROR(__xludf.DUMMYFUNCTION("""COMPUTED_VALUE"""),"cu-03")</f>
        <v>cu-03</v>
      </c>
      <c r="C1251" s="9" t="str">
        <f>IFERROR(__xludf.DUMMYFUNCTION("GOOGLETRANSLATE($A1251,""en"",""de"")"),"Ciudad de La Habana")</f>
        <v>Ciudad de La Habana</v>
      </c>
      <c r="D1251" s="9" t="str">
        <f>IFERROR(__xludf.DUMMYFUNCTION("GOOGLETRANSLATE($A1251,""en"",""fr"")"),"Ville de La Havane")</f>
        <v>Ville de La Havane</v>
      </c>
      <c r="E1251" s="9" t="str">
        <f>IFERROR(__xludf.DUMMYFUNCTION("GOOGLETRANSLATE($A1251,""en"",""es"")"),"ciudad de la habana")</f>
        <v>ciudad de la habana</v>
      </c>
      <c r="F1251" s="9" t="str">
        <f>IFERROR(__xludf.DUMMYFUNCTION("GOOGLETRANSLATE($A1251,""en"",""it"")"),"Città dell'Avana")</f>
        <v>Città dell'Avana</v>
      </c>
      <c r="G1251" s="9" t="str">
        <f>IFERROR(__xludf.DUMMYFUNCTION("GOOGLETRANSLATE($A1251,""en"",""zh-cn"")"),"哈瓦那城")</f>
        <v>哈瓦那城</v>
      </c>
      <c r="H1251" s="9" t="str">
        <f>IFERROR(__xludf.DUMMYFUNCTION("GOOGLETRANSLATE($A1251,""en"",""ja"")"),"シウダッド デ ラ ハバナ")</f>
        <v>シウダッド デ ラ ハバナ</v>
      </c>
      <c r="I1251" s="9" t="str">
        <f>IFERROR(__xludf.DUMMYFUNCTION("GOOGLETRANSLATE($A1251,""en"",""ko"")"),"시우다드 데 라 하바나")</f>
        <v>시우다드 데 라 하바나</v>
      </c>
      <c r="J1251" s="9" t="str">
        <f>IFERROR(__xludf.DUMMYFUNCTION("GOOGLETRANSLATE($A1251,""en"",""pt-BR"")"),"Cidade de Havana")</f>
        <v>Cidade de Havana</v>
      </c>
    </row>
    <row r="1252">
      <c r="A1252" s="9" t="str">
        <f>IFERROR(__xludf.DUMMYFUNCTION("""COMPUTED_VALUE"""),"Curaçao")</f>
        <v>Curaçao</v>
      </c>
      <c r="B1252" s="9" t="str">
        <f>IFERROR(__xludf.DUMMYFUNCTION("""COMPUTED_VALUE"""),"cw-cw")</f>
        <v>cw-cw</v>
      </c>
      <c r="C1252" s="9" t="str">
        <f>IFERROR(__xludf.DUMMYFUNCTION("GOOGLETRANSLATE($A1252,""en"",""de"")"),"Curaçao")</f>
        <v>Curaçao</v>
      </c>
      <c r="D1252" s="9" t="str">
        <f>IFERROR(__xludf.DUMMYFUNCTION("GOOGLETRANSLATE($A1252,""en"",""fr"")"),"Curaçao")</f>
        <v>Curaçao</v>
      </c>
      <c r="E1252" s="9" t="str">
        <f>IFERROR(__xludf.DUMMYFUNCTION("GOOGLETRANSLATE($A1252,""en"",""es"")"),"Curazao")</f>
        <v>Curazao</v>
      </c>
      <c r="F1252" s="9" t="str">
        <f>IFERROR(__xludf.DUMMYFUNCTION("GOOGLETRANSLATE($A1252,""en"",""it"")"),"Curaçao")</f>
        <v>Curaçao</v>
      </c>
      <c r="G1252" s="9" t="str">
        <f>IFERROR(__xludf.DUMMYFUNCTION("GOOGLETRANSLATE($A1252,""en"",""zh-cn"")"),"库拉索岛")</f>
        <v>库拉索岛</v>
      </c>
      <c r="H1252" s="9" t="str">
        <f>IFERROR(__xludf.DUMMYFUNCTION("GOOGLETRANSLATE($A1252,""en"",""ja"")"),"キュラソー")</f>
        <v>キュラソー</v>
      </c>
      <c r="I1252" s="9" t="str">
        <f>IFERROR(__xludf.DUMMYFUNCTION("GOOGLETRANSLATE($A1252,""en"",""ko"")"),"퀴라소")</f>
        <v>퀴라소</v>
      </c>
      <c r="J1252" s="9" t="str">
        <f>IFERROR(__xludf.DUMMYFUNCTION("GOOGLETRANSLATE($A1252,""en"",""pt-BR"")"),"Curaçau")</f>
        <v>Curaçau</v>
      </c>
    </row>
    <row r="1253">
      <c r="A1253" s="9" t="str">
        <f>IFERROR(__xludf.DUMMYFUNCTION("""COMPUTED_VALUE"""),"Lefkosia")</f>
        <v>Lefkosia</v>
      </c>
      <c r="B1253" s="9" t="str">
        <f>IFERROR(__xludf.DUMMYFUNCTION("""COMPUTED_VALUE"""),"cy-01")</f>
        <v>cy-01</v>
      </c>
      <c r="C1253" s="9" t="str">
        <f>IFERROR(__xludf.DUMMYFUNCTION("GOOGLETRANSLATE($A1253,""en"",""de"")"),"Lefkosia")</f>
        <v>Lefkosia</v>
      </c>
      <c r="D1253" s="9" t="str">
        <f>IFERROR(__xludf.DUMMYFUNCTION("GOOGLETRANSLATE($A1253,""en"",""fr"")"),"Lefkosie")</f>
        <v>Lefkosie</v>
      </c>
      <c r="E1253" s="9" t="str">
        <f>IFERROR(__xludf.DUMMYFUNCTION("GOOGLETRANSLATE($A1253,""en"",""es"")"),"Lefkosia")</f>
        <v>Lefkosia</v>
      </c>
      <c r="F1253" s="9" t="str">
        <f>IFERROR(__xludf.DUMMYFUNCTION("GOOGLETRANSLATE($A1253,""en"",""it"")"),"Lefkosia")</f>
        <v>Lefkosia</v>
      </c>
      <c r="G1253" s="9" t="str">
        <f>IFERROR(__xludf.DUMMYFUNCTION("GOOGLETRANSLATE($A1253,""en"",""zh-cn"")"),"莱夫科西亚")</f>
        <v>莱夫科西亚</v>
      </c>
      <c r="H1253" s="9" t="str">
        <f>IFERROR(__xludf.DUMMYFUNCTION("GOOGLETRANSLATE($A1253,""en"",""ja"")"),"レフコシア")</f>
        <v>レフコシア</v>
      </c>
      <c r="I1253" s="9" t="str">
        <f>IFERROR(__xludf.DUMMYFUNCTION("GOOGLETRANSLATE($A1253,""en"",""ko"")"),"레프코시아")</f>
        <v>레프코시아</v>
      </c>
      <c r="J1253" s="9" t="str">
        <f>IFERROR(__xludf.DUMMYFUNCTION("GOOGLETRANSLATE($A1253,""en"",""pt-BR"")"),"Lefkosia")</f>
        <v>Lefkosia</v>
      </c>
    </row>
    <row r="1254">
      <c r="A1254" s="9" t="str">
        <f>IFERROR(__xludf.DUMMYFUNCTION("""COMPUTED_VALUE"""),"Keryneia")</f>
        <v>Keryneia</v>
      </c>
      <c r="B1254" s="9" t="str">
        <f>IFERROR(__xludf.DUMMYFUNCTION("""COMPUTED_VALUE"""),"cy-06")</f>
        <v>cy-06</v>
      </c>
      <c r="C1254" s="9" t="str">
        <f>IFERROR(__xludf.DUMMYFUNCTION("GOOGLETRANSLATE($A1254,""en"",""de"")"),"Keryneia")</f>
        <v>Keryneia</v>
      </c>
      <c r="D1254" s="9" t="str">
        <f>IFERROR(__xludf.DUMMYFUNCTION("GOOGLETRANSLATE($A1254,""en"",""fr"")"),"Kérynéia")</f>
        <v>Kérynéia</v>
      </c>
      <c r="E1254" s="9" t="str">
        <f>IFERROR(__xludf.DUMMYFUNCTION("GOOGLETRANSLATE($A1254,""en"",""es"")"),"Kerineia")</f>
        <v>Kerineia</v>
      </c>
      <c r="F1254" s="9" t="str">
        <f>IFERROR(__xludf.DUMMYFUNCTION("GOOGLETRANSLATE($A1254,""en"",""it"")"),"Kerineia")</f>
        <v>Kerineia</v>
      </c>
      <c r="G1254" s="9" t="str">
        <f>IFERROR(__xludf.DUMMYFUNCTION("GOOGLETRANSLATE($A1254,""en"",""zh-cn"")"),"凯尼尼亚")</f>
        <v>凯尼尼亚</v>
      </c>
      <c r="H1254" s="9" t="str">
        <f>IFERROR(__xludf.DUMMYFUNCTION("GOOGLETRANSLATE($A1254,""en"",""ja"")"),"ケリネイア")</f>
        <v>ケリネイア</v>
      </c>
      <c r="I1254" s="9" t="str">
        <f>IFERROR(__xludf.DUMMYFUNCTION("GOOGLETRANSLATE($A1254,""en"",""ko"")"),"케리네이아")</f>
        <v>케리네이아</v>
      </c>
      <c r="J1254" s="9" t="str">
        <f>IFERROR(__xludf.DUMMYFUNCTION("GOOGLETRANSLATE($A1254,""en"",""pt-BR"")"),"Querineia")</f>
        <v>Querineia</v>
      </c>
    </row>
    <row r="1255">
      <c r="A1255" s="9" t="str">
        <f>IFERROR(__xludf.DUMMYFUNCTION("""COMPUTED_VALUE"""),"Lemesos")</f>
        <v>Lemesos</v>
      </c>
      <c r="B1255" s="9" t="str">
        <f>IFERROR(__xludf.DUMMYFUNCTION("""COMPUTED_VALUE"""),"cy-02")</f>
        <v>cy-02</v>
      </c>
      <c r="C1255" s="9" t="str">
        <f>IFERROR(__xludf.DUMMYFUNCTION("GOOGLETRANSLATE($A1255,""en"",""de"")"),"Lemesos")</f>
        <v>Lemesos</v>
      </c>
      <c r="D1255" s="9" t="str">
        <f>IFERROR(__xludf.DUMMYFUNCTION("GOOGLETRANSLATE($A1255,""en"",""fr"")"),"Lémésos")</f>
        <v>Lémésos</v>
      </c>
      <c r="E1255" s="9" t="str">
        <f>IFERROR(__xludf.DUMMYFUNCTION("GOOGLETRANSLATE($A1255,""en"",""es"")"),"lemesos")</f>
        <v>lemesos</v>
      </c>
      <c r="F1255" s="9" t="str">
        <f>IFERROR(__xludf.DUMMYFUNCTION("GOOGLETRANSLATE($A1255,""en"",""it"")"),"Lemesos")</f>
        <v>Lemesos</v>
      </c>
      <c r="G1255" s="9" t="str">
        <f>IFERROR(__xludf.DUMMYFUNCTION("GOOGLETRANSLATE($A1255,""en"",""zh-cn"")"),"莱梅索斯")</f>
        <v>莱梅索斯</v>
      </c>
      <c r="H1255" s="9" t="str">
        <f>IFERROR(__xludf.DUMMYFUNCTION("GOOGLETRANSLATE($A1255,""en"",""ja"")"),"レメソス")</f>
        <v>レメソス</v>
      </c>
      <c r="I1255" s="9" t="str">
        <f>IFERROR(__xludf.DUMMYFUNCTION("GOOGLETRANSLATE($A1255,""en"",""ko"")"),"레메소스")</f>
        <v>레메소스</v>
      </c>
      <c r="J1255" s="9" t="str">
        <f>IFERROR(__xludf.DUMMYFUNCTION("GOOGLETRANSLATE($A1255,""en"",""pt-BR"")"),"Lemesos")</f>
        <v>Lemesos</v>
      </c>
    </row>
    <row r="1256">
      <c r="A1256" s="9" t="str">
        <f>IFERROR(__xludf.DUMMYFUNCTION("""COMPUTED_VALUE"""),"Ammochostos")</f>
        <v>Ammochostos</v>
      </c>
      <c r="B1256" s="9" t="str">
        <f>IFERROR(__xludf.DUMMYFUNCTION("""COMPUTED_VALUE"""),"cy-04")</f>
        <v>cy-04</v>
      </c>
      <c r="C1256" s="9" t="str">
        <f>IFERROR(__xludf.DUMMYFUNCTION("GOOGLETRANSLATE($A1256,""en"",""de"")"),"Ammochostos")</f>
        <v>Ammochostos</v>
      </c>
      <c r="D1256" s="9" t="str">
        <f>IFERROR(__xludf.DUMMYFUNCTION("GOOGLETRANSLATE($A1256,""en"",""fr"")"),"Ammochostos")</f>
        <v>Ammochostos</v>
      </c>
      <c r="E1256" s="9" t="str">
        <f>IFERROR(__xludf.DUMMYFUNCTION("GOOGLETRANSLATE($A1256,""en"",""es"")"),"Ammochostos")</f>
        <v>Ammochostos</v>
      </c>
      <c r="F1256" s="9" t="str">
        <f>IFERROR(__xludf.DUMMYFUNCTION("GOOGLETRANSLATE($A1256,""en"",""it"")"),"Ammochostos")</f>
        <v>Ammochostos</v>
      </c>
      <c r="G1256" s="9" t="str">
        <f>IFERROR(__xludf.DUMMYFUNCTION("GOOGLETRANSLATE($A1256,""en"",""zh-cn"")"),"阿莫霍斯托斯")</f>
        <v>阿莫霍斯托斯</v>
      </c>
      <c r="H1256" s="9" t="str">
        <f>IFERROR(__xludf.DUMMYFUNCTION("GOOGLETRANSLATE($A1256,""en"",""ja"")"),"アモチョトス")</f>
        <v>アモチョトス</v>
      </c>
      <c r="I1256" s="9" t="str">
        <f>IFERROR(__xludf.DUMMYFUNCTION("GOOGLETRANSLATE($A1256,""en"",""ko"")"),"암모코스토스")</f>
        <v>암모코스토스</v>
      </c>
      <c r="J1256" s="9" t="str">
        <f>IFERROR(__xludf.DUMMYFUNCTION("GOOGLETRANSLATE($A1256,""en"",""pt-BR"")"),"Ammochostos")</f>
        <v>Ammochostos</v>
      </c>
    </row>
    <row r="1257">
      <c r="A1257" s="9" t="str">
        <f>IFERROR(__xludf.DUMMYFUNCTION("""COMPUTED_VALUE"""),"Pafos")</f>
        <v>Pafos</v>
      </c>
      <c r="B1257" s="9" t="str">
        <f>IFERROR(__xludf.DUMMYFUNCTION("""COMPUTED_VALUE"""),"cy-05")</f>
        <v>cy-05</v>
      </c>
      <c r="C1257" s="9" t="str">
        <f>IFERROR(__xludf.DUMMYFUNCTION("GOOGLETRANSLATE($A1257,""en"",""de"")"),"Pafos")</f>
        <v>Pafos</v>
      </c>
      <c r="D1257" s="9" t="str">
        <f>IFERROR(__xludf.DUMMYFUNCTION("GOOGLETRANSLATE($A1257,""en"",""fr"")"),"Paphos")</f>
        <v>Paphos</v>
      </c>
      <c r="E1257" s="9" t="str">
        <f>IFERROR(__xludf.DUMMYFUNCTION("GOOGLETRANSLATE($A1257,""en"",""es"")"),"Pafos")</f>
        <v>Pafos</v>
      </c>
      <c r="F1257" s="9" t="str">
        <f>IFERROR(__xludf.DUMMYFUNCTION("GOOGLETRANSLATE($A1257,""en"",""it"")"),"Pafos")</f>
        <v>Pafos</v>
      </c>
      <c r="G1257" s="9" t="str">
        <f>IFERROR(__xludf.DUMMYFUNCTION("GOOGLETRANSLATE($A1257,""en"",""zh-cn"")"),"帕福斯")</f>
        <v>帕福斯</v>
      </c>
      <c r="H1257" s="9" t="str">
        <f>IFERROR(__xludf.DUMMYFUNCTION("GOOGLETRANSLATE($A1257,""en"",""ja"")"),"パフォス")</f>
        <v>パフォス</v>
      </c>
      <c r="I1257" s="9" t="str">
        <f>IFERROR(__xludf.DUMMYFUNCTION("GOOGLETRANSLATE($A1257,""en"",""ko"")"),"파포스")</f>
        <v>파포스</v>
      </c>
      <c r="J1257" s="9" t="str">
        <f>IFERROR(__xludf.DUMMYFUNCTION("GOOGLETRANSLATE($A1257,""en"",""pt-BR"")"),"Pafos")</f>
        <v>Pafos</v>
      </c>
    </row>
    <row r="1258">
      <c r="A1258" s="9" t="str">
        <f>IFERROR(__xludf.DUMMYFUNCTION("""COMPUTED_VALUE"""),"Larnaka")</f>
        <v>Larnaka</v>
      </c>
      <c r="B1258" s="9" t="str">
        <f>IFERROR(__xludf.DUMMYFUNCTION("""COMPUTED_VALUE"""),"cy-03")</f>
        <v>cy-03</v>
      </c>
      <c r="C1258" s="9" t="str">
        <f>IFERROR(__xludf.DUMMYFUNCTION("GOOGLETRANSLATE($A1258,""en"",""de"")"),"Larnaka")</f>
        <v>Larnaka</v>
      </c>
      <c r="D1258" s="9" t="str">
        <f>IFERROR(__xludf.DUMMYFUNCTION("GOOGLETRANSLATE($A1258,""en"",""fr"")"),"Larnaka")</f>
        <v>Larnaka</v>
      </c>
      <c r="E1258" s="9" t="str">
        <f>IFERROR(__xludf.DUMMYFUNCTION("GOOGLETRANSLATE($A1258,""en"",""es"")"),"Lárnaca")</f>
        <v>Lárnaca</v>
      </c>
      <c r="F1258" s="9" t="str">
        <f>IFERROR(__xludf.DUMMYFUNCTION("GOOGLETRANSLATE($A1258,""en"",""it"")"),"Larnaca")</f>
        <v>Larnaca</v>
      </c>
      <c r="G1258" s="9" t="str">
        <f>IFERROR(__xludf.DUMMYFUNCTION("GOOGLETRANSLATE($A1258,""en"",""zh-cn"")"),"拉纳卡")</f>
        <v>拉纳卡</v>
      </c>
      <c r="H1258" s="9" t="str">
        <f>IFERROR(__xludf.DUMMYFUNCTION("GOOGLETRANSLATE($A1258,""en"",""ja"")"),"ラルナカ")</f>
        <v>ラルナカ</v>
      </c>
      <c r="I1258" s="9" t="str">
        <f>IFERROR(__xludf.DUMMYFUNCTION("GOOGLETRANSLATE($A1258,""en"",""ko"")"),"라르나카")</f>
        <v>라르나카</v>
      </c>
      <c r="J1258" s="9" t="str">
        <f>IFERROR(__xludf.DUMMYFUNCTION("GOOGLETRANSLATE($A1258,""en"",""pt-BR"")"),"Larnaca")</f>
        <v>Larnaca</v>
      </c>
    </row>
    <row r="1259">
      <c r="A1259" s="9" t="str">
        <f>IFERROR(__xludf.DUMMYFUNCTION("""COMPUTED_VALUE"""),"Brno-město")</f>
        <v>Brno-město</v>
      </c>
      <c r="B1259" s="9" t="str">
        <f>IFERROR(__xludf.DUMMYFUNCTION("""COMPUTED_VALUE"""),"cz-642")</f>
        <v>cz-642</v>
      </c>
      <c r="C1259" s="9" t="str">
        <f>IFERROR(__xludf.DUMMYFUNCTION("GOOGLETRANSLATE($A1259,""en"",""de"")"),"Brno-město")</f>
        <v>Brno-město</v>
      </c>
      <c r="D1259" s="9" t="str">
        <f>IFERROR(__xludf.DUMMYFUNCTION("GOOGLETRANSLATE($A1259,""en"",""fr"")"),"Brno-mesto")</f>
        <v>Brno-mesto</v>
      </c>
      <c r="E1259" s="9" t="str">
        <f>IFERROR(__xludf.DUMMYFUNCTION("GOOGLETRANSLATE($A1259,""en"",""es"")"),"Brno-mesto")</f>
        <v>Brno-mesto</v>
      </c>
      <c r="F1259" s="9" t="str">
        <f>IFERROR(__xludf.DUMMYFUNCTION("GOOGLETRANSLATE($A1259,""en"",""it"")"),"Brno-město")</f>
        <v>Brno-město</v>
      </c>
      <c r="G1259" s="9" t="str">
        <f>IFERROR(__xludf.DUMMYFUNCTION("GOOGLETRANSLATE($A1259,""en"",""zh-cn"")"),"布尔诺城")</f>
        <v>布尔诺城</v>
      </c>
      <c r="H1259" s="9" t="str">
        <f>IFERROR(__xludf.DUMMYFUNCTION("GOOGLETRANSLATE($A1259,""en"",""ja"")"),"ブルノメスト")</f>
        <v>ブルノメスト</v>
      </c>
      <c r="I1259" s="9" t="str">
        <f>IFERROR(__xludf.DUMMYFUNCTION("GOOGLETRANSLATE($A1259,""en"",""ko"")"),"브르노메스토")</f>
        <v>브르노메스토</v>
      </c>
      <c r="J1259" s="9" t="str">
        <f>IFERROR(__xludf.DUMMYFUNCTION("GOOGLETRANSLATE($A1259,""en"",""pt-BR"")"),"Brno-mesto")</f>
        <v>Brno-mesto</v>
      </c>
    </row>
    <row r="1260">
      <c r="A1260" s="9" t="str">
        <f>IFERROR(__xludf.DUMMYFUNCTION("""COMPUTED_VALUE"""),"Blansko")</f>
        <v>Blansko</v>
      </c>
      <c r="B1260" s="9" t="str">
        <f>IFERROR(__xludf.DUMMYFUNCTION("""COMPUTED_VALUE"""),"cz-641")</f>
        <v>cz-641</v>
      </c>
      <c r="C1260" s="9" t="str">
        <f>IFERROR(__xludf.DUMMYFUNCTION("GOOGLETRANSLATE($A1260,""en"",""de"")"),"Blansko")</f>
        <v>Blansko</v>
      </c>
      <c r="D1260" s="9" t="str">
        <f>IFERROR(__xludf.DUMMYFUNCTION("GOOGLETRANSLATE($A1260,""en"",""fr"")"),"Blancsko")</f>
        <v>Blancsko</v>
      </c>
      <c r="E1260" s="9" t="str">
        <f>IFERROR(__xludf.DUMMYFUNCTION("GOOGLETRANSLATE($A1260,""en"",""es"")"),"Blansko")</f>
        <v>Blansko</v>
      </c>
      <c r="F1260" s="9" t="str">
        <f>IFERROR(__xludf.DUMMYFUNCTION("GOOGLETRANSLATE($A1260,""en"",""it"")"),"Blansko")</f>
        <v>Blansko</v>
      </c>
      <c r="G1260" s="9" t="str">
        <f>IFERROR(__xludf.DUMMYFUNCTION("GOOGLETRANSLATE($A1260,""en"",""zh-cn"")"),"布兰斯科")</f>
        <v>布兰斯科</v>
      </c>
      <c r="H1260" s="9" t="str">
        <f>IFERROR(__xludf.DUMMYFUNCTION("GOOGLETRANSLATE($A1260,""en"",""ja"")"),"ブランスコ")</f>
        <v>ブランスコ</v>
      </c>
      <c r="I1260" s="9" t="str">
        <f>IFERROR(__xludf.DUMMYFUNCTION("GOOGLETRANSLATE($A1260,""en"",""ko"")"),"블란스코")</f>
        <v>블란스코</v>
      </c>
      <c r="J1260" s="9" t="str">
        <f>IFERROR(__xludf.DUMMYFUNCTION("GOOGLETRANSLATE($A1260,""en"",""pt-BR"")"),"Blansko")</f>
        <v>Blansko</v>
      </c>
    </row>
    <row r="1261">
      <c r="A1261" s="9" t="str">
        <f>IFERROR(__xludf.DUMMYFUNCTION("""COMPUTED_VALUE"""),"South Moravia")</f>
        <v>South Moravia</v>
      </c>
      <c r="B1261" s="9" t="str">
        <f>IFERROR(__xludf.DUMMYFUNCTION("""COMPUTED_VALUE"""),"cz-64")</f>
        <v>cz-64</v>
      </c>
      <c r="C1261" s="9" t="str">
        <f>IFERROR(__xludf.DUMMYFUNCTION("GOOGLETRANSLATE($A1261,""en"",""de"")"),"Südmähren")</f>
        <v>Südmähren</v>
      </c>
      <c r="D1261" s="9" t="str">
        <f>IFERROR(__xludf.DUMMYFUNCTION("GOOGLETRANSLATE($A1261,""en"",""fr"")"),"Moravie du Sud")</f>
        <v>Moravie du Sud</v>
      </c>
      <c r="E1261" s="9" t="str">
        <f>IFERROR(__xludf.DUMMYFUNCTION("GOOGLETRANSLATE($A1261,""en"",""es"")"),"Moravia del Sur")</f>
        <v>Moravia del Sur</v>
      </c>
      <c r="F1261" s="9" t="str">
        <f>IFERROR(__xludf.DUMMYFUNCTION("GOOGLETRANSLATE($A1261,""en"",""it"")"),"Moravia meridionale")</f>
        <v>Moravia meridionale</v>
      </c>
      <c r="G1261" s="9" t="str">
        <f>IFERROR(__xludf.DUMMYFUNCTION("GOOGLETRANSLATE($A1261,""en"",""zh-cn"")"),"南摩拉维亚")</f>
        <v>南摩拉维亚</v>
      </c>
      <c r="H1261" s="9" t="str">
        <f>IFERROR(__xludf.DUMMYFUNCTION("GOOGLETRANSLATE($A1261,""en"",""ja"")"),"南モラヴィア")</f>
        <v>南モラヴィア</v>
      </c>
      <c r="I1261" s="9" t="str">
        <f>IFERROR(__xludf.DUMMYFUNCTION("GOOGLETRANSLATE($A1261,""en"",""ko"")"),"남부 모라비아")</f>
        <v>남부 모라비아</v>
      </c>
      <c r="J1261" s="9" t="str">
        <f>IFERROR(__xludf.DUMMYFUNCTION("GOOGLETRANSLATE($A1261,""en"",""pt-BR"")"),"Morávia do Sul")</f>
        <v>Morávia do Sul</v>
      </c>
    </row>
    <row r="1262">
      <c r="A1262" s="9" t="str">
        <f>IFERROR(__xludf.DUMMYFUNCTION("""COMPUTED_VALUE"""),"Třebíč")</f>
        <v>Třebíč</v>
      </c>
      <c r="B1262" s="9" t="str">
        <f>IFERROR(__xludf.DUMMYFUNCTION("""COMPUTED_VALUE"""),"cz-634")</f>
        <v>cz-634</v>
      </c>
      <c r="C1262" s="9" t="str">
        <f>IFERROR(__xludf.DUMMYFUNCTION("GOOGLETRANSLATE($A1262,""en"",""de"")"),"Třebíč")</f>
        <v>Třebíč</v>
      </c>
      <c r="D1262" s="9" t="str">
        <f>IFERROR(__xludf.DUMMYFUNCTION("GOOGLETRANSLATE($A1262,""en"",""fr"")"),"Trebic")</f>
        <v>Trebic</v>
      </c>
      <c r="E1262" s="9" t="str">
        <f>IFERROR(__xludf.DUMMYFUNCTION("GOOGLETRANSLATE($A1262,""en"",""es"")"),"Třebíč")</f>
        <v>Třebíč</v>
      </c>
      <c r="F1262" s="9" t="str">
        <f>IFERROR(__xludf.DUMMYFUNCTION("GOOGLETRANSLATE($A1262,""en"",""it"")"),"Třebíč")</f>
        <v>Třebíč</v>
      </c>
      <c r="G1262" s="9" t="str">
        <f>IFERROR(__xludf.DUMMYFUNCTION("GOOGLETRANSLATE($A1262,""en"",""zh-cn"")"),"特热比奇")</f>
        <v>特热比奇</v>
      </c>
      <c r="H1262" s="9" t="str">
        <f>IFERROR(__xludf.DUMMYFUNCTION("GOOGLETRANSLATE($A1262,""en"",""ja"")"),"トシェビッチ")</f>
        <v>トシェビッチ</v>
      </c>
      <c r="I1262" s="9" t="str">
        <f>IFERROR(__xludf.DUMMYFUNCTION("GOOGLETRANSLATE($A1262,""en"",""ko"")"),"트르제비치")</f>
        <v>트르제비치</v>
      </c>
      <c r="J1262" s="9" t="str">
        <f>IFERROR(__xludf.DUMMYFUNCTION("GOOGLETRANSLATE($A1262,""en"",""pt-BR"")"),"Třebíč")</f>
        <v>Třebíč</v>
      </c>
    </row>
    <row r="1263">
      <c r="A1263" s="9" t="str">
        <f>IFERROR(__xludf.DUMMYFUNCTION("""COMPUTED_VALUE"""),"Žďár nad Sázavou")</f>
        <v>Žďár nad Sázavou</v>
      </c>
      <c r="B1263" s="9" t="str">
        <f>IFERROR(__xludf.DUMMYFUNCTION("""COMPUTED_VALUE"""),"cz-635")</f>
        <v>cz-635</v>
      </c>
      <c r="C1263" s="9" t="str">
        <f>IFERROR(__xludf.DUMMYFUNCTION("GOOGLETRANSLATE($A1263,""en"",""de"")"),"Žďár nad Sázavou")</f>
        <v>Žďár nad Sázavou</v>
      </c>
      <c r="D1263" s="9" t="str">
        <f>IFERROR(__xludf.DUMMYFUNCTION("GOOGLETRANSLATE($A1263,""en"",""fr"")"),"Zďár nad Sázavou")</f>
        <v>Zďár nad Sázavou</v>
      </c>
      <c r="E1263" s="9" t="str">
        <f>IFERROR(__xludf.DUMMYFUNCTION("GOOGLETRANSLATE($A1263,""en"",""es"")"),"Žďár nad Sázavou")</f>
        <v>Žďár nad Sázavou</v>
      </c>
      <c r="F1263" s="9" t="str">
        <f>IFERROR(__xludf.DUMMYFUNCTION("GOOGLETRANSLATE($A1263,""en"",""it"")"),"Žďár nad Sázavou")</f>
        <v>Žďár nad Sázavou</v>
      </c>
      <c r="G1263" s="9" t="str">
        <f>IFERROR(__xludf.DUMMYFUNCTION("GOOGLETRANSLATE($A1263,""en"",""zh-cn"")"),"萨扎瓦河畔扎尔")</f>
        <v>萨扎瓦河畔扎尔</v>
      </c>
      <c r="H1263" s="9" t="str">
        <f>IFERROR(__xludf.DUMMYFUNCTION("GOOGLETRANSLATE($A1263,""en"",""ja"")"),"ジャール・ナド・サザヴォウ")</f>
        <v>ジャール・ナド・サザヴォウ</v>
      </c>
      <c r="I1263" s="9" t="str">
        <f>IFERROR(__xludf.DUMMYFUNCTION("GOOGLETRANSLATE($A1263,""en"",""ko"")"),"Žďár nad Sázavou")</f>
        <v>Žďár nad Sázavou</v>
      </c>
      <c r="J1263" s="9" t="str">
        <f>IFERROR(__xludf.DUMMYFUNCTION("GOOGLETRANSLATE($A1263,""en"",""pt-BR"")"),"Žďár nad Sázavou")</f>
        <v>Žďár nad Sázavou</v>
      </c>
    </row>
    <row r="1264">
      <c r="A1264" s="9" t="str">
        <f>IFERROR(__xludf.DUMMYFUNCTION("""COMPUTED_VALUE"""),"Vyškov")</f>
        <v>Vyškov</v>
      </c>
      <c r="B1264" s="9" t="str">
        <f>IFERROR(__xludf.DUMMYFUNCTION("""COMPUTED_VALUE"""),"cz-646")</f>
        <v>cz-646</v>
      </c>
      <c r="C1264" s="9" t="str">
        <f>IFERROR(__xludf.DUMMYFUNCTION("GOOGLETRANSLATE($A1264,""en"",""de"")"),"Wyškov")</f>
        <v>Wyškov</v>
      </c>
      <c r="D1264" s="9" t="str">
        <f>IFERROR(__xludf.DUMMYFUNCTION("GOOGLETRANSLATE($A1264,""en"",""fr"")"),"Vyškov")</f>
        <v>Vyškov</v>
      </c>
      <c r="E1264" s="9" t="str">
        <f>IFERROR(__xludf.DUMMYFUNCTION("GOOGLETRANSLATE($A1264,""en"",""es"")"),"Vyškov")</f>
        <v>Vyškov</v>
      </c>
      <c r="F1264" s="9" t="str">
        <f>IFERROR(__xludf.DUMMYFUNCTION("GOOGLETRANSLATE($A1264,""en"",""it"")"),"Vyskov")</f>
        <v>Vyskov</v>
      </c>
      <c r="G1264" s="9" t="str">
        <f>IFERROR(__xludf.DUMMYFUNCTION("GOOGLETRANSLATE($A1264,""en"",""zh-cn"")"),"维什科夫")</f>
        <v>维什科夫</v>
      </c>
      <c r="H1264" s="9" t="str">
        <f>IFERROR(__xludf.DUMMYFUNCTION("GOOGLETRANSLATE($A1264,""en"",""ja"")"),"ヴィシュコフ")</f>
        <v>ヴィシュコフ</v>
      </c>
      <c r="I1264" s="9" t="str">
        <f>IFERROR(__xludf.DUMMYFUNCTION("GOOGLETRANSLATE($A1264,""en"",""ko"")"),"비슈코프")</f>
        <v>비슈코프</v>
      </c>
      <c r="J1264" s="9" t="str">
        <f>IFERROR(__xludf.DUMMYFUNCTION("GOOGLETRANSLATE($A1264,""en"",""pt-BR"")"),"Vyskov")</f>
        <v>Vyskov</v>
      </c>
    </row>
    <row r="1265">
      <c r="A1265" s="9" t="str">
        <f>IFERROR(__xludf.DUMMYFUNCTION("""COMPUTED_VALUE"""),"Znojmo")</f>
        <v>Znojmo</v>
      </c>
      <c r="B1265" s="9" t="str">
        <f>IFERROR(__xludf.DUMMYFUNCTION("""COMPUTED_VALUE"""),"cz-647")</f>
        <v>cz-647</v>
      </c>
      <c r="C1265" s="9" t="str">
        <f>IFERROR(__xludf.DUMMYFUNCTION("GOOGLETRANSLATE($A1265,""en"",""de"")"),"Znojmo")</f>
        <v>Znojmo</v>
      </c>
      <c r="D1265" s="9" t="str">
        <f>IFERROR(__xludf.DUMMYFUNCTION("GOOGLETRANSLATE($A1265,""en"",""fr"")"),"Znojmo")</f>
        <v>Znojmo</v>
      </c>
      <c r="E1265" s="9" t="str">
        <f>IFERROR(__xludf.DUMMYFUNCTION("GOOGLETRANSLATE($A1265,""en"",""es"")"),"Znojmo")</f>
        <v>Znojmo</v>
      </c>
      <c r="F1265" s="9" t="str">
        <f>IFERROR(__xludf.DUMMYFUNCTION("GOOGLETRANSLATE($A1265,""en"",""it"")"),"Znojmo")</f>
        <v>Znojmo</v>
      </c>
      <c r="G1265" s="9" t="str">
        <f>IFERROR(__xludf.DUMMYFUNCTION("GOOGLETRANSLATE($A1265,""en"",""zh-cn"")"),"兹诺伊莫")</f>
        <v>兹诺伊莫</v>
      </c>
      <c r="H1265" s="9" t="str">
        <f>IFERROR(__xludf.DUMMYFUNCTION("GOOGLETRANSLATE($A1265,""en"",""ja"")"),"ズノイモ")</f>
        <v>ズノイモ</v>
      </c>
      <c r="I1265" s="9" t="str">
        <f>IFERROR(__xludf.DUMMYFUNCTION("GOOGLETRANSLATE($A1265,""en"",""ko"")"),"즈노이모")</f>
        <v>즈노이모</v>
      </c>
      <c r="J1265" s="9" t="str">
        <f>IFERROR(__xludf.DUMMYFUNCTION("GOOGLETRANSLATE($A1265,""en"",""pt-BR"")"),"Znojmo")</f>
        <v>Znojmo</v>
      </c>
    </row>
    <row r="1266">
      <c r="A1266" s="9" t="str">
        <f>IFERROR(__xludf.DUMMYFUNCTION("""COMPUTED_VALUE"""),"Hodonín")</f>
        <v>Hodonín</v>
      </c>
      <c r="B1266" s="9" t="str">
        <f>IFERROR(__xludf.DUMMYFUNCTION("""COMPUTED_VALUE"""),"cz-645")</f>
        <v>cz-645</v>
      </c>
      <c r="C1266" s="9" t="str">
        <f>IFERROR(__xludf.DUMMYFUNCTION("GOOGLETRANSLATE($A1266,""en"",""de"")"),"Hodonín")</f>
        <v>Hodonín</v>
      </c>
      <c r="D1266" s="9" t="str">
        <f>IFERROR(__xludf.DUMMYFUNCTION("GOOGLETRANSLATE($A1266,""en"",""fr"")"),"Hodonín")</f>
        <v>Hodonín</v>
      </c>
      <c r="E1266" s="9" t="str">
        <f>IFERROR(__xludf.DUMMYFUNCTION("GOOGLETRANSLATE($A1266,""en"",""es"")"),"Hodonín")</f>
        <v>Hodonín</v>
      </c>
      <c r="F1266" s="9" t="str">
        <f>IFERROR(__xludf.DUMMYFUNCTION("GOOGLETRANSLATE($A1266,""en"",""it"")"),"Hodonín")</f>
        <v>Hodonín</v>
      </c>
      <c r="G1266" s="9" t="str">
        <f>IFERROR(__xludf.DUMMYFUNCTION("GOOGLETRANSLATE($A1266,""en"",""zh-cn"")"),"霍多宁")</f>
        <v>霍多宁</v>
      </c>
      <c r="H1266" s="9" t="str">
        <f>IFERROR(__xludf.DUMMYFUNCTION("GOOGLETRANSLATE($A1266,""en"",""ja"")"),"ホドニン")</f>
        <v>ホドニン</v>
      </c>
      <c r="I1266" s="9" t="str">
        <f>IFERROR(__xludf.DUMMYFUNCTION("GOOGLETRANSLATE($A1266,""en"",""ko"")"),"호도닌")</f>
        <v>호도닌</v>
      </c>
      <c r="J1266" s="9" t="str">
        <f>IFERROR(__xludf.DUMMYFUNCTION("GOOGLETRANSLATE($A1266,""en"",""pt-BR"")"),"Hodonín")</f>
        <v>Hodonín</v>
      </c>
    </row>
    <row r="1267">
      <c r="A1267" s="9" t="str">
        <f>IFERROR(__xludf.DUMMYFUNCTION("""COMPUTED_VALUE"""),"Brno-venkov")</f>
        <v>Brno-venkov</v>
      </c>
      <c r="B1267" s="9" t="str">
        <f>IFERROR(__xludf.DUMMYFUNCTION("""COMPUTED_VALUE"""),"cz-643")</f>
        <v>cz-643</v>
      </c>
      <c r="C1267" s="9" t="str">
        <f>IFERROR(__xludf.DUMMYFUNCTION("GOOGLETRANSLATE($A1267,""en"",""de"")"),"Brno-venkov")</f>
        <v>Brno-venkov</v>
      </c>
      <c r="D1267" s="9" t="str">
        <f>IFERROR(__xludf.DUMMYFUNCTION("GOOGLETRANSLATE($A1267,""en"",""fr"")"),"Brno-venkov")</f>
        <v>Brno-venkov</v>
      </c>
      <c r="E1267" s="9" t="str">
        <f>IFERROR(__xludf.DUMMYFUNCTION("GOOGLETRANSLATE($A1267,""en"",""es"")"),"Brno-venkov")</f>
        <v>Brno-venkov</v>
      </c>
      <c r="F1267" s="9" t="str">
        <f>IFERROR(__xludf.DUMMYFUNCTION("GOOGLETRANSLATE($A1267,""en"",""it"")"),"Brno-venkov")</f>
        <v>Brno-venkov</v>
      </c>
      <c r="G1267" s="9" t="str">
        <f>IFERROR(__xludf.DUMMYFUNCTION("GOOGLETRANSLATE($A1267,""en"",""zh-cn"")"),"布尔诺文科夫")</f>
        <v>布尔诺文科夫</v>
      </c>
      <c r="H1267" s="9" t="str">
        <f>IFERROR(__xludf.DUMMYFUNCTION("GOOGLETRANSLATE($A1267,""en"",""ja"")"),"ブルノ・ヴェンコフ")</f>
        <v>ブルノ・ヴェンコフ</v>
      </c>
      <c r="I1267" s="9" t="str">
        <f>IFERROR(__xludf.DUMMYFUNCTION("GOOGLETRANSLATE($A1267,""en"",""ko"")"),"브르노벤코프")</f>
        <v>브르노벤코프</v>
      </c>
      <c r="J1267" s="9" t="str">
        <f>IFERROR(__xludf.DUMMYFUNCTION("GOOGLETRANSLATE($A1267,""en"",""pt-BR"")"),"Brno-venkov")</f>
        <v>Brno-venkov</v>
      </c>
    </row>
    <row r="1268">
      <c r="A1268" s="9" t="str">
        <f>IFERROR(__xludf.DUMMYFUNCTION("""COMPUTED_VALUE"""),"Břeclav")</f>
        <v>Břeclav</v>
      </c>
      <c r="B1268" s="9" t="str">
        <f>IFERROR(__xludf.DUMMYFUNCTION("""COMPUTED_VALUE"""),"cz-644")</f>
        <v>cz-644</v>
      </c>
      <c r="C1268" s="9" t="str">
        <f>IFERROR(__xludf.DUMMYFUNCTION("GOOGLETRANSLATE($A1268,""en"",""de"")"),"Breclav")</f>
        <v>Breclav</v>
      </c>
      <c r="D1268" s="9" t="str">
        <f>IFERROR(__xludf.DUMMYFUNCTION("GOOGLETRANSLATE($A1268,""en"",""fr"")"),"Breeclav")</f>
        <v>Breeclav</v>
      </c>
      <c r="E1268" s="9" t="str">
        <f>IFERROR(__xludf.DUMMYFUNCTION("GOOGLETRANSLATE($A1268,""en"",""es"")"),"Břeclav")</f>
        <v>Břeclav</v>
      </c>
      <c r="F1268" s="9" t="str">
        <f>IFERROR(__xludf.DUMMYFUNCTION("GOOGLETRANSLATE($A1268,""en"",""it"")"),"Břeclav")</f>
        <v>Břeclav</v>
      </c>
      <c r="G1268" s="9" t="str">
        <f>IFERROR(__xludf.DUMMYFUNCTION("GOOGLETRANSLATE($A1268,""en"",""zh-cn"")"),"布热茨拉夫")</f>
        <v>布热茨拉夫</v>
      </c>
      <c r="H1268" s="9" t="str">
        <f>IFERROR(__xludf.DUMMYFUNCTION("GOOGLETRANSLATE($A1268,""en"",""ja"")"),"ブジェツラフ")</f>
        <v>ブジェツラフ</v>
      </c>
      <c r="I1268" s="9" t="str">
        <f>IFERROR(__xludf.DUMMYFUNCTION("GOOGLETRANSLATE($A1268,""en"",""ko"")"),"브레츨라프")</f>
        <v>브레츨라프</v>
      </c>
      <c r="J1268" s="9" t="str">
        <f>IFERROR(__xludf.DUMMYFUNCTION("GOOGLETRANSLATE($A1268,""en"",""pt-BR"")"),"Břeclav")</f>
        <v>Břeclav</v>
      </c>
    </row>
    <row r="1269">
      <c r="A1269" s="9" t="str">
        <f>IFERROR(__xludf.DUMMYFUNCTION("""COMPUTED_VALUE"""),"Pelhřimov")</f>
        <v>Pelhřimov</v>
      </c>
      <c r="B1269" s="9" t="str">
        <f>IFERROR(__xludf.DUMMYFUNCTION("""COMPUTED_VALUE"""),"cz-633")</f>
        <v>cz-633</v>
      </c>
      <c r="C1269" s="9" t="str">
        <f>IFERROR(__xludf.DUMMYFUNCTION("GOOGLETRANSLATE($A1269,""en"",""de"")"),"Pelhřimov")</f>
        <v>Pelhřimov</v>
      </c>
      <c r="D1269" s="9" t="str">
        <f>IFERROR(__xludf.DUMMYFUNCTION("GOOGLETRANSLATE($A1269,""en"",""fr"")"),"Pelhrimov")</f>
        <v>Pelhrimov</v>
      </c>
      <c r="E1269" s="9" t="str">
        <f>IFERROR(__xludf.DUMMYFUNCTION("GOOGLETRANSLATE($A1269,""en"",""es"")"),"Pelhřimov")</f>
        <v>Pelhřimov</v>
      </c>
      <c r="F1269" s="9" t="str">
        <f>IFERROR(__xludf.DUMMYFUNCTION("GOOGLETRANSLATE($A1269,""en"",""it"")"),"Pelhřimov")</f>
        <v>Pelhřimov</v>
      </c>
      <c r="G1269" s="9" t="str">
        <f>IFERROR(__xludf.DUMMYFUNCTION("GOOGLETRANSLATE($A1269,""en"",""zh-cn"")"),"佩尔赫日莫夫")</f>
        <v>佩尔赫日莫夫</v>
      </c>
      <c r="H1269" s="9" t="str">
        <f>IFERROR(__xludf.DUMMYFUNCTION("GOOGLETRANSLATE($A1269,""en"",""ja"")"),"ペルジモフ")</f>
        <v>ペルジモフ</v>
      </c>
      <c r="I1269" s="9" t="str">
        <f>IFERROR(__xludf.DUMMYFUNCTION("GOOGLETRANSLATE($A1269,""en"",""ko"")"),"펠흐르지모프")</f>
        <v>펠흐르지모프</v>
      </c>
      <c r="J1269" s="9" t="str">
        <f>IFERROR(__xludf.DUMMYFUNCTION("GOOGLETRANSLATE($A1269,""en"",""pt-BR"")"),"Pelhřimov")</f>
        <v>Pelhřimov</v>
      </c>
    </row>
    <row r="1270">
      <c r="A1270" s="9" t="str">
        <f>IFERROR(__xludf.DUMMYFUNCTION("""COMPUTED_VALUE"""),"Havlíčkův Brod")</f>
        <v>Havlíčkův Brod</v>
      </c>
      <c r="B1270" s="9" t="str">
        <f>IFERROR(__xludf.DUMMYFUNCTION("""COMPUTED_VALUE"""),"cz-631")</f>
        <v>cz-631</v>
      </c>
      <c r="C1270" s="9" t="str">
        <f>IFERROR(__xludf.DUMMYFUNCTION("GOOGLETRANSLATE($A1270,""en"",""de"")"),"Havlíčkův Brod")</f>
        <v>Havlíčkův Brod</v>
      </c>
      <c r="D1270" s="9" t="str">
        <f>IFERROR(__xludf.DUMMYFUNCTION("GOOGLETRANSLATE($A1270,""en"",""fr"")"),"Havlíčkův Brod")</f>
        <v>Havlíčkův Brod</v>
      </c>
      <c r="E1270" s="9" t="str">
        <f>IFERROR(__xludf.DUMMYFUNCTION("GOOGLETRANSLATE($A1270,""en"",""es"")"),"Havlíčkův Brod")</f>
        <v>Havlíčkův Brod</v>
      </c>
      <c r="F1270" s="9" t="str">
        <f>IFERROR(__xludf.DUMMYFUNCTION("GOOGLETRANSLATE($A1270,""en"",""it"")"),"Havlíčkův Brod")</f>
        <v>Havlíčkův Brod</v>
      </c>
      <c r="G1270" s="9" t="str">
        <f>IFERROR(__xludf.DUMMYFUNCTION("GOOGLETRANSLATE($A1270,""en"",""zh-cn"")"),"哈夫利茨库夫·布罗德")</f>
        <v>哈夫利茨库夫·布罗德</v>
      </c>
      <c r="H1270" s="9" t="str">
        <f>IFERROR(__xludf.DUMMYFUNCTION("GOOGLETRANSLATE($A1270,""en"",""ja"")"),"ハヴリークフ・ブロト")</f>
        <v>ハヴリークフ・ブロト</v>
      </c>
      <c r="I1270" s="9" t="str">
        <f>IFERROR(__xludf.DUMMYFUNCTION("GOOGLETRANSLATE($A1270,""en"",""ko"")"),"하블리츠쿠프 브로드")</f>
        <v>하블리츠쿠프 브로드</v>
      </c>
      <c r="J1270" s="9" t="str">
        <f>IFERROR(__xludf.DUMMYFUNCTION("GOOGLETRANSLATE($A1270,""en"",""pt-BR"")"),"Havlíčkův Brod")</f>
        <v>Havlíčkův Brod</v>
      </c>
    </row>
    <row r="1271">
      <c r="A1271" s="9" t="str">
        <f>IFERROR(__xludf.DUMMYFUNCTION("""COMPUTED_VALUE"""),"Jihlava")</f>
        <v>Jihlava</v>
      </c>
      <c r="B1271" s="9" t="str">
        <f>IFERROR(__xludf.DUMMYFUNCTION("""COMPUTED_VALUE"""),"cz-632")</f>
        <v>cz-632</v>
      </c>
      <c r="C1271" s="9" t="str">
        <f>IFERROR(__xludf.DUMMYFUNCTION("GOOGLETRANSLATE($A1271,""en"",""de"")"),"Jihlava")</f>
        <v>Jihlava</v>
      </c>
      <c r="D1271" s="9" t="str">
        <f>IFERROR(__xludf.DUMMYFUNCTION("GOOGLETRANSLATE($A1271,""en"",""fr"")"),"Jihlava")</f>
        <v>Jihlava</v>
      </c>
      <c r="E1271" s="9" t="str">
        <f>IFERROR(__xludf.DUMMYFUNCTION("GOOGLETRANSLATE($A1271,""en"",""es"")"),"Jihlava")</f>
        <v>Jihlava</v>
      </c>
      <c r="F1271" s="9" t="str">
        <f>IFERROR(__xludf.DUMMYFUNCTION("GOOGLETRANSLATE($A1271,""en"",""it"")"),"Jihlava")</f>
        <v>Jihlava</v>
      </c>
      <c r="G1271" s="9" t="str">
        <f>IFERROR(__xludf.DUMMYFUNCTION("GOOGLETRANSLATE($A1271,""en"",""zh-cn"")"),"伊赫拉瓦")</f>
        <v>伊赫拉瓦</v>
      </c>
      <c r="H1271" s="9" t="str">
        <f>IFERROR(__xludf.DUMMYFUNCTION("GOOGLETRANSLATE($A1271,""en"",""ja"")"),"イフラヴァ")</f>
        <v>イフラヴァ</v>
      </c>
      <c r="I1271" s="9" t="str">
        <f>IFERROR(__xludf.DUMMYFUNCTION("GOOGLETRANSLATE($A1271,""en"",""ko"")"),"이흘라바")</f>
        <v>이흘라바</v>
      </c>
      <c r="J1271" s="9" t="str">
        <f>IFERROR(__xludf.DUMMYFUNCTION("GOOGLETRANSLATE($A1271,""en"",""pt-BR"")"),"Jihlava")</f>
        <v>Jihlava</v>
      </c>
    </row>
    <row r="1272">
      <c r="A1272" s="9" t="str">
        <f>IFERROR(__xludf.DUMMYFUNCTION("""COMPUTED_VALUE"""),"Vysočina")</f>
        <v>Vysočina</v>
      </c>
      <c r="B1272" s="9" t="str">
        <f>IFERROR(__xludf.DUMMYFUNCTION("""COMPUTED_VALUE"""),"cz-63")</f>
        <v>cz-63</v>
      </c>
      <c r="C1272" s="9" t="str">
        <f>IFERROR(__xludf.DUMMYFUNCTION("GOOGLETRANSLATE($A1272,""en"",""de"")"),"Vysočina")</f>
        <v>Vysočina</v>
      </c>
      <c r="D1272" s="9" t="str">
        <f>IFERROR(__xludf.DUMMYFUNCTION("GOOGLETRANSLATE($A1272,""en"",""fr"")"),"Vysočina")</f>
        <v>Vysočina</v>
      </c>
      <c r="E1272" s="9" t="str">
        <f>IFERROR(__xludf.DUMMYFUNCTION("GOOGLETRANSLATE($A1272,""en"",""es"")"),"Vysočina")</f>
        <v>Vysočina</v>
      </c>
      <c r="F1272" s="9" t="str">
        <f>IFERROR(__xludf.DUMMYFUNCTION("GOOGLETRANSLATE($A1272,""en"",""it"")"),"Vysočina")</f>
        <v>Vysočina</v>
      </c>
      <c r="G1272" s="9" t="str">
        <f>IFERROR(__xludf.DUMMYFUNCTION("GOOGLETRANSLATE($A1272,""en"",""zh-cn"")"),"维索基纳")</f>
        <v>维索基纳</v>
      </c>
      <c r="H1272" s="9" t="str">
        <f>IFERROR(__xludf.DUMMYFUNCTION("GOOGLETRANSLATE($A1272,""en"",""ja"")"),"ヴィソチナ")</f>
        <v>ヴィソチナ</v>
      </c>
      <c r="I1272" s="9" t="str">
        <f>IFERROR(__xludf.DUMMYFUNCTION("GOOGLETRANSLATE($A1272,""en"",""ko"")"),"비소치나")</f>
        <v>비소치나</v>
      </c>
      <c r="J1272" s="9" t="str">
        <f>IFERROR(__xludf.DUMMYFUNCTION("GOOGLETRANSLATE($A1272,""en"",""pt-BR"")"),"Vysočina")</f>
        <v>Vysočina</v>
      </c>
    </row>
    <row r="1273">
      <c r="A1273" s="9" t="str">
        <f>IFERROR(__xludf.DUMMYFUNCTION("""COMPUTED_VALUE"""),"Zlín")</f>
        <v>Zlín</v>
      </c>
      <c r="B1273" s="9" t="str">
        <f>IFERROR(__xludf.DUMMYFUNCTION("""COMPUTED_VALUE"""),"cz-724")</f>
        <v>cz-724</v>
      </c>
      <c r="C1273" s="9" t="str">
        <f>IFERROR(__xludf.DUMMYFUNCTION("GOOGLETRANSLATE($A1273,""en"",""de"")"),"Zlín")</f>
        <v>Zlín</v>
      </c>
      <c r="D1273" s="9" t="str">
        <f>IFERROR(__xludf.DUMMYFUNCTION("GOOGLETRANSLATE($A1273,""en"",""fr"")"),"Zlin")</f>
        <v>Zlin</v>
      </c>
      <c r="E1273" s="9" t="str">
        <f>IFERROR(__xludf.DUMMYFUNCTION("GOOGLETRANSLATE($A1273,""en"",""es"")"),"Zlín")</f>
        <v>Zlín</v>
      </c>
      <c r="F1273" s="9" t="str">
        <f>IFERROR(__xludf.DUMMYFUNCTION("GOOGLETRANSLATE($A1273,""en"",""it"")"),"Zlin")</f>
        <v>Zlin</v>
      </c>
      <c r="G1273" s="9" t="str">
        <f>IFERROR(__xludf.DUMMYFUNCTION("GOOGLETRANSLATE($A1273,""en"",""zh-cn"")"),"兹林")</f>
        <v>兹林</v>
      </c>
      <c r="H1273" s="9" t="str">
        <f>IFERROR(__xludf.DUMMYFUNCTION("GOOGLETRANSLATE($A1273,""en"",""ja"")"),"ズリーン")</f>
        <v>ズリーン</v>
      </c>
      <c r="I1273" s="9" t="str">
        <f>IFERROR(__xludf.DUMMYFUNCTION("GOOGLETRANSLATE($A1273,""en"",""ko"")"),"즐린")</f>
        <v>즐린</v>
      </c>
      <c r="J1273" s="9" t="str">
        <f>IFERROR(__xludf.DUMMYFUNCTION("GOOGLETRANSLATE($A1273,""en"",""pt-BR"")"),"Zlín")</f>
        <v>Zlín</v>
      </c>
    </row>
    <row r="1274">
      <c r="A1274" s="9" t="str">
        <f>IFERROR(__xludf.DUMMYFUNCTION("""COMPUTED_VALUE"""),"Znojmo (CZ-627)")</f>
        <v>Znojmo (CZ-627)</v>
      </c>
      <c r="B1274" s="9" t="str">
        <f>IFERROR(__xludf.DUMMYFUNCTION("""COMPUTED_VALUE"""),"cz-627")</f>
        <v>cz-627</v>
      </c>
      <c r="C1274" s="9" t="str">
        <f>IFERROR(__xludf.DUMMYFUNCTION("GOOGLETRANSLATE($A1274,""en"",""de"")"),"Znojmo (CZ-627)")</f>
        <v>Znojmo (CZ-627)</v>
      </c>
      <c r="D1274" s="9" t="str">
        <f>IFERROR(__xludf.DUMMYFUNCTION("GOOGLETRANSLATE($A1274,""en"",""fr"")"),"Znojmo (CZ-627)")</f>
        <v>Znojmo (CZ-627)</v>
      </c>
      <c r="E1274" s="9" t="str">
        <f>IFERROR(__xludf.DUMMYFUNCTION("GOOGLETRANSLATE($A1274,""en"",""es"")"),"Znojmo (CZ-627)")</f>
        <v>Znojmo (CZ-627)</v>
      </c>
      <c r="F1274" s="9" t="str">
        <f>IFERROR(__xludf.DUMMYFUNCTION("GOOGLETRANSLATE($A1274,""en"",""it"")"),"Znojmo (CZ-627)")</f>
        <v>Znojmo (CZ-627)</v>
      </c>
      <c r="G1274" s="9" t="str">
        <f>IFERROR(__xludf.DUMMYFUNCTION("GOOGLETRANSLATE($A1274,""en"",""zh-cn"")"),"兹诺伊莫 (CZ-627)")</f>
        <v>兹诺伊莫 (CZ-627)</v>
      </c>
      <c r="H1274" s="9" t="str">
        <f>IFERROR(__xludf.DUMMYFUNCTION("GOOGLETRANSLATE($A1274,""en"",""ja"")"),"ズノイモ (CZ-627)")</f>
        <v>ズノイモ (CZ-627)</v>
      </c>
      <c r="I1274" s="9" t="str">
        <f>IFERROR(__xludf.DUMMYFUNCTION("GOOGLETRANSLATE($A1274,""en"",""ko"")"),"즈노이모 (CZ-627)")</f>
        <v>즈노이모 (CZ-627)</v>
      </c>
      <c r="J1274" s="9" t="str">
        <f>IFERROR(__xludf.DUMMYFUNCTION("GOOGLETRANSLATE($A1274,""en"",""pt-BR"")"),"Znojmo (CZ-627)")</f>
        <v>Znojmo (CZ-627)</v>
      </c>
    </row>
    <row r="1275">
      <c r="A1275" s="9" t="str">
        <f>IFERROR(__xludf.DUMMYFUNCTION("""COMPUTED_VALUE"""),"Žďár nad Sázavou (CZ-615)")</f>
        <v>Žďár nad Sázavou (CZ-615)</v>
      </c>
      <c r="B1275" s="9" t="str">
        <f>IFERROR(__xludf.DUMMYFUNCTION("""COMPUTED_VALUE"""),"cz-615")</f>
        <v>cz-615</v>
      </c>
      <c r="C1275" s="9" t="str">
        <f>IFERROR(__xludf.DUMMYFUNCTION("GOOGLETRANSLATE($A1275,""en"",""de"")"),"Žďár nad Sázavou (CZ-615)")</f>
        <v>Žďár nad Sázavou (CZ-615)</v>
      </c>
      <c r="D1275" s="9" t="str">
        <f>IFERROR(__xludf.DUMMYFUNCTION("GOOGLETRANSLATE($A1275,""en"",""fr"")"),"Zďár nad Sázavou (CZ-615)")</f>
        <v>Zďár nad Sázavou (CZ-615)</v>
      </c>
      <c r="E1275" s="9" t="str">
        <f>IFERROR(__xludf.DUMMYFUNCTION("GOOGLETRANSLATE($A1275,""en"",""es"")"),"Žďár nad Sázavou (CZ-615)")</f>
        <v>Žďár nad Sázavou (CZ-615)</v>
      </c>
      <c r="F1275" s="9" t="str">
        <f>IFERROR(__xludf.DUMMYFUNCTION("GOOGLETRANSLATE($A1275,""en"",""it"")"),"Žďár nad Sázavou (CZ-615)")</f>
        <v>Žďár nad Sázavou (CZ-615)</v>
      </c>
      <c r="G1275" s="9" t="str">
        <f>IFERROR(__xludf.DUMMYFUNCTION("GOOGLETRANSLATE($A1275,""en"",""zh-cn"")"),"萨扎瓦河畔扎尔 (CZ-615)")</f>
        <v>萨扎瓦河畔扎尔 (CZ-615)</v>
      </c>
      <c r="H1275" s="9" t="str">
        <f>IFERROR(__xludf.DUMMYFUNCTION("GOOGLETRANSLATE($A1275,""en"",""ja"")"),"ジャール・ナド・サザヴォウ (CZ-615)")</f>
        <v>ジャール・ナド・サザヴォウ (CZ-615)</v>
      </c>
      <c r="I1275" s="9" t="str">
        <f>IFERROR(__xludf.DUMMYFUNCTION("GOOGLETRANSLATE($A1275,""en"",""ko"")"),"Žďár nad Sázavou (CZ-615)")</f>
        <v>Žďár nad Sázavou (CZ-615)</v>
      </c>
      <c r="J1275" s="9" t="str">
        <f>IFERROR(__xludf.DUMMYFUNCTION("GOOGLETRANSLATE($A1275,""en"",""pt-BR"")"),"Žďár nad Sázavou (CZ-615)")</f>
        <v>Žďár nad Sázavou (CZ-615)</v>
      </c>
    </row>
    <row r="1276">
      <c r="A1276" s="9" t="str">
        <f>IFERROR(__xludf.DUMMYFUNCTION("""COMPUTED_VALUE"""),"Ústí nad Labem")</f>
        <v>Ústí nad Labem</v>
      </c>
      <c r="B1276" s="9" t="str">
        <f>IFERROR(__xludf.DUMMYFUNCTION("""COMPUTED_VALUE"""),"cz-427")</f>
        <v>cz-427</v>
      </c>
      <c r="C1276" s="9" t="str">
        <f>IFERROR(__xludf.DUMMYFUNCTION("GOOGLETRANSLATE($A1276,""en"",""de"")"),"Ústí nad Labem")</f>
        <v>Ústí nad Labem</v>
      </c>
      <c r="D1276" s="9" t="str">
        <f>IFERROR(__xludf.DUMMYFUNCTION("GOOGLETRANSLATE($A1276,""en"",""fr"")"),"Usti nad Labem")</f>
        <v>Usti nad Labem</v>
      </c>
      <c r="E1276" s="9" t="str">
        <f>IFERROR(__xludf.DUMMYFUNCTION("GOOGLETRANSLATE($A1276,""en"",""es"")"),"Ústí nad Labem")</f>
        <v>Ústí nad Labem</v>
      </c>
      <c r="F1276" s="9" t="str">
        <f>IFERROR(__xludf.DUMMYFUNCTION("GOOGLETRANSLATE($A1276,""en"",""it"")"),"Usti nad Labem")</f>
        <v>Usti nad Labem</v>
      </c>
      <c r="G1276" s="9" t="str">
        <f>IFERROR(__xludf.DUMMYFUNCTION("GOOGLETRANSLATE($A1276,""en"",""zh-cn"")"),"拉贝河畔乌斯季")</f>
        <v>拉贝河畔乌斯季</v>
      </c>
      <c r="H1276" s="9" t="str">
        <f>IFERROR(__xludf.DUMMYFUNCTION("GOOGLETRANSLATE($A1276,""en"",""ja"")"),"ウスティ ナド ラベム")</f>
        <v>ウスティ ナド ラベム</v>
      </c>
      <c r="I1276" s="9" t="str">
        <f>IFERROR(__xludf.DUMMYFUNCTION("GOOGLETRANSLATE($A1276,""en"",""ko"")"),"우스티 나드 라벰")</f>
        <v>우스티 나드 라벰</v>
      </c>
      <c r="J1276" s="9" t="str">
        <f>IFERROR(__xludf.DUMMYFUNCTION("GOOGLETRANSLATE($A1276,""en"",""pt-BR"")"),"Ústí nad Labem")</f>
        <v>Ústí nad Labem</v>
      </c>
    </row>
    <row r="1277">
      <c r="A1277" s="9" t="str">
        <f>IFERROR(__xludf.DUMMYFUNCTION("""COMPUTED_VALUE"""),"Ústí nad Orlicí")</f>
        <v>Ústí nad Orlicí</v>
      </c>
      <c r="B1277" s="9" t="str">
        <f>IFERROR(__xludf.DUMMYFUNCTION("""COMPUTED_VALUE"""),"cz-534")</f>
        <v>cz-534</v>
      </c>
      <c r="C1277" s="9" t="str">
        <f>IFERROR(__xludf.DUMMYFUNCTION("GOOGLETRANSLATE($A1277,""en"",""de"")"),"Ústí nad Orlicí")</f>
        <v>Ústí nad Orlicí</v>
      </c>
      <c r="D1277" s="9" t="str">
        <f>IFERROR(__xludf.DUMMYFUNCTION("GOOGLETRANSLATE($A1277,""en"",""fr"")"),"Usti nad Orlicí")</f>
        <v>Usti nad Orlicí</v>
      </c>
      <c r="E1277" s="9" t="str">
        <f>IFERROR(__xludf.DUMMYFUNCTION("GOOGLETRANSLATE($A1277,""en"",""es"")"),"Ústí nad Orlicí")</f>
        <v>Ústí nad Orlicí</v>
      </c>
      <c r="F1277" s="9" t="str">
        <f>IFERROR(__xludf.DUMMYFUNCTION("GOOGLETRANSLATE($A1277,""en"",""it"")"),"Ústí nad Orlicí")</f>
        <v>Ústí nad Orlicí</v>
      </c>
      <c r="G1277" s="9" t="str">
        <f>IFERROR(__xludf.DUMMYFUNCTION("GOOGLETRANSLATE($A1277,""en"",""zh-cn"")"),"奥尔利西河畔乌斯季")</f>
        <v>奥尔利西河畔乌斯季</v>
      </c>
      <c r="H1277" s="9" t="str">
        <f>IFERROR(__xludf.DUMMYFUNCTION("GOOGLETRANSLATE($A1277,""en"",""ja"")"),"ウスティ ナド オルリシ")</f>
        <v>ウスティ ナド オルリシ</v>
      </c>
      <c r="I1277" s="9" t="str">
        <f>IFERROR(__xludf.DUMMYFUNCTION("GOOGLETRANSLATE($A1277,""en"",""ko"")"),"우스티 나드 오를리치")</f>
        <v>우스티 나드 오를리치</v>
      </c>
      <c r="J1277" s="9" t="str">
        <f>IFERROR(__xludf.DUMMYFUNCTION("GOOGLETRANSLATE($A1277,""en"",""pt-BR"")"),"Ústí nad Orlicí")</f>
        <v>Ústí nad Orlicí</v>
      </c>
    </row>
    <row r="1278">
      <c r="A1278" s="9" t="str">
        <f>IFERROR(__xludf.DUMMYFUNCTION("""COMPUTED_VALUE"""),"Vsetín")</f>
        <v>Vsetín</v>
      </c>
      <c r="B1278" s="9" t="str">
        <f>IFERROR(__xludf.DUMMYFUNCTION("""COMPUTED_VALUE"""),"cz-723")</f>
        <v>cz-723</v>
      </c>
      <c r="C1278" s="9" t="str">
        <f>IFERROR(__xludf.DUMMYFUNCTION("GOOGLETRANSLATE($A1278,""en"",""de"")"),"Vsetín")</f>
        <v>Vsetín</v>
      </c>
      <c r="D1278" s="9" t="str">
        <f>IFERROR(__xludf.DUMMYFUNCTION("GOOGLETRANSLATE($A1278,""en"",""fr"")"),"Vsetín")</f>
        <v>Vsetín</v>
      </c>
      <c r="E1278" s="9" t="str">
        <f>IFERROR(__xludf.DUMMYFUNCTION("GOOGLETRANSLATE($A1278,""en"",""es"")"),"Vsetín")</f>
        <v>Vsetín</v>
      </c>
      <c r="F1278" s="9" t="str">
        <f>IFERROR(__xludf.DUMMYFUNCTION("GOOGLETRANSLATE($A1278,""en"",""it"")"),"Vsetín")</f>
        <v>Vsetín</v>
      </c>
      <c r="G1278" s="9" t="str">
        <f>IFERROR(__xludf.DUMMYFUNCTION("GOOGLETRANSLATE($A1278,""en"",""zh-cn"")"),"弗塞廷")</f>
        <v>弗塞廷</v>
      </c>
      <c r="H1278" s="9" t="str">
        <f>IFERROR(__xludf.DUMMYFUNCTION("GOOGLETRANSLATE($A1278,""en"",""ja"")"),"フセティン")</f>
        <v>フセティン</v>
      </c>
      <c r="I1278" s="9" t="str">
        <f>IFERROR(__xludf.DUMMYFUNCTION("GOOGLETRANSLATE($A1278,""en"",""ko"")"),"브세틴")</f>
        <v>브세틴</v>
      </c>
      <c r="J1278" s="9" t="str">
        <f>IFERROR(__xludf.DUMMYFUNCTION("GOOGLETRANSLATE($A1278,""en"",""pt-BR"")"),"Vsetín")</f>
        <v>Vsetín</v>
      </c>
    </row>
    <row r="1279">
      <c r="A1279" s="9" t="str">
        <f>IFERROR(__xludf.DUMMYFUNCTION("""COMPUTED_VALUE"""),"Vyškov (CZ-626)")</f>
        <v>Vyškov (CZ-626)</v>
      </c>
      <c r="B1279" s="9" t="str">
        <f>IFERROR(__xludf.DUMMYFUNCTION("""COMPUTED_VALUE"""),"cz-626")</f>
        <v>cz-626</v>
      </c>
      <c r="C1279" s="9" t="str">
        <f>IFERROR(__xludf.DUMMYFUNCTION("GOOGLETRANSLATE($A1279,""en"",""de"")"),"Wyškov (CZ-626)")</f>
        <v>Wyškov (CZ-626)</v>
      </c>
      <c r="D1279" s="9" t="str">
        <f>IFERROR(__xludf.DUMMYFUNCTION("GOOGLETRANSLATE($A1279,""en"",""fr"")"),"Vyškov (CZ-626)")</f>
        <v>Vyškov (CZ-626)</v>
      </c>
      <c r="E1279" s="9" t="str">
        <f>IFERROR(__xludf.DUMMYFUNCTION("GOOGLETRANSLATE($A1279,""en"",""es"")"),"Vyškov (CZ-626)")</f>
        <v>Vyškov (CZ-626)</v>
      </c>
      <c r="F1279" s="9" t="str">
        <f>IFERROR(__xludf.DUMMYFUNCTION("GOOGLETRANSLATE($A1279,""en"",""it"")"),"Vyskov (CZ-626)")</f>
        <v>Vyskov (CZ-626)</v>
      </c>
      <c r="G1279" s="9" t="str">
        <f>IFERROR(__xludf.DUMMYFUNCTION("GOOGLETRANSLATE($A1279,""en"",""zh-cn"")"),"维什科夫 (CZ-626)")</f>
        <v>维什科夫 (CZ-626)</v>
      </c>
      <c r="H1279" s="9" t="str">
        <f>IFERROR(__xludf.DUMMYFUNCTION("GOOGLETRANSLATE($A1279,""en"",""ja"")"),"ヴィシュコフ (CZ-626)")</f>
        <v>ヴィシュコフ (CZ-626)</v>
      </c>
      <c r="I1279" s="9" t="str">
        <f>IFERROR(__xludf.DUMMYFUNCTION("GOOGLETRANSLATE($A1279,""en"",""ko"")"),"비슈코프 (CZ-626)")</f>
        <v>비슈코프 (CZ-626)</v>
      </c>
      <c r="J1279" s="9" t="str">
        <f>IFERROR(__xludf.DUMMYFUNCTION("GOOGLETRANSLATE($A1279,""en"",""pt-BR"")"),"Vyskov (CZ-626)")</f>
        <v>Vyskov (CZ-626)</v>
      </c>
    </row>
    <row r="1280">
      <c r="A1280" s="9" t="str">
        <f>IFERROR(__xludf.DUMMYFUNCTION("""COMPUTED_VALUE"""),"Praha 7")</f>
        <v>Praha 7</v>
      </c>
      <c r="B1280" s="9" t="str">
        <f>IFERROR(__xludf.DUMMYFUNCTION("""COMPUTED_VALUE"""),"cz-107")</f>
        <v>cz-107</v>
      </c>
      <c r="C1280" s="9" t="str">
        <f>IFERROR(__xludf.DUMMYFUNCTION("GOOGLETRANSLATE($A1280,""en"",""de"")"),"Prag 7")</f>
        <v>Prag 7</v>
      </c>
      <c r="D1280" s="9" t="str">
        <f>IFERROR(__xludf.DUMMYFUNCTION("GOOGLETRANSLATE($A1280,""en"",""fr"")"),"Prague 7")</f>
        <v>Prague 7</v>
      </c>
      <c r="E1280" s="9" t="str">
        <f>IFERROR(__xludf.DUMMYFUNCTION("GOOGLETRANSLATE($A1280,""en"",""es"")"),"Praga 7")</f>
        <v>Praga 7</v>
      </c>
      <c r="F1280" s="9" t="str">
        <f>IFERROR(__xludf.DUMMYFUNCTION("GOOGLETRANSLATE($A1280,""en"",""it"")"),"Praga 7")</f>
        <v>Praga 7</v>
      </c>
      <c r="G1280" s="9" t="str">
        <f>IFERROR(__xludf.DUMMYFUNCTION("GOOGLETRANSLATE($A1280,""en"",""zh-cn"")"),"布拉格 7 区")</f>
        <v>布拉格 7 区</v>
      </c>
      <c r="H1280" s="9" t="str">
        <f>IFERROR(__xludf.DUMMYFUNCTION("GOOGLETRANSLATE($A1280,""en"",""ja"")"),"プラハ 7")</f>
        <v>プラハ 7</v>
      </c>
      <c r="I1280" s="9" t="str">
        <f>IFERROR(__xludf.DUMMYFUNCTION("GOOGLETRANSLATE($A1280,""en"",""ko"")"),"프라하 7")</f>
        <v>프라하 7</v>
      </c>
      <c r="J1280" s="9" t="str">
        <f>IFERROR(__xludf.DUMMYFUNCTION("GOOGLETRANSLATE($A1280,""en"",""pt-BR"")"),"Praga 7")</f>
        <v>Praga 7</v>
      </c>
    </row>
    <row r="1281">
      <c r="A1281" s="9" t="str">
        <f>IFERROR(__xludf.DUMMYFUNCTION("""COMPUTED_VALUE"""),"Praha 8")</f>
        <v>Praha 8</v>
      </c>
      <c r="B1281" s="9" t="str">
        <f>IFERROR(__xludf.DUMMYFUNCTION("""COMPUTED_VALUE"""),"cz-108")</f>
        <v>cz-108</v>
      </c>
      <c r="C1281" s="9" t="str">
        <f>IFERROR(__xludf.DUMMYFUNCTION("GOOGLETRANSLATE($A1281,""en"",""de"")"),"Prag 8")</f>
        <v>Prag 8</v>
      </c>
      <c r="D1281" s="9" t="str">
        <f>IFERROR(__xludf.DUMMYFUNCTION("GOOGLETRANSLATE($A1281,""en"",""fr"")"),"Prague 8")</f>
        <v>Prague 8</v>
      </c>
      <c r="E1281" s="9" t="str">
        <f>IFERROR(__xludf.DUMMYFUNCTION("GOOGLETRANSLATE($A1281,""en"",""es"")"),"Praga 8")</f>
        <v>Praga 8</v>
      </c>
      <c r="F1281" s="9" t="str">
        <f>IFERROR(__xludf.DUMMYFUNCTION("GOOGLETRANSLATE($A1281,""en"",""it"")"),"Praga 8")</f>
        <v>Praga 8</v>
      </c>
      <c r="G1281" s="9" t="str">
        <f>IFERROR(__xludf.DUMMYFUNCTION("GOOGLETRANSLATE($A1281,""en"",""zh-cn"")"),"布拉格 8 号")</f>
        <v>布拉格 8 号</v>
      </c>
      <c r="H1281" s="9" t="str">
        <f>IFERROR(__xludf.DUMMYFUNCTION("GOOGLETRANSLATE($A1281,""en"",""ja"")"),"プラハ 8")</f>
        <v>プラハ 8</v>
      </c>
      <c r="I1281" s="9" t="str">
        <f>IFERROR(__xludf.DUMMYFUNCTION("GOOGLETRANSLATE($A1281,""en"",""ko"")"),"프라하 8")</f>
        <v>프라하 8</v>
      </c>
      <c r="J1281" s="9" t="str">
        <f>IFERROR(__xludf.DUMMYFUNCTION("GOOGLETRANSLATE($A1281,""en"",""pt-BR"")"),"Praga 8")</f>
        <v>Praga 8</v>
      </c>
    </row>
    <row r="1282">
      <c r="A1282" s="9" t="str">
        <f>IFERROR(__xludf.DUMMYFUNCTION("""COMPUTED_VALUE"""),"Praha 9")</f>
        <v>Praha 9</v>
      </c>
      <c r="B1282" s="9" t="str">
        <f>IFERROR(__xludf.DUMMYFUNCTION("""COMPUTED_VALUE"""),"cz-109")</f>
        <v>cz-109</v>
      </c>
      <c r="C1282" s="9" t="str">
        <f>IFERROR(__xludf.DUMMYFUNCTION("GOOGLETRANSLATE($A1282,""en"",""de"")"),"Prag 9")</f>
        <v>Prag 9</v>
      </c>
      <c r="D1282" s="9" t="str">
        <f>IFERROR(__xludf.DUMMYFUNCTION("GOOGLETRANSLATE($A1282,""en"",""fr"")"),"Prague 9")</f>
        <v>Prague 9</v>
      </c>
      <c r="E1282" s="9" t="str">
        <f>IFERROR(__xludf.DUMMYFUNCTION("GOOGLETRANSLATE($A1282,""en"",""es"")"),"Praga 9")</f>
        <v>Praga 9</v>
      </c>
      <c r="F1282" s="9" t="str">
        <f>IFERROR(__xludf.DUMMYFUNCTION("GOOGLETRANSLATE($A1282,""en"",""it"")"),"Praga 9")</f>
        <v>Praga 9</v>
      </c>
      <c r="G1282" s="9" t="str">
        <f>IFERROR(__xludf.DUMMYFUNCTION("GOOGLETRANSLATE($A1282,""en"",""zh-cn"")"),"布拉格 9 区")</f>
        <v>布拉格 9 区</v>
      </c>
      <c r="H1282" s="9" t="str">
        <f>IFERROR(__xludf.DUMMYFUNCTION("GOOGLETRANSLATE($A1282,""en"",""ja"")"),"プラハ 9")</f>
        <v>プラハ 9</v>
      </c>
      <c r="I1282" s="9" t="str">
        <f>IFERROR(__xludf.DUMMYFUNCTION("GOOGLETRANSLATE($A1282,""en"",""ko"")"),"프라하 9")</f>
        <v>프라하 9</v>
      </c>
      <c r="J1282" s="9" t="str">
        <f>IFERROR(__xludf.DUMMYFUNCTION("GOOGLETRANSLATE($A1282,""en"",""pt-BR"")"),"Praga 9")</f>
        <v>Praga 9</v>
      </c>
    </row>
    <row r="1283">
      <c r="A1283" s="9" t="str">
        <f>IFERROR(__xludf.DUMMYFUNCTION("""COMPUTED_VALUE"""),"Praha 10")</f>
        <v>Praha 10</v>
      </c>
      <c r="B1283" s="9" t="str">
        <f>IFERROR(__xludf.DUMMYFUNCTION("""COMPUTED_VALUE"""),"cz-10a")</f>
        <v>cz-10a</v>
      </c>
      <c r="C1283" s="9" t="str">
        <f>IFERROR(__xludf.DUMMYFUNCTION("GOOGLETRANSLATE($A1283,""en"",""de"")"),"Prag 10")</f>
        <v>Prag 10</v>
      </c>
      <c r="D1283" s="9" t="str">
        <f>IFERROR(__xludf.DUMMYFUNCTION("GOOGLETRANSLATE($A1283,""en"",""fr"")"),"Prague 10")</f>
        <v>Prague 10</v>
      </c>
      <c r="E1283" s="9" t="str">
        <f>IFERROR(__xludf.DUMMYFUNCTION("GOOGLETRANSLATE($A1283,""en"",""es"")"),"Praga 10")</f>
        <v>Praga 10</v>
      </c>
      <c r="F1283" s="9" t="str">
        <f>IFERROR(__xludf.DUMMYFUNCTION("GOOGLETRANSLATE($A1283,""en"",""it"")"),"Praga 10")</f>
        <v>Praga 10</v>
      </c>
      <c r="G1283" s="9" t="str">
        <f>IFERROR(__xludf.DUMMYFUNCTION("GOOGLETRANSLATE($A1283,""en"",""zh-cn"")"),"布拉格 10 号")</f>
        <v>布拉格 10 号</v>
      </c>
      <c r="H1283" s="9" t="str">
        <f>IFERROR(__xludf.DUMMYFUNCTION("GOOGLETRANSLATE($A1283,""en"",""ja"")"),"プラハ 10")</f>
        <v>プラハ 10</v>
      </c>
      <c r="I1283" s="9" t="str">
        <f>IFERROR(__xludf.DUMMYFUNCTION("GOOGLETRANSLATE($A1283,""en"",""ko"")"),"프라하 10")</f>
        <v>프라하 10</v>
      </c>
      <c r="J1283" s="9" t="str">
        <f>IFERROR(__xludf.DUMMYFUNCTION("GOOGLETRANSLATE($A1283,""en"",""pt-BR"")"),"Praga 10")</f>
        <v>Praga 10</v>
      </c>
    </row>
    <row r="1284">
      <c r="A1284" s="9" t="str">
        <f>IFERROR(__xludf.DUMMYFUNCTION("""COMPUTED_VALUE"""),"Praha 3")</f>
        <v>Praha 3</v>
      </c>
      <c r="B1284" s="9" t="str">
        <f>IFERROR(__xludf.DUMMYFUNCTION("""COMPUTED_VALUE"""),"cz-103")</f>
        <v>cz-103</v>
      </c>
      <c r="C1284" s="9" t="str">
        <f>IFERROR(__xludf.DUMMYFUNCTION("GOOGLETRANSLATE($A1284,""en"",""de"")"),"Prag 3")</f>
        <v>Prag 3</v>
      </c>
      <c r="D1284" s="9" t="str">
        <f>IFERROR(__xludf.DUMMYFUNCTION("GOOGLETRANSLATE($A1284,""en"",""fr"")"),"Prague 3")</f>
        <v>Prague 3</v>
      </c>
      <c r="E1284" s="9" t="str">
        <f>IFERROR(__xludf.DUMMYFUNCTION("GOOGLETRANSLATE($A1284,""en"",""es"")"),"Praga 3")</f>
        <v>Praga 3</v>
      </c>
      <c r="F1284" s="9" t="str">
        <f>IFERROR(__xludf.DUMMYFUNCTION("GOOGLETRANSLATE($A1284,""en"",""it"")"),"Praga 3")</f>
        <v>Praga 3</v>
      </c>
      <c r="G1284" s="9" t="str">
        <f>IFERROR(__xludf.DUMMYFUNCTION("GOOGLETRANSLATE($A1284,""en"",""zh-cn"")"),"布拉格 3 区")</f>
        <v>布拉格 3 区</v>
      </c>
      <c r="H1284" s="9" t="str">
        <f>IFERROR(__xludf.DUMMYFUNCTION("GOOGLETRANSLATE($A1284,""en"",""ja"")"),"プラハ 3")</f>
        <v>プラハ 3</v>
      </c>
      <c r="I1284" s="9" t="str">
        <f>IFERROR(__xludf.DUMMYFUNCTION("GOOGLETRANSLATE($A1284,""en"",""ko"")"),"프라하 3")</f>
        <v>프라하 3</v>
      </c>
      <c r="J1284" s="9" t="str">
        <f>IFERROR(__xludf.DUMMYFUNCTION("GOOGLETRANSLATE($A1284,""en"",""pt-BR"")"),"Praga 3")</f>
        <v>Praga 3</v>
      </c>
    </row>
    <row r="1285">
      <c r="A1285" s="9" t="str">
        <f>IFERROR(__xludf.DUMMYFUNCTION("""COMPUTED_VALUE"""),"Praha 4")</f>
        <v>Praha 4</v>
      </c>
      <c r="B1285" s="9" t="str">
        <f>IFERROR(__xludf.DUMMYFUNCTION("""COMPUTED_VALUE"""),"cz-104")</f>
        <v>cz-104</v>
      </c>
      <c r="C1285" s="9" t="str">
        <f>IFERROR(__xludf.DUMMYFUNCTION("GOOGLETRANSLATE($A1285,""en"",""de"")"),"Prag 4")</f>
        <v>Prag 4</v>
      </c>
      <c r="D1285" s="9" t="str">
        <f>IFERROR(__xludf.DUMMYFUNCTION("GOOGLETRANSLATE($A1285,""en"",""fr"")"),"Prague 4")</f>
        <v>Prague 4</v>
      </c>
      <c r="E1285" s="9" t="str">
        <f>IFERROR(__xludf.DUMMYFUNCTION("GOOGLETRANSLATE($A1285,""en"",""es"")"),"Praga 4")</f>
        <v>Praga 4</v>
      </c>
      <c r="F1285" s="9" t="str">
        <f>IFERROR(__xludf.DUMMYFUNCTION("GOOGLETRANSLATE($A1285,""en"",""it"")"),"Praga 4")</f>
        <v>Praga 4</v>
      </c>
      <c r="G1285" s="9" t="str">
        <f>IFERROR(__xludf.DUMMYFUNCTION("GOOGLETRANSLATE($A1285,""en"",""zh-cn"")"),"布拉格 4 区")</f>
        <v>布拉格 4 区</v>
      </c>
      <c r="H1285" s="9" t="str">
        <f>IFERROR(__xludf.DUMMYFUNCTION("GOOGLETRANSLATE($A1285,""en"",""ja"")"),"プラハ 4")</f>
        <v>プラハ 4</v>
      </c>
      <c r="I1285" s="9" t="str">
        <f>IFERROR(__xludf.DUMMYFUNCTION("GOOGLETRANSLATE($A1285,""en"",""ko"")"),"프라하 4")</f>
        <v>프라하 4</v>
      </c>
      <c r="J1285" s="9" t="str">
        <f>IFERROR(__xludf.DUMMYFUNCTION("GOOGLETRANSLATE($A1285,""en"",""pt-BR"")"),"Praga 4")</f>
        <v>Praga 4</v>
      </c>
    </row>
    <row r="1286">
      <c r="A1286" s="9" t="str">
        <f>IFERROR(__xludf.DUMMYFUNCTION("""COMPUTED_VALUE"""),"Praha 5")</f>
        <v>Praha 5</v>
      </c>
      <c r="B1286" s="9" t="str">
        <f>IFERROR(__xludf.DUMMYFUNCTION("""COMPUTED_VALUE"""),"cz-105")</f>
        <v>cz-105</v>
      </c>
      <c r="C1286" s="9" t="str">
        <f>IFERROR(__xludf.DUMMYFUNCTION("GOOGLETRANSLATE($A1286,""en"",""de"")"),"Prag 5")</f>
        <v>Prag 5</v>
      </c>
      <c r="D1286" s="9" t="str">
        <f>IFERROR(__xludf.DUMMYFUNCTION("GOOGLETRANSLATE($A1286,""en"",""fr"")"),"Prague 5")</f>
        <v>Prague 5</v>
      </c>
      <c r="E1286" s="9" t="str">
        <f>IFERROR(__xludf.DUMMYFUNCTION("GOOGLETRANSLATE($A1286,""en"",""es"")"),"Praga 5")</f>
        <v>Praga 5</v>
      </c>
      <c r="F1286" s="9" t="str">
        <f>IFERROR(__xludf.DUMMYFUNCTION("GOOGLETRANSLATE($A1286,""en"",""it"")"),"Praga 5")</f>
        <v>Praga 5</v>
      </c>
      <c r="G1286" s="9" t="str">
        <f>IFERROR(__xludf.DUMMYFUNCTION("GOOGLETRANSLATE($A1286,""en"",""zh-cn"")"),"布拉格 5 区")</f>
        <v>布拉格 5 区</v>
      </c>
      <c r="H1286" s="9" t="str">
        <f>IFERROR(__xludf.DUMMYFUNCTION("GOOGLETRANSLATE($A1286,""en"",""ja"")"),"プラハ 5")</f>
        <v>プラハ 5</v>
      </c>
      <c r="I1286" s="9" t="str">
        <f>IFERROR(__xludf.DUMMYFUNCTION("GOOGLETRANSLATE($A1286,""en"",""ko"")"),"프라하 5")</f>
        <v>프라하 5</v>
      </c>
      <c r="J1286" s="9" t="str">
        <f>IFERROR(__xludf.DUMMYFUNCTION("GOOGLETRANSLATE($A1286,""en"",""pt-BR"")"),"Praga 5")</f>
        <v>Praga 5</v>
      </c>
    </row>
    <row r="1287">
      <c r="A1287" s="9" t="str">
        <f>IFERROR(__xludf.DUMMYFUNCTION("""COMPUTED_VALUE"""),"Praha 6")</f>
        <v>Praha 6</v>
      </c>
      <c r="B1287" s="9" t="str">
        <f>IFERROR(__xludf.DUMMYFUNCTION("""COMPUTED_VALUE"""),"cz-106")</f>
        <v>cz-106</v>
      </c>
      <c r="C1287" s="9" t="str">
        <f>IFERROR(__xludf.DUMMYFUNCTION("GOOGLETRANSLATE($A1287,""en"",""de"")"),"Prag 6")</f>
        <v>Prag 6</v>
      </c>
      <c r="D1287" s="9" t="str">
        <f>IFERROR(__xludf.DUMMYFUNCTION("GOOGLETRANSLATE($A1287,""en"",""fr"")"),"Prague 6")</f>
        <v>Prague 6</v>
      </c>
      <c r="E1287" s="9" t="str">
        <f>IFERROR(__xludf.DUMMYFUNCTION("GOOGLETRANSLATE($A1287,""en"",""es"")"),"Praga 6")</f>
        <v>Praga 6</v>
      </c>
      <c r="F1287" s="9" t="str">
        <f>IFERROR(__xludf.DUMMYFUNCTION("GOOGLETRANSLATE($A1287,""en"",""it"")"),"Praga 6")</f>
        <v>Praga 6</v>
      </c>
      <c r="G1287" s="9" t="str">
        <f>IFERROR(__xludf.DUMMYFUNCTION("GOOGLETRANSLATE($A1287,""en"",""zh-cn"")"),"布拉格 6 区")</f>
        <v>布拉格 6 区</v>
      </c>
      <c r="H1287" s="9" t="str">
        <f>IFERROR(__xludf.DUMMYFUNCTION("GOOGLETRANSLATE($A1287,""en"",""ja"")"),"プラハ 6")</f>
        <v>プラハ 6</v>
      </c>
      <c r="I1287" s="9" t="str">
        <f>IFERROR(__xludf.DUMMYFUNCTION("GOOGLETRANSLATE($A1287,""en"",""ko"")"),"프라하 6")</f>
        <v>프라하 6</v>
      </c>
      <c r="J1287" s="9" t="str">
        <f>IFERROR(__xludf.DUMMYFUNCTION("GOOGLETRANSLATE($A1287,""en"",""pt-BR"")"),"Praga 6")</f>
        <v>Praga 6</v>
      </c>
    </row>
    <row r="1288">
      <c r="A1288" s="9" t="str">
        <f>IFERROR(__xludf.DUMMYFUNCTION("""COMPUTED_VALUE"""),"Plzeň-město")</f>
        <v>Plzeň-město</v>
      </c>
      <c r="B1288" s="9" t="str">
        <f>IFERROR(__xludf.DUMMYFUNCTION("""COMPUTED_VALUE"""),"cz-323")</f>
        <v>cz-323</v>
      </c>
      <c r="C1288" s="9" t="str">
        <f>IFERROR(__xludf.DUMMYFUNCTION("GOOGLETRANSLATE($A1288,""en"",""de"")"),"Plzeň-město")</f>
        <v>Plzeň-město</v>
      </c>
      <c r="D1288" s="9" t="str">
        <f>IFERROR(__xludf.DUMMYFUNCTION("GOOGLETRANSLATE($A1288,""en"",""fr"")"),"Plzeň-Město")</f>
        <v>Plzeň-Město</v>
      </c>
      <c r="E1288" s="9" t="str">
        <f>IFERROR(__xludf.DUMMYFUNCTION("GOOGLETRANSLATE($A1288,""en"",""es"")"),"Pilsen-město")</f>
        <v>Pilsen-město</v>
      </c>
      <c r="F1288" s="9" t="str">
        <f>IFERROR(__xludf.DUMMYFUNCTION("GOOGLETRANSLATE($A1288,""en"",""it"")"),"Plzeň-město")</f>
        <v>Plzeň-město</v>
      </c>
      <c r="G1288" s="9" t="str">
        <f>IFERROR(__xludf.DUMMYFUNCTION("GOOGLETRANSLATE($A1288,""en"",""zh-cn"")"),"比尔森城")</f>
        <v>比尔森城</v>
      </c>
      <c r="H1288" s="9" t="str">
        <f>IFERROR(__xludf.DUMMYFUNCTION("GOOGLETRANSLATE($A1288,""en"",""ja"")"),"プルゼニェスト")</f>
        <v>プルゼニェスト</v>
      </c>
      <c r="I1288" s="9" t="str">
        <f>IFERROR(__xludf.DUMMYFUNCTION("GOOGLETRANSLATE($A1288,""en"",""ko"")"),"플젠메스토")</f>
        <v>플젠메스토</v>
      </c>
      <c r="J1288" s="9" t="str">
        <f>IFERROR(__xludf.DUMMYFUNCTION("GOOGLETRANSLATE($A1288,""en"",""pt-BR"")"),"Plzeň-město")</f>
        <v>Plzeň-město</v>
      </c>
    </row>
    <row r="1289">
      <c r="A1289" s="9" t="str">
        <f>IFERROR(__xludf.DUMMYFUNCTION("""COMPUTED_VALUE"""),"Plzeň-sever")</f>
        <v>Plzeň-sever</v>
      </c>
      <c r="B1289" s="9" t="str">
        <f>IFERROR(__xludf.DUMMYFUNCTION("""COMPUTED_VALUE"""),"cz-325")</f>
        <v>cz-325</v>
      </c>
      <c r="C1289" s="9" t="str">
        <f>IFERROR(__xludf.DUMMYFUNCTION("GOOGLETRANSLATE($A1289,""en"",""de"")"),"Plzeň-sever")</f>
        <v>Plzeň-sever</v>
      </c>
      <c r="D1289" s="9" t="str">
        <f>IFERROR(__xludf.DUMMYFUNCTION("GOOGLETRANSLATE($A1289,""en"",""fr"")"),"Plzeň-Sever")</f>
        <v>Plzeň-Sever</v>
      </c>
      <c r="E1289" s="9" t="str">
        <f>IFERROR(__xludf.DUMMYFUNCTION("GOOGLETRANSLATE($A1289,""en"",""es"")"),"Pilsen-sever")</f>
        <v>Pilsen-sever</v>
      </c>
      <c r="F1289" s="9" t="str">
        <f>IFERROR(__xludf.DUMMYFUNCTION("GOOGLETRANSLATE($A1289,""en"",""it"")"),"Plzeň-sever")</f>
        <v>Plzeň-sever</v>
      </c>
      <c r="G1289" s="9" t="str">
        <f>IFERROR(__xludf.DUMMYFUNCTION("GOOGLETRANSLATE($A1289,""en"",""zh-cn"")"),"比尔森服务器")</f>
        <v>比尔森服务器</v>
      </c>
      <c r="H1289" s="9" t="str">
        <f>IFERROR(__xludf.DUMMYFUNCTION("GOOGLETRANSLATE($A1289,""en"",""ja"")"),"プルゼニサーバー")</f>
        <v>プルゼニサーバー</v>
      </c>
      <c r="I1289" s="9" t="str">
        <f>IFERROR(__xludf.DUMMYFUNCTION("GOOGLETRANSLATE($A1289,""en"",""ko"")"),"플젠서버")</f>
        <v>플젠서버</v>
      </c>
      <c r="J1289" s="9" t="str">
        <f>IFERROR(__xludf.DUMMYFUNCTION("GOOGLETRANSLATE($A1289,""en"",""pt-BR"")"),"Plzen-sever")</f>
        <v>Plzen-sever</v>
      </c>
    </row>
    <row r="1290">
      <c r="A1290" s="9" t="str">
        <f>IFERROR(__xludf.DUMMYFUNCTION("""COMPUTED_VALUE"""),"Praha 1")</f>
        <v>Praha 1</v>
      </c>
      <c r="B1290" s="9" t="str">
        <f>IFERROR(__xludf.DUMMYFUNCTION("""COMPUTED_VALUE"""),"cz-101")</f>
        <v>cz-101</v>
      </c>
      <c r="C1290" s="9" t="str">
        <f>IFERROR(__xludf.DUMMYFUNCTION("GOOGLETRANSLATE($A1290,""en"",""de"")"),"Prag 1")</f>
        <v>Prag 1</v>
      </c>
      <c r="D1290" s="9" t="str">
        <f>IFERROR(__xludf.DUMMYFUNCTION("GOOGLETRANSLATE($A1290,""en"",""fr"")"),"Prague 1")</f>
        <v>Prague 1</v>
      </c>
      <c r="E1290" s="9" t="str">
        <f>IFERROR(__xludf.DUMMYFUNCTION("GOOGLETRANSLATE($A1290,""en"",""es"")"),"Praga 1")</f>
        <v>Praga 1</v>
      </c>
      <c r="F1290" s="9" t="str">
        <f>IFERROR(__xludf.DUMMYFUNCTION("GOOGLETRANSLATE($A1290,""en"",""it"")"),"Praga 1")</f>
        <v>Praga 1</v>
      </c>
      <c r="G1290" s="9" t="str">
        <f>IFERROR(__xludf.DUMMYFUNCTION("GOOGLETRANSLATE($A1290,""en"",""zh-cn"")"),"布拉格 1 号")</f>
        <v>布拉格 1 号</v>
      </c>
      <c r="H1290" s="9" t="str">
        <f>IFERROR(__xludf.DUMMYFUNCTION("GOOGLETRANSLATE($A1290,""en"",""ja"")"),"プラハ 1")</f>
        <v>プラハ 1</v>
      </c>
      <c r="I1290" s="9" t="str">
        <f>IFERROR(__xludf.DUMMYFUNCTION("GOOGLETRANSLATE($A1290,""en"",""ko"")"),"프라하 1")</f>
        <v>프라하 1</v>
      </c>
      <c r="J1290" s="9" t="str">
        <f>IFERROR(__xludf.DUMMYFUNCTION("GOOGLETRANSLATE($A1290,""en"",""pt-BR"")"),"Praga 1")</f>
        <v>Praga 1</v>
      </c>
    </row>
    <row r="1291">
      <c r="A1291" s="9" t="str">
        <f>IFERROR(__xludf.DUMMYFUNCTION("""COMPUTED_VALUE"""),"Praha 2")</f>
        <v>Praha 2</v>
      </c>
      <c r="B1291" s="9" t="str">
        <f>IFERROR(__xludf.DUMMYFUNCTION("""COMPUTED_VALUE"""),"cz-102")</f>
        <v>cz-102</v>
      </c>
      <c r="C1291" s="9" t="str">
        <f>IFERROR(__xludf.DUMMYFUNCTION("GOOGLETRANSLATE($A1291,""en"",""de"")"),"Prag 2")</f>
        <v>Prag 2</v>
      </c>
      <c r="D1291" s="9" t="str">
        <f>IFERROR(__xludf.DUMMYFUNCTION("GOOGLETRANSLATE($A1291,""en"",""fr"")"),"Prague 2")</f>
        <v>Prague 2</v>
      </c>
      <c r="E1291" s="9" t="str">
        <f>IFERROR(__xludf.DUMMYFUNCTION("GOOGLETRANSLATE($A1291,""en"",""es"")"),"Praga 2")</f>
        <v>Praga 2</v>
      </c>
      <c r="F1291" s="9" t="str">
        <f>IFERROR(__xludf.DUMMYFUNCTION("GOOGLETRANSLATE($A1291,""en"",""it"")"),"Praga 2")</f>
        <v>Praga 2</v>
      </c>
      <c r="G1291" s="9" t="str">
        <f>IFERROR(__xludf.DUMMYFUNCTION("GOOGLETRANSLATE($A1291,""en"",""zh-cn"")"),"布拉格2号")</f>
        <v>布拉格2号</v>
      </c>
      <c r="H1291" s="9" t="str">
        <f>IFERROR(__xludf.DUMMYFUNCTION("GOOGLETRANSLATE($A1291,""en"",""ja"")"),"プラハ 2")</f>
        <v>プラハ 2</v>
      </c>
      <c r="I1291" s="9" t="str">
        <f>IFERROR(__xludf.DUMMYFUNCTION("GOOGLETRANSLATE($A1291,""en"",""ko"")"),"프라하 2")</f>
        <v>프라하 2</v>
      </c>
      <c r="J1291" s="9" t="str">
        <f>IFERROR(__xludf.DUMMYFUNCTION("GOOGLETRANSLATE($A1291,""en"",""pt-BR"")"),"Praga 2")</f>
        <v>Praga 2</v>
      </c>
    </row>
    <row r="1292">
      <c r="A1292" s="9" t="str">
        <f>IFERROR(__xludf.DUMMYFUNCTION("""COMPUTED_VALUE"""),"Pardubice")</f>
        <v>Pardubice</v>
      </c>
      <c r="B1292" s="9" t="str">
        <f>IFERROR(__xludf.DUMMYFUNCTION("""COMPUTED_VALUE"""),"cz-532")</f>
        <v>cz-532</v>
      </c>
      <c r="C1292" s="9" t="str">
        <f>IFERROR(__xludf.DUMMYFUNCTION("GOOGLETRANSLATE($A1292,""en"",""de"")"),"Pardubice")</f>
        <v>Pardubice</v>
      </c>
      <c r="D1292" s="9" t="str">
        <f>IFERROR(__xludf.DUMMYFUNCTION("GOOGLETRANSLATE($A1292,""en"",""fr"")"),"Pardubice")</f>
        <v>Pardubice</v>
      </c>
      <c r="E1292" s="9" t="str">
        <f>IFERROR(__xludf.DUMMYFUNCTION("GOOGLETRANSLATE($A1292,""en"",""es"")"),"Pardubice")</f>
        <v>Pardubice</v>
      </c>
      <c r="F1292" s="9" t="str">
        <f>IFERROR(__xludf.DUMMYFUNCTION("GOOGLETRANSLATE($A1292,""en"",""it"")"),"Pardubice")</f>
        <v>Pardubice</v>
      </c>
      <c r="G1292" s="9" t="str">
        <f>IFERROR(__xludf.DUMMYFUNCTION("GOOGLETRANSLATE($A1292,""en"",""zh-cn"")"),"帕尔杜比采")</f>
        <v>帕尔杜比采</v>
      </c>
      <c r="H1292" s="9" t="str">
        <f>IFERROR(__xludf.DUMMYFUNCTION("GOOGLETRANSLATE($A1292,""en"",""ja"")"),"パルドゥビツェ")</f>
        <v>パルドゥビツェ</v>
      </c>
      <c r="I1292" s="9" t="str">
        <f>IFERROR(__xludf.DUMMYFUNCTION("GOOGLETRANSLATE($A1292,""en"",""ko"")"),"파르두비체")</f>
        <v>파르두비체</v>
      </c>
      <c r="J1292" s="9" t="str">
        <f>IFERROR(__xludf.DUMMYFUNCTION("GOOGLETRANSLATE($A1292,""en"",""pt-BR"")"),"Pardubice")</f>
        <v>Pardubice</v>
      </c>
    </row>
    <row r="1293">
      <c r="A1293" s="9" t="str">
        <f>IFERROR(__xludf.DUMMYFUNCTION("""COMPUTED_VALUE"""),"Pelhřimov (CZ-613)")</f>
        <v>Pelhřimov (CZ-613)</v>
      </c>
      <c r="B1293" s="9" t="str">
        <f>IFERROR(__xludf.DUMMYFUNCTION("""COMPUTED_VALUE"""),"cz-613")</f>
        <v>cz-613</v>
      </c>
      <c r="C1293" s="9" t="str">
        <f>IFERROR(__xludf.DUMMYFUNCTION("GOOGLETRANSLATE($A1293,""en"",""de"")"),"Pelhřimov (CZ-613)")</f>
        <v>Pelhřimov (CZ-613)</v>
      </c>
      <c r="D1293" s="9" t="str">
        <f>IFERROR(__xludf.DUMMYFUNCTION("GOOGLETRANSLATE($A1293,""en"",""fr"")"),"Pelhřimov (CZ-613)")</f>
        <v>Pelhřimov (CZ-613)</v>
      </c>
      <c r="E1293" s="9" t="str">
        <f>IFERROR(__xludf.DUMMYFUNCTION("GOOGLETRANSLATE($A1293,""en"",""es"")"),"Pelhřimov (CZ-613)")</f>
        <v>Pelhřimov (CZ-613)</v>
      </c>
      <c r="F1293" s="9" t="str">
        <f>IFERROR(__xludf.DUMMYFUNCTION("GOOGLETRANSLATE($A1293,""en"",""it"")"),"Pelhřimov (CZ-613)")</f>
        <v>Pelhřimov (CZ-613)</v>
      </c>
      <c r="G1293" s="9" t="str">
        <f>IFERROR(__xludf.DUMMYFUNCTION("GOOGLETRANSLATE($A1293,""en"",""zh-cn"")"),"佩尔赫日莫夫 (CZ-613)")</f>
        <v>佩尔赫日莫夫 (CZ-613)</v>
      </c>
      <c r="H1293" s="9" t="str">
        <f>IFERROR(__xludf.DUMMYFUNCTION("GOOGLETRANSLATE($A1293,""en"",""ja"")"),"ペルジモフ (CZ-613)")</f>
        <v>ペルジモフ (CZ-613)</v>
      </c>
      <c r="I1293" s="9" t="str">
        <f>IFERROR(__xludf.DUMMYFUNCTION("GOOGLETRANSLATE($A1293,""en"",""ko"")"),"펠흐리모프 (CZ-613)")</f>
        <v>펠흐리모프 (CZ-613)</v>
      </c>
      <c r="J1293" s="9" t="str">
        <f>IFERROR(__xludf.DUMMYFUNCTION("GOOGLETRANSLATE($A1293,""en"",""pt-BR"")"),"Pelhřimov (CZ-613)")</f>
        <v>Pelhřimov (CZ-613)</v>
      </c>
    </row>
    <row r="1294">
      <c r="A1294" s="9" t="str">
        <f>IFERROR(__xludf.DUMMYFUNCTION("""COMPUTED_VALUE"""),"Písek")</f>
        <v>Písek</v>
      </c>
      <c r="B1294" s="9" t="str">
        <f>IFERROR(__xludf.DUMMYFUNCTION("""COMPUTED_VALUE"""),"cz-314")</f>
        <v>cz-314</v>
      </c>
      <c r="C1294" s="9" t="str">
        <f>IFERROR(__xludf.DUMMYFUNCTION("GOOGLETRANSLATE($A1294,""en"",""de"")"),"Písek")</f>
        <v>Písek</v>
      </c>
      <c r="D1294" s="9" t="str">
        <f>IFERROR(__xludf.DUMMYFUNCTION("GOOGLETRANSLATE($A1294,""en"",""fr"")"),"Pisek")</f>
        <v>Pisek</v>
      </c>
      <c r="E1294" s="9" t="str">
        <f>IFERROR(__xludf.DUMMYFUNCTION("GOOGLETRANSLATE($A1294,""en"",""es"")"),"Písek")</f>
        <v>Písek</v>
      </c>
      <c r="F1294" s="9" t="str">
        <f>IFERROR(__xludf.DUMMYFUNCTION("GOOGLETRANSLATE($A1294,""en"",""it"")"),"Písek")</f>
        <v>Písek</v>
      </c>
      <c r="G1294" s="9" t="str">
        <f>IFERROR(__xludf.DUMMYFUNCTION("GOOGLETRANSLATE($A1294,""en"",""zh-cn"")"),"皮塞克")</f>
        <v>皮塞克</v>
      </c>
      <c r="H1294" s="9" t="str">
        <f>IFERROR(__xludf.DUMMYFUNCTION("GOOGLETRANSLATE($A1294,""en"",""ja"")"),"ピーセク")</f>
        <v>ピーセク</v>
      </c>
      <c r="I1294" s="9" t="str">
        <f>IFERROR(__xludf.DUMMYFUNCTION("GOOGLETRANSLATE($A1294,""en"",""ko"")"),"피세크")</f>
        <v>피세크</v>
      </c>
      <c r="J1294" s="9" t="str">
        <f>IFERROR(__xludf.DUMMYFUNCTION("GOOGLETRANSLATE($A1294,""en"",""pt-BR"")"),"Písek")</f>
        <v>Písek</v>
      </c>
    </row>
    <row r="1295">
      <c r="A1295" s="9" t="str">
        <f>IFERROR(__xludf.DUMMYFUNCTION("""COMPUTED_VALUE"""),"Plzeň-jih")</f>
        <v>Plzeň-jih</v>
      </c>
      <c r="B1295" s="9" t="str">
        <f>IFERROR(__xludf.DUMMYFUNCTION("""COMPUTED_VALUE"""),"cz-324")</f>
        <v>cz-324</v>
      </c>
      <c r="C1295" s="9" t="str">
        <f>IFERROR(__xludf.DUMMYFUNCTION("GOOGLETRANSLATE($A1295,""en"",""de"")"),"Plzeň-jih")</f>
        <v>Plzeň-jih</v>
      </c>
      <c r="D1295" s="9" t="str">
        <f>IFERROR(__xludf.DUMMYFUNCTION("GOOGLETRANSLATE($A1295,""en"",""fr"")"),"Plzeň-jih")</f>
        <v>Plzeň-jih</v>
      </c>
      <c r="E1295" s="9" t="str">
        <f>IFERROR(__xludf.DUMMYFUNCTION("GOOGLETRANSLATE($A1295,""en"",""es"")"),"Pilsen-jih")</f>
        <v>Pilsen-jih</v>
      </c>
      <c r="F1295" s="9" t="str">
        <f>IFERROR(__xludf.DUMMYFUNCTION("GOOGLETRANSLATE($A1295,""en"",""it"")"),"Plzeň-jih")</f>
        <v>Plzeň-jih</v>
      </c>
      <c r="G1295" s="9" t="str">
        <f>IFERROR(__xludf.DUMMYFUNCTION("GOOGLETRANSLATE($A1295,""en"",""zh-cn"")"),"比尔森吉赫")</f>
        <v>比尔森吉赫</v>
      </c>
      <c r="H1295" s="9" t="str">
        <f>IFERROR(__xludf.DUMMYFUNCTION("GOOGLETRANSLATE($A1295,""en"",""ja"")"),"プルゼニジ")</f>
        <v>プルゼニジ</v>
      </c>
      <c r="I1295" s="9" t="str">
        <f>IFERROR(__xludf.DUMMYFUNCTION("GOOGLETRANSLATE($A1295,""en"",""ko"")"),"플젠지")</f>
        <v>플젠지</v>
      </c>
      <c r="J1295" s="9" t="str">
        <f>IFERROR(__xludf.DUMMYFUNCTION("GOOGLETRANSLATE($A1295,""en"",""pt-BR"")"),"Plzeň-jih")</f>
        <v>Plzeň-jih</v>
      </c>
    </row>
    <row r="1296">
      <c r="A1296" s="9" t="str">
        <f>IFERROR(__xludf.DUMMYFUNCTION("""COMPUTED_VALUE"""),"Rokycany")</f>
        <v>Rokycany</v>
      </c>
      <c r="B1296" s="9" t="str">
        <f>IFERROR(__xludf.DUMMYFUNCTION("""COMPUTED_VALUE"""),"cz-326")</f>
        <v>cz-326</v>
      </c>
      <c r="C1296" s="9" t="str">
        <f>IFERROR(__xludf.DUMMYFUNCTION("GOOGLETRANSLATE($A1296,""en"",""de"")"),"Rokycany")</f>
        <v>Rokycany</v>
      </c>
      <c r="D1296" s="9" t="str">
        <f>IFERROR(__xludf.DUMMYFUNCTION("GOOGLETRANSLATE($A1296,""en"",""fr"")"),"Rokycany")</f>
        <v>Rokycany</v>
      </c>
      <c r="E1296" s="9" t="str">
        <f>IFERROR(__xludf.DUMMYFUNCTION("GOOGLETRANSLATE($A1296,""en"",""es"")"),"Rokyčany")</f>
        <v>Rokyčany</v>
      </c>
      <c r="F1296" s="9" t="str">
        <f>IFERROR(__xludf.DUMMYFUNCTION("GOOGLETRANSLATE($A1296,""en"",""it"")"),"Rokycany")</f>
        <v>Rokycany</v>
      </c>
      <c r="G1296" s="9" t="str">
        <f>IFERROR(__xludf.DUMMYFUNCTION("GOOGLETRANSLATE($A1296,""en"",""zh-cn"")"),"罗基卡尼")</f>
        <v>罗基卡尼</v>
      </c>
      <c r="H1296" s="9" t="str">
        <f>IFERROR(__xludf.DUMMYFUNCTION("GOOGLETRANSLATE($A1296,""en"",""ja"")"),"ロキカニ")</f>
        <v>ロキカニ</v>
      </c>
      <c r="I1296" s="9" t="str">
        <f>IFERROR(__xludf.DUMMYFUNCTION("GOOGLETRANSLATE($A1296,""en"",""ko"")"),"로키카니")</f>
        <v>로키카니</v>
      </c>
      <c r="J1296" s="9" t="str">
        <f>IFERROR(__xludf.DUMMYFUNCTION("GOOGLETRANSLATE($A1296,""en"",""pt-BR"")"),"Rokycany")</f>
        <v>Rokycany</v>
      </c>
    </row>
    <row r="1297">
      <c r="A1297" s="9" t="str">
        <f>IFERROR(__xludf.DUMMYFUNCTION("""COMPUTED_VALUE"""),"Rychnov nad Kněžnou")</f>
        <v>Rychnov nad Kněžnou</v>
      </c>
      <c r="B1297" s="9" t="str">
        <f>IFERROR(__xludf.DUMMYFUNCTION("""COMPUTED_VALUE"""),"cz-524")</f>
        <v>cz-524</v>
      </c>
      <c r="C1297" s="9" t="str">
        <f>IFERROR(__xludf.DUMMYFUNCTION("GOOGLETRANSLATE($A1297,""en"",""de"")"),"Rychnov nad Kněžnou")</f>
        <v>Rychnov nad Kněžnou</v>
      </c>
      <c r="D1297" s="9" t="str">
        <f>IFERROR(__xludf.DUMMYFUNCTION("GOOGLETRANSLATE($A1297,""en"",""fr"")"),"Rychnov nad Kněžnou")</f>
        <v>Rychnov nad Kněžnou</v>
      </c>
      <c r="E1297" s="9" t="str">
        <f>IFERROR(__xludf.DUMMYFUNCTION("GOOGLETRANSLATE($A1297,""en"",""es"")"),"Rychnov nad Kněžnou")</f>
        <v>Rychnov nad Kněžnou</v>
      </c>
      <c r="F1297" s="9" t="str">
        <f>IFERROR(__xludf.DUMMYFUNCTION("GOOGLETRANSLATE($A1297,""en"",""it"")"),"Rychnov nad Kněžnou")</f>
        <v>Rychnov nad Kněžnou</v>
      </c>
      <c r="G1297" s="9" t="str">
        <f>IFERROR(__xludf.DUMMYFUNCTION("GOOGLETRANSLATE($A1297,""en"",""zh-cn"")"),"克涅兹努河畔里奇诺夫")</f>
        <v>克涅兹努河畔里奇诺夫</v>
      </c>
      <c r="H1297" s="9" t="str">
        <f>IFERROR(__xludf.DUMMYFUNCTION("GOOGLETRANSLATE($A1297,""en"",""ja"")"),"リチノフ・ナド・クニェシュノウ")</f>
        <v>リチノフ・ナド・クニェシュノウ</v>
      </c>
      <c r="I1297" s="9" t="str">
        <f>IFERROR(__xludf.DUMMYFUNCTION("GOOGLETRANSLATE($A1297,""en"",""ko"")"),"리치노프 나트 크네즈노우")</f>
        <v>리치노프 나트 크네즈노우</v>
      </c>
      <c r="J1297" s="9" t="str">
        <f>IFERROR(__xludf.DUMMYFUNCTION("GOOGLETRANSLATE($A1297,""en"",""pt-BR"")"),"Rychnov nad Kněžnou")</f>
        <v>Rychnov nad Kněžnou</v>
      </c>
    </row>
    <row r="1298">
      <c r="A1298" s="9" t="str">
        <f>IFERROR(__xludf.DUMMYFUNCTION("""COMPUTED_VALUE"""),"Semily")</f>
        <v>Semily</v>
      </c>
      <c r="B1298" s="9" t="str">
        <f>IFERROR(__xludf.DUMMYFUNCTION("""COMPUTED_VALUE"""),"cz-514")</f>
        <v>cz-514</v>
      </c>
      <c r="C1298" s="9" t="str">
        <f>IFERROR(__xludf.DUMMYFUNCTION("GOOGLETRANSLATE($A1298,""en"",""de"")"),"Semily")</f>
        <v>Semily</v>
      </c>
      <c r="D1298" s="9" t="str">
        <f>IFERROR(__xludf.DUMMYFUNCTION("GOOGLETRANSLATE($A1298,""en"",""fr"")"),"Semily")</f>
        <v>Semily</v>
      </c>
      <c r="E1298" s="9" t="str">
        <f>IFERROR(__xludf.DUMMYFUNCTION("GOOGLETRANSLATE($A1298,""en"",""es"")"),"Semily")</f>
        <v>Semily</v>
      </c>
      <c r="F1298" s="9" t="str">
        <f>IFERROR(__xludf.DUMMYFUNCTION("GOOGLETRANSLATE($A1298,""en"",""it"")"),"Semily")</f>
        <v>Semily</v>
      </c>
      <c r="G1298" s="9" t="str">
        <f>IFERROR(__xludf.DUMMYFUNCTION("GOOGLETRANSLATE($A1298,""en"",""zh-cn"")"),"塞米利")</f>
        <v>塞米利</v>
      </c>
      <c r="H1298" s="9" t="str">
        <f>IFERROR(__xludf.DUMMYFUNCTION("GOOGLETRANSLATE($A1298,""en"",""ja"")"),"セミリー")</f>
        <v>セミリー</v>
      </c>
      <c r="I1298" s="9" t="str">
        <f>IFERROR(__xludf.DUMMYFUNCTION("GOOGLETRANSLATE($A1298,""en"",""ko"")"),"세미리")</f>
        <v>세미리</v>
      </c>
      <c r="J1298" s="9" t="str">
        <f>IFERROR(__xludf.DUMMYFUNCTION("GOOGLETRANSLATE($A1298,""en"",""pt-BR"")"),"Semily")</f>
        <v>Semily</v>
      </c>
    </row>
    <row r="1299">
      <c r="A1299" s="9" t="str">
        <f>IFERROR(__xludf.DUMMYFUNCTION("""COMPUTED_VALUE"""),"Sokolov")</f>
        <v>Sokolov</v>
      </c>
      <c r="B1299" s="9" t="str">
        <f>IFERROR(__xludf.DUMMYFUNCTION("""COMPUTED_VALUE"""),"cz-413")</f>
        <v>cz-413</v>
      </c>
      <c r="C1299" s="9" t="str">
        <f>IFERROR(__xludf.DUMMYFUNCTION("GOOGLETRANSLATE($A1299,""en"",""de"")"),"Sokolov")</f>
        <v>Sokolov</v>
      </c>
      <c r="D1299" s="9" t="str">
        <f>IFERROR(__xludf.DUMMYFUNCTION("GOOGLETRANSLATE($A1299,""en"",""fr"")"),"Sokolov")</f>
        <v>Sokolov</v>
      </c>
      <c r="E1299" s="9" t="str">
        <f>IFERROR(__xludf.DUMMYFUNCTION("GOOGLETRANSLATE($A1299,""en"",""es"")"),"Sokolov")</f>
        <v>Sokolov</v>
      </c>
      <c r="F1299" s="9" t="str">
        <f>IFERROR(__xludf.DUMMYFUNCTION("GOOGLETRANSLATE($A1299,""en"",""it"")"),"Sokolov")</f>
        <v>Sokolov</v>
      </c>
      <c r="G1299" s="9" t="str">
        <f>IFERROR(__xludf.DUMMYFUNCTION("GOOGLETRANSLATE($A1299,""en"",""zh-cn"")"),"索科洛夫")</f>
        <v>索科洛夫</v>
      </c>
      <c r="H1299" s="9" t="str">
        <f>IFERROR(__xludf.DUMMYFUNCTION("GOOGLETRANSLATE($A1299,""en"",""ja"")"),"ソコロフ")</f>
        <v>ソコロフ</v>
      </c>
      <c r="I1299" s="9" t="str">
        <f>IFERROR(__xludf.DUMMYFUNCTION("GOOGLETRANSLATE($A1299,""en"",""ko"")"),"소콜로프")</f>
        <v>소콜로프</v>
      </c>
      <c r="J1299" s="9" t="str">
        <f>IFERROR(__xludf.DUMMYFUNCTION("GOOGLETRANSLATE($A1299,""en"",""pt-BR"")"),"Sokolov")</f>
        <v>Sokolov</v>
      </c>
    </row>
    <row r="1300">
      <c r="A1300" s="9" t="str">
        <f>IFERROR(__xludf.DUMMYFUNCTION("""COMPUTED_VALUE"""),"Prostějov")</f>
        <v>Prostějov</v>
      </c>
      <c r="B1300" s="9" t="str">
        <f>IFERROR(__xludf.DUMMYFUNCTION("""COMPUTED_VALUE"""),"cz-713")</f>
        <v>cz-713</v>
      </c>
      <c r="C1300" s="9" t="str">
        <f>IFERROR(__xludf.DUMMYFUNCTION("GOOGLETRANSLATE($A1300,""en"",""de"")"),"Prostějov")</f>
        <v>Prostějov</v>
      </c>
      <c r="D1300" s="9" t="str">
        <f>IFERROR(__xludf.DUMMYFUNCTION("GOOGLETRANSLATE($A1300,""en"",""fr"")"),"Prostějov")</f>
        <v>Prostějov</v>
      </c>
      <c r="E1300" s="9" t="str">
        <f>IFERROR(__xludf.DUMMYFUNCTION("GOOGLETRANSLATE($A1300,""en"",""es"")"),"Prostejov")</f>
        <v>Prostejov</v>
      </c>
      <c r="F1300" s="9" t="str">
        <f>IFERROR(__xludf.DUMMYFUNCTION("GOOGLETRANSLATE($A1300,""en"",""it"")"),"Prostějov")</f>
        <v>Prostějov</v>
      </c>
      <c r="G1300" s="9" t="str">
        <f>IFERROR(__xludf.DUMMYFUNCTION("GOOGLETRANSLATE($A1300,""en"",""zh-cn"")"),"普罗斯捷约夫")</f>
        <v>普罗斯捷约夫</v>
      </c>
      <c r="H1300" s="9" t="str">
        <f>IFERROR(__xludf.DUMMYFUNCTION("GOOGLETRANSLATE($A1300,""en"",""ja"")"),"プロスチェヨフ")</f>
        <v>プロスチェヨフ</v>
      </c>
      <c r="I1300" s="9" t="str">
        <f>IFERROR(__xludf.DUMMYFUNCTION("GOOGLETRANSLATE($A1300,""en"",""ko"")"),"프로스테요프")</f>
        <v>프로스테요프</v>
      </c>
      <c r="J1300" s="9" t="str">
        <f>IFERROR(__xludf.DUMMYFUNCTION("GOOGLETRANSLATE($A1300,""en"",""pt-BR"")"),"Prostějov")</f>
        <v>Prostějov</v>
      </c>
    </row>
    <row r="1301">
      <c r="A1301" s="9" t="str">
        <f>IFERROR(__xludf.DUMMYFUNCTION("""COMPUTED_VALUE"""),"Přerov")</f>
        <v>Přerov</v>
      </c>
      <c r="B1301" s="9" t="str">
        <f>IFERROR(__xludf.DUMMYFUNCTION("""COMPUTED_VALUE"""),"cz-714")</f>
        <v>cz-714</v>
      </c>
      <c r="C1301" s="9" t="str">
        <f>IFERROR(__xludf.DUMMYFUNCTION("GOOGLETRANSLATE($A1301,""en"",""de"")"),"Přerov")</f>
        <v>Přerov</v>
      </c>
      <c r="D1301" s="9" t="str">
        <f>IFERROR(__xludf.DUMMYFUNCTION("GOOGLETRANSLATE($A1301,""en"",""fr"")"),"Prerov")</f>
        <v>Prerov</v>
      </c>
      <c r="E1301" s="9" t="str">
        <f>IFERROR(__xludf.DUMMYFUNCTION("GOOGLETRANSLATE($A1301,""en"",""es"")"),"Přerov")</f>
        <v>Přerov</v>
      </c>
      <c r="F1301" s="9" t="str">
        <f>IFERROR(__xludf.DUMMYFUNCTION("GOOGLETRANSLATE($A1301,""en"",""it"")"),"Přerov")</f>
        <v>Přerov</v>
      </c>
      <c r="G1301" s="9" t="str">
        <f>IFERROR(__xludf.DUMMYFUNCTION("GOOGLETRANSLATE($A1301,""en"",""zh-cn"")"),"普热罗夫")</f>
        <v>普热罗夫</v>
      </c>
      <c r="H1301" s="9" t="str">
        <f>IFERROR(__xludf.DUMMYFUNCTION("GOOGLETRANSLATE($A1301,""en"",""ja"")"),"プジェロフ")</f>
        <v>プジェロフ</v>
      </c>
      <c r="I1301" s="9" t="str">
        <f>IFERROR(__xludf.DUMMYFUNCTION("GOOGLETRANSLATE($A1301,""en"",""ko"")"),"프제로프")</f>
        <v>프제로프</v>
      </c>
      <c r="J1301" s="9" t="str">
        <f>IFERROR(__xludf.DUMMYFUNCTION("GOOGLETRANSLATE($A1301,""en"",""pt-BR"")"),"Přerov")</f>
        <v>Přerov</v>
      </c>
    </row>
    <row r="1302">
      <c r="A1302" s="9" t="str">
        <f>IFERROR(__xludf.DUMMYFUNCTION("""COMPUTED_VALUE"""),"Příbram")</f>
        <v>Příbram</v>
      </c>
      <c r="B1302" s="9" t="str">
        <f>IFERROR(__xludf.DUMMYFUNCTION("""COMPUTED_VALUE"""),"cz-20b")</f>
        <v>cz-20b</v>
      </c>
      <c r="C1302" s="9" t="str">
        <f>IFERROR(__xludf.DUMMYFUNCTION("GOOGLETRANSLATE($A1302,""en"",""de"")"),"Příbram")</f>
        <v>Příbram</v>
      </c>
      <c r="D1302" s="9" t="str">
        <f>IFERROR(__xludf.DUMMYFUNCTION("GOOGLETRANSLATE($A1302,""en"",""fr"")"),"Príbram")</f>
        <v>Príbram</v>
      </c>
      <c r="E1302" s="9" t="str">
        <f>IFERROR(__xludf.DUMMYFUNCTION("GOOGLETRANSLATE($A1302,""en"",""es"")"),"Příbram")</f>
        <v>Příbram</v>
      </c>
      <c r="F1302" s="9" t="str">
        <f>IFERROR(__xludf.DUMMYFUNCTION("GOOGLETRANSLATE($A1302,""en"",""it"")"),"Příbram")</f>
        <v>Příbram</v>
      </c>
      <c r="G1302" s="9" t="str">
        <f>IFERROR(__xludf.DUMMYFUNCTION("GOOGLETRANSLATE($A1302,""en"",""zh-cn"")"),"普日布拉姆")</f>
        <v>普日布拉姆</v>
      </c>
      <c r="H1302" s="9" t="str">
        <f>IFERROR(__xludf.DUMMYFUNCTION("GOOGLETRANSLATE($A1302,""en"",""ja"")"),"プルシーブラム")</f>
        <v>プルシーブラム</v>
      </c>
      <c r="I1302" s="9" t="str">
        <f>IFERROR(__xludf.DUMMYFUNCTION("GOOGLETRANSLATE($A1302,""en"",""ko"")"),"프리브람")</f>
        <v>프리브람</v>
      </c>
      <c r="J1302" s="9" t="str">
        <f>IFERROR(__xludf.DUMMYFUNCTION("GOOGLETRANSLATE($A1302,""en"",""pt-BR"")"),"Pribram")</f>
        <v>Pribram</v>
      </c>
    </row>
    <row r="1303">
      <c r="A1303" s="9" t="str">
        <f>IFERROR(__xludf.DUMMYFUNCTION("""COMPUTED_VALUE"""),"Rakovník")</f>
        <v>Rakovník</v>
      </c>
      <c r="B1303" s="9" t="str">
        <f>IFERROR(__xludf.DUMMYFUNCTION("""COMPUTED_VALUE"""),"cz-20c")</f>
        <v>cz-20c</v>
      </c>
      <c r="C1303" s="9" t="str">
        <f>IFERROR(__xludf.DUMMYFUNCTION("GOOGLETRANSLATE($A1303,""en"",""de"")"),"Rakovník")</f>
        <v>Rakovník</v>
      </c>
      <c r="D1303" s="9" t="str">
        <f>IFERROR(__xludf.DUMMYFUNCTION("GOOGLETRANSLATE($A1303,""en"",""fr"")"),"Rakovnik")</f>
        <v>Rakovnik</v>
      </c>
      <c r="E1303" s="9" t="str">
        <f>IFERROR(__xludf.DUMMYFUNCTION("GOOGLETRANSLATE($A1303,""en"",""es"")"),"Rakovník")</f>
        <v>Rakovník</v>
      </c>
      <c r="F1303" s="9" t="str">
        <f>IFERROR(__xludf.DUMMYFUNCTION("GOOGLETRANSLATE($A1303,""en"",""it"")"),"Rakovnik")</f>
        <v>Rakovnik</v>
      </c>
      <c r="G1303" s="9" t="str">
        <f>IFERROR(__xludf.DUMMYFUNCTION("GOOGLETRANSLATE($A1303,""en"",""zh-cn"")"),"拉科夫尼克")</f>
        <v>拉科夫尼克</v>
      </c>
      <c r="H1303" s="9" t="str">
        <f>IFERROR(__xludf.DUMMYFUNCTION("GOOGLETRANSLATE($A1303,""en"",""ja"")"),"ラコヴニク")</f>
        <v>ラコヴニク</v>
      </c>
      <c r="I1303" s="9" t="str">
        <f>IFERROR(__xludf.DUMMYFUNCTION("GOOGLETRANSLATE($A1303,""en"",""ko"")"),"라코브니크")</f>
        <v>라코브니크</v>
      </c>
      <c r="J1303" s="9" t="str">
        <f>IFERROR(__xludf.DUMMYFUNCTION("GOOGLETRANSLATE($A1303,""en"",""pt-BR"")"),"Rakovnik")</f>
        <v>Rakovnik</v>
      </c>
    </row>
    <row r="1304">
      <c r="A1304" s="9" t="str">
        <f>IFERROR(__xludf.DUMMYFUNCTION("""COMPUTED_VALUE"""),"Praha 15")</f>
        <v>Praha 15</v>
      </c>
      <c r="B1304" s="9" t="str">
        <f>IFERROR(__xludf.DUMMYFUNCTION("""COMPUTED_VALUE"""),"cz-10f")</f>
        <v>cz-10f</v>
      </c>
      <c r="C1304" s="9" t="str">
        <f>IFERROR(__xludf.DUMMYFUNCTION("GOOGLETRANSLATE($A1304,""en"",""de"")"),"Prag 15")</f>
        <v>Prag 15</v>
      </c>
      <c r="D1304" s="9" t="str">
        <f>IFERROR(__xludf.DUMMYFUNCTION("GOOGLETRANSLATE($A1304,""en"",""fr"")"),"Prague 15")</f>
        <v>Prague 15</v>
      </c>
      <c r="E1304" s="9" t="str">
        <f>IFERROR(__xludf.DUMMYFUNCTION("GOOGLETRANSLATE($A1304,""en"",""es"")"),"Praga 15")</f>
        <v>Praga 15</v>
      </c>
      <c r="F1304" s="9" t="str">
        <f>IFERROR(__xludf.DUMMYFUNCTION("GOOGLETRANSLATE($A1304,""en"",""it"")"),"Praga 15")</f>
        <v>Praga 15</v>
      </c>
      <c r="G1304" s="9" t="str">
        <f>IFERROR(__xludf.DUMMYFUNCTION("GOOGLETRANSLATE($A1304,""en"",""zh-cn"")"),"布拉格 15 区")</f>
        <v>布拉格 15 区</v>
      </c>
      <c r="H1304" s="9" t="str">
        <f>IFERROR(__xludf.DUMMYFUNCTION("GOOGLETRANSLATE($A1304,""en"",""ja"")"),"プラハ 15")</f>
        <v>プラハ 15</v>
      </c>
      <c r="I1304" s="9" t="str">
        <f>IFERROR(__xludf.DUMMYFUNCTION("GOOGLETRANSLATE($A1304,""en"",""ko"")"),"프라하 15")</f>
        <v>프라하 15</v>
      </c>
      <c r="J1304" s="9" t="str">
        <f>IFERROR(__xludf.DUMMYFUNCTION("GOOGLETRANSLATE($A1304,""en"",""pt-BR"")"),"Praga 15")</f>
        <v>Praga 15</v>
      </c>
    </row>
    <row r="1305">
      <c r="A1305" s="9" t="str">
        <f>IFERROR(__xludf.DUMMYFUNCTION("""COMPUTED_VALUE"""),"Praha-východ")</f>
        <v>Praha-východ</v>
      </c>
      <c r="B1305" s="9" t="str">
        <f>IFERROR(__xludf.DUMMYFUNCTION("""COMPUTED_VALUE"""),"cz-209")</f>
        <v>cz-209</v>
      </c>
      <c r="C1305" s="9" t="str">
        <f>IFERROR(__xludf.DUMMYFUNCTION("GOOGLETRANSLATE($A1305,""en"",""de"")"),"Praha-východ")</f>
        <v>Praha-východ</v>
      </c>
      <c r="D1305" s="9" t="str">
        <f>IFERROR(__xludf.DUMMYFUNCTION("GOOGLETRANSLATE($A1305,""en"",""fr"")"),"Praha-vychod")</f>
        <v>Praha-vychod</v>
      </c>
      <c r="E1305" s="9" t="str">
        <f>IFERROR(__xludf.DUMMYFUNCTION("GOOGLETRANSLATE($A1305,""en"",""es"")"),"Praga-východ")</f>
        <v>Praga-východ</v>
      </c>
      <c r="F1305" s="9" t="str">
        <f>IFERROR(__xludf.DUMMYFUNCTION("GOOGLETRANSLATE($A1305,""en"",""it"")"),"Praha-vychod")</f>
        <v>Praha-vychod</v>
      </c>
      <c r="G1305" s="9" t="str">
        <f>IFERROR(__xludf.DUMMYFUNCTION("GOOGLETRANSLATE($A1305,""en"",""zh-cn"")"),"布拉格维霍德")</f>
        <v>布拉格维霍德</v>
      </c>
      <c r="H1305" s="9" t="str">
        <f>IFERROR(__xludf.DUMMYFUNCTION("GOOGLETRANSLATE($A1305,""en"",""ja"")"),"プラハ・ヴィチョド")</f>
        <v>プラハ・ヴィチョド</v>
      </c>
      <c r="I1305" s="9" t="str">
        <f>IFERROR(__xludf.DUMMYFUNCTION("GOOGLETRANSLATE($A1305,""en"",""ko"")"),"프라하비쇼드")</f>
        <v>프라하비쇼드</v>
      </c>
      <c r="J1305" s="9" t="str">
        <f>IFERROR(__xludf.DUMMYFUNCTION("GOOGLETRANSLATE($A1305,""en"",""pt-BR"")"),"Praha-východ")</f>
        <v>Praha-východ</v>
      </c>
    </row>
    <row r="1306">
      <c r="A1306" s="9" t="str">
        <f>IFERROR(__xludf.DUMMYFUNCTION("""COMPUTED_VALUE"""),"Praha-západ")</f>
        <v>Praha-západ</v>
      </c>
      <c r="B1306" s="9" t="str">
        <f>IFERROR(__xludf.DUMMYFUNCTION("""COMPUTED_VALUE"""),"cz-20a")</f>
        <v>cz-20a</v>
      </c>
      <c r="C1306" s="9" t="str">
        <f>IFERROR(__xludf.DUMMYFUNCTION("GOOGLETRANSLATE($A1306,""en"",""de"")"),"Praha-západ")</f>
        <v>Praha-západ</v>
      </c>
      <c r="D1306" s="9" t="str">
        <f>IFERROR(__xludf.DUMMYFUNCTION("GOOGLETRANSLATE($A1306,""en"",""fr"")"),"Praha-západ")</f>
        <v>Praha-západ</v>
      </c>
      <c r="E1306" s="9" t="str">
        <f>IFERROR(__xludf.DUMMYFUNCTION("GOOGLETRANSLATE($A1306,""en"",""es"")"),"Praga-západ")</f>
        <v>Praga-západ</v>
      </c>
      <c r="F1306" s="9" t="str">
        <f>IFERROR(__xludf.DUMMYFUNCTION("GOOGLETRANSLATE($A1306,""en"",""it"")"),"Praha-zapad")</f>
        <v>Praha-zapad</v>
      </c>
      <c r="G1306" s="9" t="str">
        <f>IFERROR(__xludf.DUMMYFUNCTION("GOOGLETRANSLATE($A1306,""en"",""zh-cn"")"),"普拉哈扎帕德")</f>
        <v>普拉哈扎帕德</v>
      </c>
      <c r="H1306" s="9" t="str">
        <f>IFERROR(__xludf.DUMMYFUNCTION("GOOGLETRANSLATE($A1306,""en"",""ja"")"),"プラハザパド")</f>
        <v>プラハザパド</v>
      </c>
      <c r="I1306" s="9" t="str">
        <f>IFERROR(__xludf.DUMMYFUNCTION("GOOGLETRANSLATE($A1306,""en"",""ko"")"),"프라하자파드")</f>
        <v>프라하자파드</v>
      </c>
      <c r="J1306" s="9" t="str">
        <f>IFERROR(__xludf.DUMMYFUNCTION("GOOGLETRANSLATE($A1306,""en"",""pt-BR"")"),"Praga-západ")</f>
        <v>Praga-západ</v>
      </c>
    </row>
    <row r="1307">
      <c r="A1307" s="9" t="str">
        <f>IFERROR(__xludf.DUMMYFUNCTION("""COMPUTED_VALUE"""),"Prachatice")</f>
        <v>Prachatice</v>
      </c>
      <c r="B1307" s="9" t="str">
        <f>IFERROR(__xludf.DUMMYFUNCTION("""COMPUTED_VALUE"""),"cz-315")</f>
        <v>cz-315</v>
      </c>
      <c r="C1307" s="9" t="str">
        <f>IFERROR(__xludf.DUMMYFUNCTION("GOOGLETRANSLATE($A1307,""en"",""de"")"),"Prachatice")</f>
        <v>Prachatice</v>
      </c>
      <c r="D1307" s="9" t="str">
        <f>IFERROR(__xludf.DUMMYFUNCTION("GOOGLETRANSLATE($A1307,""en"",""fr"")"),"Prachatice")</f>
        <v>Prachatice</v>
      </c>
      <c r="E1307" s="9" t="str">
        <f>IFERROR(__xludf.DUMMYFUNCTION("GOOGLETRANSLATE($A1307,""en"",""es"")"),"Prachatice")</f>
        <v>Prachatice</v>
      </c>
      <c r="F1307" s="9" t="str">
        <f>IFERROR(__xludf.DUMMYFUNCTION("GOOGLETRANSLATE($A1307,""en"",""it"")"),"Pratica")</f>
        <v>Pratica</v>
      </c>
      <c r="G1307" s="9" t="str">
        <f>IFERROR(__xludf.DUMMYFUNCTION("GOOGLETRANSLATE($A1307,""en"",""zh-cn"")"),"普拉查蒂采")</f>
        <v>普拉查蒂采</v>
      </c>
      <c r="H1307" s="9" t="str">
        <f>IFERROR(__xludf.DUMMYFUNCTION("GOOGLETRANSLATE($A1307,""en"",""ja"")"),"練習")</f>
        <v>練習</v>
      </c>
      <c r="I1307" s="9" t="str">
        <f>IFERROR(__xludf.DUMMYFUNCTION("GOOGLETRANSLATE($A1307,""en"",""ko"")"),"프라차티체")</f>
        <v>프라차티체</v>
      </c>
      <c r="J1307" s="9" t="str">
        <f>IFERROR(__xludf.DUMMYFUNCTION("GOOGLETRANSLATE($A1307,""en"",""pt-BR"")"),"Prachatice")</f>
        <v>Prachatice</v>
      </c>
    </row>
    <row r="1308">
      <c r="A1308" s="9" t="str">
        <f>IFERROR(__xludf.DUMMYFUNCTION("""COMPUTED_VALUE"""),"Praha 11")</f>
        <v>Praha 11</v>
      </c>
      <c r="B1308" s="9" t="str">
        <f>IFERROR(__xludf.DUMMYFUNCTION("""COMPUTED_VALUE"""),"cz-10b")</f>
        <v>cz-10b</v>
      </c>
      <c r="C1308" s="9" t="str">
        <f>IFERROR(__xludf.DUMMYFUNCTION("GOOGLETRANSLATE($A1308,""en"",""de"")"),"Prag 11")</f>
        <v>Prag 11</v>
      </c>
      <c r="D1308" s="9" t="str">
        <f>IFERROR(__xludf.DUMMYFUNCTION("GOOGLETRANSLATE($A1308,""en"",""fr"")"),"Prague 11")</f>
        <v>Prague 11</v>
      </c>
      <c r="E1308" s="9" t="str">
        <f>IFERROR(__xludf.DUMMYFUNCTION("GOOGLETRANSLATE($A1308,""en"",""es"")"),"Praga 11")</f>
        <v>Praga 11</v>
      </c>
      <c r="F1308" s="9" t="str">
        <f>IFERROR(__xludf.DUMMYFUNCTION("GOOGLETRANSLATE($A1308,""en"",""it"")"),"Praga 11")</f>
        <v>Praga 11</v>
      </c>
      <c r="G1308" s="9" t="str">
        <f>IFERROR(__xludf.DUMMYFUNCTION("GOOGLETRANSLATE($A1308,""en"",""zh-cn"")"),"布拉格 11 区")</f>
        <v>布拉格 11 区</v>
      </c>
      <c r="H1308" s="9" t="str">
        <f>IFERROR(__xludf.DUMMYFUNCTION("GOOGLETRANSLATE($A1308,""en"",""ja"")"),"プラハ 11")</f>
        <v>プラハ 11</v>
      </c>
      <c r="I1308" s="9" t="str">
        <f>IFERROR(__xludf.DUMMYFUNCTION("GOOGLETRANSLATE($A1308,""en"",""ko"")"),"프라하 11")</f>
        <v>프라하 11</v>
      </c>
      <c r="J1308" s="9" t="str">
        <f>IFERROR(__xludf.DUMMYFUNCTION("GOOGLETRANSLATE($A1308,""en"",""pt-BR"")"),"Praga 11")</f>
        <v>Praga 11</v>
      </c>
    </row>
    <row r="1309">
      <c r="A1309" s="9" t="str">
        <f>IFERROR(__xludf.DUMMYFUNCTION("""COMPUTED_VALUE"""),"Praha 12")</f>
        <v>Praha 12</v>
      </c>
      <c r="B1309" s="9" t="str">
        <f>IFERROR(__xludf.DUMMYFUNCTION("""COMPUTED_VALUE"""),"cz-10c")</f>
        <v>cz-10c</v>
      </c>
      <c r="C1309" s="9" t="str">
        <f>IFERROR(__xludf.DUMMYFUNCTION("GOOGLETRANSLATE($A1309,""en"",""de"")"),"Prag 12")</f>
        <v>Prag 12</v>
      </c>
      <c r="D1309" s="9" t="str">
        <f>IFERROR(__xludf.DUMMYFUNCTION("GOOGLETRANSLATE($A1309,""en"",""fr"")"),"Prague 12")</f>
        <v>Prague 12</v>
      </c>
      <c r="E1309" s="9" t="str">
        <f>IFERROR(__xludf.DUMMYFUNCTION("GOOGLETRANSLATE($A1309,""en"",""es"")"),"Praga 12")</f>
        <v>Praga 12</v>
      </c>
      <c r="F1309" s="9" t="str">
        <f>IFERROR(__xludf.DUMMYFUNCTION("GOOGLETRANSLATE($A1309,""en"",""it"")"),"Praga 12")</f>
        <v>Praga 12</v>
      </c>
      <c r="G1309" s="9" t="str">
        <f>IFERROR(__xludf.DUMMYFUNCTION("GOOGLETRANSLATE($A1309,""en"",""zh-cn"")"),"布拉格 12 区")</f>
        <v>布拉格 12 区</v>
      </c>
      <c r="H1309" s="9" t="str">
        <f>IFERROR(__xludf.DUMMYFUNCTION("GOOGLETRANSLATE($A1309,""en"",""ja"")"),"プラハ 12")</f>
        <v>プラハ 12</v>
      </c>
      <c r="I1309" s="9" t="str">
        <f>IFERROR(__xludf.DUMMYFUNCTION("GOOGLETRANSLATE($A1309,""en"",""ko"")"),"프라하 12")</f>
        <v>프라하 12</v>
      </c>
      <c r="J1309" s="9" t="str">
        <f>IFERROR(__xludf.DUMMYFUNCTION("GOOGLETRANSLATE($A1309,""en"",""pt-BR"")"),"Praga 12")</f>
        <v>Praga 12</v>
      </c>
    </row>
    <row r="1310">
      <c r="A1310" s="9" t="str">
        <f>IFERROR(__xludf.DUMMYFUNCTION("""COMPUTED_VALUE"""),"Praha 13")</f>
        <v>Praha 13</v>
      </c>
      <c r="B1310" s="9" t="str">
        <f>IFERROR(__xludf.DUMMYFUNCTION("""COMPUTED_VALUE"""),"cz-10d")</f>
        <v>cz-10d</v>
      </c>
      <c r="C1310" s="9" t="str">
        <f>IFERROR(__xludf.DUMMYFUNCTION("GOOGLETRANSLATE($A1310,""en"",""de"")"),"Prag 13")</f>
        <v>Prag 13</v>
      </c>
      <c r="D1310" s="9" t="str">
        <f>IFERROR(__xludf.DUMMYFUNCTION("GOOGLETRANSLATE($A1310,""en"",""fr"")"),"Prague 13")</f>
        <v>Prague 13</v>
      </c>
      <c r="E1310" s="9" t="str">
        <f>IFERROR(__xludf.DUMMYFUNCTION("GOOGLETRANSLATE($A1310,""en"",""es"")"),"Praga 13")</f>
        <v>Praga 13</v>
      </c>
      <c r="F1310" s="9" t="str">
        <f>IFERROR(__xludf.DUMMYFUNCTION("GOOGLETRANSLATE($A1310,""en"",""it"")"),"Praga 13")</f>
        <v>Praga 13</v>
      </c>
      <c r="G1310" s="9" t="str">
        <f>IFERROR(__xludf.DUMMYFUNCTION("GOOGLETRANSLATE($A1310,""en"",""zh-cn"")"),"布拉格 13 区")</f>
        <v>布拉格 13 区</v>
      </c>
      <c r="H1310" s="9" t="str">
        <f>IFERROR(__xludf.DUMMYFUNCTION("GOOGLETRANSLATE($A1310,""en"",""ja"")"),"プラハ 13")</f>
        <v>プラハ 13</v>
      </c>
      <c r="I1310" s="9" t="str">
        <f>IFERROR(__xludf.DUMMYFUNCTION("GOOGLETRANSLATE($A1310,""en"",""ko"")"),"프라하 13")</f>
        <v>프라하 13</v>
      </c>
      <c r="J1310" s="9" t="str">
        <f>IFERROR(__xludf.DUMMYFUNCTION("GOOGLETRANSLATE($A1310,""en"",""pt-BR"")"),"Praga 13")</f>
        <v>Praga 13</v>
      </c>
    </row>
    <row r="1311">
      <c r="A1311" s="9" t="str">
        <f>IFERROR(__xludf.DUMMYFUNCTION("""COMPUTED_VALUE"""),"Praha 14")</f>
        <v>Praha 14</v>
      </c>
      <c r="B1311" s="9" t="str">
        <f>IFERROR(__xludf.DUMMYFUNCTION("""COMPUTED_VALUE"""),"cz-10e")</f>
        <v>cz-10e</v>
      </c>
      <c r="C1311" s="9" t="str">
        <f>IFERROR(__xludf.DUMMYFUNCTION("GOOGLETRANSLATE($A1311,""en"",""de"")"),"Prag 14")</f>
        <v>Prag 14</v>
      </c>
      <c r="D1311" s="9" t="str">
        <f>IFERROR(__xludf.DUMMYFUNCTION("GOOGLETRANSLATE($A1311,""en"",""fr"")"),"Prague 14")</f>
        <v>Prague 14</v>
      </c>
      <c r="E1311" s="9" t="str">
        <f>IFERROR(__xludf.DUMMYFUNCTION("GOOGLETRANSLATE($A1311,""en"",""es"")"),"Praga 14")</f>
        <v>Praga 14</v>
      </c>
      <c r="F1311" s="9" t="str">
        <f>IFERROR(__xludf.DUMMYFUNCTION("GOOGLETRANSLATE($A1311,""en"",""it"")"),"Praga 14")</f>
        <v>Praga 14</v>
      </c>
      <c r="G1311" s="9" t="str">
        <f>IFERROR(__xludf.DUMMYFUNCTION("GOOGLETRANSLATE($A1311,""en"",""zh-cn"")"),"布拉格 14 号")</f>
        <v>布拉格 14 号</v>
      </c>
      <c r="H1311" s="9" t="str">
        <f>IFERROR(__xludf.DUMMYFUNCTION("GOOGLETRANSLATE($A1311,""en"",""ja"")"),"プラハ 14")</f>
        <v>プラハ 14</v>
      </c>
      <c r="I1311" s="9" t="str">
        <f>IFERROR(__xludf.DUMMYFUNCTION("GOOGLETRANSLATE($A1311,""en"",""ko"")"),"프라하 14")</f>
        <v>프라하 14</v>
      </c>
      <c r="J1311" s="9" t="str">
        <f>IFERROR(__xludf.DUMMYFUNCTION("GOOGLETRANSLATE($A1311,""en"",""pt-BR"")"),"Praga 14")</f>
        <v>Praga 14</v>
      </c>
    </row>
    <row r="1312">
      <c r="A1312" s="9" t="str">
        <f>IFERROR(__xludf.DUMMYFUNCTION("""COMPUTED_VALUE"""),"Uherské Hradiště")</f>
        <v>Uherské Hradiště</v>
      </c>
      <c r="B1312" s="9" t="str">
        <f>IFERROR(__xludf.DUMMYFUNCTION("""COMPUTED_VALUE"""),"cz-722")</f>
        <v>cz-722</v>
      </c>
      <c r="C1312" s="9" t="str">
        <f>IFERROR(__xludf.DUMMYFUNCTION("GOOGLETRANSLATE($A1312,""en"",""de"")"),"Uherské Hradiště")</f>
        <v>Uherské Hradiště</v>
      </c>
      <c r="D1312" s="9" t="str">
        <f>IFERROR(__xludf.DUMMYFUNCTION("GOOGLETRANSLATE($A1312,""en"",""fr"")"),"Uherské Hradiště")</f>
        <v>Uherské Hradiště</v>
      </c>
      <c r="E1312" s="9" t="str">
        <f>IFERROR(__xludf.DUMMYFUNCTION("GOOGLETRANSLATE($A1312,""en"",""es"")"),"Uherské Hradiště")</f>
        <v>Uherské Hradiště</v>
      </c>
      <c r="F1312" s="9" t="str">
        <f>IFERROR(__xludf.DUMMYFUNCTION("GOOGLETRANSLATE($A1312,""en"",""it"")"),"Uherské Hradiště")</f>
        <v>Uherské Hradiště</v>
      </c>
      <c r="G1312" s="9" t="str">
        <f>IFERROR(__xludf.DUMMYFUNCTION("GOOGLETRANSLATE($A1312,""en"",""zh-cn"")"),"乌赫尔堡")</f>
        <v>乌赫尔堡</v>
      </c>
      <c r="H1312" s="9" t="str">
        <f>IFERROR(__xludf.DUMMYFUNCTION("GOOGLETRANSLATE($A1312,""en"",""ja"")"),"ウヘルスケ・フラディシュチェ")</f>
        <v>ウヘルスケ・フラディシュチェ</v>
      </c>
      <c r="I1312" s="9" t="str">
        <f>IFERROR(__xludf.DUMMYFUNCTION("GOOGLETRANSLATE($A1312,""en"",""ko"")"),"우헤르스케 흐라디슈테")</f>
        <v>우헤르스케 흐라디슈테</v>
      </c>
      <c r="J1312" s="9" t="str">
        <f>IFERROR(__xludf.DUMMYFUNCTION("GOOGLETRANSLATE($A1312,""en"",""pt-BR"")"),"Uherské Hradište")</f>
        <v>Uherské Hradište</v>
      </c>
    </row>
    <row r="1313">
      <c r="A1313" s="9" t="str">
        <f>IFERROR(__xludf.DUMMYFUNCTION("""COMPUTED_VALUE"""),"Tachov")</f>
        <v>Tachov</v>
      </c>
      <c r="B1313" s="9" t="str">
        <f>IFERROR(__xludf.DUMMYFUNCTION("""COMPUTED_VALUE"""),"cz-327")</f>
        <v>cz-327</v>
      </c>
      <c r="C1313" s="9" t="str">
        <f>IFERROR(__xludf.DUMMYFUNCTION("GOOGLETRANSLATE($A1313,""en"",""de"")"),"Tachov")</f>
        <v>Tachov</v>
      </c>
      <c r="D1313" s="9" t="str">
        <f>IFERROR(__xludf.DUMMYFUNCTION("GOOGLETRANSLATE($A1313,""en"",""fr"")"),"Tachov")</f>
        <v>Tachov</v>
      </c>
      <c r="E1313" s="9" t="str">
        <f>IFERROR(__xludf.DUMMYFUNCTION("GOOGLETRANSLATE($A1313,""en"",""es"")"),"táchov")</f>
        <v>táchov</v>
      </c>
      <c r="F1313" s="9" t="str">
        <f>IFERROR(__xludf.DUMMYFUNCTION("GOOGLETRANSLATE($A1313,""en"",""it"")"),"Tachov")</f>
        <v>Tachov</v>
      </c>
      <c r="G1313" s="9" t="str">
        <f>IFERROR(__xludf.DUMMYFUNCTION("GOOGLETRANSLATE($A1313,""en"",""zh-cn"")"),"塔霍夫")</f>
        <v>塔霍夫</v>
      </c>
      <c r="H1313" s="9" t="str">
        <f>IFERROR(__xludf.DUMMYFUNCTION("GOOGLETRANSLATE($A1313,""en"",""ja"")"),"タホフ")</f>
        <v>タホフ</v>
      </c>
      <c r="I1313" s="9" t="str">
        <f>IFERROR(__xludf.DUMMYFUNCTION("GOOGLETRANSLATE($A1313,""en"",""ko"")"),"타호프")</f>
        <v>타호프</v>
      </c>
      <c r="J1313" s="9" t="str">
        <f>IFERROR(__xludf.DUMMYFUNCTION("GOOGLETRANSLATE($A1313,""en"",""pt-BR"")"),"Táchov")</f>
        <v>Táchov</v>
      </c>
    </row>
    <row r="1314">
      <c r="A1314" s="9" t="str">
        <f>IFERROR(__xludf.DUMMYFUNCTION("""COMPUTED_VALUE"""),"Teplice")</f>
        <v>Teplice</v>
      </c>
      <c r="B1314" s="9" t="str">
        <f>IFERROR(__xludf.DUMMYFUNCTION("""COMPUTED_VALUE"""),"cz-426")</f>
        <v>cz-426</v>
      </c>
      <c r="C1314" s="9" t="str">
        <f>IFERROR(__xludf.DUMMYFUNCTION("GOOGLETRANSLATE($A1314,""en"",""de"")"),"Teplice")</f>
        <v>Teplice</v>
      </c>
      <c r="D1314" s="9" t="str">
        <f>IFERROR(__xludf.DUMMYFUNCTION("GOOGLETRANSLATE($A1314,""en"",""fr"")"),"Téplice")</f>
        <v>Téplice</v>
      </c>
      <c r="E1314" s="9" t="str">
        <f>IFERROR(__xludf.DUMMYFUNCTION("GOOGLETRANSLATE($A1314,""en"",""es"")"),"Teplice")</f>
        <v>Teplice</v>
      </c>
      <c r="F1314" s="9" t="str">
        <f>IFERROR(__xludf.DUMMYFUNCTION("GOOGLETRANSLATE($A1314,""en"",""it"")"),"Teplice")</f>
        <v>Teplice</v>
      </c>
      <c r="G1314" s="9" t="str">
        <f>IFERROR(__xludf.DUMMYFUNCTION("GOOGLETRANSLATE($A1314,""en"",""zh-cn"")"),"特普利采")</f>
        <v>特普利采</v>
      </c>
      <c r="H1314" s="9" t="str">
        <f>IFERROR(__xludf.DUMMYFUNCTION("GOOGLETRANSLATE($A1314,""en"",""ja"")"),"テプリツェ")</f>
        <v>テプリツェ</v>
      </c>
      <c r="I1314" s="9" t="str">
        <f>IFERROR(__xludf.DUMMYFUNCTION("GOOGLETRANSLATE($A1314,""en"",""ko"")"),"테플리체")</f>
        <v>테플리체</v>
      </c>
      <c r="J1314" s="9" t="str">
        <f>IFERROR(__xludf.DUMMYFUNCTION("GOOGLETRANSLATE($A1314,""en"",""pt-BR"")"),"Teplice")</f>
        <v>Teplice</v>
      </c>
    </row>
    <row r="1315">
      <c r="A1315" s="9" t="str">
        <f>IFERROR(__xludf.DUMMYFUNCTION("""COMPUTED_VALUE"""),"Trutnov")</f>
        <v>Trutnov</v>
      </c>
      <c r="B1315" s="9" t="str">
        <f>IFERROR(__xludf.DUMMYFUNCTION("""COMPUTED_VALUE"""),"cz-525")</f>
        <v>cz-525</v>
      </c>
      <c r="C1315" s="9" t="str">
        <f>IFERROR(__xludf.DUMMYFUNCTION("GOOGLETRANSLATE($A1315,""en"",""de"")"),"Trutnow")</f>
        <v>Trutnow</v>
      </c>
      <c r="D1315" s="9" t="str">
        <f>IFERROR(__xludf.DUMMYFUNCTION("GOOGLETRANSLATE($A1315,""en"",""fr"")"),"Trutnov")</f>
        <v>Trutnov</v>
      </c>
      <c r="E1315" s="9" t="str">
        <f>IFERROR(__xludf.DUMMYFUNCTION("GOOGLETRANSLATE($A1315,""en"",""es"")"),"Trutnov")</f>
        <v>Trutnov</v>
      </c>
      <c r="F1315" s="9" t="str">
        <f>IFERROR(__xludf.DUMMYFUNCTION("GOOGLETRANSLATE($A1315,""en"",""it"")"),"Trutnov")</f>
        <v>Trutnov</v>
      </c>
      <c r="G1315" s="9" t="str">
        <f>IFERROR(__xludf.DUMMYFUNCTION("GOOGLETRANSLATE($A1315,""en"",""zh-cn"")"),"特鲁特诺夫")</f>
        <v>特鲁特诺夫</v>
      </c>
      <c r="H1315" s="9" t="str">
        <f>IFERROR(__xludf.DUMMYFUNCTION("GOOGLETRANSLATE($A1315,""en"",""ja"")"),"トルトノフ")</f>
        <v>トルトノフ</v>
      </c>
      <c r="I1315" s="9" t="str">
        <f>IFERROR(__xludf.DUMMYFUNCTION("GOOGLETRANSLATE($A1315,""en"",""ko"")"),"트루트노프")</f>
        <v>트루트노프</v>
      </c>
      <c r="J1315" s="9" t="str">
        <f>IFERROR(__xludf.DUMMYFUNCTION("GOOGLETRANSLATE($A1315,""en"",""pt-BR"")"),"Trutnov")</f>
        <v>Trutnov</v>
      </c>
    </row>
    <row r="1316">
      <c r="A1316" s="9" t="str">
        <f>IFERROR(__xludf.DUMMYFUNCTION("""COMPUTED_VALUE"""),"Třebíč (CZ-614)")</f>
        <v>Třebíč (CZ-614)</v>
      </c>
      <c r="B1316" s="9" t="str">
        <f>IFERROR(__xludf.DUMMYFUNCTION("""COMPUTED_VALUE"""),"cz-614")</f>
        <v>cz-614</v>
      </c>
      <c r="C1316" s="9" t="str">
        <f>IFERROR(__xludf.DUMMYFUNCTION("GOOGLETRANSLATE($A1316,""en"",""de"")"),"Třebíč (CZ-614)")</f>
        <v>Třebíč (CZ-614)</v>
      </c>
      <c r="D1316" s="9" t="str">
        <f>IFERROR(__xludf.DUMMYFUNCTION("GOOGLETRANSLATE($A1316,""en"",""fr"")"),"Třebíč (CZ-614)")</f>
        <v>Třebíč (CZ-614)</v>
      </c>
      <c r="E1316" s="9" t="str">
        <f>IFERROR(__xludf.DUMMYFUNCTION("GOOGLETRANSLATE($A1316,""en"",""es"")"),"Třebíč (CZ-614)")</f>
        <v>Třebíč (CZ-614)</v>
      </c>
      <c r="F1316" s="9" t="str">
        <f>IFERROR(__xludf.DUMMYFUNCTION("GOOGLETRANSLATE($A1316,""en"",""it"")"),"Třebíč (CZ-614)")</f>
        <v>Třebíč (CZ-614)</v>
      </c>
      <c r="G1316" s="9" t="str">
        <f>IFERROR(__xludf.DUMMYFUNCTION("GOOGLETRANSLATE($A1316,""en"",""zh-cn"")"),"特热比奇 (CZ-614)")</f>
        <v>特热比奇 (CZ-614)</v>
      </c>
      <c r="H1316" s="9" t="str">
        <f>IFERROR(__xludf.DUMMYFUNCTION("GOOGLETRANSLATE($A1316,""en"",""ja"")"),"トシェビッチ (CZ-614)")</f>
        <v>トシェビッチ (CZ-614)</v>
      </c>
      <c r="I1316" s="9" t="str">
        <f>IFERROR(__xludf.DUMMYFUNCTION("GOOGLETRANSLATE($A1316,""en"",""ko"")"),"트르제비치 (CZ-614)")</f>
        <v>트르제비치 (CZ-614)</v>
      </c>
      <c r="J1316" s="9" t="str">
        <f>IFERROR(__xludf.DUMMYFUNCTION("GOOGLETRANSLATE($A1316,""en"",""pt-BR"")"),"Třebíč (CZ-614)")</f>
        <v>Třebíč (CZ-614)</v>
      </c>
    </row>
    <row r="1317">
      <c r="A1317" s="9" t="str">
        <f>IFERROR(__xludf.DUMMYFUNCTION("""COMPUTED_VALUE"""),"Strakonice")</f>
        <v>Strakonice</v>
      </c>
      <c r="B1317" s="9" t="str">
        <f>IFERROR(__xludf.DUMMYFUNCTION("""COMPUTED_VALUE"""),"cz-316")</f>
        <v>cz-316</v>
      </c>
      <c r="C1317" s="9" t="str">
        <f>IFERROR(__xludf.DUMMYFUNCTION("GOOGLETRANSLATE($A1317,""en"",""de"")"),"Strakonice")</f>
        <v>Strakonice</v>
      </c>
      <c r="D1317" s="9" t="str">
        <f>IFERROR(__xludf.DUMMYFUNCTION("GOOGLETRANSLATE($A1317,""en"",""fr"")"),"Strakonice")</f>
        <v>Strakonice</v>
      </c>
      <c r="E1317" s="9" t="str">
        <f>IFERROR(__xludf.DUMMYFUNCTION("GOOGLETRANSLATE($A1317,""en"",""es"")"),"Strakonice")</f>
        <v>Strakonice</v>
      </c>
      <c r="F1317" s="9" t="str">
        <f>IFERROR(__xludf.DUMMYFUNCTION("GOOGLETRANSLATE($A1317,""en"",""it"")"),"Strakonice")</f>
        <v>Strakonice</v>
      </c>
      <c r="G1317" s="9" t="str">
        <f>IFERROR(__xludf.DUMMYFUNCTION("GOOGLETRANSLATE($A1317,""en"",""zh-cn"")"),"斯特拉科尼采")</f>
        <v>斯特拉科尼采</v>
      </c>
      <c r="H1317" s="9" t="str">
        <f>IFERROR(__xludf.DUMMYFUNCTION("GOOGLETRANSLATE($A1317,""en"",""ja"")"),"ストラコニツェ")</f>
        <v>ストラコニツェ</v>
      </c>
      <c r="I1317" s="9" t="str">
        <f>IFERROR(__xludf.DUMMYFUNCTION("GOOGLETRANSLATE($A1317,""en"",""ko"")"),"스트라코니체")</f>
        <v>스트라코니체</v>
      </c>
      <c r="J1317" s="9" t="str">
        <f>IFERROR(__xludf.DUMMYFUNCTION("GOOGLETRANSLATE($A1317,""en"",""pt-BR"")"),"Strakonice")</f>
        <v>Strakonice</v>
      </c>
    </row>
    <row r="1318">
      <c r="A1318" s="9" t="str">
        <f>IFERROR(__xludf.DUMMYFUNCTION("""COMPUTED_VALUE"""),"Svitavy")</f>
        <v>Svitavy</v>
      </c>
      <c r="B1318" s="9" t="str">
        <f>IFERROR(__xludf.DUMMYFUNCTION("""COMPUTED_VALUE"""),"cz-533")</f>
        <v>cz-533</v>
      </c>
      <c r="C1318" s="9" t="str">
        <f>IFERROR(__xludf.DUMMYFUNCTION("GOOGLETRANSLATE($A1318,""en"",""de"")"),"Zwittau")</f>
        <v>Zwittau</v>
      </c>
      <c r="D1318" s="9" t="str">
        <f>IFERROR(__xludf.DUMMYFUNCTION("GOOGLETRANSLATE($A1318,""en"",""fr"")"),"Svitavy")</f>
        <v>Svitavy</v>
      </c>
      <c r="E1318" s="9" t="str">
        <f>IFERROR(__xludf.DUMMYFUNCTION("GOOGLETRANSLATE($A1318,""en"",""es"")"),"Svitavy")</f>
        <v>Svitavy</v>
      </c>
      <c r="F1318" s="9" t="str">
        <f>IFERROR(__xludf.DUMMYFUNCTION("GOOGLETRANSLATE($A1318,""en"",""it"")"),"Svitavy")</f>
        <v>Svitavy</v>
      </c>
      <c r="G1318" s="9" t="str">
        <f>IFERROR(__xludf.DUMMYFUNCTION("GOOGLETRANSLATE($A1318,""en"",""zh-cn"")"),"斯维塔维")</f>
        <v>斯维塔维</v>
      </c>
      <c r="H1318" s="9" t="str">
        <f>IFERROR(__xludf.DUMMYFUNCTION("GOOGLETRANSLATE($A1318,""en"",""ja"")"),"スヴィタヴィ")</f>
        <v>スヴィタヴィ</v>
      </c>
      <c r="I1318" s="9" t="str">
        <f>IFERROR(__xludf.DUMMYFUNCTION("GOOGLETRANSLATE($A1318,""en"",""ko"")"),"스비타비")</f>
        <v>스비타비</v>
      </c>
      <c r="J1318" s="9" t="str">
        <f>IFERROR(__xludf.DUMMYFUNCTION("GOOGLETRANSLATE($A1318,""en"",""pt-BR"")"),"Svitavy")</f>
        <v>Svitavy</v>
      </c>
    </row>
    <row r="1319">
      <c r="A1319" s="9" t="str">
        <f>IFERROR(__xludf.DUMMYFUNCTION("""COMPUTED_VALUE"""),"Šumperk")</f>
        <v>Šumperk</v>
      </c>
      <c r="B1319" s="9" t="str">
        <f>IFERROR(__xludf.DUMMYFUNCTION("""COMPUTED_VALUE"""),"cz-715")</f>
        <v>cz-715</v>
      </c>
      <c r="C1319" s="9" t="str">
        <f>IFERROR(__xludf.DUMMYFUNCTION("GOOGLETRANSLATE($A1319,""en"",""de"")"),"Šumperk")</f>
        <v>Šumperk</v>
      </c>
      <c r="D1319" s="9" t="str">
        <f>IFERROR(__xludf.DUMMYFUNCTION("GOOGLETRANSLATE($A1319,""en"",""fr"")"),"Šumperk")</f>
        <v>Šumperk</v>
      </c>
      <c r="E1319" s="9" t="str">
        <f>IFERROR(__xludf.DUMMYFUNCTION("GOOGLETRANSLATE($A1319,""en"",""es"")"),"Šumperk")</f>
        <v>Šumperk</v>
      </c>
      <c r="F1319" s="9" t="str">
        <f>IFERROR(__xludf.DUMMYFUNCTION("GOOGLETRANSLATE($A1319,""en"",""it"")"),"Šumperk")</f>
        <v>Šumperk</v>
      </c>
      <c r="G1319" s="9" t="str">
        <f>IFERROR(__xludf.DUMMYFUNCTION("GOOGLETRANSLATE($A1319,""en"",""zh-cn"")"),"顺佩尔克")</f>
        <v>顺佩尔克</v>
      </c>
      <c r="H1319" s="9" t="str">
        <f>IFERROR(__xludf.DUMMYFUNCTION("GOOGLETRANSLATE($A1319,""en"",""ja"")"),"シュンペルク")</f>
        <v>シュンペルク</v>
      </c>
      <c r="I1319" s="9" t="str">
        <f>IFERROR(__xludf.DUMMYFUNCTION("GOOGLETRANSLATE($A1319,""en"",""ko"")"),"슘페르크")</f>
        <v>슘페르크</v>
      </c>
      <c r="J1319" s="9" t="str">
        <f>IFERROR(__xludf.DUMMYFUNCTION("GOOGLETRANSLATE($A1319,""en"",""pt-BR"")"),"Šumperk")</f>
        <v>Šumperk</v>
      </c>
    </row>
    <row r="1320">
      <c r="A1320" s="9" t="str">
        <f>IFERROR(__xludf.DUMMYFUNCTION("""COMPUTED_VALUE"""),"Tábor (Czech Republic)")</f>
        <v>Tábor (Czech Republic)</v>
      </c>
      <c r="B1320" s="9" t="str">
        <f>IFERROR(__xludf.DUMMYFUNCTION("""COMPUTED_VALUE"""),"cz-317")</f>
        <v>cz-317</v>
      </c>
      <c r="C1320" s="9" t="str">
        <f>IFERROR(__xludf.DUMMYFUNCTION("GOOGLETRANSLATE($A1320,""en"",""de"")"),"Tábor (Tschechische Republik)")</f>
        <v>Tábor (Tschechische Republik)</v>
      </c>
      <c r="D1320" s="9" t="str">
        <f>IFERROR(__xludf.DUMMYFUNCTION("GOOGLETRANSLATE($A1320,""en"",""fr"")"),"Tabor (République tchèque)")</f>
        <v>Tabor (République tchèque)</v>
      </c>
      <c r="E1320" s="9" t="str">
        <f>IFERROR(__xludf.DUMMYFUNCTION("GOOGLETRANSLATE($A1320,""en"",""es"")"),"Tábor (República Checa)")</f>
        <v>Tábor (República Checa)</v>
      </c>
      <c r="F1320" s="9" t="str">
        <f>IFERROR(__xludf.DUMMYFUNCTION("GOOGLETRANSLATE($A1320,""en"",""it"")"),"Tábor (Repubblica Ceca)")</f>
        <v>Tábor (Repubblica Ceca)</v>
      </c>
      <c r="G1320" s="9" t="str">
        <f>IFERROR(__xludf.DUMMYFUNCTION("GOOGLETRANSLATE($A1320,""en"",""zh-cn"")"),"塔博尔（捷克共和国）")</f>
        <v>塔博尔（捷克共和国）</v>
      </c>
      <c r="H1320" s="9" t="str">
        <f>IFERROR(__xludf.DUMMYFUNCTION("GOOGLETRANSLATE($A1320,""en"",""ja"")"),"ターボル (チェコ共和国)")</f>
        <v>ターボル (チェコ共和国)</v>
      </c>
      <c r="I1320" s="9" t="str">
        <f>IFERROR(__xludf.DUMMYFUNCTION("GOOGLETRANSLATE($A1320,""en"",""ko"")"),"타보르어(체코 공화국)")</f>
        <v>타보르어(체코 공화국)</v>
      </c>
      <c r="J1320" s="9" t="str">
        <f>IFERROR(__xludf.DUMMYFUNCTION("GOOGLETRANSLATE($A1320,""en"",""pt-BR"")"),"Tábor (República Tcheca)")</f>
        <v>Tábor (República Tcheca)</v>
      </c>
    </row>
    <row r="1321">
      <c r="A1321" s="9" t="str">
        <f>IFERROR(__xludf.DUMMYFUNCTION("""COMPUTED_VALUE"""),"Chomutov")</f>
        <v>Chomutov</v>
      </c>
      <c r="B1321" s="9" t="str">
        <f>IFERROR(__xludf.DUMMYFUNCTION("""COMPUTED_VALUE"""),"cz-422")</f>
        <v>cz-422</v>
      </c>
      <c r="C1321" s="9" t="str">
        <f>IFERROR(__xludf.DUMMYFUNCTION("GOOGLETRANSLATE($A1321,""en"",""de"")"),"Chomutow")</f>
        <v>Chomutow</v>
      </c>
      <c r="D1321" s="9" t="str">
        <f>IFERROR(__xludf.DUMMYFUNCTION("GOOGLETRANSLATE($A1321,""en"",""fr"")"),"Chomutov")</f>
        <v>Chomutov</v>
      </c>
      <c r="E1321" s="9" t="str">
        <f>IFERROR(__xludf.DUMMYFUNCTION("GOOGLETRANSLATE($A1321,""en"",""es"")"),"Chomutov")</f>
        <v>Chomutov</v>
      </c>
      <c r="F1321" s="9" t="str">
        <f>IFERROR(__xludf.DUMMYFUNCTION("GOOGLETRANSLATE($A1321,""en"",""it"")"),"Chomutov")</f>
        <v>Chomutov</v>
      </c>
      <c r="G1321" s="9" t="str">
        <f>IFERROR(__xludf.DUMMYFUNCTION("GOOGLETRANSLATE($A1321,""en"",""zh-cn"")"),"霍穆托夫")</f>
        <v>霍穆托夫</v>
      </c>
      <c r="H1321" s="9" t="str">
        <f>IFERROR(__xludf.DUMMYFUNCTION("GOOGLETRANSLATE($A1321,""en"",""ja"")"),"ホムトフ")</f>
        <v>ホムトフ</v>
      </c>
      <c r="I1321" s="9" t="str">
        <f>IFERROR(__xludf.DUMMYFUNCTION("GOOGLETRANSLATE($A1321,""en"",""ko"")"),"호무토프")</f>
        <v>호무토프</v>
      </c>
      <c r="J1321" s="9" t="str">
        <f>IFERROR(__xludf.DUMMYFUNCTION("GOOGLETRANSLATE($A1321,""en"",""pt-BR"")"),"Chomutov")</f>
        <v>Chomutov</v>
      </c>
    </row>
    <row r="1322">
      <c r="A1322" s="9" t="str">
        <f>IFERROR(__xludf.DUMMYFUNCTION("""COMPUTED_VALUE"""),"Chrudim")</f>
        <v>Chrudim</v>
      </c>
      <c r="B1322" s="9" t="str">
        <f>IFERROR(__xludf.DUMMYFUNCTION("""COMPUTED_VALUE"""),"cz-531")</f>
        <v>cz-531</v>
      </c>
      <c r="C1322" s="9" t="str">
        <f>IFERROR(__xludf.DUMMYFUNCTION("GOOGLETRANSLATE($A1322,""en"",""de"")"),"Chrudim")</f>
        <v>Chrudim</v>
      </c>
      <c r="D1322" s="9" t="str">
        <f>IFERROR(__xludf.DUMMYFUNCTION("GOOGLETRANSLATE($A1322,""en"",""fr"")"),"Chrudim")</f>
        <v>Chrudim</v>
      </c>
      <c r="E1322" s="9" t="str">
        <f>IFERROR(__xludf.DUMMYFUNCTION("GOOGLETRANSLATE($A1322,""en"",""es"")"),"Chrudim")</f>
        <v>Chrudim</v>
      </c>
      <c r="F1322" s="9" t="str">
        <f>IFERROR(__xludf.DUMMYFUNCTION("GOOGLETRANSLATE($A1322,""en"",""it"")"),"Chrudim")</f>
        <v>Chrudim</v>
      </c>
      <c r="G1322" s="9" t="str">
        <f>IFERROR(__xludf.DUMMYFUNCTION("GOOGLETRANSLATE($A1322,""en"",""zh-cn"")"),"赫鲁丁")</f>
        <v>赫鲁丁</v>
      </c>
      <c r="H1322" s="9" t="str">
        <f>IFERROR(__xludf.DUMMYFUNCTION("GOOGLETRANSLATE($A1322,""en"",""ja"")"),"フルディム")</f>
        <v>フルディム</v>
      </c>
      <c r="I1322" s="9" t="str">
        <f>IFERROR(__xludf.DUMMYFUNCTION("GOOGLETRANSLATE($A1322,""en"",""ko"")"),"크루딤")</f>
        <v>크루딤</v>
      </c>
      <c r="J1322" s="9" t="str">
        <f>IFERROR(__xludf.DUMMYFUNCTION("GOOGLETRANSLATE($A1322,""en"",""pt-BR"")"),"Chrudim")</f>
        <v>Chrudim</v>
      </c>
    </row>
    <row r="1323">
      <c r="A1323" s="9" t="str">
        <f>IFERROR(__xludf.DUMMYFUNCTION("""COMPUTED_VALUE"""),"Jablonec nad Nisou")</f>
        <v>Jablonec nad Nisou</v>
      </c>
      <c r="B1323" s="9" t="str">
        <f>IFERROR(__xludf.DUMMYFUNCTION("""COMPUTED_VALUE"""),"cz-512")</f>
        <v>cz-512</v>
      </c>
      <c r="C1323" s="9" t="str">
        <f>IFERROR(__xludf.DUMMYFUNCTION("GOOGLETRANSLATE($A1323,""en"",""de"")"),"Jablonec nad Nisou")</f>
        <v>Jablonec nad Nisou</v>
      </c>
      <c r="D1323" s="9" t="str">
        <f>IFERROR(__xludf.DUMMYFUNCTION("GOOGLETRANSLATE($A1323,""en"",""fr"")"),"Jablonec nad Nisou")</f>
        <v>Jablonec nad Nisou</v>
      </c>
      <c r="E1323" s="9" t="str">
        <f>IFERROR(__xludf.DUMMYFUNCTION("GOOGLETRANSLATE($A1323,""en"",""es"")"),"Jablonec nad Nisou")</f>
        <v>Jablonec nad Nisou</v>
      </c>
      <c r="F1323" s="9" t="str">
        <f>IFERROR(__xludf.DUMMYFUNCTION("GOOGLETRANSLATE($A1323,""en"",""it"")"),"Jablonec nad Nisou")</f>
        <v>Jablonec nad Nisou</v>
      </c>
      <c r="G1323" s="9" t="str">
        <f>IFERROR(__xludf.DUMMYFUNCTION("GOOGLETRANSLATE($A1323,""en"",""zh-cn"")"),"尼苏河畔亚布洛内茨")</f>
        <v>尼苏河畔亚布洛内茨</v>
      </c>
      <c r="H1323" s="9" t="str">
        <f>IFERROR(__xludf.DUMMYFUNCTION("GOOGLETRANSLATE($A1323,""en"",""ja"")"),"ヤブロネツ・ナド・ニソウ")</f>
        <v>ヤブロネツ・ナド・ニソウ</v>
      </c>
      <c r="I1323" s="9" t="str">
        <f>IFERROR(__xludf.DUMMYFUNCTION("GOOGLETRANSLATE($A1323,""en"",""ko"")"),"야블로네크 나트 니소우")</f>
        <v>야블로네크 나트 니소우</v>
      </c>
      <c r="J1323" s="9" t="str">
        <f>IFERROR(__xludf.DUMMYFUNCTION("GOOGLETRANSLATE($A1323,""en"",""pt-BR"")"),"Jablonec nad Nisou")</f>
        <v>Jablonec nad Nisou</v>
      </c>
    </row>
    <row r="1324">
      <c r="A1324" s="9" t="str">
        <f>IFERROR(__xludf.DUMMYFUNCTION("""COMPUTED_VALUE"""),"Jeseník")</f>
        <v>Jeseník</v>
      </c>
      <c r="B1324" s="9" t="str">
        <f>IFERROR(__xludf.DUMMYFUNCTION("""COMPUTED_VALUE"""),"cz-711")</f>
        <v>cz-711</v>
      </c>
      <c r="C1324" s="9" t="str">
        <f>IFERROR(__xludf.DUMMYFUNCTION("GOOGLETRANSLATE($A1324,""en"",""de"")"),"Jeseník")</f>
        <v>Jeseník</v>
      </c>
      <c r="D1324" s="9" t="str">
        <f>IFERROR(__xludf.DUMMYFUNCTION("GOOGLETRANSLATE($A1324,""en"",""fr"")"),"Jesenik")</f>
        <v>Jesenik</v>
      </c>
      <c r="E1324" s="9" t="str">
        <f>IFERROR(__xludf.DUMMYFUNCTION("GOOGLETRANSLATE($A1324,""en"",""es"")"),"Jeseník")</f>
        <v>Jeseník</v>
      </c>
      <c r="F1324" s="9" t="str">
        <f>IFERROR(__xludf.DUMMYFUNCTION("GOOGLETRANSLATE($A1324,""en"",""it"")"),"Jeseník")</f>
        <v>Jeseník</v>
      </c>
      <c r="G1324" s="9" t="str">
        <f>IFERROR(__xludf.DUMMYFUNCTION("GOOGLETRANSLATE($A1324,""en"",""zh-cn"")"),"耶塞尼克")</f>
        <v>耶塞尼克</v>
      </c>
      <c r="H1324" s="9" t="str">
        <f>IFERROR(__xludf.DUMMYFUNCTION("GOOGLETRANSLATE($A1324,""en"",""ja"")"),"ジェセニク")</f>
        <v>ジェセニク</v>
      </c>
      <c r="I1324" s="9" t="str">
        <f>IFERROR(__xludf.DUMMYFUNCTION("GOOGLETRANSLATE($A1324,""en"",""ko"")"),"예세니크")</f>
        <v>예세니크</v>
      </c>
      <c r="J1324" s="9" t="str">
        <f>IFERROR(__xludf.DUMMYFUNCTION("GOOGLETRANSLATE($A1324,""en"",""pt-BR"")"),"Jeseník")</f>
        <v>Jeseník</v>
      </c>
    </row>
    <row r="1325">
      <c r="A1325" s="9" t="str">
        <f>IFERROR(__xludf.DUMMYFUNCTION("""COMPUTED_VALUE"""),"Havlíčkův Brod (CZ-611)")</f>
        <v>Havlíčkův Brod (CZ-611)</v>
      </c>
      <c r="B1325" s="9" t="str">
        <f>IFERROR(__xludf.DUMMYFUNCTION("""COMPUTED_VALUE"""),"cz-611")</f>
        <v>cz-611</v>
      </c>
      <c r="C1325" s="9" t="str">
        <f>IFERROR(__xludf.DUMMYFUNCTION("GOOGLETRANSLATE($A1325,""en"",""de"")"),"Havlíčkův Brod (CZ-611)")</f>
        <v>Havlíčkův Brod (CZ-611)</v>
      </c>
      <c r="D1325" s="9" t="str">
        <f>IFERROR(__xludf.DUMMYFUNCTION("GOOGLETRANSLATE($A1325,""en"",""fr"")"),"Havlíčkův Brod (CZ-611)")</f>
        <v>Havlíčkův Brod (CZ-611)</v>
      </c>
      <c r="E1325" s="9" t="str">
        <f>IFERROR(__xludf.DUMMYFUNCTION("GOOGLETRANSLATE($A1325,""en"",""es"")"),"Havlíčkův Brod (CZ-611)")</f>
        <v>Havlíčkův Brod (CZ-611)</v>
      </c>
      <c r="F1325" s="9" t="str">
        <f>IFERROR(__xludf.DUMMYFUNCTION("GOOGLETRANSLATE($A1325,""en"",""it"")"),"Havlíčkův Brod (CZ-611)")</f>
        <v>Havlíčkův Brod (CZ-611)</v>
      </c>
      <c r="G1325" s="9" t="str">
        <f>IFERROR(__xludf.DUMMYFUNCTION("GOOGLETRANSLATE($A1325,""en"",""zh-cn"")"),"哈夫利克布罗德 (CZ-611)")</f>
        <v>哈夫利克布罗德 (CZ-611)</v>
      </c>
      <c r="H1325" s="9" t="str">
        <f>IFERROR(__xludf.DUMMYFUNCTION("GOOGLETRANSLATE($A1325,""en"",""ja"")"),"ハヴリークフ・ブロト (CZ-611)")</f>
        <v>ハヴリークフ・ブロト (CZ-611)</v>
      </c>
      <c r="I1325" s="9" t="str">
        <f>IFERROR(__xludf.DUMMYFUNCTION("GOOGLETRANSLATE($A1325,""en"",""ko"")"),"하블리츠쿠프 브로드 (CZ-611)")</f>
        <v>하블리츠쿠프 브로드 (CZ-611)</v>
      </c>
      <c r="J1325" s="9" t="str">
        <f>IFERROR(__xludf.DUMMYFUNCTION("GOOGLETRANSLATE($A1325,""en"",""pt-BR"")"),"Havlíčkův Brod (CZ-611)")</f>
        <v>Havlíčkův Brod (CZ-611)</v>
      </c>
    </row>
    <row r="1326">
      <c r="A1326" s="9" t="str">
        <f>IFERROR(__xludf.DUMMYFUNCTION("""COMPUTED_VALUE"""),"Hodonín (CZ-625)")</f>
        <v>Hodonín (CZ-625)</v>
      </c>
      <c r="B1326" s="9" t="str">
        <f>IFERROR(__xludf.DUMMYFUNCTION("""COMPUTED_VALUE"""),"cz-625")</f>
        <v>cz-625</v>
      </c>
      <c r="C1326" s="9" t="str">
        <f>IFERROR(__xludf.DUMMYFUNCTION("GOOGLETRANSLATE($A1326,""en"",""de"")"),"Hodonín (CZ-625)")</f>
        <v>Hodonín (CZ-625)</v>
      </c>
      <c r="D1326" s="9" t="str">
        <f>IFERROR(__xludf.DUMMYFUNCTION("GOOGLETRANSLATE($A1326,""en"",""fr"")"),"Hodonín (CZ-625)")</f>
        <v>Hodonín (CZ-625)</v>
      </c>
      <c r="E1326" s="9" t="str">
        <f>IFERROR(__xludf.DUMMYFUNCTION("GOOGLETRANSLATE($A1326,""en"",""es"")"),"Hodonín (CZ-625)")</f>
        <v>Hodonín (CZ-625)</v>
      </c>
      <c r="F1326" s="9" t="str">
        <f>IFERROR(__xludf.DUMMYFUNCTION("GOOGLETRANSLATE($A1326,""en"",""it"")"),"Hodonín (CZ-625)")</f>
        <v>Hodonín (CZ-625)</v>
      </c>
      <c r="G1326" s="9" t="str">
        <f>IFERROR(__xludf.DUMMYFUNCTION("GOOGLETRANSLATE($A1326,""en"",""zh-cn"")"),"霍多宁 (CZ-625)")</f>
        <v>霍多宁 (CZ-625)</v>
      </c>
      <c r="H1326" s="9" t="str">
        <f>IFERROR(__xludf.DUMMYFUNCTION("GOOGLETRANSLATE($A1326,""en"",""ja"")"),"ホドニン (CZ-625)")</f>
        <v>ホドニン (CZ-625)</v>
      </c>
      <c r="I1326" s="9" t="str">
        <f>IFERROR(__xludf.DUMMYFUNCTION("GOOGLETRANSLATE($A1326,""en"",""ko"")"),"호도닌 (CZ-625)")</f>
        <v>호도닌 (CZ-625)</v>
      </c>
      <c r="J1326" s="9" t="str">
        <f>IFERROR(__xludf.DUMMYFUNCTION("GOOGLETRANSLATE($A1326,""en"",""pt-BR"")"),"Hodonín (CZ-625)")</f>
        <v>Hodonín (CZ-625)</v>
      </c>
    </row>
    <row r="1327">
      <c r="A1327" s="9" t="str">
        <f>IFERROR(__xludf.DUMMYFUNCTION("""COMPUTED_VALUE"""),"Hradec Králové")</f>
        <v>Hradec Králové</v>
      </c>
      <c r="B1327" s="9" t="str">
        <f>IFERROR(__xludf.DUMMYFUNCTION("""COMPUTED_VALUE"""),"cz-521")</f>
        <v>cz-521</v>
      </c>
      <c r="C1327" s="9" t="str">
        <f>IFERROR(__xludf.DUMMYFUNCTION("GOOGLETRANSLATE($A1327,""en"",""de"")"),"Hradec Králové")</f>
        <v>Hradec Králové</v>
      </c>
      <c r="D1327" s="9" t="str">
        <f>IFERROR(__xludf.DUMMYFUNCTION("GOOGLETRANSLATE($A1327,""en"",""fr"")"),"Hradec Kralové")</f>
        <v>Hradec Kralové</v>
      </c>
      <c r="E1327" s="9" t="str">
        <f>IFERROR(__xludf.DUMMYFUNCTION("GOOGLETRANSLATE($A1327,""en"",""es"")"),"Hradec Králové")</f>
        <v>Hradec Králové</v>
      </c>
      <c r="F1327" s="9" t="str">
        <f>IFERROR(__xludf.DUMMYFUNCTION("GOOGLETRANSLATE($A1327,""en"",""it"")"),"Hradec Kralové")</f>
        <v>Hradec Kralové</v>
      </c>
      <c r="G1327" s="9" t="str">
        <f>IFERROR(__xludf.DUMMYFUNCTION("GOOGLETRANSLATE($A1327,""en"",""zh-cn"")"),"赫拉德茨·克拉洛韦")</f>
        <v>赫拉德茨·克拉洛韦</v>
      </c>
      <c r="H1327" s="9" t="str">
        <f>IFERROR(__xludf.DUMMYFUNCTION("GOOGLETRANSLATE($A1327,""en"",""ja"")"),"フラデツ・クラーロヴェ")</f>
        <v>フラデツ・クラーロヴェ</v>
      </c>
      <c r="I1327" s="9" t="str">
        <f>IFERROR(__xludf.DUMMYFUNCTION("GOOGLETRANSLATE($A1327,""en"",""ko"")"),"흐라데츠 크랄로베")</f>
        <v>흐라데츠 크랄로베</v>
      </c>
      <c r="J1327" s="9" t="str">
        <f>IFERROR(__xludf.DUMMYFUNCTION("GOOGLETRANSLATE($A1327,""en"",""pt-BR"")"),"Hradec Králové")</f>
        <v>Hradec Králové</v>
      </c>
    </row>
    <row r="1328">
      <c r="A1328" s="9" t="str">
        <f>IFERROR(__xludf.DUMMYFUNCTION("""COMPUTED_VALUE"""),"Cheb")</f>
        <v>Cheb</v>
      </c>
      <c r="B1328" s="9" t="str">
        <f>IFERROR(__xludf.DUMMYFUNCTION("""COMPUTED_VALUE"""),"cz-411")</f>
        <v>cz-411</v>
      </c>
      <c r="C1328" s="9" t="str">
        <f>IFERROR(__xludf.DUMMYFUNCTION("GOOGLETRANSLATE($A1328,""en"",""de"")"),"Eger")</f>
        <v>Eger</v>
      </c>
      <c r="D1328" s="9" t="str">
        <f>IFERROR(__xludf.DUMMYFUNCTION("GOOGLETRANSLATE($A1328,""en"",""fr"")"),"Cheb")</f>
        <v>Cheb</v>
      </c>
      <c r="E1328" s="9" t="str">
        <f>IFERROR(__xludf.DUMMYFUNCTION("GOOGLETRANSLATE($A1328,""en"",""es"")"),"cheb")</f>
        <v>cheb</v>
      </c>
      <c r="F1328" s="9" t="str">
        <f>IFERROR(__xludf.DUMMYFUNCTION("GOOGLETRANSLATE($A1328,""en"",""it"")"),"Cheb")</f>
        <v>Cheb</v>
      </c>
      <c r="G1328" s="9" t="str">
        <f>IFERROR(__xludf.DUMMYFUNCTION("GOOGLETRANSLATE($A1328,""en"",""zh-cn"")"),"切布")</f>
        <v>切布</v>
      </c>
      <c r="H1328" s="9" t="str">
        <f>IFERROR(__xludf.DUMMYFUNCTION("GOOGLETRANSLATE($A1328,""en"",""ja"")"),"チェブ")</f>
        <v>チェブ</v>
      </c>
      <c r="I1328" s="9" t="str">
        <f>IFERROR(__xludf.DUMMYFUNCTION("GOOGLETRANSLATE($A1328,""en"",""ko"")"),"체브")</f>
        <v>체브</v>
      </c>
      <c r="J1328" s="9" t="str">
        <f>IFERROR(__xludf.DUMMYFUNCTION("GOOGLETRANSLATE($A1328,""en"",""pt-BR"")"),"Cheb")</f>
        <v>Cheb</v>
      </c>
    </row>
    <row r="1329">
      <c r="A1329" s="9" t="str">
        <f>IFERROR(__xludf.DUMMYFUNCTION("""COMPUTED_VALUE"""),"Český Krumlov")</f>
        <v>Český Krumlov</v>
      </c>
      <c r="B1329" s="9" t="str">
        <f>IFERROR(__xludf.DUMMYFUNCTION("""COMPUTED_VALUE"""),"cz-312")</f>
        <v>cz-312</v>
      </c>
      <c r="C1329" s="9" t="str">
        <f>IFERROR(__xludf.DUMMYFUNCTION("GOOGLETRANSLATE($A1329,""en"",""de"")"),"Český Krumlov")</f>
        <v>Český Krumlov</v>
      </c>
      <c r="D1329" s="9" t="str">
        <f>IFERROR(__xludf.DUMMYFUNCTION("GOOGLETRANSLATE($A1329,""en"",""fr"")"),"Cesky Krumlov")</f>
        <v>Cesky Krumlov</v>
      </c>
      <c r="E1329" s="9" t="str">
        <f>IFERROR(__xludf.DUMMYFUNCTION("GOOGLETRANSLATE($A1329,""en"",""es"")"),"Český Krumlov")</f>
        <v>Český Krumlov</v>
      </c>
      <c r="F1329" s="9" t="str">
        <f>IFERROR(__xludf.DUMMYFUNCTION("GOOGLETRANSLATE($A1329,""en"",""it"")"),"Český Krumlov")</f>
        <v>Český Krumlov</v>
      </c>
      <c r="G1329" s="9" t="str">
        <f>IFERROR(__xludf.DUMMYFUNCTION("GOOGLETRANSLATE($A1329,""en"",""zh-cn"")"),"捷克克鲁姆洛夫")</f>
        <v>捷克克鲁姆洛夫</v>
      </c>
      <c r="H1329" s="9" t="str">
        <f>IFERROR(__xludf.DUMMYFUNCTION("GOOGLETRANSLATE($A1329,""en"",""ja"")"),"チェスキー クルムロフ")</f>
        <v>チェスキー クルムロフ</v>
      </c>
      <c r="I1329" s="9" t="str">
        <f>IFERROR(__xludf.DUMMYFUNCTION("GOOGLETRANSLATE($A1329,""en"",""ko"")"),"체스키 크룸로프")</f>
        <v>체스키 크룸로프</v>
      </c>
      <c r="J1329" s="9" t="str">
        <f>IFERROR(__xludf.DUMMYFUNCTION("GOOGLETRANSLATE($A1329,""en"",""pt-BR"")"),"Cesky Krumlov")</f>
        <v>Cesky Krumlov</v>
      </c>
    </row>
    <row r="1330">
      <c r="A1330" s="9" t="str">
        <f>IFERROR(__xludf.DUMMYFUNCTION("""COMPUTED_VALUE"""),"Děčín")</f>
        <v>Děčín</v>
      </c>
      <c r="B1330" s="9" t="str">
        <f>IFERROR(__xludf.DUMMYFUNCTION("""COMPUTED_VALUE"""),"cz-421")</f>
        <v>cz-421</v>
      </c>
      <c r="C1330" s="9" t="str">
        <f>IFERROR(__xludf.DUMMYFUNCTION("GOOGLETRANSLATE($A1330,""en"",""de"")"),"Děčín")</f>
        <v>Děčín</v>
      </c>
      <c r="D1330" s="9" t="str">
        <f>IFERROR(__xludf.DUMMYFUNCTION("GOOGLETRANSLATE($A1330,""en"",""fr"")"),"Děčín")</f>
        <v>Děčín</v>
      </c>
      <c r="E1330" s="9" t="str">
        <f>IFERROR(__xludf.DUMMYFUNCTION("GOOGLETRANSLATE($A1330,""en"",""es"")"),"Dečín")</f>
        <v>Dečín</v>
      </c>
      <c r="F1330" s="9" t="str">
        <f>IFERROR(__xludf.DUMMYFUNCTION("GOOGLETRANSLATE($A1330,""en"",""it"")"),"Děčín")</f>
        <v>Děčín</v>
      </c>
      <c r="G1330" s="9" t="str">
        <f>IFERROR(__xludf.DUMMYFUNCTION("GOOGLETRANSLATE($A1330,""en"",""zh-cn"")"),"杰钦")</f>
        <v>杰钦</v>
      </c>
      <c r="H1330" s="9" t="str">
        <f>IFERROR(__xludf.DUMMYFUNCTION("GOOGLETRANSLATE($A1330,""en"",""ja"")"),"ディチン")</f>
        <v>ディチン</v>
      </c>
      <c r="I1330" s="9" t="str">
        <f>IFERROR(__xludf.DUMMYFUNCTION("GOOGLETRANSLATE($A1330,""en"",""ko"")"),"데친")</f>
        <v>데친</v>
      </c>
      <c r="J1330" s="9" t="str">
        <f>IFERROR(__xludf.DUMMYFUNCTION("GOOGLETRANSLATE($A1330,""en"",""pt-BR"")"),"Děčín")</f>
        <v>Děčín</v>
      </c>
    </row>
    <row r="1331">
      <c r="A1331" s="9" t="str">
        <f>IFERROR(__xludf.DUMMYFUNCTION("""COMPUTED_VALUE"""),"Domažlice")</f>
        <v>Domažlice</v>
      </c>
      <c r="B1331" s="9" t="str">
        <f>IFERROR(__xludf.DUMMYFUNCTION("""COMPUTED_VALUE"""),"cz-321")</f>
        <v>cz-321</v>
      </c>
      <c r="C1331" s="9" t="str">
        <f>IFERROR(__xludf.DUMMYFUNCTION("GOOGLETRANSLATE($A1331,""en"",""de"")"),"Domažlice")</f>
        <v>Domažlice</v>
      </c>
      <c r="D1331" s="9" t="str">
        <f>IFERROR(__xludf.DUMMYFUNCTION("GOOGLETRANSLATE($A1331,""en"",""fr"")"),"Domažlice")</f>
        <v>Domažlice</v>
      </c>
      <c r="E1331" s="9" t="str">
        <f>IFERROR(__xludf.DUMMYFUNCTION("GOOGLETRANSLATE($A1331,""en"",""es"")"),"Domažlice")</f>
        <v>Domažlice</v>
      </c>
      <c r="F1331" s="9" t="str">
        <f>IFERROR(__xludf.DUMMYFUNCTION("GOOGLETRANSLATE($A1331,""en"",""it"")"),"Domažlice")</f>
        <v>Domažlice</v>
      </c>
      <c r="G1331" s="9" t="str">
        <f>IFERROR(__xludf.DUMMYFUNCTION("GOOGLETRANSLATE($A1331,""en"",""zh-cn"")"),"多马日利采")</f>
        <v>多马日利采</v>
      </c>
      <c r="H1331" s="9" t="str">
        <f>IFERROR(__xludf.DUMMYFUNCTION("GOOGLETRANSLATE($A1331,""en"",""ja"")"),"ドマジリセ")</f>
        <v>ドマジリセ</v>
      </c>
      <c r="I1331" s="9" t="str">
        <f>IFERROR(__xludf.DUMMYFUNCTION("GOOGLETRANSLATE($A1331,""en"",""ko"")"),"도마즐리체")</f>
        <v>도마즐리체</v>
      </c>
      <c r="J1331" s="9" t="str">
        <f>IFERROR(__xludf.DUMMYFUNCTION("GOOGLETRANSLATE($A1331,""en"",""pt-BR"")"),"Domažlice")</f>
        <v>Domažlice</v>
      </c>
    </row>
    <row r="1332">
      <c r="A1332" s="9" t="str">
        <f>IFERROR(__xludf.DUMMYFUNCTION("""COMPUTED_VALUE"""),"Frýdek-Místek")</f>
        <v>Frýdek-Místek</v>
      </c>
      <c r="B1332" s="9" t="str">
        <f>IFERROR(__xludf.DUMMYFUNCTION("""COMPUTED_VALUE"""),"cz-802")</f>
        <v>cz-802</v>
      </c>
      <c r="C1332" s="9" t="str">
        <f>IFERROR(__xludf.DUMMYFUNCTION("GOOGLETRANSLATE($A1332,""en"",""de"")"),"Frýdek-Místek")</f>
        <v>Frýdek-Místek</v>
      </c>
      <c r="D1332" s="9" t="str">
        <f>IFERROR(__xludf.DUMMYFUNCTION("GOOGLETRANSLATE($A1332,""en"",""fr"")"),"Frýdek-Místek")</f>
        <v>Frýdek-Místek</v>
      </c>
      <c r="E1332" s="9" t="str">
        <f>IFERROR(__xludf.DUMMYFUNCTION("GOOGLETRANSLATE($A1332,""en"",""es"")"),"Frýdek-Místek")</f>
        <v>Frýdek-Místek</v>
      </c>
      <c r="F1332" s="9" t="str">
        <f>IFERROR(__xludf.DUMMYFUNCTION("GOOGLETRANSLATE($A1332,""en"",""it"")"),"Frýdek-Místek")</f>
        <v>Frýdek-Místek</v>
      </c>
      <c r="G1332" s="9" t="str">
        <f>IFERROR(__xludf.DUMMYFUNCTION("GOOGLETRANSLATE($A1332,""en"",""zh-cn"")"),"弗里德克-米斯泰克")</f>
        <v>弗里德克-米斯泰克</v>
      </c>
      <c r="H1332" s="9" t="str">
        <f>IFERROR(__xludf.DUMMYFUNCTION("GOOGLETRANSLATE($A1332,""en"",""ja"")"),"フリーデク・ミステク")</f>
        <v>フリーデク・ミステク</v>
      </c>
      <c r="I1332" s="9" t="str">
        <f>IFERROR(__xludf.DUMMYFUNCTION("GOOGLETRANSLATE($A1332,""en"",""ko"")"),"프리데크미스테크")</f>
        <v>프리데크미스테크</v>
      </c>
      <c r="J1332" s="9" t="str">
        <f>IFERROR(__xludf.DUMMYFUNCTION("GOOGLETRANSLATE($A1332,""en"",""pt-BR"")"),"Frýdek-Místek")</f>
        <v>Frýdek-Místek</v>
      </c>
    </row>
    <row r="1333">
      <c r="A1333" s="9" t="str">
        <f>IFERROR(__xludf.DUMMYFUNCTION("""COMPUTED_VALUE"""),"Bruntál")</f>
        <v>Bruntál</v>
      </c>
      <c r="B1333" s="9" t="str">
        <f>IFERROR(__xludf.DUMMYFUNCTION("""COMPUTED_VALUE"""),"cz-801")</f>
        <v>cz-801</v>
      </c>
      <c r="C1333" s="9" t="str">
        <f>IFERROR(__xludf.DUMMYFUNCTION("GOOGLETRANSLATE($A1333,""en"",""de"")"),"Bruntál")</f>
        <v>Bruntál</v>
      </c>
      <c r="D1333" s="9" t="str">
        <f>IFERROR(__xludf.DUMMYFUNCTION("GOOGLETRANSLATE($A1333,""en"",""fr"")"),"Bruntal")</f>
        <v>Bruntal</v>
      </c>
      <c r="E1333" s="9" t="str">
        <f>IFERROR(__xludf.DUMMYFUNCTION("GOOGLETRANSLATE($A1333,""en"",""es"")"),"bruntál")</f>
        <v>bruntál</v>
      </c>
      <c r="F1333" s="9" t="str">
        <f>IFERROR(__xludf.DUMMYFUNCTION("GOOGLETRANSLATE($A1333,""en"",""it"")"),"Bruntál")</f>
        <v>Bruntál</v>
      </c>
      <c r="G1333" s="9" t="str">
        <f>IFERROR(__xludf.DUMMYFUNCTION("GOOGLETRANSLATE($A1333,""en"",""zh-cn"")"),"布伦塔尔")</f>
        <v>布伦塔尔</v>
      </c>
      <c r="H1333" s="9" t="str">
        <f>IFERROR(__xludf.DUMMYFUNCTION("GOOGLETRANSLATE($A1333,""en"",""ja"")"),"ブルンタール")</f>
        <v>ブルンタール</v>
      </c>
      <c r="I1333" s="9" t="str">
        <f>IFERROR(__xludf.DUMMYFUNCTION("GOOGLETRANSLATE($A1333,""en"",""ko"")"),"브룬탈")</f>
        <v>브룬탈</v>
      </c>
      <c r="J1333" s="9" t="str">
        <f>IFERROR(__xludf.DUMMYFUNCTION("GOOGLETRANSLATE($A1333,""en"",""pt-BR"")"),"Bruntál")</f>
        <v>Bruntál</v>
      </c>
    </row>
    <row r="1334">
      <c r="A1334" s="9" t="str">
        <f>IFERROR(__xludf.DUMMYFUNCTION("""COMPUTED_VALUE"""),"Břeclav (CZ-624)")</f>
        <v>Břeclav (CZ-624)</v>
      </c>
      <c r="B1334" s="9" t="str">
        <f>IFERROR(__xludf.DUMMYFUNCTION("""COMPUTED_VALUE"""),"cz-624")</f>
        <v>cz-624</v>
      </c>
      <c r="C1334" s="9" t="str">
        <f>IFERROR(__xludf.DUMMYFUNCTION("GOOGLETRANSLATE($A1334,""en"",""de"")"),"Breclav (CZ-624)")</f>
        <v>Breclav (CZ-624)</v>
      </c>
      <c r="D1334" s="9" t="str">
        <f>IFERROR(__xludf.DUMMYFUNCTION("GOOGLETRANSLATE($A1334,""en"",""fr"")"),"Breeclav (CZ-624)")</f>
        <v>Breeclav (CZ-624)</v>
      </c>
      <c r="E1334" s="9" t="str">
        <f>IFERROR(__xludf.DUMMYFUNCTION("GOOGLETRANSLATE($A1334,""en"",""es"")"),"Břeclav (CZ-624)")</f>
        <v>Břeclav (CZ-624)</v>
      </c>
      <c r="F1334" s="9" t="str">
        <f>IFERROR(__xludf.DUMMYFUNCTION("GOOGLETRANSLATE($A1334,""en"",""it"")"),"Breclav (CZ-624)")</f>
        <v>Breclav (CZ-624)</v>
      </c>
      <c r="G1334" s="9" t="str">
        <f>IFERROR(__xludf.DUMMYFUNCTION("GOOGLETRANSLATE($A1334,""en"",""zh-cn"")"),"布热茨拉夫 (CZ-624)")</f>
        <v>布热茨拉夫 (CZ-624)</v>
      </c>
      <c r="H1334" s="9" t="str">
        <f>IFERROR(__xludf.DUMMYFUNCTION("GOOGLETRANSLATE($A1334,""en"",""ja"")"),"ブジェツラフ (CZ-624)")</f>
        <v>ブジェツラフ (CZ-624)</v>
      </c>
      <c r="I1334" s="9" t="str">
        <f>IFERROR(__xludf.DUMMYFUNCTION("GOOGLETRANSLATE($A1334,""en"",""ko"")"),"브레츨라프 (CZ-624)")</f>
        <v>브레츨라프 (CZ-624)</v>
      </c>
      <c r="J1334" s="9" t="str">
        <f>IFERROR(__xludf.DUMMYFUNCTION("GOOGLETRANSLATE($A1334,""en"",""pt-BR"")"),"Břeclav (CZ-624)")</f>
        <v>Břeclav (CZ-624)</v>
      </c>
    </row>
    <row r="1335">
      <c r="A1335" s="9" t="str">
        <f>IFERROR(__xludf.DUMMYFUNCTION("""COMPUTED_VALUE"""),"Česká Lípa")</f>
        <v>Česká Lípa</v>
      </c>
      <c r="B1335" s="9" t="str">
        <f>IFERROR(__xludf.DUMMYFUNCTION("""COMPUTED_VALUE"""),"cz-511")</f>
        <v>cz-511</v>
      </c>
      <c r="C1335" s="9" t="str">
        <f>IFERROR(__xludf.DUMMYFUNCTION("GOOGLETRANSLATE($A1335,""en"",""de"")"),"Česká Lípa")</f>
        <v>Česká Lípa</v>
      </c>
      <c r="D1335" s="9" t="str">
        <f>IFERROR(__xludf.DUMMYFUNCTION("GOOGLETRANSLATE($A1335,""en"",""fr"")"),"Ceska Lipa")</f>
        <v>Ceska Lipa</v>
      </c>
      <c r="E1335" s="9" t="str">
        <f>IFERROR(__xludf.DUMMYFUNCTION("GOOGLETRANSLATE($A1335,""en"",""es"")"),"Česká Lipa")</f>
        <v>Česká Lipa</v>
      </c>
      <c r="F1335" s="9" t="str">
        <f>IFERROR(__xludf.DUMMYFUNCTION("GOOGLETRANSLATE($A1335,""en"",""it"")"),"Česká Lípa")</f>
        <v>Česká Lípa</v>
      </c>
      <c r="G1335" s="9" t="str">
        <f>IFERROR(__xludf.DUMMYFUNCTION("GOOGLETRANSLATE($A1335,""en"",""zh-cn"")"),"捷克利帕")</f>
        <v>捷克利帕</v>
      </c>
      <c r="H1335" s="9" t="str">
        <f>IFERROR(__xludf.DUMMYFUNCTION("GOOGLETRANSLATE($A1335,""en"",""ja"")"),"チェスカー・リパ")</f>
        <v>チェスカー・リパ</v>
      </c>
      <c r="I1335" s="9" t="str">
        <f>IFERROR(__xludf.DUMMYFUNCTION("GOOGLETRANSLATE($A1335,""en"",""ko"")"),"체스카 리파")</f>
        <v>체스카 리파</v>
      </c>
      <c r="J1335" s="9" t="str">
        <f>IFERROR(__xludf.DUMMYFUNCTION("GOOGLETRANSLATE($A1335,""en"",""pt-BR"")"),"Česká Lipa")</f>
        <v>Česká Lipa</v>
      </c>
    </row>
    <row r="1336">
      <c r="A1336" s="9" t="str">
        <f>IFERROR(__xludf.DUMMYFUNCTION("""COMPUTED_VALUE"""),"České Budějovice")</f>
        <v>České Budějovice</v>
      </c>
      <c r="B1336" s="9" t="str">
        <f>IFERROR(__xludf.DUMMYFUNCTION("""COMPUTED_VALUE"""),"cz-311")</f>
        <v>cz-311</v>
      </c>
      <c r="C1336" s="9" t="str">
        <f>IFERROR(__xludf.DUMMYFUNCTION("GOOGLETRANSLATE($A1336,""en"",""de"")"),"Budweis")</f>
        <v>Budweis</v>
      </c>
      <c r="D1336" s="9" t="str">
        <f>IFERROR(__xludf.DUMMYFUNCTION("GOOGLETRANSLATE($A1336,""en"",""fr"")"),"Ceské Budejovice")</f>
        <v>Ceské Budejovice</v>
      </c>
      <c r="E1336" s="9" t="str">
        <f>IFERROR(__xludf.DUMMYFUNCTION("GOOGLETRANSLATE($A1336,""en"",""es"")"),"České Budějovice")</f>
        <v>České Budějovice</v>
      </c>
      <c r="F1336" s="9" t="str">
        <f>IFERROR(__xludf.DUMMYFUNCTION("GOOGLETRANSLATE($A1336,""en"",""it"")"),"České Budějovice")</f>
        <v>České Budějovice</v>
      </c>
      <c r="G1336" s="9" t="str">
        <f>IFERROR(__xludf.DUMMYFUNCTION("GOOGLETRANSLATE($A1336,""en"",""zh-cn"")"),"捷克布杰约维采")</f>
        <v>捷克布杰约维采</v>
      </c>
      <c r="H1336" s="9" t="str">
        <f>IFERROR(__xludf.DUMMYFUNCTION("GOOGLETRANSLATE($A1336,""en"",""ja"")"),"チェスケ ブジェヨヴィツェ")</f>
        <v>チェスケ ブジェヨヴィツェ</v>
      </c>
      <c r="I1336" s="9" t="str">
        <f>IFERROR(__xludf.DUMMYFUNCTION("GOOGLETRANSLATE($A1336,""en"",""ko"")"),"체스케 부데요비체")</f>
        <v>체스케 부데요비체</v>
      </c>
      <c r="J1336" s="9" t="str">
        <f>IFERROR(__xludf.DUMMYFUNCTION("GOOGLETRANSLATE($A1336,""en"",""pt-BR"")"),"České Budějovice")</f>
        <v>České Budějovice</v>
      </c>
    </row>
    <row r="1337">
      <c r="A1337" s="9" t="str">
        <f>IFERROR(__xludf.DUMMYFUNCTION("""COMPUTED_VALUE"""),"Louny")</f>
        <v>Louny</v>
      </c>
      <c r="B1337" s="9" t="str">
        <f>IFERROR(__xludf.DUMMYFUNCTION("""COMPUTED_VALUE"""),"cz-424")</f>
        <v>cz-424</v>
      </c>
      <c r="C1337" s="9" t="str">
        <f>IFERROR(__xludf.DUMMYFUNCTION("GOOGLETRANSLATE($A1337,""en"",""de"")"),"Louny")</f>
        <v>Louny</v>
      </c>
      <c r="D1337" s="9" t="str">
        <f>IFERROR(__xludf.DUMMYFUNCTION("GOOGLETRANSLATE($A1337,""en"",""fr"")"),"Louny")</f>
        <v>Louny</v>
      </c>
      <c r="E1337" s="9" t="str">
        <f>IFERROR(__xludf.DUMMYFUNCTION("GOOGLETRANSLATE($A1337,""en"",""es"")"),"louny")</f>
        <v>louny</v>
      </c>
      <c r="F1337" s="9" t="str">
        <f>IFERROR(__xludf.DUMMYFUNCTION("GOOGLETRANSLATE($A1337,""en"",""it"")"),"Louny")</f>
        <v>Louny</v>
      </c>
      <c r="G1337" s="9" t="str">
        <f>IFERROR(__xludf.DUMMYFUNCTION("GOOGLETRANSLATE($A1337,""en"",""zh-cn"")"),"卢尼")</f>
        <v>卢尼</v>
      </c>
      <c r="H1337" s="9" t="str">
        <f>IFERROR(__xludf.DUMMYFUNCTION("GOOGLETRANSLATE($A1337,""en"",""ja"")"),"ラウニー")</f>
        <v>ラウニー</v>
      </c>
      <c r="I1337" s="9" t="str">
        <f>IFERROR(__xludf.DUMMYFUNCTION("GOOGLETRANSLATE($A1337,""en"",""ko"")"),"루니")</f>
        <v>루니</v>
      </c>
      <c r="J1337" s="9" t="str">
        <f>IFERROR(__xludf.DUMMYFUNCTION("GOOGLETRANSLATE($A1337,""en"",""pt-BR"")"),"Louny")</f>
        <v>Louny</v>
      </c>
    </row>
    <row r="1338">
      <c r="A1338" s="9" t="str">
        <f>IFERROR(__xludf.DUMMYFUNCTION("""COMPUTED_VALUE"""),"Mělník")</f>
        <v>Mělník</v>
      </c>
      <c r="B1338" s="9" t="str">
        <f>IFERROR(__xludf.DUMMYFUNCTION("""COMPUTED_VALUE"""),"cz-206")</f>
        <v>cz-206</v>
      </c>
      <c r="C1338" s="9" t="str">
        <f>IFERROR(__xludf.DUMMYFUNCTION("GOOGLETRANSLATE($A1338,""en"",""de"")"),"Mělník")</f>
        <v>Mělník</v>
      </c>
      <c r="D1338" s="9" t="str">
        <f>IFERROR(__xludf.DUMMYFUNCTION("GOOGLETRANSLATE($A1338,""en"",""fr"")"),"Melnik")</f>
        <v>Melnik</v>
      </c>
      <c r="E1338" s="9" t="str">
        <f>IFERROR(__xludf.DUMMYFUNCTION("GOOGLETRANSLATE($A1338,""en"",""es"")"),"Melnik")</f>
        <v>Melnik</v>
      </c>
      <c r="F1338" s="9" t="str">
        <f>IFERROR(__xludf.DUMMYFUNCTION("GOOGLETRANSLATE($A1338,""en"",""it"")"),"Melnik")</f>
        <v>Melnik</v>
      </c>
      <c r="G1338" s="9" t="str">
        <f>IFERROR(__xludf.DUMMYFUNCTION("GOOGLETRANSLATE($A1338,""en"",""zh-cn"")"),"梅尔尼克")</f>
        <v>梅尔尼克</v>
      </c>
      <c r="H1338" s="9" t="str">
        <f>IFERROR(__xludf.DUMMYFUNCTION("GOOGLETRANSLATE($A1338,""en"",""ja"")"),"メルニク")</f>
        <v>メルニク</v>
      </c>
      <c r="I1338" s="9" t="str">
        <f>IFERROR(__xludf.DUMMYFUNCTION("GOOGLETRANSLATE($A1338,""en"",""ko"")"),"멜니크")</f>
        <v>멜니크</v>
      </c>
      <c r="J1338" s="9" t="str">
        <f>IFERROR(__xludf.DUMMYFUNCTION("GOOGLETRANSLATE($A1338,""en"",""pt-BR"")"),"Melnik")</f>
        <v>Melnik</v>
      </c>
    </row>
    <row r="1339">
      <c r="A1339" s="9" t="str">
        <f>IFERROR(__xludf.DUMMYFUNCTION("""COMPUTED_VALUE"""),"Mladá Boleslav")</f>
        <v>Mladá Boleslav</v>
      </c>
      <c r="B1339" s="9" t="str">
        <f>IFERROR(__xludf.DUMMYFUNCTION("""COMPUTED_VALUE"""),"cz-207")</f>
        <v>cz-207</v>
      </c>
      <c r="C1339" s="9" t="str">
        <f>IFERROR(__xludf.DUMMYFUNCTION("GOOGLETRANSLATE($A1339,""en"",""de"")"),"Mladá Boleslav")</f>
        <v>Mladá Boleslav</v>
      </c>
      <c r="D1339" s="9" t="str">
        <f>IFERROR(__xludf.DUMMYFUNCTION("GOOGLETRANSLATE($A1339,""en"",""fr"")"),"Mladá Boleslav")</f>
        <v>Mladá Boleslav</v>
      </c>
      <c r="E1339" s="9" t="str">
        <f>IFERROR(__xludf.DUMMYFUNCTION("GOOGLETRANSLATE($A1339,""en"",""es"")"),"Mladá Boleslav")</f>
        <v>Mladá Boleslav</v>
      </c>
      <c r="F1339" s="9" t="str">
        <f>IFERROR(__xludf.DUMMYFUNCTION("GOOGLETRANSLATE($A1339,""en"",""it"")"),"Mlada Boleslav")</f>
        <v>Mlada Boleslav</v>
      </c>
      <c r="G1339" s="9" t="str">
        <f>IFERROR(__xludf.DUMMYFUNCTION("GOOGLETRANSLATE($A1339,""en"",""zh-cn"")"),"姆拉达·博莱斯拉夫")</f>
        <v>姆拉达·博莱斯拉夫</v>
      </c>
      <c r="H1339" s="9" t="str">
        <f>IFERROR(__xludf.DUMMYFUNCTION("GOOGLETRANSLATE($A1339,""en"",""ja"")"),"ムラダ・ボレスラフ")</f>
        <v>ムラダ・ボレスラフ</v>
      </c>
      <c r="I1339" s="9" t="str">
        <f>IFERROR(__xludf.DUMMYFUNCTION("GOOGLETRANSLATE($A1339,""en"",""ko"")"),"믈라다 볼레슬라프")</f>
        <v>믈라다 볼레슬라프</v>
      </c>
      <c r="J1339" s="9" t="str">
        <f>IFERROR(__xludf.DUMMYFUNCTION("GOOGLETRANSLATE($A1339,""en"",""pt-BR"")"),"Mlada Boleslav")</f>
        <v>Mlada Boleslav</v>
      </c>
    </row>
    <row r="1340">
      <c r="A1340" s="9" t="str">
        <f>IFERROR(__xludf.DUMMYFUNCTION("""COMPUTED_VALUE"""),"Most")</f>
        <v>Most</v>
      </c>
      <c r="B1340" s="9" t="str">
        <f>IFERROR(__xludf.DUMMYFUNCTION("""COMPUTED_VALUE"""),"cz-425")</f>
        <v>cz-425</v>
      </c>
      <c r="C1340" s="9" t="str">
        <f>IFERROR(__xludf.DUMMYFUNCTION("GOOGLETRANSLATE($A1340,""en"",""de"")"),"Am meisten")</f>
        <v>Am meisten</v>
      </c>
      <c r="D1340" s="9" t="str">
        <f>IFERROR(__xludf.DUMMYFUNCTION("GOOGLETRANSLATE($A1340,""en"",""fr"")"),"La plupart")</f>
        <v>La plupart</v>
      </c>
      <c r="E1340" s="9" t="str">
        <f>IFERROR(__xludf.DUMMYFUNCTION("GOOGLETRANSLATE($A1340,""en"",""es"")"),"Mayoría")</f>
        <v>Mayoría</v>
      </c>
      <c r="F1340" s="9" t="str">
        <f>IFERROR(__xludf.DUMMYFUNCTION("GOOGLETRANSLATE($A1340,""en"",""it"")"),"Maggior parte")</f>
        <v>Maggior parte</v>
      </c>
      <c r="G1340" s="9" t="str">
        <f>IFERROR(__xludf.DUMMYFUNCTION("GOOGLETRANSLATE($A1340,""en"",""zh-cn"")"),"最多")</f>
        <v>最多</v>
      </c>
      <c r="H1340" s="9" t="str">
        <f>IFERROR(__xludf.DUMMYFUNCTION("GOOGLETRANSLATE($A1340,""en"",""ja"")"),"ほとんど")</f>
        <v>ほとんど</v>
      </c>
      <c r="I1340" s="9" t="str">
        <f>IFERROR(__xludf.DUMMYFUNCTION("GOOGLETRANSLATE($A1340,""en"",""ko"")"),"최대")</f>
        <v>최대</v>
      </c>
      <c r="J1340" s="9" t="str">
        <f>IFERROR(__xludf.DUMMYFUNCTION("GOOGLETRANSLATE($A1340,""en"",""pt-BR"")"),"Maioria")</f>
        <v>Maioria</v>
      </c>
    </row>
    <row r="1341">
      <c r="A1341" s="9" t="str">
        <f>IFERROR(__xludf.DUMMYFUNCTION("""COMPUTED_VALUE"""),"Kroměříž")</f>
        <v>Kroměříž</v>
      </c>
      <c r="B1341" s="9" t="str">
        <f>IFERROR(__xludf.DUMMYFUNCTION("""COMPUTED_VALUE"""),"cz-721")</f>
        <v>cz-721</v>
      </c>
      <c r="C1341" s="9" t="str">
        <f>IFERROR(__xludf.DUMMYFUNCTION("GOOGLETRANSLATE($A1341,""en"",""de"")"),"Kroměříž")</f>
        <v>Kroměříž</v>
      </c>
      <c r="D1341" s="9" t="str">
        <f>IFERROR(__xludf.DUMMYFUNCTION("GOOGLETRANSLATE($A1341,""en"",""fr"")"),"Kroměříž")</f>
        <v>Kroměříž</v>
      </c>
      <c r="E1341" s="9" t="str">
        <f>IFERROR(__xludf.DUMMYFUNCTION("GOOGLETRANSLATE($A1341,""en"",""es"")"),"Kroměříž")</f>
        <v>Kroměříž</v>
      </c>
      <c r="F1341" s="9" t="str">
        <f>IFERROR(__xludf.DUMMYFUNCTION("GOOGLETRANSLATE($A1341,""en"",""it"")"),"Kroměříž")</f>
        <v>Kroměříž</v>
      </c>
      <c r="G1341" s="9" t="str">
        <f>IFERROR(__xludf.DUMMYFUNCTION("GOOGLETRANSLATE($A1341,""en"",""zh-cn"")"),"克罗梅日什")</f>
        <v>克罗梅日什</v>
      </c>
      <c r="H1341" s="9" t="str">
        <f>IFERROR(__xludf.DUMMYFUNCTION("GOOGLETRANSLATE($A1341,""en"",""ja"")"),"クロムジェジーシュ")</f>
        <v>クロムジェジーシュ</v>
      </c>
      <c r="I1341" s="9" t="str">
        <f>IFERROR(__xludf.DUMMYFUNCTION("GOOGLETRANSLATE($A1341,""en"",""ko"")"),"크로메르지즈")</f>
        <v>크로메르지즈</v>
      </c>
      <c r="J1341" s="9" t="str">
        <f>IFERROR(__xludf.DUMMYFUNCTION("GOOGLETRANSLATE($A1341,""en"",""pt-BR"")"),"Kroměříž")</f>
        <v>Kroměříž</v>
      </c>
    </row>
    <row r="1342">
      <c r="A1342" s="9" t="str">
        <f>IFERROR(__xludf.DUMMYFUNCTION("""COMPUTED_VALUE"""),"Kutná Hora")</f>
        <v>Kutná Hora</v>
      </c>
      <c r="B1342" s="9" t="str">
        <f>IFERROR(__xludf.DUMMYFUNCTION("""COMPUTED_VALUE"""),"cz-205")</f>
        <v>cz-205</v>
      </c>
      <c r="C1342" s="9" t="str">
        <f>IFERROR(__xludf.DUMMYFUNCTION("GOOGLETRANSLATE($A1342,""en"",""de"")"),"Kuttenberg")</f>
        <v>Kuttenberg</v>
      </c>
      <c r="D1342" s="9" t="str">
        <f>IFERROR(__xludf.DUMMYFUNCTION("GOOGLETRANSLATE($A1342,""en"",""fr"")"),"Kutna Hora")</f>
        <v>Kutna Hora</v>
      </c>
      <c r="E1342" s="9" t="str">
        <f>IFERROR(__xludf.DUMMYFUNCTION("GOOGLETRANSLATE($A1342,""en"",""es"")"),"Kutná Hora")</f>
        <v>Kutná Hora</v>
      </c>
      <c r="F1342" s="9" t="str">
        <f>IFERROR(__xludf.DUMMYFUNCTION("GOOGLETRANSLATE($A1342,""en"",""it"")"),"Kutna Hora")</f>
        <v>Kutna Hora</v>
      </c>
      <c r="G1342" s="9" t="str">
        <f>IFERROR(__xludf.DUMMYFUNCTION("GOOGLETRANSLATE($A1342,""en"",""zh-cn"")"),"库特纳霍拉")</f>
        <v>库特纳霍拉</v>
      </c>
      <c r="H1342" s="9" t="str">
        <f>IFERROR(__xludf.DUMMYFUNCTION("GOOGLETRANSLATE($A1342,""en"",""ja"")"),"クトナー・ホラ")</f>
        <v>クトナー・ホラ</v>
      </c>
      <c r="I1342" s="9" t="str">
        <f>IFERROR(__xludf.DUMMYFUNCTION("GOOGLETRANSLATE($A1342,""en"",""ko"")"),"쿠트나 호라")</f>
        <v>쿠트나 호라</v>
      </c>
      <c r="J1342" s="9" t="str">
        <f>IFERROR(__xludf.DUMMYFUNCTION("GOOGLETRANSLATE($A1342,""en"",""pt-BR"")"),"Kutná Hora")</f>
        <v>Kutná Hora</v>
      </c>
    </row>
    <row r="1343">
      <c r="A1343" s="9" t="str">
        <f>IFERROR(__xludf.DUMMYFUNCTION("""COMPUTED_VALUE"""),"Liberec")</f>
        <v>Liberec</v>
      </c>
      <c r="B1343" s="9" t="str">
        <f>IFERROR(__xludf.DUMMYFUNCTION("""COMPUTED_VALUE"""),"cz-513")</f>
        <v>cz-513</v>
      </c>
      <c r="C1343" s="9" t="str">
        <f>IFERROR(__xludf.DUMMYFUNCTION("GOOGLETRANSLATE($A1343,""en"",""de"")"),"Liberec")</f>
        <v>Liberec</v>
      </c>
      <c r="D1343" s="9" t="str">
        <f>IFERROR(__xludf.DUMMYFUNCTION("GOOGLETRANSLATE($A1343,""en"",""fr"")"),"Libérec")</f>
        <v>Libérec</v>
      </c>
      <c r="E1343" s="9" t="str">
        <f>IFERROR(__xludf.DUMMYFUNCTION("GOOGLETRANSLATE($A1343,""en"",""es"")"),"Liberec")</f>
        <v>Liberec</v>
      </c>
      <c r="F1343" s="9" t="str">
        <f>IFERROR(__xludf.DUMMYFUNCTION("GOOGLETRANSLATE($A1343,""en"",""it"")"),"Liberec")</f>
        <v>Liberec</v>
      </c>
      <c r="G1343" s="9" t="str">
        <f>IFERROR(__xludf.DUMMYFUNCTION("GOOGLETRANSLATE($A1343,""en"",""zh-cn"")"),"利贝雷茨")</f>
        <v>利贝雷茨</v>
      </c>
      <c r="H1343" s="9" t="str">
        <f>IFERROR(__xludf.DUMMYFUNCTION("GOOGLETRANSLATE($A1343,""en"",""ja"")"),"リベレツ")</f>
        <v>リベレツ</v>
      </c>
      <c r="I1343" s="9" t="str">
        <f>IFERROR(__xludf.DUMMYFUNCTION("GOOGLETRANSLATE($A1343,""en"",""ko"")"),"리베레츠")</f>
        <v>리베레츠</v>
      </c>
      <c r="J1343" s="9" t="str">
        <f>IFERROR(__xludf.DUMMYFUNCTION("GOOGLETRANSLATE($A1343,""en"",""pt-BR"")"),"Liberec")</f>
        <v>Liberec</v>
      </c>
    </row>
    <row r="1344">
      <c r="A1344" s="9" t="str">
        <f>IFERROR(__xludf.DUMMYFUNCTION("""COMPUTED_VALUE"""),"Litoměřice")</f>
        <v>Litoměřice</v>
      </c>
      <c r="B1344" s="9" t="str">
        <f>IFERROR(__xludf.DUMMYFUNCTION("""COMPUTED_VALUE"""),"cz-423")</f>
        <v>cz-423</v>
      </c>
      <c r="C1344" s="9" t="str">
        <f>IFERROR(__xludf.DUMMYFUNCTION("GOOGLETRANSLATE($A1344,""en"",""de"")"),"Leitmeritz")</f>
        <v>Leitmeritz</v>
      </c>
      <c r="D1344" s="9" t="str">
        <f>IFERROR(__xludf.DUMMYFUNCTION("GOOGLETRANSLATE($A1344,""en"",""fr"")"),"Litoměřice")</f>
        <v>Litoměřice</v>
      </c>
      <c r="E1344" s="9" t="str">
        <f>IFERROR(__xludf.DUMMYFUNCTION("GOOGLETRANSLATE($A1344,""en"",""es"")"),"Litoměřice")</f>
        <v>Litoměřice</v>
      </c>
      <c r="F1344" s="9" t="str">
        <f>IFERROR(__xludf.DUMMYFUNCTION("GOOGLETRANSLATE($A1344,""en"",""it"")"),"Litoměřice")</f>
        <v>Litoměřice</v>
      </c>
      <c r="G1344" s="9" t="str">
        <f>IFERROR(__xludf.DUMMYFUNCTION("GOOGLETRANSLATE($A1344,""en"",""zh-cn"")"),"利托梅日采")</f>
        <v>利托梅日采</v>
      </c>
      <c r="H1344" s="9" t="str">
        <f>IFERROR(__xludf.DUMMYFUNCTION("GOOGLETRANSLATE($A1344,""en"",""ja"")"),"リトムニェジツェ")</f>
        <v>リトムニェジツェ</v>
      </c>
      <c r="I1344" s="9" t="str">
        <f>IFERROR(__xludf.DUMMYFUNCTION("GOOGLETRANSLATE($A1344,""en"",""ko"")"),"리토메르지체")</f>
        <v>리토메르지체</v>
      </c>
      <c r="J1344" s="9" t="str">
        <f>IFERROR(__xludf.DUMMYFUNCTION("GOOGLETRANSLATE($A1344,""en"",""pt-BR"")"),"Litoměřice")</f>
        <v>Litoměřice</v>
      </c>
    </row>
    <row r="1345">
      <c r="A1345" s="9" t="str">
        <f>IFERROR(__xludf.DUMMYFUNCTION("""COMPUTED_VALUE"""),"Karviná")</f>
        <v>Karviná</v>
      </c>
      <c r="B1345" s="9" t="str">
        <f>IFERROR(__xludf.DUMMYFUNCTION("""COMPUTED_VALUE"""),"cz-803")</f>
        <v>cz-803</v>
      </c>
      <c r="C1345" s="9" t="str">
        <f>IFERROR(__xludf.DUMMYFUNCTION("GOOGLETRANSLATE($A1345,""en"",""de"")"),"Karviná")</f>
        <v>Karviná</v>
      </c>
      <c r="D1345" s="9" t="str">
        <f>IFERROR(__xludf.DUMMYFUNCTION("GOOGLETRANSLATE($A1345,""en"",""fr"")"),"Karvina")</f>
        <v>Karvina</v>
      </c>
      <c r="E1345" s="9" t="str">
        <f>IFERROR(__xludf.DUMMYFUNCTION("GOOGLETRANSLATE($A1345,""en"",""es"")"),"Karviná")</f>
        <v>Karviná</v>
      </c>
      <c r="F1345" s="9" t="str">
        <f>IFERROR(__xludf.DUMMYFUNCTION("GOOGLETRANSLATE($A1345,""en"",""it"")"),"Karvina")</f>
        <v>Karvina</v>
      </c>
      <c r="G1345" s="9" t="str">
        <f>IFERROR(__xludf.DUMMYFUNCTION("GOOGLETRANSLATE($A1345,""en"",""zh-cn"")"),"卡尔维纳")</f>
        <v>卡尔维纳</v>
      </c>
      <c r="H1345" s="9" t="str">
        <f>IFERROR(__xludf.DUMMYFUNCTION("GOOGLETRANSLATE($A1345,""en"",""ja"")"),"カルビナ")</f>
        <v>カルビナ</v>
      </c>
      <c r="I1345" s="9" t="str">
        <f>IFERROR(__xludf.DUMMYFUNCTION("GOOGLETRANSLATE($A1345,""en"",""ko"")"),"카르비나")</f>
        <v>카르비나</v>
      </c>
      <c r="J1345" s="9" t="str">
        <f>IFERROR(__xludf.DUMMYFUNCTION("GOOGLETRANSLATE($A1345,""en"",""pt-BR"")"),"Karvina")</f>
        <v>Karvina</v>
      </c>
    </row>
    <row r="1346">
      <c r="A1346" s="9" t="str">
        <f>IFERROR(__xludf.DUMMYFUNCTION("""COMPUTED_VALUE"""),"Kladno")</f>
        <v>Kladno</v>
      </c>
      <c r="B1346" s="9" t="str">
        <f>IFERROR(__xludf.DUMMYFUNCTION("""COMPUTED_VALUE"""),"cz-203")</f>
        <v>cz-203</v>
      </c>
      <c r="C1346" s="9" t="str">
        <f>IFERROR(__xludf.DUMMYFUNCTION("GOOGLETRANSLATE($A1346,""en"",""de"")"),"Kladno")</f>
        <v>Kladno</v>
      </c>
      <c r="D1346" s="9" t="str">
        <f>IFERROR(__xludf.DUMMYFUNCTION("GOOGLETRANSLATE($A1346,""en"",""fr"")"),"Kladno")</f>
        <v>Kladno</v>
      </c>
      <c r="E1346" s="9" t="str">
        <f>IFERROR(__xludf.DUMMYFUNCTION("GOOGLETRANSLATE($A1346,""en"",""es"")"),"Kladno")</f>
        <v>Kladno</v>
      </c>
      <c r="F1346" s="9" t="str">
        <f>IFERROR(__xludf.DUMMYFUNCTION("GOOGLETRANSLATE($A1346,""en"",""it"")"),"Kladno")</f>
        <v>Kladno</v>
      </c>
      <c r="G1346" s="9" t="str">
        <f>IFERROR(__xludf.DUMMYFUNCTION("GOOGLETRANSLATE($A1346,""en"",""zh-cn"")"),"克拉德诺")</f>
        <v>克拉德诺</v>
      </c>
      <c r="H1346" s="9" t="str">
        <f>IFERROR(__xludf.DUMMYFUNCTION("GOOGLETRANSLATE($A1346,""en"",""ja"")"),"クラドノ")</f>
        <v>クラドノ</v>
      </c>
      <c r="I1346" s="9" t="str">
        <f>IFERROR(__xludf.DUMMYFUNCTION("GOOGLETRANSLATE($A1346,""en"",""ko"")"),"클라드노")</f>
        <v>클라드노</v>
      </c>
      <c r="J1346" s="9" t="str">
        <f>IFERROR(__xludf.DUMMYFUNCTION("GOOGLETRANSLATE($A1346,""en"",""pt-BR"")"),"Kladno")</f>
        <v>Kladno</v>
      </c>
    </row>
    <row r="1347">
      <c r="A1347" s="9" t="str">
        <f>IFERROR(__xludf.DUMMYFUNCTION("""COMPUTED_VALUE"""),"Klatovy")</f>
        <v>Klatovy</v>
      </c>
      <c r="B1347" s="9" t="str">
        <f>IFERROR(__xludf.DUMMYFUNCTION("""COMPUTED_VALUE"""),"cz-322")</f>
        <v>cz-322</v>
      </c>
      <c r="C1347" s="9" t="str">
        <f>IFERROR(__xludf.DUMMYFUNCTION("GOOGLETRANSLATE($A1347,""en"",""de"")"),"Klatovy")</f>
        <v>Klatovy</v>
      </c>
      <c r="D1347" s="9" t="str">
        <f>IFERROR(__xludf.DUMMYFUNCTION("GOOGLETRANSLATE($A1347,""en"",""fr"")"),"Klatovy")</f>
        <v>Klatovy</v>
      </c>
      <c r="E1347" s="9" t="str">
        <f>IFERROR(__xludf.DUMMYFUNCTION("GOOGLETRANSLATE($A1347,""en"",""es"")"),"klatovy")</f>
        <v>klatovy</v>
      </c>
      <c r="F1347" s="9" t="str">
        <f>IFERROR(__xludf.DUMMYFUNCTION("GOOGLETRANSLATE($A1347,""en"",""it"")"),"Klatovy")</f>
        <v>Klatovy</v>
      </c>
      <c r="G1347" s="9" t="str">
        <f>IFERROR(__xludf.DUMMYFUNCTION("GOOGLETRANSLATE($A1347,""en"",""zh-cn"")"),"克拉托维")</f>
        <v>克拉托维</v>
      </c>
      <c r="H1347" s="9" t="str">
        <f>IFERROR(__xludf.DUMMYFUNCTION("GOOGLETRANSLATE($A1347,""en"",""ja"")"),"クラトヴィ")</f>
        <v>クラトヴィ</v>
      </c>
      <c r="I1347" s="9" t="str">
        <f>IFERROR(__xludf.DUMMYFUNCTION("GOOGLETRANSLATE($A1347,""en"",""ko"")"),"클라토비")</f>
        <v>클라토비</v>
      </c>
      <c r="J1347" s="9" t="str">
        <f>IFERROR(__xludf.DUMMYFUNCTION("GOOGLETRANSLATE($A1347,""en"",""pt-BR"")"),"Klatovy")</f>
        <v>Klatovy</v>
      </c>
    </row>
    <row r="1348">
      <c r="A1348" s="9" t="str">
        <f>IFERROR(__xludf.DUMMYFUNCTION("""COMPUTED_VALUE"""),"Kolín")</f>
        <v>Kolín</v>
      </c>
      <c r="B1348" s="9" t="str">
        <f>IFERROR(__xludf.DUMMYFUNCTION("""COMPUTED_VALUE"""),"cz-204")</f>
        <v>cz-204</v>
      </c>
      <c r="C1348" s="9" t="str">
        <f>IFERROR(__xludf.DUMMYFUNCTION("GOOGLETRANSLATE($A1348,""en"",""de"")"),"Kolín")</f>
        <v>Kolín</v>
      </c>
      <c r="D1348" s="9" t="str">
        <f>IFERROR(__xludf.DUMMYFUNCTION("GOOGLETRANSLATE($A1348,""en"",""fr"")"),"Kolín")</f>
        <v>Kolín</v>
      </c>
      <c r="E1348" s="9" t="str">
        <f>IFERROR(__xludf.DUMMYFUNCTION("GOOGLETRANSLATE($A1348,""en"",""es"")"),"Kolín")</f>
        <v>Kolín</v>
      </c>
      <c r="F1348" s="9" t="str">
        <f>IFERROR(__xludf.DUMMYFUNCTION("GOOGLETRANSLATE($A1348,""en"",""it"")"),"Kolín")</f>
        <v>Kolín</v>
      </c>
      <c r="G1348" s="9" t="str">
        <f>IFERROR(__xludf.DUMMYFUNCTION("GOOGLETRANSLATE($A1348,""en"",""zh-cn"")"),"科林")</f>
        <v>科林</v>
      </c>
      <c r="H1348" s="9" t="str">
        <f>IFERROR(__xludf.DUMMYFUNCTION("GOOGLETRANSLATE($A1348,""en"",""ja"")"),"コリン")</f>
        <v>コリン</v>
      </c>
      <c r="I1348" s="9" t="str">
        <f>IFERROR(__xludf.DUMMYFUNCTION("GOOGLETRANSLATE($A1348,""en"",""ko"")"),"콜린")</f>
        <v>콜린</v>
      </c>
      <c r="J1348" s="9" t="str">
        <f>IFERROR(__xludf.DUMMYFUNCTION("GOOGLETRANSLATE($A1348,""en"",""pt-BR"")"),"Kolín")</f>
        <v>Kolín</v>
      </c>
    </row>
    <row r="1349">
      <c r="A1349" s="9" t="str">
        <f>IFERROR(__xludf.DUMMYFUNCTION("""COMPUTED_VALUE"""),"Jičín")</f>
        <v>Jičín</v>
      </c>
      <c r="B1349" s="9" t="str">
        <f>IFERROR(__xludf.DUMMYFUNCTION("""COMPUTED_VALUE"""),"cz-522")</f>
        <v>cz-522</v>
      </c>
      <c r="C1349" s="9" t="str">
        <f>IFERROR(__xludf.DUMMYFUNCTION("GOOGLETRANSLATE($A1349,""en"",""de"")"),"Jičín")</f>
        <v>Jičín</v>
      </c>
      <c r="D1349" s="9" t="str">
        <f>IFERROR(__xludf.DUMMYFUNCTION("GOOGLETRANSLATE($A1349,""en"",""fr"")"),"Jičín")</f>
        <v>Jičín</v>
      </c>
      <c r="E1349" s="9" t="str">
        <f>IFERROR(__xludf.DUMMYFUNCTION("GOOGLETRANSLATE($A1349,""en"",""es"")"),"Jičín")</f>
        <v>Jičín</v>
      </c>
      <c r="F1349" s="9" t="str">
        <f>IFERROR(__xludf.DUMMYFUNCTION("GOOGLETRANSLATE($A1349,""en"",""it"")"),"Jičín")</f>
        <v>Jičín</v>
      </c>
      <c r="G1349" s="9" t="str">
        <f>IFERROR(__xludf.DUMMYFUNCTION("GOOGLETRANSLATE($A1349,""en"",""zh-cn"")"),"伊钦")</f>
        <v>伊钦</v>
      </c>
      <c r="H1349" s="9" t="str">
        <f>IFERROR(__xludf.DUMMYFUNCTION("GOOGLETRANSLATE($A1349,""en"",""ja"")"),"ジチン")</f>
        <v>ジチン</v>
      </c>
      <c r="I1349" s="9" t="str">
        <f>IFERROR(__xludf.DUMMYFUNCTION("GOOGLETRANSLATE($A1349,""en"",""ko"")"),"이친")</f>
        <v>이친</v>
      </c>
      <c r="J1349" s="9" t="str">
        <f>IFERROR(__xludf.DUMMYFUNCTION("GOOGLETRANSLATE($A1349,""en"",""pt-BR"")"),"Jičín")</f>
        <v>Jičín</v>
      </c>
    </row>
    <row r="1350">
      <c r="A1350" s="9" t="str">
        <f>IFERROR(__xludf.DUMMYFUNCTION("""COMPUTED_VALUE"""),"Jihlava (CZ-612)")</f>
        <v>Jihlava (CZ-612)</v>
      </c>
      <c r="B1350" s="9" t="str">
        <f>IFERROR(__xludf.DUMMYFUNCTION("""COMPUTED_VALUE"""),"cz-612")</f>
        <v>cz-612</v>
      </c>
      <c r="C1350" s="9" t="str">
        <f>IFERROR(__xludf.DUMMYFUNCTION("GOOGLETRANSLATE($A1350,""en"",""de"")"),"Jihlava (CZ-612)")</f>
        <v>Jihlava (CZ-612)</v>
      </c>
      <c r="D1350" s="9" t="str">
        <f>IFERROR(__xludf.DUMMYFUNCTION("GOOGLETRANSLATE($A1350,""en"",""fr"")"),"Jihlava (CZ-612)")</f>
        <v>Jihlava (CZ-612)</v>
      </c>
      <c r="E1350" s="9" t="str">
        <f>IFERROR(__xludf.DUMMYFUNCTION("GOOGLETRANSLATE($A1350,""en"",""es"")"),"Jihlava (CZ-612)")</f>
        <v>Jihlava (CZ-612)</v>
      </c>
      <c r="F1350" s="9" t="str">
        <f>IFERROR(__xludf.DUMMYFUNCTION("GOOGLETRANSLATE($A1350,""en"",""it"")"),"Jihlava (CZ-612)")</f>
        <v>Jihlava (CZ-612)</v>
      </c>
      <c r="G1350" s="9" t="str">
        <f>IFERROR(__xludf.DUMMYFUNCTION("GOOGLETRANSLATE($A1350,""en"",""zh-cn"")"),"伊赫拉瓦 (CZ-612)")</f>
        <v>伊赫拉瓦 (CZ-612)</v>
      </c>
      <c r="H1350" s="9" t="str">
        <f>IFERROR(__xludf.DUMMYFUNCTION("GOOGLETRANSLATE($A1350,""en"",""ja"")"),"ジフラヴァ (CZ-612)")</f>
        <v>ジフラヴァ (CZ-612)</v>
      </c>
      <c r="I1350" s="9" t="str">
        <f>IFERROR(__xludf.DUMMYFUNCTION("GOOGLETRANSLATE($A1350,""en"",""ko"")"),"이흘라바 (CZ-612)")</f>
        <v>이흘라바 (CZ-612)</v>
      </c>
      <c r="J1350" s="9" t="str">
        <f>IFERROR(__xludf.DUMMYFUNCTION("GOOGLETRANSLATE($A1350,""en"",""pt-BR"")"),"Jihlava (CZ-612)")</f>
        <v>Jihlava (CZ-612)</v>
      </c>
    </row>
    <row r="1351">
      <c r="A1351" s="9" t="str">
        <f>IFERROR(__xludf.DUMMYFUNCTION("""COMPUTED_VALUE"""),"Jindřichův Hradec")</f>
        <v>Jindřichův Hradec</v>
      </c>
      <c r="B1351" s="9" t="str">
        <f>IFERROR(__xludf.DUMMYFUNCTION("""COMPUTED_VALUE"""),"cz-313")</f>
        <v>cz-313</v>
      </c>
      <c r="C1351" s="9" t="str">
        <f>IFERROR(__xludf.DUMMYFUNCTION("GOOGLETRANSLATE($A1351,""en"",""de"")"),"Jindřichův Hradec")</f>
        <v>Jindřichův Hradec</v>
      </c>
      <c r="D1351" s="9" t="str">
        <f>IFERROR(__xludf.DUMMYFUNCTION("GOOGLETRANSLATE($A1351,""en"",""fr"")"),"Jindrichuv Hradec")</f>
        <v>Jindrichuv Hradec</v>
      </c>
      <c r="E1351" s="9" t="str">
        <f>IFERROR(__xludf.DUMMYFUNCTION("GOOGLETRANSLATE($A1351,""en"",""es"")"),"Jindřichův Hradec")</f>
        <v>Jindřichův Hradec</v>
      </c>
      <c r="F1351" s="9" t="str">
        <f>IFERROR(__xludf.DUMMYFUNCTION("GOOGLETRANSLATE($A1351,""en"",""it"")"),"Jindřichův Hradec")</f>
        <v>Jindřichův Hradec</v>
      </c>
      <c r="G1351" s="9" t="str">
        <f>IFERROR(__xludf.DUMMYFUNCTION("GOOGLETRANSLATE($A1351,""en"",""zh-cn"")"),"因德日赫赫拉德茨")</f>
        <v>因德日赫赫拉德茨</v>
      </c>
      <c r="H1351" s="9" t="str">
        <f>IFERROR(__xludf.DUMMYFUNCTION("GOOGLETRANSLATE($A1351,""en"",""ja"")"),"ジンジフフ・フラデツ")</f>
        <v>ジンジフフ・フラデツ</v>
      </c>
      <c r="I1351" s="9" t="str">
        <f>IFERROR(__xludf.DUMMYFUNCTION("GOOGLETRANSLATE($A1351,""en"",""ko"")"),"인드르지쥰 흐라데츠")</f>
        <v>인드르지쥰 흐라데츠</v>
      </c>
      <c r="J1351" s="9" t="str">
        <f>IFERROR(__xludf.DUMMYFUNCTION("GOOGLETRANSLATE($A1351,""en"",""pt-BR"")"),"Jindřichův Hradec")</f>
        <v>Jindřichův Hradec</v>
      </c>
    </row>
    <row r="1352">
      <c r="A1352" s="9" t="str">
        <f>IFERROR(__xludf.DUMMYFUNCTION("""COMPUTED_VALUE"""),"Karlovy Vary")</f>
        <v>Karlovy Vary</v>
      </c>
      <c r="B1352" s="9" t="str">
        <f>IFERROR(__xludf.DUMMYFUNCTION("""COMPUTED_VALUE"""),"cz-412")</f>
        <v>cz-412</v>
      </c>
      <c r="C1352" s="9" t="str">
        <f>IFERROR(__xludf.DUMMYFUNCTION("GOOGLETRANSLATE($A1352,""en"",""de"")"),"Karlsbad")</f>
        <v>Karlsbad</v>
      </c>
      <c r="D1352" s="9" t="str">
        <f>IFERROR(__xludf.DUMMYFUNCTION("GOOGLETRANSLATE($A1352,""en"",""fr"")"),"Karlovy Vary")</f>
        <v>Karlovy Vary</v>
      </c>
      <c r="E1352" s="9" t="str">
        <f>IFERROR(__xludf.DUMMYFUNCTION("GOOGLETRANSLATE($A1352,""en"",""es"")"),"Karlovy Vary")</f>
        <v>Karlovy Vary</v>
      </c>
      <c r="F1352" s="9" t="str">
        <f>IFERROR(__xludf.DUMMYFUNCTION("GOOGLETRANSLATE($A1352,""en"",""it"")"),"Karlovy Vary")</f>
        <v>Karlovy Vary</v>
      </c>
      <c r="G1352" s="9" t="str">
        <f>IFERROR(__xludf.DUMMYFUNCTION("GOOGLETRANSLATE($A1352,""en"",""zh-cn"")"),"卡罗维发利")</f>
        <v>卡罗维发利</v>
      </c>
      <c r="H1352" s="9" t="str">
        <f>IFERROR(__xludf.DUMMYFUNCTION("GOOGLETRANSLATE($A1352,""en"",""ja"")"),"カルロヴィ ヴァリ")</f>
        <v>カルロヴィ ヴァリ</v>
      </c>
      <c r="I1352" s="9" t="str">
        <f>IFERROR(__xludf.DUMMYFUNCTION("GOOGLETRANSLATE($A1352,""en"",""ko"")"),"카를로비바리")</f>
        <v>카를로비바리</v>
      </c>
      <c r="J1352" s="9" t="str">
        <f>IFERROR(__xludf.DUMMYFUNCTION("GOOGLETRANSLATE($A1352,""en"",""pt-BR"")"),"Karlovy varia")</f>
        <v>Karlovy varia</v>
      </c>
    </row>
    <row r="1353">
      <c r="A1353" s="9" t="str">
        <f>IFERROR(__xludf.DUMMYFUNCTION("""COMPUTED_VALUE"""),"Opava")</f>
        <v>Opava</v>
      </c>
      <c r="B1353" s="9" t="str">
        <f>IFERROR(__xludf.DUMMYFUNCTION("""COMPUTED_VALUE"""),"cz-805")</f>
        <v>cz-805</v>
      </c>
      <c r="C1353" s="9" t="str">
        <f>IFERROR(__xludf.DUMMYFUNCTION("GOOGLETRANSLATE($A1353,""en"",""de"")"),"Opava")</f>
        <v>Opava</v>
      </c>
      <c r="D1353" s="9" t="str">
        <f>IFERROR(__xludf.DUMMYFUNCTION("GOOGLETRANSLATE($A1353,""en"",""fr"")"),"Opava")</f>
        <v>Opava</v>
      </c>
      <c r="E1353" s="9" t="str">
        <f>IFERROR(__xludf.DUMMYFUNCTION("GOOGLETRANSLATE($A1353,""en"",""es"")"),"Opava")</f>
        <v>Opava</v>
      </c>
      <c r="F1353" s="9" t="str">
        <f>IFERROR(__xludf.DUMMYFUNCTION("GOOGLETRANSLATE($A1353,""en"",""it"")"),"Opava")</f>
        <v>Opava</v>
      </c>
      <c r="G1353" s="9" t="str">
        <f>IFERROR(__xludf.DUMMYFUNCTION("GOOGLETRANSLATE($A1353,""en"",""zh-cn"")"),"奥帕瓦")</f>
        <v>奥帕瓦</v>
      </c>
      <c r="H1353" s="9" t="str">
        <f>IFERROR(__xludf.DUMMYFUNCTION("GOOGLETRANSLATE($A1353,""en"",""ja"")"),"オパバ")</f>
        <v>オパバ</v>
      </c>
      <c r="I1353" s="9" t="str">
        <f>IFERROR(__xludf.DUMMYFUNCTION("GOOGLETRANSLATE($A1353,""en"",""ko"")"),"오파바")</f>
        <v>오파바</v>
      </c>
      <c r="J1353" s="9" t="str">
        <f>IFERROR(__xludf.DUMMYFUNCTION("GOOGLETRANSLATE($A1353,""en"",""pt-BR"")"),"Opava")</f>
        <v>Opava</v>
      </c>
    </row>
    <row r="1354">
      <c r="A1354" s="9" t="str">
        <f>IFERROR(__xludf.DUMMYFUNCTION("""COMPUTED_VALUE"""),"Ostrava-město")</f>
        <v>Ostrava-město</v>
      </c>
      <c r="B1354" s="9" t="str">
        <f>IFERROR(__xludf.DUMMYFUNCTION("""COMPUTED_VALUE"""),"cz-806")</f>
        <v>cz-806</v>
      </c>
      <c r="C1354" s="9" t="str">
        <f>IFERROR(__xludf.DUMMYFUNCTION("GOOGLETRANSLATE($A1354,""en"",""de"")"),"Ostrava-město")</f>
        <v>Ostrava-město</v>
      </c>
      <c r="D1354" s="9" t="str">
        <f>IFERROR(__xludf.DUMMYFUNCTION("GOOGLETRANSLATE($A1354,""en"",""fr"")"),"Ostrava-Město")</f>
        <v>Ostrava-Město</v>
      </c>
      <c r="E1354" s="9" t="str">
        <f>IFERROR(__xludf.DUMMYFUNCTION("GOOGLETRANSLATE($A1354,""en"",""es"")"),"Ostrava mesto")</f>
        <v>Ostrava mesto</v>
      </c>
      <c r="F1354" s="9" t="str">
        <f>IFERROR(__xludf.DUMMYFUNCTION("GOOGLETRANSLATE($A1354,""en"",""it"")"),"Ostrava-město")</f>
        <v>Ostrava-město</v>
      </c>
      <c r="G1354" s="9" t="str">
        <f>IFERROR(__xludf.DUMMYFUNCTION("GOOGLETRANSLATE($A1354,""en"",""zh-cn"")"),"俄斯特拉发城")</f>
        <v>俄斯特拉发城</v>
      </c>
      <c r="H1354" s="9" t="str">
        <f>IFERROR(__xludf.DUMMYFUNCTION("GOOGLETRANSLATE($A1354,""en"",""ja"")"),"オストラヴァ・メスト")</f>
        <v>オストラヴァ・メスト</v>
      </c>
      <c r="I1354" s="9" t="str">
        <f>IFERROR(__xludf.DUMMYFUNCTION("GOOGLETRANSLATE($A1354,""en"",""ko"")"),"오스트라바 메스토")</f>
        <v>오스트라바 메스토</v>
      </c>
      <c r="J1354" s="9" t="str">
        <f>IFERROR(__xludf.DUMMYFUNCTION("GOOGLETRANSLATE($A1354,""en"",""pt-BR"")"),"Ostrava-město")</f>
        <v>Ostrava-město</v>
      </c>
    </row>
    <row r="1355">
      <c r="A1355" s="9" t="str">
        <f>IFERROR(__xludf.DUMMYFUNCTION("""COMPUTED_VALUE"""),"Náchod")</f>
        <v>Náchod</v>
      </c>
      <c r="B1355" s="9" t="str">
        <f>IFERROR(__xludf.DUMMYFUNCTION("""COMPUTED_VALUE"""),"cz-523")</f>
        <v>cz-523</v>
      </c>
      <c r="C1355" s="9" t="str">
        <f>IFERROR(__xludf.DUMMYFUNCTION("GOOGLETRANSLATE($A1355,""en"",""de"")"),"Nachod")</f>
        <v>Nachod</v>
      </c>
      <c r="D1355" s="9" t="str">
        <f>IFERROR(__xludf.DUMMYFUNCTION("GOOGLETRANSLATE($A1355,""en"",""fr"")"),"Nachod")</f>
        <v>Nachod</v>
      </c>
      <c r="E1355" s="9" t="str">
        <f>IFERROR(__xludf.DUMMYFUNCTION("GOOGLETRANSLATE($A1355,""en"",""es"")"),"Nachod")</f>
        <v>Nachod</v>
      </c>
      <c r="F1355" s="9" t="str">
        <f>IFERROR(__xludf.DUMMYFUNCTION("GOOGLETRANSLATE($A1355,""en"",""it"")"),"Náchod")</f>
        <v>Náchod</v>
      </c>
      <c r="G1355" s="9" t="str">
        <f>IFERROR(__xludf.DUMMYFUNCTION("GOOGLETRANSLATE($A1355,""en"",""zh-cn"")"),"纳霍德")</f>
        <v>纳霍德</v>
      </c>
      <c r="H1355" s="9" t="str">
        <f>IFERROR(__xludf.DUMMYFUNCTION("GOOGLETRANSLATE($A1355,""en"",""ja"")"),"ナチョド")</f>
        <v>ナチョド</v>
      </c>
      <c r="I1355" s="9" t="str">
        <f>IFERROR(__xludf.DUMMYFUNCTION("GOOGLETRANSLATE($A1355,""en"",""ko"")"),"나호드")</f>
        <v>나호드</v>
      </c>
      <c r="J1355" s="9" t="str">
        <f>IFERROR(__xludf.DUMMYFUNCTION("GOOGLETRANSLATE($A1355,""en"",""pt-BR"")"),"Náchod")</f>
        <v>Náchod</v>
      </c>
    </row>
    <row r="1356">
      <c r="A1356" s="9" t="str">
        <f>IFERROR(__xludf.DUMMYFUNCTION("""COMPUTED_VALUE"""),"Nový Jičín")</f>
        <v>Nový Jičín</v>
      </c>
      <c r="B1356" s="9" t="str">
        <f>IFERROR(__xludf.DUMMYFUNCTION("""COMPUTED_VALUE"""),"cz-804")</f>
        <v>cz-804</v>
      </c>
      <c r="C1356" s="9" t="str">
        <f>IFERROR(__xludf.DUMMYFUNCTION("GOOGLETRANSLATE($A1356,""en"",""de"")"),"Nový Jičín")</f>
        <v>Nový Jičín</v>
      </c>
      <c r="D1356" s="9" t="str">
        <f>IFERROR(__xludf.DUMMYFUNCTION("GOOGLETRANSLATE($A1356,""en"",""fr"")"),"Nový Jičín")</f>
        <v>Nový Jičín</v>
      </c>
      <c r="E1356" s="9" t="str">
        <f>IFERROR(__xludf.DUMMYFUNCTION("GOOGLETRANSLATE($A1356,""en"",""es"")"),"Nový Jičín")</f>
        <v>Nový Jičín</v>
      </c>
      <c r="F1356" s="9" t="str">
        <f>IFERROR(__xludf.DUMMYFUNCTION("GOOGLETRANSLATE($A1356,""en"",""it"")"),"Nový Jičín")</f>
        <v>Nový Jičín</v>
      </c>
      <c r="G1356" s="9" t="str">
        <f>IFERROR(__xludf.DUMMYFUNCTION("GOOGLETRANSLATE($A1356,""en"",""zh-cn"")"),"新伊钦")</f>
        <v>新伊钦</v>
      </c>
      <c r="H1356" s="9" t="str">
        <f>IFERROR(__xludf.DUMMYFUNCTION("GOOGLETRANSLATE($A1356,""en"",""ja"")"),"ノヴィー・ジチン")</f>
        <v>ノヴィー・ジチン</v>
      </c>
      <c r="I1356" s="9" t="str">
        <f>IFERROR(__xludf.DUMMYFUNCTION("GOOGLETRANSLATE($A1356,""en"",""ko"")"),"노비 이친")</f>
        <v>노비 이친</v>
      </c>
      <c r="J1356" s="9" t="str">
        <f>IFERROR(__xludf.DUMMYFUNCTION("GOOGLETRANSLATE($A1356,""en"",""pt-BR"")"),"Nový Jičín")</f>
        <v>Nový Jičín</v>
      </c>
    </row>
    <row r="1357">
      <c r="A1357" s="9" t="str">
        <f>IFERROR(__xludf.DUMMYFUNCTION("""COMPUTED_VALUE"""),"Nymburk")</f>
        <v>Nymburk</v>
      </c>
      <c r="B1357" s="9" t="str">
        <f>IFERROR(__xludf.DUMMYFUNCTION("""COMPUTED_VALUE"""),"cz-208")</f>
        <v>cz-208</v>
      </c>
      <c r="C1357" s="9" t="str">
        <f>IFERROR(__xludf.DUMMYFUNCTION("GOOGLETRANSLATE($A1357,""en"",""de"")"),"Nymburk")</f>
        <v>Nymburk</v>
      </c>
      <c r="D1357" s="9" t="str">
        <f>IFERROR(__xludf.DUMMYFUNCTION("GOOGLETRANSLATE($A1357,""en"",""fr"")"),"Nymburk")</f>
        <v>Nymburk</v>
      </c>
      <c r="E1357" s="9" t="str">
        <f>IFERROR(__xludf.DUMMYFUNCTION("GOOGLETRANSLATE($A1357,""en"",""es"")"),"Nymburk")</f>
        <v>Nymburk</v>
      </c>
      <c r="F1357" s="9" t="str">
        <f>IFERROR(__xludf.DUMMYFUNCTION("GOOGLETRANSLATE($A1357,""en"",""it"")"),"Nymburk")</f>
        <v>Nymburk</v>
      </c>
      <c r="G1357" s="9" t="str">
        <f>IFERROR(__xludf.DUMMYFUNCTION("GOOGLETRANSLATE($A1357,""en"",""zh-cn"")"),"宁布尔克")</f>
        <v>宁布尔克</v>
      </c>
      <c r="H1357" s="9" t="str">
        <f>IFERROR(__xludf.DUMMYFUNCTION("GOOGLETRANSLATE($A1357,""en"",""ja"")"),"ニンブルク")</f>
        <v>ニンブルク</v>
      </c>
      <c r="I1357" s="9" t="str">
        <f>IFERROR(__xludf.DUMMYFUNCTION("GOOGLETRANSLATE($A1357,""en"",""ko"")"),"님부르크")</f>
        <v>님부르크</v>
      </c>
      <c r="J1357" s="9" t="str">
        <f>IFERROR(__xludf.DUMMYFUNCTION("GOOGLETRANSLATE($A1357,""en"",""pt-BR"")"),"Nymburk")</f>
        <v>Nymburk</v>
      </c>
    </row>
    <row r="1358">
      <c r="A1358" s="9" t="str">
        <f>IFERROR(__xludf.DUMMYFUNCTION("""COMPUTED_VALUE"""),"Olomouc")</f>
        <v>Olomouc</v>
      </c>
      <c r="B1358" s="9" t="str">
        <f>IFERROR(__xludf.DUMMYFUNCTION("""COMPUTED_VALUE"""),"cz-712")</f>
        <v>cz-712</v>
      </c>
      <c r="C1358" s="9" t="str">
        <f>IFERROR(__xludf.DUMMYFUNCTION("GOOGLETRANSLATE($A1358,""en"",""de"")"),"Olmütz")</f>
        <v>Olmütz</v>
      </c>
      <c r="D1358" s="9" t="str">
        <f>IFERROR(__xludf.DUMMYFUNCTION("GOOGLETRANSLATE($A1358,""en"",""fr"")"),"Olomouc")</f>
        <v>Olomouc</v>
      </c>
      <c r="E1358" s="9" t="str">
        <f>IFERROR(__xludf.DUMMYFUNCTION("GOOGLETRANSLATE($A1358,""en"",""es"")"),"Olomouc")</f>
        <v>Olomouc</v>
      </c>
      <c r="F1358" s="9" t="str">
        <f>IFERROR(__xludf.DUMMYFUNCTION("GOOGLETRANSLATE($A1358,""en"",""it"")"),"Olomouc")</f>
        <v>Olomouc</v>
      </c>
      <c r="G1358" s="9" t="str">
        <f>IFERROR(__xludf.DUMMYFUNCTION("GOOGLETRANSLATE($A1358,""en"",""zh-cn"")"),"奥洛穆茨")</f>
        <v>奥洛穆茨</v>
      </c>
      <c r="H1358" s="9" t="str">
        <f>IFERROR(__xludf.DUMMYFUNCTION("GOOGLETRANSLATE($A1358,""en"",""ja"")"),"オロモウツ")</f>
        <v>オロモウツ</v>
      </c>
      <c r="I1358" s="9" t="str">
        <f>IFERROR(__xludf.DUMMYFUNCTION("GOOGLETRANSLATE($A1358,""en"",""ko"")"),"올로모우츠")</f>
        <v>올로모우츠</v>
      </c>
      <c r="J1358" s="9" t="str">
        <f>IFERROR(__xludf.DUMMYFUNCTION("GOOGLETRANSLATE($A1358,""en"",""pt-BR"")"),"Olomouc")</f>
        <v>Olomouc</v>
      </c>
    </row>
    <row r="1359">
      <c r="A1359" s="9" t="str">
        <f>IFERROR(__xludf.DUMMYFUNCTION("""COMPUTED_VALUE"""),"Ústecký kraj")</f>
        <v>Ústecký kraj</v>
      </c>
      <c r="B1359" s="9" t="str">
        <f>IFERROR(__xludf.DUMMYFUNCTION("""COMPUTED_VALUE"""),"cz-us")</f>
        <v>cz-us</v>
      </c>
      <c r="C1359" s="9" t="str">
        <f>IFERROR(__xludf.DUMMYFUNCTION("GOOGLETRANSLATE($A1359,""en"",""de"")"),"Ústecký kraj")</f>
        <v>Ústecký kraj</v>
      </c>
      <c r="D1359" s="9" t="str">
        <f>IFERROR(__xludf.DUMMYFUNCTION("GOOGLETRANSLATE($A1359,""en"",""fr"")"),"Région d'Ústecký")</f>
        <v>Région d'Ústecký</v>
      </c>
      <c r="E1359" s="9" t="str">
        <f>IFERROR(__xludf.DUMMYFUNCTION("GOOGLETRANSLATE($A1359,""en"",""es"")"),"Región de Ústecký")</f>
        <v>Región de Ústecký</v>
      </c>
      <c r="F1359" s="9" t="str">
        <f>IFERROR(__xludf.DUMMYFUNCTION("GOOGLETRANSLATE($A1359,""en"",""it"")"),"Ústecký kraj")</f>
        <v>Ústecký kraj</v>
      </c>
      <c r="G1359" s="9" t="str">
        <f>IFERROR(__xludf.DUMMYFUNCTION("GOOGLETRANSLATE($A1359,""en"",""zh-cn"")"),"乌斯泰克州")</f>
        <v>乌斯泰克州</v>
      </c>
      <c r="H1359" s="9" t="str">
        <f>IFERROR(__xludf.DUMMYFUNCTION("GOOGLETRANSLATE($A1359,""en"",""ja"")"),"ウーステキー クライ")</f>
        <v>ウーステキー クライ</v>
      </c>
      <c r="I1359" s="9" t="str">
        <f>IFERROR(__xludf.DUMMYFUNCTION("GOOGLETRANSLATE($A1359,""en"",""ko"")"),"우스테키 크라이")</f>
        <v>우스테키 크라이</v>
      </c>
      <c r="J1359" s="9" t="str">
        <f>IFERROR(__xludf.DUMMYFUNCTION("GOOGLETRANSLATE($A1359,""en"",""pt-BR"")"),"Ústecký kraj")</f>
        <v>Ústecký kraj</v>
      </c>
    </row>
    <row r="1360">
      <c r="A1360" s="9" t="str">
        <f>IFERROR(__xludf.DUMMYFUNCTION("""COMPUTED_VALUE"""),"Vysočina (CZ-VY)")</f>
        <v>Vysočina (CZ-VY)</v>
      </c>
      <c r="B1360" s="9" t="str">
        <f>IFERROR(__xludf.DUMMYFUNCTION("""COMPUTED_VALUE"""),"cz-vy")</f>
        <v>cz-vy</v>
      </c>
      <c r="C1360" s="9" t="str">
        <f>IFERROR(__xludf.DUMMYFUNCTION("GOOGLETRANSLATE($A1360,""en"",""de"")"),"Vysočina (CZ-VY)")</f>
        <v>Vysočina (CZ-VY)</v>
      </c>
      <c r="D1360" s="9" t="str">
        <f>IFERROR(__xludf.DUMMYFUNCTION("GOOGLETRANSLATE($A1360,""en"",""fr"")"),"Vysočina (CZ-VY)")</f>
        <v>Vysočina (CZ-VY)</v>
      </c>
      <c r="E1360" s="9" t="str">
        <f>IFERROR(__xludf.DUMMYFUNCTION("GOOGLETRANSLATE($A1360,""en"",""es"")"),"Vysočina (CZ-VY)")</f>
        <v>Vysočina (CZ-VY)</v>
      </c>
      <c r="F1360" s="9" t="str">
        <f>IFERROR(__xludf.DUMMYFUNCTION("GOOGLETRANSLATE($A1360,""en"",""it"")"),"Vysocina (CZ-VY)")</f>
        <v>Vysocina (CZ-VY)</v>
      </c>
      <c r="G1360" s="9" t="str">
        <f>IFERROR(__xludf.DUMMYFUNCTION("GOOGLETRANSLATE($A1360,""en"",""zh-cn"")"),"维索基纳 (CZ-VY)")</f>
        <v>维索基纳 (CZ-VY)</v>
      </c>
      <c r="H1360" s="9" t="str">
        <f>IFERROR(__xludf.DUMMYFUNCTION("GOOGLETRANSLATE($A1360,""en"",""ja"")"),"ヴィソチナ (CZ-VY)")</f>
        <v>ヴィソチナ (CZ-VY)</v>
      </c>
      <c r="I1360" s="9" t="str">
        <f>IFERROR(__xludf.DUMMYFUNCTION("GOOGLETRANSLATE($A1360,""en"",""ko"")"),"비소치나 (CZ-VY)")</f>
        <v>비소치나 (CZ-VY)</v>
      </c>
      <c r="J1360" s="9" t="str">
        <f>IFERROR(__xludf.DUMMYFUNCTION("GOOGLETRANSLATE($A1360,""en"",""pt-BR"")"),"Vysočina (CZ-VY)")</f>
        <v>Vysočina (CZ-VY)</v>
      </c>
    </row>
    <row r="1361">
      <c r="A1361" s="9" t="str">
        <f>IFERROR(__xludf.DUMMYFUNCTION("""COMPUTED_VALUE"""),"Zlínský kraj")</f>
        <v>Zlínský kraj</v>
      </c>
      <c r="B1361" s="9" t="str">
        <f>IFERROR(__xludf.DUMMYFUNCTION("""COMPUTED_VALUE"""),"cz-zl")</f>
        <v>cz-zl</v>
      </c>
      <c r="C1361" s="9" t="str">
        <f>IFERROR(__xludf.DUMMYFUNCTION("GOOGLETRANSLATE($A1361,""en"",""de"")"),"Zlínský kraj")</f>
        <v>Zlínský kraj</v>
      </c>
      <c r="D1361" s="9" t="str">
        <f>IFERROR(__xludf.DUMMYFUNCTION("GOOGLETRANSLATE($A1361,""en"",""fr"")"),"Région de Zlín")</f>
        <v>Région de Zlín</v>
      </c>
      <c r="E1361" s="9" t="str">
        <f>IFERROR(__xludf.DUMMYFUNCTION("GOOGLETRANSLATE($A1361,""en"",""es"")"),"Región de Zlínský")</f>
        <v>Región de Zlínský</v>
      </c>
      <c r="F1361" s="9" t="str">
        <f>IFERROR(__xludf.DUMMYFUNCTION("GOOGLETRANSLATE($A1361,""en"",""it"")"),"Zlínský kraj")</f>
        <v>Zlínský kraj</v>
      </c>
      <c r="G1361" s="9" t="str">
        <f>IFERROR(__xludf.DUMMYFUNCTION("GOOGLETRANSLATE($A1361,""en"",""zh-cn"")"),"兹林州")</f>
        <v>兹林州</v>
      </c>
      <c r="H1361" s="9" t="str">
        <f>IFERROR(__xludf.DUMMYFUNCTION("GOOGLETRANSLATE($A1361,""en"",""ja"")"),"ズリンスキー・クライ")</f>
        <v>ズリンスキー・クライ</v>
      </c>
      <c r="I1361" s="9" t="str">
        <f>IFERROR(__xludf.DUMMYFUNCTION("GOOGLETRANSLATE($A1361,""en"",""ko"")"),"즐린스키 크라이")</f>
        <v>즐린스키 크라이</v>
      </c>
      <c r="J1361" s="9" t="str">
        <f>IFERROR(__xludf.DUMMYFUNCTION("GOOGLETRANSLATE($A1361,""en"",""pt-BR"")"),"Kraj de Zlínský")</f>
        <v>Kraj de Zlínský</v>
      </c>
    </row>
    <row r="1362">
      <c r="A1362" s="9" t="str">
        <f>IFERROR(__xludf.DUMMYFUNCTION("""COMPUTED_VALUE"""),"Benešov")</f>
        <v>Benešov</v>
      </c>
      <c r="B1362" s="9" t="str">
        <f>IFERROR(__xludf.DUMMYFUNCTION("""COMPUTED_VALUE"""),"cz-201")</f>
        <v>cz-201</v>
      </c>
      <c r="C1362" s="9" t="str">
        <f>IFERROR(__xludf.DUMMYFUNCTION("GOOGLETRANSLATE($A1362,""en"",""de"")"),"Benešov")</f>
        <v>Benešov</v>
      </c>
      <c r="D1362" s="9" t="str">
        <f>IFERROR(__xludf.DUMMYFUNCTION("GOOGLETRANSLATE($A1362,""en"",""fr"")"),"Benešov")</f>
        <v>Benešov</v>
      </c>
      <c r="E1362" s="9" t="str">
        <f>IFERROR(__xludf.DUMMYFUNCTION("GOOGLETRANSLATE($A1362,""en"",""es"")"),"Benešov")</f>
        <v>Benešov</v>
      </c>
      <c r="F1362" s="9" t="str">
        <f>IFERROR(__xludf.DUMMYFUNCTION("GOOGLETRANSLATE($A1362,""en"",""it"")"),"Benesov")</f>
        <v>Benesov</v>
      </c>
      <c r="G1362" s="9" t="str">
        <f>IFERROR(__xludf.DUMMYFUNCTION("GOOGLETRANSLATE($A1362,""en"",""zh-cn"")"),"贝内绍夫")</f>
        <v>贝内绍夫</v>
      </c>
      <c r="H1362" s="9" t="str">
        <f>IFERROR(__xludf.DUMMYFUNCTION("GOOGLETRANSLATE($A1362,""en"",""ja"")"),"ベネショフ")</f>
        <v>ベネショフ</v>
      </c>
      <c r="I1362" s="9" t="str">
        <f>IFERROR(__xludf.DUMMYFUNCTION("GOOGLETRANSLATE($A1362,""en"",""ko"")"),"베네쇼프")</f>
        <v>베네쇼프</v>
      </c>
      <c r="J1362" s="9" t="str">
        <f>IFERROR(__xludf.DUMMYFUNCTION("GOOGLETRANSLATE($A1362,""en"",""pt-BR"")"),"Benesov")</f>
        <v>Benesov</v>
      </c>
    </row>
    <row r="1363">
      <c r="A1363" s="9" t="str">
        <f>IFERROR(__xludf.DUMMYFUNCTION("""COMPUTED_VALUE"""),"Pardubický kraj")</f>
        <v>Pardubický kraj</v>
      </c>
      <c r="B1363" s="9" t="str">
        <f>IFERROR(__xludf.DUMMYFUNCTION("""COMPUTED_VALUE"""),"cz-pa")</f>
        <v>cz-pa</v>
      </c>
      <c r="C1363" s="9" t="str">
        <f>IFERROR(__xludf.DUMMYFUNCTION("GOOGLETRANSLATE($A1363,""en"",""de"")"),"Pardubický kraj")</f>
        <v>Pardubický kraj</v>
      </c>
      <c r="D1363" s="9" t="str">
        <f>IFERROR(__xludf.DUMMYFUNCTION("GOOGLETRANSLATE($A1363,""en"",""fr"")"),"Région de Pardubice")</f>
        <v>Région de Pardubice</v>
      </c>
      <c r="E1363" s="9" t="str">
        <f>IFERROR(__xludf.DUMMYFUNCTION("GOOGLETRANSLATE($A1363,""en"",""es"")"),"Kraj de Pardubický")</f>
        <v>Kraj de Pardubický</v>
      </c>
      <c r="F1363" s="9" t="str">
        <f>IFERROR(__xludf.DUMMYFUNCTION("GOOGLETRANSLATE($A1363,""en"",""it"")"),"Pardubický kraj")</f>
        <v>Pardubický kraj</v>
      </c>
      <c r="G1363" s="9" t="str">
        <f>IFERROR(__xludf.DUMMYFUNCTION("GOOGLETRANSLATE($A1363,""en"",""zh-cn"")"),"帕尔杜比茨州")</f>
        <v>帕尔杜比茨州</v>
      </c>
      <c r="H1363" s="9" t="str">
        <f>IFERROR(__xludf.DUMMYFUNCTION("GOOGLETRANSLATE($A1363,""en"",""ja"")"),"パルドゥビッキー クライ")</f>
        <v>パルドゥビッキー クライ</v>
      </c>
      <c r="I1363" s="9" t="str">
        <f>IFERROR(__xludf.DUMMYFUNCTION("GOOGLETRANSLATE($A1363,""en"",""ko"")"),"파르두비츠키 크라이")</f>
        <v>파르두비츠키 크라이</v>
      </c>
      <c r="J1363" s="9" t="str">
        <f>IFERROR(__xludf.DUMMYFUNCTION("GOOGLETRANSLATE($A1363,""en"",""pt-BR"")"),"Pardubický kraj")</f>
        <v>Pardubický kraj</v>
      </c>
    </row>
    <row r="1364">
      <c r="A1364" s="9" t="str">
        <f>IFERROR(__xludf.DUMMYFUNCTION("""COMPUTED_VALUE"""),"Plzeňský kraj")</f>
        <v>Plzeňský kraj</v>
      </c>
      <c r="B1364" s="9" t="str">
        <f>IFERROR(__xludf.DUMMYFUNCTION("""COMPUTED_VALUE"""),"cz-pl")</f>
        <v>cz-pl</v>
      </c>
      <c r="C1364" s="9" t="str">
        <f>IFERROR(__xludf.DUMMYFUNCTION("GOOGLETRANSLATE($A1364,""en"",""de"")"),"Plzeňský kraj")</f>
        <v>Plzeňský kraj</v>
      </c>
      <c r="D1364" s="9" t="str">
        <f>IFERROR(__xludf.DUMMYFUNCTION("GOOGLETRANSLATE($A1364,""en"",""fr"")"),"Région de Plzeň")</f>
        <v>Région de Plzeň</v>
      </c>
      <c r="E1364" s="9" t="str">
        <f>IFERROR(__xludf.DUMMYFUNCTION("GOOGLETRANSLATE($A1364,""en"",""es"")"),"Región de Pilsen")</f>
        <v>Región de Pilsen</v>
      </c>
      <c r="F1364" s="9" t="str">
        <f>IFERROR(__xludf.DUMMYFUNCTION("GOOGLETRANSLATE($A1364,""en"",""it"")"),"Plzeňský kraj")</f>
        <v>Plzeňský kraj</v>
      </c>
      <c r="G1364" s="9" t="str">
        <f>IFERROR(__xludf.DUMMYFUNCTION("GOOGLETRANSLATE($A1364,""en"",""zh-cn"")"),"比尔森州")</f>
        <v>比尔森州</v>
      </c>
      <c r="H1364" s="9" t="str">
        <f>IFERROR(__xludf.DUMMYFUNCTION("GOOGLETRANSLATE($A1364,""en"",""ja"")"),"プルゼニスキー・クライ")</f>
        <v>プルゼニスキー・クライ</v>
      </c>
      <c r="I1364" s="9" t="str">
        <f>IFERROR(__xludf.DUMMYFUNCTION("GOOGLETRANSLATE($A1364,""en"",""ko"")"),"플젠스키 크라이")</f>
        <v>플젠스키 크라이</v>
      </c>
      <c r="J1364" s="9" t="str">
        <f>IFERROR(__xludf.DUMMYFUNCTION("GOOGLETRANSLATE($A1364,""en"",""pt-BR"")"),"Kraj de Plzeňský")</f>
        <v>Kraj de Plzeňský</v>
      </c>
    </row>
    <row r="1365">
      <c r="A1365" s="9" t="str">
        <f>IFERROR(__xludf.DUMMYFUNCTION("""COMPUTED_VALUE"""),"Praha, hlavní město")</f>
        <v>Praha, hlavní město</v>
      </c>
      <c r="B1365" s="9" t="str">
        <f>IFERROR(__xludf.DUMMYFUNCTION("""COMPUTED_VALUE"""),"cz-pr")</f>
        <v>cz-pr</v>
      </c>
      <c r="C1365" s="9" t="str">
        <f>IFERROR(__xludf.DUMMYFUNCTION("GOOGLETRANSLATE($A1365,""en"",""de"")"),"Praha, hlavní město")</f>
        <v>Praha, hlavní město</v>
      </c>
      <c r="D1365" s="9" t="str">
        <f>IFERROR(__xludf.DUMMYFUNCTION("GOOGLETRANSLATE($A1365,""en"",""fr"")"),"Prague, hlavní město")</f>
        <v>Prague, hlavní město</v>
      </c>
      <c r="E1365" s="9" t="str">
        <f>IFERROR(__xludf.DUMMYFUNCTION("GOOGLETRANSLATE($A1365,""en"",""es"")"),"Praga, hlavní město")</f>
        <v>Praga, hlavní město</v>
      </c>
      <c r="F1365" s="9" t="str">
        <f>IFERROR(__xludf.DUMMYFUNCTION("GOOGLETRANSLATE($A1365,""en"",""it"")"),"Praha, hlavní město")</f>
        <v>Praha, hlavní město</v>
      </c>
      <c r="G1365" s="9" t="str">
        <f>IFERROR(__xludf.DUMMYFUNCTION("GOOGLETRANSLATE($A1365,""en"",""zh-cn"")"),"布拉格附近")</f>
        <v>布拉格附近</v>
      </c>
      <c r="H1365" s="9" t="str">
        <f>IFERROR(__xludf.DUMMYFUNCTION("GOOGLETRANSLATE($A1365,""en"",""ja"")"),"プラハ、フラヴニー・メスト")</f>
        <v>プラハ、フラヴニー・メスト</v>
      </c>
      <c r="I1365" s="9" t="str">
        <f>IFERROR(__xludf.DUMMYFUNCTION("GOOGLETRANSLATE($A1365,""en"",""ko"")"),"프라하, hlavní město")</f>
        <v>프라하, hlavní město</v>
      </c>
      <c r="J1365" s="9" t="str">
        <f>IFERROR(__xludf.DUMMYFUNCTION("GOOGLETRANSLATE($A1365,""en"",""pt-BR"")"),"Praga, hlavní město")</f>
        <v>Praga, hlavní město</v>
      </c>
    </row>
    <row r="1366">
      <c r="A1366" s="9" t="str">
        <f>IFERROR(__xludf.DUMMYFUNCTION("""COMPUTED_VALUE"""),"Středočeský kraj")</f>
        <v>Středočeský kraj</v>
      </c>
      <c r="B1366" s="9" t="str">
        <f>IFERROR(__xludf.DUMMYFUNCTION("""COMPUTED_VALUE"""),"cz-st")</f>
        <v>cz-st</v>
      </c>
      <c r="C1366" s="9" t="str">
        <f>IFERROR(__xludf.DUMMYFUNCTION("GOOGLETRANSLATE($A1366,""en"",""de"")"),"Středočeský kraj")</f>
        <v>Středočeský kraj</v>
      </c>
      <c r="D1366" s="9" t="str">
        <f>IFERROR(__xludf.DUMMYFUNCTION("GOOGLETRANSLATE($A1366,""en"",""fr"")"),"Région de Středočeský")</f>
        <v>Région de Středočeský</v>
      </c>
      <c r="E1366" s="9" t="str">
        <f>IFERROR(__xludf.DUMMYFUNCTION("GOOGLETRANSLATE($A1366,""en"",""es"")"),"Región de Středočeský")</f>
        <v>Región de Středočeský</v>
      </c>
      <c r="F1366" s="9" t="str">
        <f>IFERROR(__xludf.DUMMYFUNCTION("GOOGLETRANSLATE($A1366,""en"",""it"")"),"Středočeský kraj")</f>
        <v>Středočeský kraj</v>
      </c>
      <c r="G1366" s="9" t="str">
        <f>IFERROR(__xludf.DUMMYFUNCTION("GOOGLETRANSLATE($A1366,""en"",""zh-cn"")"),"斯特热多切州")</f>
        <v>斯特热多切州</v>
      </c>
      <c r="H1366" s="9" t="str">
        <f>IFERROR(__xludf.DUMMYFUNCTION("GOOGLETRANSLATE($A1366,""en"",""ja"")"),"ストシェドチェスキー クライ")</f>
        <v>ストシェドチェスキー クライ</v>
      </c>
      <c r="I1366" s="9" t="str">
        <f>IFERROR(__xludf.DUMMYFUNCTION("GOOGLETRANSLATE($A1366,""en"",""ko"")"),"스트레도체스키 크라이")</f>
        <v>스트레도체스키 크라이</v>
      </c>
      <c r="J1366" s="9" t="str">
        <f>IFERROR(__xludf.DUMMYFUNCTION("GOOGLETRANSLATE($A1366,""en"",""pt-BR"")"),"Kraj de Středočeský")</f>
        <v>Kraj de Středočeský</v>
      </c>
    </row>
    <row r="1367">
      <c r="A1367" s="9" t="str">
        <f>IFERROR(__xludf.DUMMYFUNCTION("""COMPUTED_VALUE"""),"Královéhradecký kraj (CZ-KR)")</f>
        <v>Královéhradecký kraj (CZ-KR)</v>
      </c>
      <c r="B1367" s="9" t="str">
        <f>IFERROR(__xludf.DUMMYFUNCTION("""COMPUTED_VALUE"""),"cz-kr")</f>
        <v>cz-kr</v>
      </c>
      <c r="C1367" s="9" t="str">
        <f>IFERROR(__xludf.DUMMYFUNCTION("GOOGLETRANSLATE($A1367,""en"",""de"")"),"Královéhradecký kraj (CZ-KR)")</f>
        <v>Královéhradecký kraj (CZ-KR)</v>
      </c>
      <c r="D1367" s="9" t="str">
        <f>IFERROR(__xludf.DUMMYFUNCTION("GOOGLETRANSLATE($A1367,""en"",""fr"")"),"Région de Kralovéhradecký (CZ-KR)")</f>
        <v>Région de Kralovéhradecký (CZ-KR)</v>
      </c>
      <c r="E1367" s="9" t="str">
        <f>IFERROR(__xludf.DUMMYFUNCTION("GOOGLETRANSLATE($A1367,""en"",""es"")"),"Královéhradecký kraj (CZ-KR)")</f>
        <v>Královéhradecký kraj (CZ-KR)</v>
      </c>
      <c r="F1367" s="9" t="str">
        <f>IFERROR(__xludf.DUMMYFUNCTION("GOOGLETRANSLATE($A1367,""en"",""it"")"),"Kralovéhradecký kraj (CZ-KR)")</f>
        <v>Kralovéhradecký kraj (CZ-KR)</v>
      </c>
      <c r="G1367" s="9" t="str">
        <f>IFERROR(__xludf.DUMMYFUNCTION("GOOGLETRANSLATE($A1367,""en"",""zh-cn"")"),"克拉洛韦赫拉德茨州 (CZ-KR)")</f>
        <v>克拉洛韦赫拉德茨州 (CZ-KR)</v>
      </c>
      <c r="H1367" s="9" t="str">
        <f>IFERROR(__xludf.DUMMYFUNCTION("GOOGLETRANSLATE($A1367,""en"",""ja"")"),"クラロヴェフラデツキー クライ (CZ-KR)")</f>
        <v>クラロヴェフラデツキー クライ (CZ-KR)</v>
      </c>
      <c r="I1367" s="9" t="str">
        <f>IFERROR(__xludf.DUMMYFUNCTION("GOOGLETRANSLATE($A1367,""en"",""ko"")"),"크랄로베흐라데츠키 크라이(CZ-KR)")</f>
        <v>크랄로베흐라데츠키 크라이(CZ-KR)</v>
      </c>
      <c r="J1367" s="9" t="str">
        <f>IFERROR(__xludf.DUMMYFUNCTION("GOOGLETRANSLATE($A1367,""en"",""pt-BR"")"),"Královéhradecký kraj (CZ-KR)")</f>
        <v>Královéhradecký kraj (CZ-KR)</v>
      </c>
    </row>
    <row r="1368">
      <c r="A1368" s="9" t="str">
        <f>IFERROR(__xludf.DUMMYFUNCTION("""COMPUTED_VALUE"""),"Liberecký kraj")</f>
        <v>Liberecký kraj</v>
      </c>
      <c r="B1368" s="9" t="str">
        <f>IFERROR(__xludf.DUMMYFUNCTION("""COMPUTED_VALUE"""),"cz-li")</f>
        <v>cz-li</v>
      </c>
      <c r="C1368" s="9" t="str">
        <f>IFERROR(__xludf.DUMMYFUNCTION("GOOGLETRANSLATE($A1368,""en"",""de"")"),"Liberecký kraj")</f>
        <v>Liberecký kraj</v>
      </c>
      <c r="D1368" s="9" t="str">
        <f>IFERROR(__xludf.DUMMYFUNCTION("GOOGLETRANSLATE($A1368,""en"",""fr"")"),"Région de Liberecký")</f>
        <v>Région de Liberecký</v>
      </c>
      <c r="E1368" s="9" t="str">
        <f>IFERROR(__xludf.DUMMYFUNCTION("GOOGLETRANSLATE($A1368,""en"",""es"")"),"Kraj de Liberecký")</f>
        <v>Kraj de Liberecký</v>
      </c>
      <c r="F1368" s="9" t="str">
        <f>IFERROR(__xludf.DUMMYFUNCTION("GOOGLETRANSLATE($A1368,""en"",""it"")"),"Liberecký kraj")</f>
        <v>Liberecký kraj</v>
      </c>
      <c r="G1368" s="9" t="str">
        <f>IFERROR(__xludf.DUMMYFUNCTION("GOOGLETRANSLATE($A1368,""en"",""zh-cn"")"),"自由州")</f>
        <v>自由州</v>
      </c>
      <c r="H1368" s="9" t="str">
        <f>IFERROR(__xludf.DUMMYFUNCTION("GOOGLETRANSLATE($A1368,""en"",""ja"")"),"リベレッキー クライ")</f>
        <v>リベレッキー クライ</v>
      </c>
      <c r="I1368" s="9" t="str">
        <f>IFERROR(__xludf.DUMMYFUNCTION("GOOGLETRANSLATE($A1368,""en"",""ko"")"),"리베레츠키 크라이")</f>
        <v>리베레츠키 크라이</v>
      </c>
      <c r="J1368" s="9" t="str">
        <f>IFERROR(__xludf.DUMMYFUNCTION("GOOGLETRANSLATE($A1368,""en"",""pt-BR"")"),"Liberecký kraj")</f>
        <v>Liberecký kraj</v>
      </c>
    </row>
    <row r="1369">
      <c r="A1369" s="9" t="str">
        <f>IFERROR(__xludf.DUMMYFUNCTION("""COMPUTED_VALUE"""),"Moravskoslezský kraj")</f>
        <v>Moravskoslezský kraj</v>
      </c>
      <c r="B1369" s="9" t="str">
        <f>IFERROR(__xludf.DUMMYFUNCTION("""COMPUTED_VALUE"""),"cz-mo")</f>
        <v>cz-mo</v>
      </c>
      <c r="C1369" s="9" t="str">
        <f>IFERROR(__xludf.DUMMYFUNCTION("GOOGLETRANSLATE($A1369,""en"",""de"")"),"Moravskoslezský kraj")</f>
        <v>Moravskoslezský kraj</v>
      </c>
      <c r="D1369" s="9" t="str">
        <f>IFERROR(__xludf.DUMMYFUNCTION("GOOGLETRANSLATE($A1369,""en"",""fr"")"),"Moravie-Silésie")</f>
        <v>Moravie-Silésie</v>
      </c>
      <c r="E1369" s="9" t="str">
        <f>IFERROR(__xludf.DUMMYFUNCTION("GOOGLETRANSLATE($A1369,""en"",""es"")"),"Región de Moravskoslezský")</f>
        <v>Región de Moravskoslezský</v>
      </c>
      <c r="F1369" s="9" t="str">
        <f>IFERROR(__xludf.DUMMYFUNCTION("GOOGLETRANSLATE($A1369,""en"",""it"")"),"Moravskoslezský kraj")</f>
        <v>Moravskoslezský kraj</v>
      </c>
      <c r="G1369" s="9" t="str">
        <f>IFERROR(__xludf.DUMMYFUNCTION("GOOGLETRANSLATE($A1369,""en"",""zh-cn"")"),"摩拉维亚州")</f>
        <v>摩拉维亚州</v>
      </c>
      <c r="H1369" s="9" t="str">
        <f>IFERROR(__xludf.DUMMYFUNCTION("GOOGLETRANSLATE($A1369,""en"",""ja"")"),"モラフスコスレスキー・クライ")</f>
        <v>モラフスコスレスキー・クライ</v>
      </c>
      <c r="I1369" s="9" t="str">
        <f>IFERROR(__xludf.DUMMYFUNCTION("GOOGLETRANSLATE($A1369,""en"",""ko"")"),"모라프스코슬레즈스키 크라이")</f>
        <v>모라프스코슬레즈스키 크라이</v>
      </c>
      <c r="J1369" s="9" t="str">
        <f>IFERROR(__xludf.DUMMYFUNCTION("GOOGLETRANSLATE($A1369,""en"",""pt-BR"")"),"Kraj de Moravskoslezský")</f>
        <v>Kraj de Moravskoslezský</v>
      </c>
    </row>
    <row r="1370">
      <c r="A1370" s="9" t="str">
        <f>IFERROR(__xludf.DUMMYFUNCTION("""COMPUTED_VALUE"""),"Olomoucký kraj")</f>
        <v>Olomoucký kraj</v>
      </c>
      <c r="B1370" s="9" t="str">
        <f>IFERROR(__xludf.DUMMYFUNCTION("""COMPUTED_VALUE"""),"cz-ol")</f>
        <v>cz-ol</v>
      </c>
      <c r="C1370" s="9" t="str">
        <f>IFERROR(__xludf.DUMMYFUNCTION("GOOGLETRANSLATE($A1370,""en"",""de"")"),"Olomoucký kraj")</f>
        <v>Olomoucký kraj</v>
      </c>
      <c r="D1370" s="9" t="str">
        <f>IFERROR(__xludf.DUMMYFUNCTION("GOOGLETRANSLATE($A1370,""en"",""fr"")"),"Région d'Olomoucký")</f>
        <v>Région d'Olomoucký</v>
      </c>
      <c r="E1370" s="9" t="str">
        <f>IFERROR(__xludf.DUMMYFUNCTION("GOOGLETRANSLATE($A1370,""en"",""es"")"),"Región de Olomouc")</f>
        <v>Región de Olomouc</v>
      </c>
      <c r="F1370" s="9" t="str">
        <f>IFERROR(__xludf.DUMMYFUNCTION("GOOGLETRANSLATE($A1370,""en"",""it"")"),"Olomoucký kraj")</f>
        <v>Olomoucký kraj</v>
      </c>
      <c r="G1370" s="9" t="str">
        <f>IFERROR(__xludf.DUMMYFUNCTION("GOOGLETRANSLATE($A1370,""en"",""zh-cn"")"),"奥洛穆茨州")</f>
        <v>奥洛穆茨州</v>
      </c>
      <c r="H1370" s="9" t="str">
        <f>IFERROR(__xludf.DUMMYFUNCTION("GOOGLETRANSLATE($A1370,""en"",""ja"")"),"オロモウッキークライ")</f>
        <v>オロモウッキークライ</v>
      </c>
      <c r="I1370" s="9" t="str">
        <f>IFERROR(__xludf.DUMMYFUNCTION("GOOGLETRANSLATE($A1370,""en"",""ko"")"),"올로모우츠키 크라이")</f>
        <v>올로모우츠키 크라이</v>
      </c>
      <c r="J1370" s="9" t="str">
        <f>IFERROR(__xludf.DUMMYFUNCTION("GOOGLETRANSLATE($A1370,""en"",""pt-BR"")"),"Olomoucký kraj")</f>
        <v>Olomoucký kraj</v>
      </c>
    </row>
    <row r="1371">
      <c r="A1371" s="9" t="str">
        <f>IFERROR(__xludf.DUMMYFUNCTION("""COMPUTED_VALUE"""),"Jihočeský kraj")</f>
        <v>Jihočeský kraj</v>
      </c>
      <c r="B1371" s="9" t="str">
        <f>IFERROR(__xludf.DUMMYFUNCTION("""COMPUTED_VALUE"""),"cz-jc")</f>
        <v>cz-jc</v>
      </c>
      <c r="C1371" s="9" t="str">
        <f>IFERROR(__xludf.DUMMYFUNCTION("GOOGLETRANSLATE($A1371,""en"",""de"")"),"Jihočeský kraj")</f>
        <v>Jihočeský kraj</v>
      </c>
      <c r="D1371" s="9" t="str">
        <f>IFERROR(__xludf.DUMMYFUNCTION("GOOGLETRANSLATE($A1371,""en"",""fr"")"),"Région de Jihočeský")</f>
        <v>Région de Jihočeský</v>
      </c>
      <c r="E1371" s="9" t="str">
        <f>IFERROR(__xludf.DUMMYFUNCTION("GOOGLETRANSLATE($A1371,""en"",""es"")"),"Región de Jihočeský")</f>
        <v>Región de Jihočeský</v>
      </c>
      <c r="F1371" s="9" t="str">
        <f>IFERROR(__xludf.DUMMYFUNCTION("GOOGLETRANSLATE($A1371,""en"",""it"")"),"Jihočeský kraj")</f>
        <v>Jihočeský kraj</v>
      </c>
      <c r="G1371" s="9" t="str">
        <f>IFERROR(__xludf.DUMMYFUNCTION("GOOGLETRANSLATE($A1371,""en"",""zh-cn"")"),"吉霍捷克州")</f>
        <v>吉霍捷克州</v>
      </c>
      <c r="H1371" s="9" t="str">
        <f>IFERROR(__xludf.DUMMYFUNCTION("GOOGLETRANSLATE($A1371,""en"",""ja"")"),"ジホチェスキー クライ")</f>
        <v>ジホチェスキー クライ</v>
      </c>
      <c r="I1371" s="9" t="str">
        <f>IFERROR(__xludf.DUMMYFUNCTION("GOOGLETRANSLATE($A1371,""en"",""ko"")"),"이호체스키 크라이")</f>
        <v>이호체스키 크라이</v>
      </c>
      <c r="J1371" s="9" t="str">
        <f>IFERROR(__xludf.DUMMYFUNCTION("GOOGLETRANSLATE($A1371,""en"",""pt-BR"")"),"Jihočeský kraj")</f>
        <v>Jihočeský kraj</v>
      </c>
    </row>
    <row r="1372">
      <c r="A1372" s="9" t="str">
        <f>IFERROR(__xludf.DUMMYFUNCTION("""COMPUTED_VALUE"""),"Jihomoravský kraj (CZ-JM)")</f>
        <v>Jihomoravský kraj (CZ-JM)</v>
      </c>
      <c r="B1372" s="9" t="str">
        <f>IFERROR(__xludf.DUMMYFUNCTION("""COMPUTED_VALUE"""),"cz-jm")</f>
        <v>cz-jm</v>
      </c>
      <c r="C1372" s="9" t="str">
        <f>IFERROR(__xludf.DUMMYFUNCTION("GOOGLETRANSLATE($A1372,""en"",""de"")"),"Jihomoravský kraj (CZ-JM)")</f>
        <v>Jihomoravský kraj (CZ-JM)</v>
      </c>
      <c r="D1372" s="9" t="str">
        <f>IFERROR(__xludf.DUMMYFUNCTION("GOOGLETRANSLATE($A1372,""en"",""fr"")"),"Jihomoravský kraj (CZ-JM)")</f>
        <v>Jihomoravský kraj (CZ-JM)</v>
      </c>
      <c r="E1372" s="9" t="str">
        <f>IFERROR(__xludf.DUMMYFUNCTION("GOOGLETRANSLATE($A1372,""en"",""es"")"),"Jihomoravský kraj (CZ-JM)")</f>
        <v>Jihomoravský kraj (CZ-JM)</v>
      </c>
      <c r="F1372" s="9" t="str">
        <f>IFERROR(__xludf.DUMMYFUNCTION("GOOGLETRANSLATE($A1372,""en"",""it"")"),"Jihomoravský kraj (CZ-JM)")</f>
        <v>Jihomoravský kraj (CZ-JM)</v>
      </c>
      <c r="G1372" s="9" t="str">
        <f>IFERROR(__xludf.DUMMYFUNCTION("GOOGLETRANSLATE($A1372,""en"",""zh-cn"")"),"吉霍莫拉夫州 (CZ-JM)")</f>
        <v>吉霍莫拉夫州 (CZ-JM)</v>
      </c>
      <c r="H1372" s="9" t="str">
        <f>IFERROR(__xludf.DUMMYFUNCTION("GOOGLETRANSLATE($A1372,""en"",""ja"")"),"ジホモラフスキー クライ (CZ-JM)")</f>
        <v>ジホモラフスキー クライ (CZ-JM)</v>
      </c>
      <c r="I1372" s="9" t="str">
        <f>IFERROR(__xludf.DUMMYFUNCTION("GOOGLETRANSLATE($A1372,""en"",""ko"")"),"이호모라프스키 크라이 (CZ-JM)")</f>
        <v>이호모라프스키 크라이 (CZ-JM)</v>
      </c>
      <c r="J1372" s="9" t="str">
        <f>IFERROR(__xludf.DUMMYFUNCTION("GOOGLETRANSLATE($A1372,""en"",""pt-BR"")"),"Jihomoravský kraj (CZ-JM)")</f>
        <v>Jihomoravský kraj (CZ-JM)</v>
      </c>
    </row>
    <row r="1373">
      <c r="A1373" s="9" t="str">
        <f>IFERROR(__xludf.DUMMYFUNCTION("""COMPUTED_VALUE"""),"Karlovarský kraj")</f>
        <v>Karlovarský kraj</v>
      </c>
      <c r="B1373" s="9" t="str">
        <f>IFERROR(__xludf.DUMMYFUNCTION("""COMPUTED_VALUE"""),"cz-ka")</f>
        <v>cz-ka</v>
      </c>
      <c r="C1373" s="9" t="str">
        <f>IFERROR(__xludf.DUMMYFUNCTION("GOOGLETRANSLATE($A1373,""en"",""de"")"),"Karlovarský kraj")</f>
        <v>Karlovarský kraj</v>
      </c>
      <c r="D1373" s="9" t="str">
        <f>IFERROR(__xludf.DUMMYFUNCTION("GOOGLETRANSLATE($A1373,""en"",""fr"")"),"Région de Karlovarský")</f>
        <v>Région de Karlovarský</v>
      </c>
      <c r="E1373" s="9" t="str">
        <f>IFERROR(__xludf.DUMMYFUNCTION("GOOGLETRANSLATE($A1373,""en"",""es"")"),"Kraj de Karlovarsk")</f>
        <v>Kraj de Karlovarsk</v>
      </c>
      <c r="F1373" s="9" t="str">
        <f>IFERROR(__xludf.DUMMYFUNCTION("GOOGLETRANSLATE($A1373,""en"",""it"")"),"Karlovarský kraj")</f>
        <v>Karlovarský kraj</v>
      </c>
      <c r="G1373" s="9" t="str">
        <f>IFERROR(__xludf.DUMMYFUNCTION("GOOGLETRANSLATE($A1373,""en"",""zh-cn"")"),"卡洛瓦尔州")</f>
        <v>卡洛瓦尔州</v>
      </c>
      <c r="H1373" s="9" t="str">
        <f>IFERROR(__xludf.DUMMYFUNCTION("GOOGLETRANSLATE($A1373,""en"",""ja"")"),"カルロヴァルスキー クライ")</f>
        <v>カルロヴァルスキー クライ</v>
      </c>
      <c r="I1373" s="9" t="str">
        <f>IFERROR(__xludf.DUMMYFUNCTION("GOOGLETRANSLATE($A1373,""en"",""ko"")"),"카를로바르스키 크라이")</f>
        <v>카를로바르스키 크라이</v>
      </c>
      <c r="J1373" s="9" t="str">
        <f>IFERROR(__xludf.DUMMYFUNCTION("GOOGLETRANSLATE($A1373,""en"",""pt-BR"")"),"Kraj de Karlovarský")</f>
        <v>Kraj de Karlovarský</v>
      </c>
    </row>
    <row r="1374">
      <c r="A1374" s="9" t="str">
        <f>IFERROR(__xludf.DUMMYFUNCTION("""COMPUTED_VALUE"""),"Beroun")</f>
        <v>Beroun</v>
      </c>
      <c r="B1374" s="9" t="str">
        <f>IFERROR(__xludf.DUMMYFUNCTION("""COMPUTED_VALUE"""),"cz-202")</f>
        <v>cz-202</v>
      </c>
      <c r="C1374" s="9" t="str">
        <f>IFERROR(__xludf.DUMMYFUNCTION("GOOGLETRANSLATE($A1374,""en"",""de"")"),"Beraun")</f>
        <v>Beraun</v>
      </c>
      <c r="D1374" s="9" t="str">
        <f>IFERROR(__xludf.DUMMYFUNCTION("GOOGLETRANSLATE($A1374,""en"",""fr"")"),"Béroun")</f>
        <v>Béroun</v>
      </c>
      <c r="E1374" s="9" t="str">
        <f>IFERROR(__xludf.DUMMYFUNCTION("GOOGLETRANSLATE($A1374,""en"",""es"")"),"Beroun")</f>
        <v>Beroun</v>
      </c>
      <c r="F1374" s="9" t="str">
        <f>IFERROR(__xludf.DUMMYFUNCTION("GOOGLETRANSLATE($A1374,""en"",""it"")"),"Berun")</f>
        <v>Berun</v>
      </c>
      <c r="G1374" s="9" t="str">
        <f>IFERROR(__xludf.DUMMYFUNCTION("GOOGLETRANSLATE($A1374,""en"",""zh-cn"")"),"贝龙")</f>
        <v>贝龙</v>
      </c>
      <c r="H1374" s="9" t="str">
        <f>IFERROR(__xludf.DUMMYFUNCTION("GOOGLETRANSLATE($A1374,""en"",""ja"")"),"ベローン")</f>
        <v>ベローン</v>
      </c>
      <c r="I1374" s="9" t="str">
        <f>IFERROR(__xludf.DUMMYFUNCTION("GOOGLETRANSLATE($A1374,""en"",""ko"")"),"베로운")</f>
        <v>베로운</v>
      </c>
      <c r="J1374" s="9" t="str">
        <f>IFERROR(__xludf.DUMMYFUNCTION("GOOGLETRANSLATE($A1374,""en"",""pt-BR"")"),"Beroun")</f>
        <v>Beroun</v>
      </c>
    </row>
    <row r="1375">
      <c r="A1375" s="9" t="str">
        <f>IFERROR(__xludf.DUMMYFUNCTION("""COMPUTED_VALUE"""),"Blansko (CZ-621)")</f>
        <v>Blansko (CZ-621)</v>
      </c>
      <c r="B1375" s="9" t="str">
        <f>IFERROR(__xludf.DUMMYFUNCTION("""COMPUTED_VALUE"""),"cz-621")</f>
        <v>cz-621</v>
      </c>
      <c r="C1375" s="9" t="str">
        <f>IFERROR(__xludf.DUMMYFUNCTION("GOOGLETRANSLATE($A1375,""en"",""de"")"),"Blansko (CZ-621)")</f>
        <v>Blansko (CZ-621)</v>
      </c>
      <c r="D1375" s="9" t="str">
        <f>IFERROR(__xludf.DUMMYFUNCTION("GOOGLETRANSLATE($A1375,""en"",""fr"")"),"Blansko (CZ-621)")</f>
        <v>Blansko (CZ-621)</v>
      </c>
      <c r="E1375" s="9" t="str">
        <f>IFERROR(__xludf.DUMMYFUNCTION("GOOGLETRANSLATE($A1375,""en"",""es"")"),"Blansko (CZ-621)")</f>
        <v>Blansko (CZ-621)</v>
      </c>
      <c r="F1375" s="9" t="str">
        <f>IFERROR(__xludf.DUMMYFUNCTION("GOOGLETRANSLATE($A1375,""en"",""it"")"),"Blansko (CZ-621)")</f>
        <v>Blansko (CZ-621)</v>
      </c>
      <c r="G1375" s="9" t="str">
        <f>IFERROR(__xludf.DUMMYFUNCTION("GOOGLETRANSLATE($A1375,""en"",""zh-cn"")"),"布兰斯科 (CZ-621)")</f>
        <v>布兰斯科 (CZ-621)</v>
      </c>
      <c r="H1375" s="9" t="str">
        <f>IFERROR(__xludf.DUMMYFUNCTION("GOOGLETRANSLATE($A1375,""en"",""ja"")"),"ブランスコ (CZ-621)")</f>
        <v>ブランスコ (CZ-621)</v>
      </c>
      <c r="I1375" s="9" t="str">
        <f>IFERROR(__xludf.DUMMYFUNCTION("GOOGLETRANSLATE($A1375,""en"",""ko"")"),"블란스코 (CZ-621)")</f>
        <v>블란스코 (CZ-621)</v>
      </c>
      <c r="J1375" s="9" t="str">
        <f>IFERROR(__xludf.DUMMYFUNCTION("GOOGLETRANSLATE($A1375,""en"",""pt-BR"")"),"Blansko (CZ-621)")</f>
        <v>Blansko (CZ-621)</v>
      </c>
    </row>
    <row r="1376">
      <c r="A1376" s="9" t="str">
        <f>IFERROR(__xludf.DUMMYFUNCTION("""COMPUTED_VALUE"""),"Brno-město (CZ-622)")</f>
        <v>Brno-město (CZ-622)</v>
      </c>
      <c r="B1376" s="9" t="str">
        <f>IFERROR(__xludf.DUMMYFUNCTION("""COMPUTED_VALUE"""),"cz-622")</f>
        <v>cz-622</v>
      </c>
      <c r="C1376" s="9" t="str">
        <f>IFERROR(__xludf.DUMMYFUNCTION("GOOGLETRANSLATE($A1376,""en"",""de"")"),"Brno-město (CZ-622)")</f>
        <v>Brno-město (CZ-622)</v>
      </c>
      <c r="D1376" s="9" t="str">
        <f>IFERROR(__xludf.DUMMYFUNCTION("GOOGLETRANSLATE($A1376,""en"",""fr"")"),"Brno-mesto (CZ-622)")</f>
        <v>Brno-mesto (CZ-622)</v>
      </c>
      <c r="E1376" s="9" t="str">
        <f>IFERROR(__xludf.DUMMYFUNCTION("GOOGLETRANSLATE($A1376,""en"",""es"")"),"Brno-město (CZ-622)")</f>
        <v>Brno-město (CZ-622)</v>
      </c>
      <c r="F1376" s="9" t="str">
        <f>IFERROR(__xludf.DUMMYFUNCTION("GOOGLETRANSLATE($A1376,""en"",""it"")"),"Brno-Město (CZ-622)")</f>
        <v>Brno-Město (CZ-622)</v>
      </c>
      <c r="G1376" s="9" t="str">
        <f>IFERROR(__xludf.DUMMYFUNCTION("GOOGLETRANSLATE($A1376,""en"",""zh-cn"")"),"布尔诺梅斯托 (CZ-622)")</f>
        <v>布尔诺梅斯托 (CZ-622)</v>
      </c>
      <c r="H1376" s="9" t="str">
        <f>IFERROR(__xludf.DUMMYFUNCTION("GOOGLETRANSLATE($A1376,""en"",""ja"")"),"ブルノミェスト (CZ-622)")</f>
        <v>ブルノミェスト (CZ-622)</v>
      </c>
      <c r="I1376" s="9" t="str">
        <f>IFERROR(__xludf.DUMMYFUNCTION("GOOGLETRANSLATE($A1376,""en"",""ko"")"),"브르노메스토 (CZ-622)")</f>
        <v>브르노메스토 (CZ-622)</v>
      </c>
      <c r="J1376" s="9" t="str">
        <f>IFERROR(__xludf.DUMMYFUNCTION("GOOGLETRANSLATE($A1376,""en"",""pt-BR"")"),"Brno-mesto (CZ-622)")</f>
        <v>Brno-mesto (CZ-622)</v>
      </c>
    </row>
    <row r="1377">
      <c r="A1377" s="9" t="str">
        <f>IFERROR(__xludf.DUMMYFUNCTION("""COMPUTED_VALUE"""),"Brno-venkov (CZ-623)")</f>
        <v>Brno-venkov (CZ-623)</v>
      </c>
      <c r="B1377" s="9" t="str">
        <f>IFERROR(__xludf.DUMMYFUNCTION("""COMPUTED_VALUE"""),"cz-623")</f>
        <v>cz-623</v>
      </c>
      <c r="C1377" s="9" t="str">
        <f>IFERROR(__xludf.DUMMYFUNCTION("GOOGLETRANSLATE($A1377,""en"",""de"")"),"Brno-venkov (CZ-623)")</f>
        <v>Brno-venkov (CZ-623)</v>
      </c>
      <c r="D1377" s="9" t="str">
        <f>IFERROR(__xludf.DUMMYFUNCTION("GOOGLETRANSLATE($A1377,""en"",""fr"")"),"Brno-venkov (CZ-623)")</f>
        <v>Brno-venkov (CZ-623)</v>
      </c>
      <c r="E1377" s="9" t="str">
        <f>IFERROR(__xludf.DUMMYFUNCTION("GOOGLETRANSLATE($A1377,""en"",""es"")"),"Brno-venkov (CZ-623)")</f>
        <v>Brno-venkov (CZ-623)</v>
      </c>
      <c r="F1377" s="9" t="str">
        <f>IFERROR(__xludf.DUMMYFUNCTION("GOOGLETRANSLATE($A1377,""en"",""it"")"),"Brno-venkov (CZ-623)")</f>
        <v>Brno-venkov (CZ-623)</v>
      </c>
      <c r="G1377" s="9" t="str">
        <f>IFERROR(__xludf.DUMMYFUNCTION("GOOGLETRANSLATE($A1377,""en"",""zh-cn"")"),"布尔诺-文科夫 (CZ-623)")</f>
        <v>布尔诺-文科夫 (CZ-623)</v>
      </c>
      <c r="H1377" s="9" t="str">
        <f>IFERROR(__xludf.DUMMYFUNCTION("GOOGLETRANSLATE($A1377,""en"",""ja"")"),"ブルノ・ヴェンコフ (CZ-623)")</f>
        <v>ブルノ・ヴェンコフ (CZ-623)</v>
      </c>
      <c r="I1377" s="9" t="str">
        <f>IFERROR(__xludf.DUMMYFUNCTION("GOOGLETRANSLATE($A1377,""en"",""ko"")"),"브르노벤코프 (CZ-623)")</f>
        <v>브르노벤코프 (CZ-623)</v>
      </c>
      <c r="J1377" s="9" t="str">
        <f>IFERROR(__xludf.DUMMYFUNCTION("GOOGLETRANSLATE($A1377,""en"",""pt-BR"")"),"Brno Venkov (CZ-623)")</f>
        <v>Brno Venkov (CZ-623)</v>
      </c>
    </row>
    <row r="1378">
      <c r="A1378" s="9" t="str">
        <f>IFERROR(__xludf.DUMMYFUNCTION("""COMPUTED_VALUE"""),"Central Bohemian Region")</f>
        <v>Central Bohemian Region</v>
      </c>
      <c r="B1378" s="9" t="str">
        <f>IFERROR(__xludf.DUMMYFUNCTION("""COMPUTED_VALUE"""),"cz-20")</f>
        <v>cz-20</v>
      </c>
      <c r="C1378" s="9" t="str">
        <f>IFERROR(__xludf.DUMMYFUNCTION("GOOGLETRANSLATE($A1378,""en"",""de"")"),"Mittelböhmische Region")</f>
        <v>Mittelböhmische Region</v>
      </c>
      <c r="D1378" s="9" t="str">
        <f>IFERROR(__xludf.DUMMYFUNCTION("GOOGLETRANSLATE($A1378,""en"",""fr"")"),"Région de Bohême centrale")</f>
        <v>Région de Bohême centrale</v>
      </c>
      <c r="E1378" s="9" t="str">
        <f>IFERROR(__xludf.DUMMYFUNCTION("GOOGLETRANSLATE($A1378,""en"",""es"")"),"Región de Bohemia Central")</f>
        <v>Región de Bohemia Central</v>
      </c>
      <c r="F1378" s="9" t="str">
        <f>IFERROR(__xludf.DUMMYFUNCTION("GOOGLETRANSLATE($A1378,""en"",""it"")"),"Regione della Boemia centrale")</f>
        <v>Regione della Boemia centrale</v>
      </c>
      <c r="G1378" s="9" t="str">
        <f>IFERROR(__xludf.DUMMYFUNCTION("GOOGLETRANSLATE($A1378,""en"",""zh-cn"")"),"中波希米亚地区")</f>
        <v>中波希米亚地区</v>
      </c>
      <c r="H1378" s="9" t="str">
        <f>IFERROR(__xludf.DUMMYFUNCTION("GOOGLETRANSLATE($A1378,""en"",""ja"")"),"中央ボヘミア地域")</f>
        <v>中央ボヘミア地域</v>
      </c>
      <c r="I1378" s="9" t="str">
        <f>IFERROR(__xludf.DUMMYFUNCTION("GOOGLETRANSLATE($A1378,""en"",""ko"")"),"중앙 보헤미안 지역")</f>
        <v>중앙 보헤미안 지역</v>
      </c>
      <c r="J1378" s="9" t="str">
        <f>IFERROR(__xludf.DUMMYFUNCTION("GOOGLETRANSLATE($A1378,""en"",""pt-BR"")"),"Região da Boêmia Central")</f>
        <v>Região da Boêmia Central</v>
      </c>
    </row>
    <row r="1379">
      <c r="A1379" s="9" t="str">
        <f>IFERROR(__xludf.DUMMYFUNCTION("""COMPUTED_VALUE"""),"Prague")</f>
        <v>Prague</v>
      </c>
      <c r="B1379" s="9" t="str">
        <f>IFERROR(__xludf.DUMMYFUNCTION("""COMPUTED_VALUE"""),"cz-10")</f>
        <v>cz-10</v>
      </c>
      <c r="C1379" s="9" t="str">
        <f>IFERROR(__xludf.DUMMYFUNCTION("GOOGLETRANSLATE($A1379,""en"",""de"")"),"Prag")</f>
        <v>Prag</v>
      </c>
      <c r="D1379" s="9" t="str">
        <f>IFERROR(__xludf.DUMMYFUNCTION("GOOGLETRANSLATE($A1379,""en"",""fr"")"),"Prague")</f>
        <v>Prague</v>
      </c>
      <c r="E1379" s="9" t="str">
        <f>IFERROR(__xludf.DUMMYFUNCTION("GOOGLETRANSLATE($A1379,""en"",""es"")"),"Praga")</f>
        <v>Praga</v>
      </c>
      <c r="F1379" s="9" t="str">
        <f>IFERROR(__xludf.DUMMYFUNCTION("GOOGLETRANSLATE($A1379,""en"",""it"")"),"Praga")</f>
        <v>Praga</v>
      </c>
      <c r="G1379" s="9" t="str">
        <f>IFERROR(__xludf.DUMMYFUNCTION("GOOGLETRANSLATE($A1379,""en"",""zh-cn"")"),"布拉格")</f>
        <v>布拉格</v>
      </c>
      <c r="H1379" s="9" t="str">
        <f>IFERROR(__xludf.DUMMYFUNCTION("GOOGLETRANSLATE($A1379,""en"",""ja"")"),"プラハ")</f>
        <v>プラハ</v>
      </c>
      <c r="I1379" s="9" t="str">
        <f>IFERROR(__xludf.DUMMYFUNCTION("GOOGLETRANSLATE($A1379,""en"",""ko"")"),"프라하")</f>
        <v>프라하</v>
      </c>
      <c r="J1379" s="9" t="str">
        <f>IFERROR(__xludf.DUMMYFUNCTION("GOOGLETRANSLATE($A1379,""en"",""pt-BR"")"),"Praga")</f>
        <v>Praga</v>
      </c>
    </row>
    <row r="1380">
      <c r="A1380" s="9" t="str">
        <f>IFERROR(__xludf.DUMMYFUNCTION("""COMPUTED_VALUE"""),"Ústí nad Labem Region")</f>
        <v>Ústí nad Labem Region</v>
      </c>
      <c r="B1380" s="9" t="str">
        <f>IFERROR(__xludf.DUMMYFUNCTION("""COMPUTED_VALUE"""),"cz-42")</f>
        <v>cz-42</v>
      </c>
      <c r="C1380" s="9" t="str">
        <f>IFERROR(__xludf.DUMMYFUNCTION("GOOGLETRANSLATE($A1380,""en"",""de"")"),"Region Ústí nad Labem")</f>
        <v>Region Ústí nad Labem</v>
      </c>
      <c r="D1380" s="9" t="str">
        <f>IFERROR(__xludf.DUMMYFUNCTION("GOOGLETRANSLATE($A1380,""en"",""fr"")"),"Région d'Ústí nad Labem")</f>
        <v>Région d'Ústí nad Labem</v>
      </c>
      <c r="E1380" s="9" t="str">
        <f>IFERROR(__xludf.DUMMYFUNCTION("GOOGLETRANSLATE($A1380,""en"",""es"")"),"Región de Ústí nad Labem")</f>
        <v>Región de Ústí nad Labem</v>
      </c>
      <c r="F1380" s="9" t="str">
        <f>IFERROR(__xludf.DUMMYFUNCTION("GOOGLETRANSLATE($A1380,""en"",""it"")"),"Regione di Ústí nad Labem")</f>
        <v>Regione di Ústí nad Labem</v>
      </c>
      <c r="G1380" s="9" t="str">
        <f>IFERROR(__xludf.DUMMYFUNCTION("GOOGLETRANSLATE($A1380,""en"",""zh-cn"")"),"拉贝河畔乌斯季地区")</f>
        <v>拉贝河畔乌斯季地区</v>
      </c>
      <c r="H1380" s="9" t="str">
        <f>IFERROR(__xludf.DUMMYFUNCTION("GOOGLETRANSLATE($A1380,""en"",""ja"")"),"ウースティ・ナド・ラベム地方")</f>
        <v>ウースティ・ナド・ラベム地方</v>
      </c>
      <c r="I1380" s="9" t="str">
        <f>IFERROR(__xludf.DUMMYFUNCTION("GOOGLETRANSLATE($A1380,""en"",""ko"")"),"우스티 나드 라벰 지역")</f>
        <v>우스티 나드 라벰 지역</v>
      </c>
      <c r="J1380" s="9" t="str">
        <f>IFERROR(__xludf.DUMMYFUNCTION("GOOGLETRANSLATE($A1380,""en"",""pt-BR"")"),"Região de Ústí nad Labem")</f>
        <v>Região de Ústí nad Labem</v>
      </c>
    </row>
    <row r="1381">
      <c r="A1381" s="9" t="str">
        <f>IFERROR(__xludf.DUMMYFUNCTION("""COMPUTED_VALUE"""),"Karlovy Vary Region")</f>
        <v>Karlovy Vary Region</v>
      </c>
      <c r="B1381" s="9" t="str">
        <f>IFERROR(__xludf.DUMMYFUNCTION("""COMPUTED_VALUE"""),"cz-41")</f>
        <v>cz-41</v>
      </c>
      <c r="C1381" s="9" t="str">
        <f>IFERROR(__xludf.DUMMYFUNCTION("GOOGLETRANSLATE($A1381,""en"",""de"")"),"Region Karlsbad")</f>
        <v>Region Karlsbad</v>
      </c>
      <c r="D1381" s="9" t="str">
        <f>IFERROR(__xludf.DUMMYFUNCTION("GOOGLETRANSLATE($A1381,""en"",""fr"")"),"Région de Karlovy Vary")</f>
        <v>Région de Karlovy Vary</v>
      </c>
      <c r="E1381" s="9" t="str">
        <f>IFERROR(__xludf.DUMMYFUNCTION("GOOGLETRANSLATE($A1381,""en"",""es"")"),"Región de Karlovy Vary")</f>
        <v>Región de Karlovy Vary</v>
      </c>
      <c r="F1381" s="9" t="str">
        <f>IFERROR(__xludf.DUMMYFUNCTION("GOOGLETRANSLATE($A1381,""en"",""it"")"),"Regione di Karlovy Vary")</f>
        <v>Regione di Karlovy Vary</v>
      </c>
      <c r="G1381" s="9" t="str">
        <f>IFERROR(__xludf.DUMMYFUNCTION("GOOGLETRANSLATE($A1381,""en"",""zh-cn"")"),"卡罗维发利地区")</f>
        <v>卡罗维发利地区</v>
      </c>
      <c r="H1381" s="9" t="str">
        <f>IFERROR(__xludf.DUMMYFUNCTION("GOOGLETRANSLATE($A1381,""en"",""ja"")"),"カルロヴィ ヴァリ地方")</f>
        <v>カルロヴィ ヴァリ地方</v>
      </c>
      <c r="I1381" s="9" t="str">
        <f>IFERROR(__xludf.DUMMYFUNCTION("GOOGLETRANSLATE($A1381,""en"",""ko"")"),"카를로비바리 지역")</f>
        <v>카를로비바리 지역</v>
      </c>
      <c r="J1381" s="9" t="str">
        <f>IFERROR(__xludf.DUMMYFUNCTION("GOOGLETRANSLATE($A1381,""en"",""pt-BR"")"),"Região de Karlovy Vary")</f>
        <v>Região de Karlovy Vary</v>
      </c>
    </row>
    <row r="1382">
      <c r="A1382" s="9" t="str">
        <f>IFERROR(__xludf.DUMMYFUNCTION("""COMPUTED_VALUE"""),"Pilsen Region")</f>
        <v>Pilsen Region</v>
      </c>
      <c r="B1382" s="9" t="str">
        <f>IFERROR(__xludf.DUMMYFUNCTION("""COMPUTED_VALUE"""),"cz-32")</f>
        <v>cz-32</v>
      </c>
      <c r="C1382" s="9" t="str">
        <f>IFERROR(__xludf.DUMMYFUNCTION("GOOGLETRANSLATE($A1382,""en"",""de"")"),"Region Pilsen")</f>
        <v>Region Pilsen</v>
      </c>
      <c r="D1382" s="9" t="str">
        <f>IFERROR(__xludf.DUMMYFUNCTION("GOOGLETRANSLATE($A1382,""en"",""fr"")"),"Région de Plzen")</f>
        <v>Région de Plzen</v>
      </c>
      <c r="E1382" s="9" t="str">
        <f>IFERROR(__xludf.DUMMYFUNCTION("GOOGLETRANSLATE($A1382,""en"",""es"")"),"Región de Pilsen")</f>
        <v>Región de Pilsen</v>
      </c>
      <c r="F1382" s="9" t="str">
        <f>IFERROR(__xludf.DUMMYFUNCTION("GOOGLETRANSLATE($A1382,""en"",""it"")"),"Regione di Pilsen")</f>
        <v>Regione di Pilsen</v>
      </c>
      <c r="G1382" s="9" t="str">
        <f>IFERROR(__xludf.DUMMYFUNCTION("GOOGLETRANSLATE($A1382,""en"",""zh-cn"")"),"比尔森地区")</f>
        <v>比尔森地区</v>
      </c>
      <c r="H1382" s="9" t="str">
        <f>IFERROR(__xludf.DUMMYFUNCTION("GOOGLETRANSLATE($A1382,""en"",""ja"")"),"ピルゼン地方")</f>
        <v>ピルゼン地方</v>
      </c>
      <c r="I1382" s="9" t="str">
        <f>IFERROR(__xludf.DUMMYFUNCTION("GOOGLETRANSLATE($A1382,""en"",""ko"")"),"플젠 지역")</f>
        <v>플젠 지역</v>
      </c>
      <c r="J1382" s="9" t="str">
        <f>IFERROR(__xludf.DUMMYFUNCTION("GOOGLETRANSLATE($A1382,""en"",""pt-BR"")"),"Região de Pilsen")</f>
        <v>Região de Pilsen</v>
      </c>
    </row>
    <row r="1383">
      <c r="A1383" s="9" t="str">
        <f>IFERROR(__xludf.DUMMYFUNCTION("""COMPUTED_VALUE"""),"South Bohemian Region")</f>
        <v>South Bohemian Region</v>
      </c>
      <c r="B1383" s="9" t="str">
        <f>IFERROR(__xludf.DUMMYFUNCTION("""COMPUTED_VALUE"""),"cz-31")</f>
        <v>cz-31</v>
      </c>
      <c r="C1383" s="9" t="str">
        <f>IFERROR(__xludf.DUMMYFUNCTION("GOOGLETRANSLATE($A1383,""en"",""de"")"),"Südböhmische Region")</f>
        <v>Südböhmische Region</v>
      </c>
      <c r="D1383" s="9" t="str">
        <f>IFERROR(__xludf.DUMMYFUNCTION("GOOGLETRANSLATE($A1383,""en"",""fr"")"),"Région de Bohême du Sud")</f>
        <v>Région de Bohême du Sud</v>
      </c>
      <c r="E1383" s="9" t="str">
        <f>IFERROR(__xludf.DUMMYFUNCTION("GOOGLETRANSLATE($A1383,""en"",""es"")"),"Región de Bohemia del Sur")</f>
        <v>Región de Bohemia del Sur</v>
      </c>
      <c r="F1383" s="9" t="str">
        <f>IFERROR(__xludf.DUMMYFUNCTION("GOOGLETRANSLATE($A1383,""en"",""it"")"),"Regione della Boemia meridionale")</f>
        <v>Regione della Boemia meridionale</v>
      </c>
      <c r="G1383" s="9" t="str">
        <f>IFERROR(__xludf.DUMMYFUNCTION("GOOGLETRANSLATE($A1383,""en"",""zh-cn"")"),"南波西米亚地区")</f>
        <v>南波西米亚地区</v>
      </c>
      <c r="H1383" s="9" t="str">
        <f>IFERROR(__xludf.DUMMYFUNCTION("GOOGLETRANSLATE($A1383,""en"",""ja"")"),"南ボヘミア地方")</f>
        <v>南ボヘミア地方</v>
      </c>
      <c r="I1383" s="9" t="str">
        <f>IFERROR(__xludf.DUMMYFUNCTION("GOOGLETRANSLATE($A1383,""en"",""ko"")"),"남부 보헤미안 지역")</f>
        <v>남부 보헤미안 지역</v>
      </c>
      <c r="J1383" s="9" t="str">
        <f>IFERROR(__xludf.DUMMYFUNCTION("GOOGLETRANSLATE($A1383,""en"",""pt-BR"")"),"Região da Boêmia do Sul")</f>
        <v>Região da Boêmia do Sul</v>
      </c>
    </row>
    <row r="1384">
      <c r="A1384" s="9" t="str">
        <f>IFERROR(__xludf.DUMMYFUNCTION("""COMPUTED_VALUE"""),"Vysočina Region")</f>
        <v>Vysočina Region</v>
      </c>
      <c r="B1384" s="9" t="str">
        <f>IFERROR(__xludf.DUMMYFUNCTION("""COMPUTED_VALUE"""),"cz-61")</f>
        <v>cz-61</v>
      </c>
      <c r="C1384" s="9" t="str">
        <f>IFERROR(__xludf.DUMMYFUNCTION("GOOGLETRANSLATE($A1384,""en"",""de"")"),"Region Vysočina")</f>
        <v>Region Vysočina</v>
      </c>
      <c r="D1384" s="9" t="str">
        <f>IFERROR(__xludf.DUMMYFUNCTION("GOOGLETRANSLATE($A1384,""en"",""fr"")"),"Région de Vysočina")</f>
        <v>Région de Vysočina</v>
      </c>
      <c r="E1384" s="9" t="str">
        <f>IFERROR(__xludf.DUMMYFUNCTION("GOOGLETRANSLATE($A1384,""en"",""es"")"),"Región de Vysočina")</f>
        <v>Región de Vysočina</v>
      </c>
      <c r="F1384" s="9" t="str">
        <f>IFERROR(__xludf.DUMMYFUNCTION("GOOGLETRANSLATE($A1384,""en"",""it"")"),"Regione di Vysočina")</f>
        <v>Regione di Vysočina</v>
      </c>
      <c r="G1384" s="9" t="str">
        <f>IFERROR(__xludf.DUMMYFUNCTION("GOOGLETRANSLATE($A1384,""en"",""zh-cn"")"),"维索基纳地区")</f>
        <v>维索基纳地区</v>
      </c>
      <c r="H1384" s="9" t="str">
        <f>IFERROR(__xludf.DUMMYFUNCTION("GOOGLETRANSLATE($A1384,""en"",""ja"")"),"ヴィソチナ地方")</f>
        <v>ヴィソチナ地方</v>
      </c>
      <c r="I1384" s="9" t="str">
        <f>IFERROR(__xludf.DUMMYFUNCTION("GOOGLETRANSLATE($A1384,""en"",""ko"")"),"비소치나 지역")</f>
        <v>비소치나 지역</v>
      </c>
      <c r="J1384" s="9" t="str">
        <f>IFERROR(__xludf.DUMMYFUNCTION("GOOGLETRANSLATE($A1384,""en"",""pt-BR"")"),"Região de Vysočina")</f>
        <v>Região de Vysočina</v>
      </c>
    </row>
    <row r="1385">
      <c r="A1385" s="9" t="str">
        <f>IFERROR(__xludf.DUMMYFUNCTION("""COMPUTED_VALUE"""),"Pardubice Region")</f>
        <v>Pardubice Region</v>
      </c>
      <c r="B1385" s="9" t="str">
        <f>IFERROR(__xludf.DUMMYFUNCTION("""COMPUTED_VALUE"""),"cz-53")</f>
        <v>cz-53</v>
      </c>
      <c r="C1385" s="9" t="str">
        <f>IFERROR(__xludf.DUMMYFUNCTION("GOOGLETRANSLATE($A1385,""en"",""de"")"),"Region Pardubice")</f>
        <v>Region Pardubice</v>
      </c>
      <c r="D1385" s="9" t="str">
        <f>IFERROR(__xludf.DUMMYFUNCTION("GOOGLETRANSLATE($A1385,""en"",""fr"")"),"Région de Pardubice")</f>
        <v>Région de Pardubice</v>
      </c>
      <c r="E1385" s="9" t="str">
        <f>IFERROR(__xludf.DUMMYFUNCTION("GOOGLETRANSLATE($A1385,""en"",""es"")"),"Región de Pardubice")</f>
        <v>Región de Pardubice</v>
      </c>
      <c r="F1385" s="9" t="str">
        <f>IFERROR(__xludf.DUMMYFUNCTION("GOOGLETRANSLATE($A1385,""en"",""it"")"),"Regione di Pardubice")</f>
        <v>Regione di Pardubice</v>
      </c>
      <c r="G1385" s="9" t="str">
        <f>IFERROR(__xludf.DUMMYFUNCTION("GOOGLETRANSLATE($A1385,""en"",""zh-cn"")"),"帕尔杜比采地区")</f>
        <v>帕尔杜比采地区</v>
      </c>
      <c r="H1385" s="9" t="str">
        <f>IFERROR(__xludf.DUMMYFUNCTION("GOOGLETRANSLATE($A1385,""en"",""ja"")"),"パルドゥビツェ地方")</f>
        <v>パルドゥビツェ地方</v>
      </c>
      <c r="I1385" s="9" t="str">
        <f>IFERROR(__xludf.DUMMYFUNCTION("GOOGLETRANSLATE($A1385,""en"",""ko"")"),"파르두비체 지역")</f>
        <v>파르두비체 지역</v>
      </c>
      <c r="J1385" s="9" t="str">
        <f>IFERROR(__xludf.DUMMYFUNCTION("GOOGLETRANSLATE($A1385,""en"",""pt-BR"")"),"Região de Pardubice")</f>
        <v>Região de Pardubice</v>
      </c>
    </row>
    <row r="1386">
      <c r="A1386" s="9" t="str">
        <f>IFERROR(__xludf.DUMMYFUNCTION("""COMPUTED_VALUE"""),"Královéhradecký kraj")</f>
        <v>Královéhradecký kraj</v>
      </c>
      <c r="B1386" s="9" t="str">
        <f>IFERROR(__xludf.DUMMYFUNCTION("""COMPUTED_VALUE"""),"cz-52")</f>
        <v>cz-52</v>
      </c>
      <c r="C1386" s="9" t="str">
        <f>IFERROR(__xludf.DUMMYFUNCTION("GOOGLETRANSLATE($A1386,""en"",""de"")"),"Královéhradecký kraj")</f>
        <v>Královéhradecký kraj</v>
      </c>
      <c r="D1386" s="9" t="str">
        <f>IFERROR(__xludf.DUMMYFUNCTION("GOOGLETRANSLATE($A1386,""en"",""fr"")"),"Région de Kralovéhradecký")</f>
        <v>Région de Kralovéhradecký</v>
      </c>
      <c r="E1386" s="9" t="str">
        <f>IFERROR(__xludf.DUMMYFUNCTION("GOOGLETRANSLATE($A1386,""en"",""es"")"),"Královéhradecký kraj")</f>
        <v>Královéhradecký kraj</v>
      </c>
      <c r="F1386" s="9" t="str">
        <f>IFERROR(__xludf.DUMMYFUNCTION("GOOGLETRANSLATE($A1386,""en"",""it"")"),"Královéhradecký kraj")</f>
        <v>Královéhradecký kraj</v>
      </c>
      <c r="G1386" s="9" t="str">
        <f>IFERROR(__xludf.DUMMYFUNCTION("GOOGLETRANSLATE($A1386,""en"",""zh-cn"")"),"克拉洛韦赫拉德茨州")</f>
        <v>克拉洛韦赫拉德茨州</v>
      </c>
      <c r="H1386" s="9" t="str">
        <f>IFERROR(__xludf.DUMMYFUNCTION("GOOGLETRANSLATE($A1386,""en"",""ja"")"),"クラロヴェフラデツキー クライ")</f>
        <v>クラロヴェフラデツキー クライ</v>
      </c>
      <c r="I1386" s="9" t="str">
        <f>IFERROR(__xludf.DUMMYFUNCTION("GOOGLETRANSLATE($A1386,""en"",""ko"")"),"크랄로베흐라데츠키 크라이")</f>
        <v>크랄로베흐라데츠키 크라이</v>
      </c>
      <c r="J1386" s="9" t="str">
        <f>IFERROR(__xludf.DUMMYFUNCTION("GOOGLETRANSLATE($A1386,""en"",""pt-BR"")"),"Královéhradecký kraj")</f>
        <v>Královéhradecký kraj</v>
      </c>
    </row>
    <row r="1387">
      <c r="A1387" s="9" t="str">
        <f>IFERROR(__xludf.DUMMYFUNCTION("""COMPUTED_VALUE"""),"Liberec Region")</f>
        <v>Liberec Region</v>
      </c>
      <c r="B1387" s="9" t="str">
        <f>IFERROR(__xludf.DUMMYFUNCTION("""COMPUTED_VALUE"""),"cz-51")</f>
        <v>cz-51</v>
      </c>
      <c r="C1387" s="9" t="str">
        <f>IFERROR(__xludf.DUMMYFUNCTION("GOOGLETRANSLATE($A1387,""en"",""de"")"),"Region Liberec")</f>
        <v>Region Liberec</v>
      </c>
      <c r="D1387" s="9" t="str">
        <f>IFERROR(__xludf.DUMMYFUNCTION("GOOGLETRANSLATE($A1387,""en"",""fr"")"),"Région de Liberec")</f>
        <v>Région de Liberec</v>
      </c>
      <c r="E1387" s="9" t="str">
        <f>IFERROR(__xludf.DUMMYFUNCTION("GOOGLETRANSLATE($A1387,""en"",""es"")"),"Región de Liberec")</f>
        <v>Región de Liberec</v>
      </c>
      <c r="F1387" s="9" t="str">
        <f>IFERROR(__xludf.DUMMYFUNCTION("GOOGLETRANSLATE($A1387,""en"",""it"")"),"Regione di Liberec")</f>
        <v>Regione di Liberec</v>
      </c>
      <c r="G1387" s="9" t="str">
        <f>IFERROR(__xludf.DUMMYFUNCTION("GOOGLETRANSLATE($A1387,""en"",""zh-cn"")"),"利贝雷茨地区")</f>
        <v>利贝雷茨地区</v>
      </c>
      <c r="H1387" s="9" t="str">
        <f>IFERROR(__xludf.DUMMYFUNCTION("GOOGLETRANSLATE($A1387,""en"",""ja"")"),"リベレツ州")</f>
        <v>リベレツ州</v>
      </c>
      <c r="I1387" s="9" t="str">
        <f>IFERROR(__xludf.DUMMYFUNCTION("GOOGLETRANSLATE($A1387,""en"",""ko"")"),"리베레츠 지역")</f>
        <v>리베레츠 지역</v>
      </c>
      <c r="J1387" s="9" t="str">
        <f>IFERROR(__xludf.DUMMYFUNCTION("GOOGLETRANSLATE($A1387,""en"",""pt-BR"")"),"Região de Liberec")</f>
        <v>Região de Liberec</v>
      </c>
    </row>
    <row r="1388">
      <c r="A1388" s="9" t="str">
        <f>IFERROR(__xludf.DUMMYFUNCTION("""COMPUTED_VALUE"""),"Moravian-Silesian Region")</f>
        <v>Moravian-Silesian Region</v>
      </c>
      <c r="B1388" s="9" t="str">
        <f>IFERROR(__xludf.DUMMYFUNCTION("""COMPUTED_VALUE"""),"cz-80")</f>
        <v>cz-80</v>
      </c>
      <c r="C1388" s="9" t="str">
        <f>IFERROR(__xludf.DUMMYFUNCTION("GOOGLETRANSLATE($A1388,""en"",""de"")"),"Region Mährisch-Schlesien")</f>
        <v>Region Mährisch-Schlesien</v>
      </c>
      <c r="D1388" s="9" t="str">
        <f>IFERROR(__xludf.DUMMYFUNCTION("GOOGLETRANSLATE($A1388,""en"",""fr"")"),"Région Moravie-Silésie")</f>
        <v>Région Moravie-Silésie</v>
      </c>
      <c r="E1388" s="9" t="str">
        <f>IFERROR(__xludf.DUMMYFUNCTION("GOOGLETRANSLATE($A1388,""en"",""es"")"),"Región de Moravia-Silesia")</f>
        <v>Región de Moravia-Silesia</v>
      </c>
      <c r="F1388" s="9" t="str">
        <f>IFERROR(__xludf.DUMMYFUNCTION("GOOGLETRANSLATE($A1388,""en"",""it"")"),"Regione Moravia-Slesia")</f>
        <v>Regione Moravia-Slesia</v>
      </c>
      <c r="G1388" s="9" t="str">
        <f>IFERROR(__xludf.DUMMYFUNCTION("GOOGLETRANSLATE($A1388,""en"",""zh-cn"")"),"摩拉维亚-西里西亚地区")</f>
        <v>摩拉维亚-西里西亚地区</v>
      </c>
      <c r="H1388" s="9" t="str">
        <f>IFERROR(__xludf.DUMMYFUNCTION("GOOGLETRANSLATE($A1388,""en"",""ja"")"),"モラヴィア・シレジア地方")</f>
        <v>モラヴィア・シレジア地方</v>
      </c>
      <c r="I1388" s="9" t="str">
        <f>IFERROR(__xludf.DUMMYFUNCTION("GOOGLETRANSLATE($A1388,""en"",""ko"")"),"모라비아-실레지아 지역")</f>
        <v>모라비아-실레지아 지역</v>
      </c>
      <c r="J1388" s="9" t="str">
        <f>IFERROR(__xludf.DUMMYFUNCTION("GOOGLETRANSLATE($A1388,""en"",""pt-BR"")"),"Região Morávia-Silésia")</f>
        <v>Região Morávia-Silésia</v>
      </c>
    </row>
    <row r="1389">
      <c r="A1389" s="9" t="str">
        <f>IFERROR(__xludf.DUMMYFUNCTION("""COMPUTED_VALUE"""),"Zlin Region")</f>
        <v>Zlin Region</v>
      </c>
      <c r="B1389" s="9" t="str">
        <f>IFERROR(__xludf.DUMMYFUNCTION("""COMPUTED_VALUE"""),"cz-72")</f>
        <v>cz-72</v>
      </c>
      <c r="C1389" s="9" t="str">
        <f>IFERROR(__xludf.DUMMYFUNCTION("GOOGLETRANSLATE($A1389,""en"",""de"")"),"Region Zlín")</f>
        <v>Region Zlín</v>
      </c>
      <c r="D1389" s="9" t="str">
        <f>IFERROR(__xludf.DUMMYFUNCTION("GOOGLETRANSLATE($A1389,""en"",""fr"")"),"Région de Zlin")</f>
        <v>Région de Zlin</v>
      </c>
      <c r="E1389" s="9" t="str">
        <f>IFERROR(__xludf.DUMMYFUNCTION("GOOGLETRANSLATE($A1389,""en"",""es"")"),"Región de Zlín")</f>
        <v>Región de Zlín</v>
      </c>
      <c r="F1389" s="9" t="str">
        <f>IFERROR(__xludf.DUMMYFUNCTION("GOOGLETRANSLATE($A1389,""en"",""it"")"),"Regione di Zlín")</f>
        <v>Regione di Zlín</v>
      </c>
      <c r="G1389" s="9" t="str">
        <f>IFERROR(__xludf.DUMMYFUNCTION("GOOGLETRANSLATE($A1389,""en"",""zh-cn"")"),"兹林地区")</f>
        <v>兹林地区</v>
      </c>
      <c r="H1389" s="9" t="str">
        <f>IFERROR(__xludf.DUMMYFUNCTION("GOOGLETRANSLATE($A1389,""en"",""ja"")"),"ズリーン地方")</f>
        <v>ズリーン地方</v>
      </c>
      <c r="I1389" s="9" t="str">
        <f>IFERROR(__xludf.DUMMYFUNCTION("GOOGLETRANSLATE($A1389,""en"",""ko"")"),"즐린 지역")</f>
        <v>즐린 지역</v>
      </c>
      <c r="J1389" s="9" t="str">
        <f>IFERROR(__xludf.DUMMYFUNCTION("GOOGLETRANSLATE($A1389,""en"",""pt-BR"")"),"Região de Zlín")</f>
        <v>Região de Zlín</v>
      </c>
    </row>
    <row r="1390">
      <c r="A1390" s="9" t="str">
        <f>IFERROR(__xludf.DUMMYFUNCTION("""COMPUTED_VALUE"""),"Olomouc Region")</f>
        <v>Olomouc Region</v>
      </c>
      <c r="B1390" s="9" t="str">
        <f>IFERROR(__xludf.DUMMYFUNCTION("""COMPUTED_VALUE"""),"cz-71")</f>
        <v>cz-71</v>
      </c>
      <c r="C1390" s="9" t="str">
        <f>IFERROR(__xludf.DUMMYFUNCTION("GOOGLETRANSLATE($A1390,""en"",""de"")"),"Region Olomouc")</f>
        <v>Region Olomouc</v>
      </c>
      <c r="D1390" s="9" t="str">
        <f>IFERROR(__xludf.DUMMYFUNCTION("GOOGLETRANSLATE($A1390,""en"",""fr"")"),"Région d'Olomouc")</f>
        <v>Région d'Olomouc</v>
      </c>
      <c r="E1390" s="9" t="str">
        <f>IFERROR(__xludf.DUMMYFUNCTION("GOOGLETRANSLATE($A1390,""en"",""es"")"),"Región de Olomouc")</f>
        <v>Región de Olomouc</v>
      </c>
      <c r="F1390" s="9" t="str">
        <f>IFERROR(__xludf.DUMMYFUNCTION("GOOGLETRANSLATE($A1390,""en"",""it"")"),"Regione di Olomouc")</f>
        <v>Regione di Olomouc</v>
      </c>
      <c r="G1390" s="9" t="str">
        <f>IFERROR(__xludf.DUMMYFUNCTION("GOOGLETRANSLATE($A1390,""en"",""zh-cn"")"),"奥洛穆茨地区")</f>
        <v>奥洛穆茨地区</v>
      </c>
      <c r="H1390" s="9" t="str">
        <f>IFERROR(__xludf.DUMMYFUNCTION("GOOGLETRANSLATE($A1390,""en"",""ja"")"),"オロモウツ地方")</f>
        <v>オロモウツ地方</v>
      </c>
      <c r="I1390" s="9" t="str">
        <f>IFERROR(__xludf.DUMMYFUNCTION("GOOGLETRANSLATE($A1390,""en"",""ko"")"),"올로모우츠 지역")</f>
        <v>올로모우츠 지역</v>
      </c>
      <c r="J1390" s="9" t="str">
        <f>IFERROR(__xludf.DUMMYFUNCTION("GOOGLETRANSLATE($A1390,""en"",""pt-BR"")"),"Região de Olomouc")</f>
        <v>Região de Olomouc</v>
      </c>
    </row>
    <row r="1391">
      <c r="A1391" s="9" t="str">
        <f>IFERROR(__xludf.DUMMYFUNCTION("""COMPUTED_VALUE"""),"South Moravian Region")</f>
        <v>South Moravian Region</v>
      </c>
      <c r="B1391" s="9" t="str">
        <f>IFERROR(__xludf.DUMMYFUNCTION("""COMPUTED_VALUE"""),"cz-62")</f>
        <v>cz-62</v>
      </c>
      <c r="C1391" s="9" t="str">
        <f>IFERROR(__xludf.DUMMYFUNCTION("GOOGLETRANSLATE($A1391,""en"",""de"")"),"Region Südmähren")</f>
        <v>Region Südmähren</v>
      </c>
      <c r="D1391" s="9" t="str">
        <f>IFERROR(__xludf.DUMMYFUNCTION("GOOGLETRANSLATE($A1391,""en"",""fr"")"),"Région de Moravie du Sud")</f>
        <v>Région de Moravie du Sud</v>
      </c>
      <c r="E1391" s="9" t="str">
        <f>IFERROR(__xludf.DUMMYFUNCTION("GOOGLETRANSLATE($A1391,""en"",""es"")"),"Región de Moravia del Sur")</f>
        <v>Región de Moravia del Sur</v>
      </c>
      <c r="F1391" s="9" t="str">
        <f>IFERROR(__xludf.DUMMYFUNCTION("GOOGLETRANSLATE($A1391,""en"",""it"")"),"Regione della Moravia meridionale")</f>
        <v>Regione della Moravia meridionale</v>
      </c>
      <c r="G1391" s="9" t="str">
        <f>IFERROR(__xludf.DUMMYFUNCTION("GOOGLETRANSLATE($A1391,""en"",""zh-cn"")"),"南摩拉维亚地区")</f>
        <v>南摩拉维亚地区</v>
      </c>
      <c r="H1391" s="9" t="str">
        <f>IFERROR(__xludf.DUMMYFUNCTION("GOOGLETRANSLATE($A1391,""en"",""ja"")"),"南モラヴィア地方")</f>
        <v>南モラヴィア地方</v>
      </c>
      <c r="I1391" s="9" t="str">
        <f>IFERROR(__xludf.DUMMYFUNCTION("GOOGLETRANSLATE($A1391,""en"",""ko"")"),"남부 모라비아 지역")</f>
        <v>남부 모라비아 지역</v>
      </c>
      <c r="J1391" s="9" t="str">
        <f>IFERROR(__xludf.DUMMYFUNCTION("GOOGLETRANSLATE($A1391,""en"",""pt-BR"")"),"Região da Morávia do Sul")</f>
        <v>Região da Morávia do Sul</v>
      </c>
    </row>
    <row r="1392">
      <c r="A1392" s="9" t="str">
        <f>IFERROR(__xludf.DUMMYFUNCTION("""COMPUTED_VALUE"""),"Pyongyang")</f>
        <v>Pyongyang</v>
      </c>
      <c r="B1392" s="9" t="str">
        <f>IFERROR(__xludf.DUMMYFUNCTION("""COMPUTED_VALUE"""),"kp-01")</f>
        <v>kp-01</v>
      </c>
      <c r="C1392" s="9" t="str">
        <f>IFERROR(__xludf.DUMMYFUNCTION("GOOGLETRANSLATE($A1392,""en"",""de"")"),"Pjöngjang")</f>
        <v>Pjöngjang</v>
      </c>
      <c r="D1392" s="9" t="str">
        <f>IFERROR(__xludf.DUMMYFUNCTION("GOOGLETRANSLATE($A1392,""en"",""fr"")"),"Pyongyang")</f>
        <v>Pyongyang</v>
      </c>
      <c r="E1392" s="9" t="str">
        <f>IFERROR(__xludf.DUMMYFUNCTION("GOOGLETRANSLATE($A1392,""en"",""es"")"),"Pionyang")</f>
        <v>Pionyang</v>
      </c>
      <c r="F1392" s="9" t="str">
        <f>IFERROR(__xludf.DUMMYFUNCTION("GOOGLETRANSLATE($A1392,""en"",""it"")"),"Pyongyang")</f>
        <v>Pyongyang</v>
      </c>
      <c r="G1392" s="9" t="str">
        <f>IFERROR(__xludf.DUMMYFUNCTION("GOOGLETRANSLATE($A1392,""en"",""zh-cn"")"),"平壤")</f>
        <v>平壤</v>
      </c>
      <c r="H1392" s="9" t="str">
        <f>IFERROR(__xludf.DUMMYFUNCTION("GOOGLETRANSLATE($A1392,""en"",""ja"")"),"平壌")</f>
        <v>平壌</v>
      </c>
      <c r="I1392" s="9" t="str">
        <f>IFERROR(__xludf.DUMMYFUNCTION("GOOGLETRANSLATE($A1392,""en"",""ko"")"),"평양")</f>
        <v>평양</v>
      </c>
      <c r="J1392" s="9" t="str">
        <f>IFERROR(__xludf.DUMMYFUNCTION("GOOGLETRANSLATE($A1392,""en"",""pt-BR"")"),"Pyongyang")</f>
        <v>Pyongyang</v>
      </c>
    </row>
    <row r="1393">
      <c r="A1393" s="9" t="str">
        <f>IFERROR(__xludf.DUMMYFUNCTION("""COMPUTED_VALUE"""),"North Hamgyong")</f>
        <v>North Hamgyong</v>
      </c>
      <c r="B1393" s="9" t="str">
        <f>IFERROR(__xludf.DUMMYFUNCTION("""COMPUTED_VALUE"""),"kp-09")</f>
        <v>kp-09</v>
      </c>
      <c r="C1393" s="9" t="str">
        <f>IFERROR(__xludf.DUMMYFUNCTION("GOOGLETRANSLATE($A1393,""en"",""de"")"),"Nord-Hamgyong")</f>
        <v>Nord-Hamgyong</v>
      </c>
      <c r="D1393" s="9" t="str">
        <f>IFERROR(__xludf.DUMMYFUNCTION("GOOGLETRANSLATE($A1393,""en"",""fr"")"),"Hamgyong du Nord")</f>
        <v>Hamgyong du Nord</v>
      </c>
      <c r="E1393" s="9" t="str">
        <f>IFERROR(__xludf.DUMMYFUNCTION("GOOGLETRANSLATE($A1393,""en"",""es"")"),"Hamgyong del Norte")</f>
        <v>Hamgyong del Norte</v>
      </c>
      <c r="F1393" s="9" t="str">
        <f>IFERROR(__xludf.DUMMYFUNCTION("GOOGLETRANSLATE($A1393,""en"",""it"")"),"Hamgyong settentrionale")</f>
        <v>Hamgyong settentrionale</v>
      </c>
      <c r="G1393" s="9" t="str">
        <f>IFERROR(__xludf.DUMMYFUNCTION("GOOGLETRANSLATE($A1393,""en"",""zh-cn"")"),"咸镜北道")</f>
        <v>咸镜北道</v>
      </c>
      <c r="H1393" s="9" t="str">
        <f>IFERROR(__xludf.DUMMYFUNCTION("GOOGLETRANSLATE($A1393,""en"",""ja"")"),"咸鏡北道")</f>
        <v>咸鏡北道</v>
      </c>
      <c r="I1393" s="9" t="str">
        <f>IFERROR(__xludf.DUMMYFUNCTION("GOOGLETRANSLATE($A1393,""en"",""ko"")"),"함경북도")</f>
        <v>함경북도</v>
      </c>
      <c r="J1393" s="9" t="str">
        <f>IFERROR(__xludf.DUMMYFUNCTION("GOOGLETRANSLATE($A1393,""en"",""pt-BR"")"),"Norte de Hamgyong")</f>
        <v>Norte de Hamgyong</v>
      </c>
    </row>
    <row r="1394">
      <c r="A1394" s="9" t="str">
        <f>IFERROR(__xludf.DUMMYFUNCTION("""COMPUTED_VALUE"""),"North Hwanghae")</f>
        <v>North Hwanghae</v>
      </c>
      <c r="B1394" s="9" t="str">
        <f>IFERROR(__xludf.DUMMYFUNCTION("""COMPUTED_VALUE"""),"kp-06")</f>
        <v>kp-06</v>
      </c>
      <c r="C1394" s="9" t="str">
        <f>IFERROR(__xludf.DUMMYFUNCTION("GOOGLETRANSLATE($A1394,""en"",""de"")"),"Nord-Hwanghae")</f>
        <v>Nord-Hwanghae</v>
      </c>
      <c r="D1394" s="9" t="str">
        <f>IFERROR(__xludf.DUMMYFUNCTION("GOOGLETRANSLATE($A1394,""en"",""fr"")"),"Hwanghae du Nord")</f>
        <v>Hwanghae du Nord</v>
      </c>
      <c r="E1394" s="9" t="str">
        <f>IFERROR(__xludf.DUMMYFUNCTION("GOOGLETRANSLATE($A1394,""en"",""es"")"),"Hwanghae del Norte")</f>
        <v>Hwanghae del Norte</v>
      </c>
      <c r="F1394" s="9" t="str">
        <f>IFERROR(__xludf.DUMMYFUNCTION("GOOGLETRANSLATE($A1394,""en"",""it"")"),"Hwanghae settentrionale")</f>
        <v>Hwanghae settentrionale</v>
      </c>
      <c r="G1394" s="9" t="str">
        <f>IFERROR(__xludf.DUMMYFUNCTION("GOOGLETRANSLATE($A1394,""en"",""zh-cn"")"),"黄海北道")</f>
        <v>黄海北道</v>
      </c>
      <c r="H1394" s="9" t="str">
        <f>IFERROR(__xludf.DUMMYFUNCTION("GOOGLETRANSLATE($A1394,""en"",""ja"")"),"黄海北道")</f>
        <v>黄海北道</v>
      </c>
      <c r="I1394" s="9" t="str">
        <f>IFERROR(__xludf.DUMMYFUNCTION("GOOGLETRANSLATE($A1394,""en"",""ko"")"),"황해북도")</f>
        <v>황해북도</v>
      </c>
      <c r="J1394" s="9" t="str">
        <f>IFERROR(__xludf.DUMMYFUNCTION("GOOGLETRANSLATE($A1394,""en"",""pt-BR"")"),"Hwanghae do Norte")</f>
        <v>Hwanghae do Norte</v>
      </c>
    </row>
    <row r="1395">
      <c r="A1395" s="9" t="str">
        <f>IFERROR(__xludf.DUMMYFUNCTION("""COMPUTED_VALUE"""),"South Hwanghae")</f>
        <v>South Hwanghae</v>
      </c>
      <c r="B1395" s="9" t="str">
        <f>IFERROR(__xludf.DUMMYFUNCTION("""COMPUTED_VALUE"""),"kp-05")</f>
        <v>kp-05</v>
      </c>
      <c r="C1395" s="9" t="str">
        <f>IFERROR(__xludf.DUMMYFUNCTION("GOOGLETRANSLATE($A1395,""en"",""de"")"),"Süd-Hwanghae")</f>
        <v>Süd-Hwanghae</v>
      </c>
      <c r="D1395" s="9" t="str">
        <f>IFERROR(__xludf.DUMMYFUNCTION("GOOGLETRANSLATE($A1395,""en"",""fr"")"),"Hwanghae du Sud")</f>
        <v>Hwanghae du Sud</v>
      </c>
      <c r="E1395" s="9" t="str">
        <f>IFERROR(__xludf.DUMMYFUNCTION("GOOGLETRANSLATE($A1395,""en"",""es"")"),"Hwanghae del Sur")</f>
        <v>Hwanghae del Sur</v>
      </c>
      <c r="F1395" s="9" t="str">
        <f>IFERROR(__xludf.DUMMYFUNCTION("GOOGLETRANSLATE($A1395,""en"",""it"")"),"Hwanghae meridionale")</f>
        <v>Hwanghae meridionale</v>
      </c>
      <c r="G1395" s="9" t="str">
        <f>IFERROR(__xludf.DUMMYFUNCTION("GOOGLETRANSLATE($A1395,""en"",""zh-cn"")"),"黄海南道")</f>
        <v>黄海南道</v>
      </c>
      <c r="H1395" s="9" t="str">
        <f>IFERROR(__xludf.DUMMYFUNCTION("GOOGLETRANSLATE($A1395,""en"",""ja"")"),"黄海南道")</f>
        <v>黄海南道</v>
      </c>
      <c r="I1395" s="9" t="str">
        <f>IFERROR(__xludf.DUMMYFUNCTION("GOOGLETRANSLATE($A1395,""en"",""ko"")"),"황해남도")</f>
        <v>황해남도</v>
      </c>
      <c r="J1395" s="9" t="str">
        <f>IFERROR(__xludf.DUMMYFUNCTION("GOOGLETRANSLATE($A1395,""en"",""pt-BR"")"),"Hwanghae do Sul")</f>
        <v>Hwanghae do Sul</v>
      </c>
    </row>
    <row r="1396">
      <c r="A1396" s="9" t="str">
        <f>IFERROR(__xludf.DUMMYFUNCTION("""COMPUTED_VALUE"""),"Rason")</f>
        <v>Rason</v>
      </c>
      <c r="B1396" s="9" t="str">
        <f>IFERROR(__xludf.DUMMYFUNCTION("""COMPUTED_VALUE"""),"kp-13")</f>
        <v>kp-13</v>
      </c>
      <c r="C1396" s="9" t="str">
        <f>IFERROR(__xludf.DUMMYFUNCTION("GOOGLETRANSLATE($A1396,""en"",""de"")"),"Rason")</f>
        <v>Rason</v>
      </c>
      <c r="D1396" s="9" t="str">
        <f>IFERROR(__xludf.DUMMYFUNCTION("GOOGLETRANSLATE($A1396,""en"",""fr"")"),"Rason")</f>
        <v>Rason</v>
      </c>
      <c r="E1396" s="9" t="str">
        <f>IFERROR(__xludf.DUMMYFUNCTION("GOOGLETRANSLATE($A1396,""en"",""es"")"),"Razón")</f>
        <v>Razón</v>
      </c>
      <c r="F1396" s="9" t="str">
        <f>IFERROR(__xludf.DUMMYFUNCTION("GOOGLETRANSLATE($A1396,""en"",""it"")"),"Ragione")</f>
        <v>Ragione</v>
      </c>
      <c r="G1396" s="9" t="str">
        <f>IFERROR(__xludf.DUMMYFUNCTION("GOOGLETRANSLATE($A1396,""en"",""zh-cn"")"),"罗先")</f>
        <v>罗先</v>
      </c>
      <c r="H1396" s="9" t="str">
        <f>IFERROR(__xludf.DUMMYFUNCTION("GOOGLETRANSLATE($A1396,""en"",""ja"")"),"ラソン")</f>
        <v>ラソン</v>
      </c>
      <c r="I1396" s="9" t="str">
        <f>IFERROR(__xludf.DUMMYFUNCTION("GOOGLETRANSLATE($A1396,""en"",""ko"")"),"나선")</f>
        <v>나선</v>
      </c>
      <c r="J1396" s="9" t="str">
        <f>IFERROR(__xludf.DUMMYFUNCTION("GOOGLETRANSLATE($A1396,""en"",""pt-BR"")"),"Razão")</f>
        <v>Razão</v>
      </c>
    </row>
    <row r="1397">
      <c r="A1397" s="9" t="str">
        <f>IFERROR(__xludf.DUMMYFUNCTION("""COMPUTED_VALUE"""),"South Pyongan")</f>
        <v>South Pyongan</v>
      </c>
      <c r="B1397" s="9" t="str">
        <f>IFERROR(__xludf.DUMMYFUNCTION("""COMPUTED_VALUE"""),"kp-02")</f>
        <v>kp-02</v>
      </c>
      <c r="C1397" s="9" t="str">
        <f>IFERROR(__xludf.DUMMYFUNCTION("GOOGLETRANSLATE($A1397,""en"",""de"")"),"Süd-Pyongan")</f>
        <v>Süd-Pyongan</v>
      </c>
      <c r="D1397" s="9" t="str">
        <f>IFERROR(__xludf.DUMMYFUNCTION("GOOGLETRANSLATE($A1397,""en"",""fr"")"),"Pyongan du Sud")</f>
        <v>Pyongan du Sud</v>
      </c>
      <c r="E1397" s="9" t="str">
        <f>IFERROR(__xludf.DUMMYFUNCTION("GOOGLETRANSLATE($A1397,""en"",""es"")"),"Pyongan del Sur")</f>
        <v>Pyongan del Sur</v>
      </c>
      <c r="F1397" s="9" t="str">
        <f>IFERROR(__xludf.DUMMYFUNCTION("GOOGLETRANSLATE($A1397,""en"",""it"")"),"Pyongan meridionale")</f>
        <v>Pyongan meridionale</v>
      </c>
      <c r="G1397" s="9" t="str">
        <f>IFERROR(__xludf.DUMMYFUNCTION("GOOGLETRANSLATE($A1397,""en"",""zh-cn"")"),"平安南道")</f>
        <v>平安南道</v>
      </c>
      <c r="H1397" s="9" t="str">
        <f>IFERROR(__xludf.DUMMYFUNCTION("GOOGLETRANSLATE($A1397,""en"",""ja"")"),"平安南道")</f>
        <v>平安南道</v>
      </c>
      <c r="I1397" s="9" t="str">
        <f>IFERROR(__xludf.DUMMYFUNCTION("GOOGLETRANSLATE($A1397,""en"",""ko"")"),"평안남도")</f>
        <v>평안남도</v>
      </c>
      <c r="J1397" s="9" t="str">
        <f>IFERROR(__xludf.DUMMYFUNCTION("GOOGLETRANSLATE($A1397,""en"",""pt-BR"")"),"Sul de Pyongan")</f>
        <v>Sul de Pyongan</v>
      </c>
    </row>
    <row r="1398">
      <c r="A1398" s="9" t="str">
        <f>IFERROR(__xludf.DUMMYFUNCTION("""COMPUTED_VALUE"""),"South Hamgyong")</f>
        <v>South Hamgyong</v>
      </c>
      <c r="B1398" s="9" t="str">
        <f>IFERROR(__xludf.DUMMYFUNCTION("""COMPUTED_VALUE"""),"kp-08")</f>
        <v>kp-08</v>
      </c>
      <c r="C1398" s="9" t="str">
        <f>IFERROR(__xludf.DUMMYFUNCTION("GOOGLETRANSLATE($A1398,""en"",""de"")"),"Süd-Hamgyong")</f>
        <v>Süd-Hamgyong</v>
      </c>
      <c r="D1398" s="9" t="str">
        <f>IFERROR(__xludf.DUMMYFUNCTION("GOOGLETRANSLATE($A1398,""en"",""fr"")"),"Hamgyong du Sud")</f>
        <v>Hamgyong du Sud</v>
      </c>
      <c r="E1398" s="9" t="str">
        <f>IFERROR(__xludf.DUMMYFUNCTION("GOOGLETRANSLATE($A1398,""en"",""es"")"),"Hamgyong del Sur")</f>
        <v>Hamgyong del Sur</v>
      </c>
      <c r="F1398" s="9" t="str">
        <f>IFERROR(__xludf.DUMMYFUNCTION("GOOGLETRANSLATE($A1398,""en"",""it"")"),"Hamgyong meridionale")</f>
        <v>Hamgyong meridionale</v>
      </c>
      <c r="G1398" s="9" t="str">
        <f>IFERROR(__xludf.DUMMYFUNCTION("GOOGLETRANSLATE($A1398,""en"",""zh-cn"")"),"咸镜南道")</f>
        <v>咸镜南道</v>
      </c>
      <c r="H1398" s="9" t="str">
        <f>IFERROR(__xludf.DUMMYFUNCTION("GOOGLETRANSLATE($A1398,""en"",""ja"")"),"咸鏡南道")</f>
        <v>咸鏡南道</v>
      </c>
      <c r="I1398" s="9" t="str">
        <f>IFERROR(__xludf.DUMMYFUNCTION("GOOGLETRANSLATE($A1398,""en"",""ko"")"),"함경남도")</f>
        <v>함경남도</v>
      </c>
      <c r="J1398" s="9" t="str">
        <f>IFERROR(__xludf.DUMMYFUNCTION("GOOGLETRANSLATE($A1398,""en"",""pt-BR"")"),"Sul de Hamgyong")</f>
        <v>Sul de Hamgyong</v>
      </c>
    </row>
    <row r="1399">
      <c r="A1399" s="9" t="str">
        <f>IFERROR(__xludf.DUMMYFUNCTION("""COMPUTED_VALUE"""),"Ryanggang")</f>
        <v>Ryanggang</v>
      </c>
      <c r="B1399" s="9" t="str">
        <f>IFERROR(__xludf.DUMMYFUNCTION("""COMPUTED_VALUE"""),"kp-10")</f>
        <v>kp-10</v>
      </c>
      <c r="C1399" s="9" t="str">
        <f>IFERROR(__xludf.DUMMYFUNCTION("GOOGLETRANSLATE($A1399,""en"",""de"")"),"Ryanggang")</f>
        <v>Ryanggang</v>
      </c>
      <c r="D1399" s="9" t="str">
        <f>IFERROR(__xludf.DUMMYFUNCTION("GOOGLETRANSLATE($A1399,""en"",""fr"")"),"Ryanggang")</f>
        <v>Ryanggang</v>
      </c>
      <c r="E1399" s="9" t="str">
        <f>IFERROR(__xludf.DUMMYFUNCTION("GOOGLETRANSLATE($A1399,""en"",""es"")"),"Ryanggang")</f>
        <v>Ryanggang</v>
      </c>
      <c r="F1399" s="9" t="str">
        <f>IFERROR(__xludf.DUMMYFUNCTION("GOOGLETRANSLATE($A1399,""en"",""it"")"),"Ryanggang")</f>
        <v>Ryanggang</v>
      </c>
      <c r="G1399" s="9" t="str">
        <f>IFERROR(__xludf.DUMMYFUNCTION("GOOGLETRANSLATE($A1399,""en"",""zh-cn"")"),"两江")</f>
        <v>两江</v>
      </c>
      <c r="H1399" s="9" t="str">
        <f>IFERROR(__xludf.DUMMYFUNCTION("GOOGLETRANSLATE($A1399,""en"",""ja"")"),"両江")</f>
        <v>両江</v>
      </c>
      <c r="I1399" s="9" t="str">
        <f>IFERROR(__xludf.DUMMYFUNCTION("GOOGLETRANSLATE($A1399,""en"",""ko"")"),"양강")</f>
        <v>양강</v>
      </c>
      <c r="J1399" s="9" t="str">
        <f>IFERROR(__xludf.DUMMYFUNCTION("GOOGLETRANSLATE($A1399,""en"",""pt-BR"")"),"Ryanggang")</f>
        <v>Ryanggang</v>
      </c>
    </row>
    <row r="1400">
      <c r="A1400" s="9" t="str">
        <f>IFERROR(__xludf.DUMMYFUNCTION("""COMPUTED_VALUE"""),"North Pyongan")</f>
        <v>North Pyongan</v>
      </c>
      <c r="B1400" s="9" t="str">
        <f>IFERROR(__xludf.DUMMYFUNCTION("""COMPUTED_VALUE"""),"kp-03")</f>
        <v>kp-03</v>
      </c>
      <c r="C1400" s="9" t="str">
        <f>IFERROR(__xludf.DUMMYFUNCTION("GOOGLETRANSLATE($A1400,""en"",""de"")"),"Nord-Pyongan")</f>
        <v>Nord-Pyongan</v>
      </c>
      <c r="D1400" s="9" t="str">
        <f>IFERROR(__xludf.DUMMYFUNCTION("GOOGLETRANSLATE($A1400,""en"",""fr"")"),"Pyongan du Nord")</f>
        <v>Pyongan du Nord</v>
      </c>
      <c r="E1400" s="9" t="str">
        <f>IFERROR(__xludf.DUMMYFUNCTION("GOOGLETRANSLATE($A1400,""en"",""es"")"),"Pyŏngan del Norte")</f>
        <v>Pyŏngan del Norte</v>
      </c>
      <c r="F1400" s="9" t="str">
        <f>IFERROR(__xludf.DUMMYFUNCTION("GOOGLETRANSLATE($A1400,""en"",""it"")"),"Pyongan settentrionale")</f>
        <v>Pyongan settentrionale</v>
      </c>
      <c r="G1400" s="9" t="str">
        <f>IFERROR(__xludf.DUMMYFUNCTION("GOOGLETRANSLATE($A1400,""en"",""zh-cn"")"),"平安北道")</f>
        <v>平安北道</v>
      </c>
      <c r="H1400" s="9" t="str">
        <f>IFERROR(__xludf.DUMMYFUNCTION("GOOGLETRANSLATE($A1400,""en"",""ja"")"),"平安北道")</f>
        <v>平安北道</v>
      </c>
      <c r="I1400" s="9" t="str">
        <f>IFERROR(__xludf.DUMMYFUNCTION("GOOGLETRANSLATE($A1400,""en"",""ko"")"),"평안북도")</f>
        <v>평안북도</v>
      </c>
      <c r="J1400" s="9" t="str">
        <f>IFERROR(__xludf.DUMMYFUNCTION("GOOGLETRANSLATE($A1400,""en"",""pt-BR"")"),"Pyongan do Norte")</f>
        <v>Pyongan do Norte</v>
      </c>
    </row>
    <row r="1401">
      <c r="A1401" s="9" t="str">
        <f>IFERROR(__xludf.DUMMYFUNCTION("""COMPUTED_VALUE"""),"Kangwon")</f>
        <v>Kangwon</v>
      </c>
      <c r="B1401" s="9" t="str">
        <f>IFERROR(__xludf.DUMMYFUNCTION("""COMPUTED_VALUE"""),"kp-07")</f>
        <v>kp-07</v>
      </c>
      <c r="C1401" s="9" t="str">
        <f>IFERROR(__xludf.DUMMYFUNCTION("GOOGLETRANSLATE($A1401,""en"",""de"")"),"Kangwon")</f>
        <v>Kangwon</v>
      </c>
      <c r="D1401" s="9" t="str">
        <f>IFERROR(__xludf.DUMMYFUNCTION("GOOGLETRANSLATE($A1401,""en"",""fr"")"),"Kangwon")</f>
        <v>Kangwon</v>
      </c>
      <c r="E1401" s="9" t="str">
        <f>IFERROR(__xludf.DUMMYFUNCTION("GOOGLETRANSLATE($A1401,""en"",""es"")"),"Kangwon")</f>
        <v>Kangwon</v>
      </c>
      <c r="F1401" s="9" t="str">
        <f>IFERROR(__xludf.DUMMYFUNCTION("GOOGLETRANSLATE($A1401,""en"",""it"")"),"Kangwon")</f>
        <v>Kangwon</v>
      </c>
      <c r="G1401" s="9" t="str">
        <f>IFERROR(__xludf.DUMMYFUNCTION("GOOGLETRANSLATE($A1401,""en"",""zh-cn"")"),"江原道")</f>
        <v>江原道</v>
      </c>
      <c r="H1401" s="9" t="str">
        <f>IFERROR(__xludf.DUMMYFUNCTION("GOOGLETRANSLATE($A1401,""en"",""ja"")"),"江原道")</f>
        <v>江原道</v>
      </c>
      <c r="I1401" s="9" t="str">
        <f>IFERROR(__xludf.DUMMYFUNCTION("GOOGLETRANSLATE($A1401,""en"",""ko"")"),"강원")</f>
        <v>강원</v>
      </c>
      <c r="J1401" s="9" t="str">
        <f>IFERROR(__xludf.DUMMYFUNCTION("GOOGLETRANSLATE($A1401,""en"",""pt-BR"")"),"Kangwon")</f>
        <v>Kangwon</v>
      </c>
    </row>
    <row r="1402">
      <c r="A1402" s="9" t="str">
        <f>IFERROR(__xludf.DUMMYFUNCTION("""COMPUTED_VALUE"""),"Chagang")</f>
        <v>Chagang</v>
      </c>
      <c r="B1402" s="9" t="str">
        <f>IFERROR(__xludf.DUMMYFUNCTION("""COMPUTED_VALUE"""),"kp-04")</f>
        <v>kp-04</v>
      </c>
      <c r="C1402" s="9" t="str">
        <f>IFERROR(__xludf.DUMMYFUNCTION("GOOGLETRANSLATE($A1402,""en"",""de"")"),"Chagang")</f>
        <v>Chagang</v>
      </c>
      <c r="D1402" s="9" t="str">
        <f>IFERROR(__xludf.DUMMYFUNCTION("GOOGLETRANSLATE($A1402,""en"",""fr"")"),"Chagang")</f>
        <v>Chagang</v>
      </c>
      <c r="E1402" s="9" t="str">
        <f>IFERROR(__xludf.DUMMYFUNCTION("GOOGLETRANSLATE($A1402,""en"",""es"")"),"Chagang")</f>
        <v>Chagang</v>
      </c>
      <c r="F1402" s="9" t="str">
        <f>IFERROR(__xludf.DUMMYFUNCTION("GOOGLETRANSLATE($A1402,""en"",""it"")"),"Chagang")</f>
        <v>Chagang</v>
      </c>
      <c r="G1402" s="9" t="str">
        <f>IFERROR(__xludf.DUMMYFUNCTION("GOOGLETRANSLATE($A1402,""en"",""zh-cn"")"),"茶岗")</f>
        <v>茶岗</v>
      </c>
      <c r="H1402" s="9" t="str">
        <f>IFERROR(__xludf.DUMMYFUNCTION("GOOGLETRANSLATE($A1402,""en"",""ja"")"),"チャガン")</f>
        <v>チャガン</v>
      </c>
      <c r="I1402" s="9" t="str">
        <f>IFERROR(__xludf.DUMMYFUNCTION("GOOGLETRANSLATE($A1402,""en"",""ko"")"),"자강")</f>
        <v>자강</v>
      </c>
      <c r="J1402" s="9" t="str">
        <f>IFERROR(__xludf.DUMMYFUNCTION("GOOGLETRANSLATE($A1402,""en"",""pt-BR"")"),"Chagang")</f>
        <v>Chagang</v>
      </c>
    </row>
    <row r="1403">
      <c r="A1403" s="9" t="str">
        <f>IFERROR(__xludf.DUMMYFUNCTION("""COMPUTED_VALUE"""),"Katanga")</f>
        <v>Katanga</v>
      </c>
      <c r="B1403" s="9" t="str">
        <f>IFERROR(__xludf.DUMMYFUNCTION("""COMPUTED_VALUE"""),"cd-ka")</f>
        <v>cd-ka</v>
      </c>
      <c r="C1403" s="9" t="str">
        <f>IFERROR(__xludf.DUMMYFUNCTION("GOOGLETRANSLATE($A1403,""en"",""de"")"),"Katanga")</f>
        <v>Katanga</v>
      </c>
      <c r="D1403" s="9" t="str">
        <f>IFERROR(__xludf.DUMMYFUNCTION("GOOGLETRANSLATE($A1403,""en"",""fr"")"),"Katanga")</f>
        <v>Katanga</v>
      </c>
      <c r="E1403" s="9" t="str">
        <f>IFERROR(__xludf.DUMMYFUNCTION("GOOGLETRANSLATE($A1403,""en"",""es"")"),"Katanga")</f>
        <v>Katanga</v>
      </c>
      <c r="F1403" s="9" t="str">
        <f>IFERROR(__xludf.DUMMYFUNCTION("GOOGLETRANSLATE($A1403,""en"",""it"")"),"Katanga")</f>
        <v>Katanga</v>
      </c>
      <c r="G1403" s="9" t="str">
        <f>IFERROR(__xludf.DUMMYFUNCTION("GOOGLETRANSLATE($A1403,""en"",""zh-cn"")"),"加丹加")</f>
        <v>加丹加</v>
      </c>
      <c r="H1403" s="9" t="str">
        <f>IFERROR(__xludf.DUMMYFUNCTION("GOOGLETRANSLATE($A1403,""en"",""ja"")"),"カタンガ")</f>
        <v>カタンガ</v>
      </c>
      <c r="I1403" s="9" t="str">
        <f>IFERROR(__xludf.DUMMYFUNCTION("GOOGLETRANSLATE($A1403,""en"",""ko"")"),"카탕가")</f>
        <v>카탕가</v>
      </c>
      <c r="J1403" s="9" t="str">
        <f>IFERROR(__xludf.DUMMYFUNCTION("GOOGLETRANSLATE($A1403,""en"",""pt-BR"")"),"Katanga")</f>
        <v>Katanga</v>
      </c>
    </row>
    <row r="1404">
      <c r="A1404" s="9" t="str">
        <f>IFERROR(__xludf.DUMMYFUNCTION("""COMPUTED_VALUE"""),"Kasai-Occidental")</f>
        <v>Kasai-Occidental</v>
      </c>
      <c r="B1404" s="9" t="str">
        <f>IFERROR(__xludf.DUMMYFUNCTION("""COMPUTED_VALUE"""),"cd-kw")</f>
        <v>cd-kw</v>
      </c>
      <c r="C1404" s="9" t="str">
        <f>IFERROR(__xludf.DUMMYFUNCTION("GOOGLETRANSLATE($A1404,""en"",""de"")"),"Kasai-Occidental")</f>
        <v>Kasai-Occidental</v>
      </c>
      <c r="D1404" s="9" t="str">
        <f>IFERROR(__xludf.DUMMYFUNCTION("GOOGLETRANSLATE($A1404,""en"",""fr"")"),"Kasaï-Occidental")</f>
        <v>Kasaï-Occidental</v>
      </c>
      <c r="E1404" s="9" t="str">
        <f>IFERROR(__xludf.DUMMYFUNCTION("GOOGLETRANSLATE($A1404,""en"",""es"")"),"Kasai-Occidental")</f>
        <v>Kasai-Occidental</v>
      </c>
      <c r="F1404" s="9" t="str">
        <f>IFERROR(__xludf.DUMMYFUNCTION("GOOGLETRANSLATE($A1404,""en"",""it"")"),"Kasai-occidentale")</f>
        <v>Kasai-occidentale</v>
      </c>
      <c r="G1404" s="9" t="str">
        <f>IFERROR(__xludf.DUMMYFUNCTION("GOOGLETRANSLATE($A1404,""en"",""zh-cn"")"),"西方葛西公司")</f>
        <v>西方葛西公司</v>
      </c>
      <c r="H1404" s="9" t="str">
        <f>IFERROR(__xludf.DUMMYFUNCTION("GOOGLETRANSLATE($A1404,""en"",""ja"")"),"葛西西")</f>
        <v>葛西西</v>
      </c>
      <c r="I1404" s="9" t="str">
        <f>IFERROR(__xludf.DUMMYFUNCTION("GOOGLETRANSLATE($A1404,""en"",""ko"")"),"카사이-옥시덴탈")</f>
        <v>카사이-옥시덴탈</v>
      </c>
      <c r="J1404" s="9" t="str">
        <f>IFERROR(__xludf.DUMMYFUNCTION("GOOGLETRANSLATE($A1404,""en"",""pt-BR"")"),"Kasai-Ocidental")</f>
        <v>Kasai-Ocidental</v>
      </c>
    </row>
    <row r="1405">
      <c r="A1405" s="9" t="str">
        <f>IFERROR(__xludf.DUMMYFUNCTION("""COMPUTED_VALUE"""),"Orientale")</f>
        <v>Orientale</v>
      </c>
      <c r="B1405" s="9" t="str">
        <f>IFERROR(__xludf.DUMMYFUNCTION("""COMPUTED_VALUE"""),"cd-or")</f>
        <v>cd-or</v>
      </c>
      <c r="C1405" s="9" t="str">
        <f>IFERROR(__xludf.DUMMYFUNCTION("GOOGLETRANSLATE($A1405,""en"",""de"")"),"Orientale")</f>
        <v>Orientale</v>
      </c>
      <c r="D1405" s="9" t="str">
        <f>IFERROR(__xludf.DUMMYFUNCTION("GOOGLETRANSLATE($A1405,""en"",""fr"")"),"Orientale")</f>
        <v>Orientale</v>
      </c>
      <c r="E1405" s="9" t="str">
        <f>IFERROR(__xludf.DUMMYFUNCTION("GOOGLETRANSLATE($A1405,""en"",""es"")"),"Oriental")</f>
        <v>Oriental</v>
      </c>
      <c r="F1405" s="9" t="str">
        <f>IFERROR(__xludf.DUMMYFUNCTION("GOOGLETRANSLATE($A1405,""en"",""it"")"),"Orientale")</f>
        <v>Orientale</v>
      </c>
      <c r="G1405" s="9" t="str">
        <f>IFERROR(__xludf.DUMMYFUNCTION("GOOGLETRANSLATE($A1405,""en"",""zh-cn"")"),"东方")</f>
        <v>东方</v>
      </c>
      <c r="H1405" s="9" t="str">
        <f>IFERROR(__xludf.DUMMYFUNCTION("GOOGLETRANSLATE($A1405,""en"",""ja"")"),"オリエンタル")</f>
        <v>オリエンタル</v>
      </c>
      <c r="I1405" s="9" t="str">
        <f>IFERROR(__xludf.DUMMYFUNCTION("GOOGLETRANSLATE($A1405,""en"",""ko"")"),"오리엔탈레")</f>
        <v>오리엔탈레</v>
      </c>
      <c r="J1405" s="9" t="str">
        <f>IFERROR(__xludf.DUMMYFUNCTION("GOOGLETRANSLATE($A1405,""en"",""pt-BR"")"),"Oriental")</f>
        <v>Oriental</v>
      </c>
    </row>
    <row r="1406">
      <c r="A1406" s="9" t="str">
        <f>IFERROR(__xludf.DUMMYFUNCTION("""COMPUTED_VALUE"""),"Kinshasa")</f>
        <v>Kinshasa</v>
      </c>
      <c r="B1406" s="9" t="str">
        <f>IFERROR(__xludf.DUMMYFUNCTION("""COMPUTED_VALUE"""),"cd-kn")</f>
        <v>cd-kn</v>
      </c>
      <c r="C1406" s="9" t="str">
        <f>IFERROR(__xludf.DUMMYFUNCTION("GOOGLETRANSLATE($A1406,""en"",""de"")"),"Kinshasa")</f>
        <v>Kinshasa</v>
      </c>
      <c r="D1406" s="9" t="str">
        <f>IFERROR(__xludf.DUMMYFUNCTION("GOOGLETRANSLATE($A1406,""en"",""fr"")"),"Kinshasa")</f>
        <v>Kinshasa</v>
      </c>
      <c r="E1406" s="9" t="str">
        <f>IFERROR(__xludf.DUMMYFUNCTION("GOOGLETRANSLATE($A1406,""en"",""es"")"),"Kinsasa")</f>
        <v>Kinsasa</v>
      </c>
      <c r="F1406" s="9" t="str">
        <f>IFERROR(__xludf.DUMMYFUNCTION("GOOGLETRANSLATE($A1406,""en"",""it"")"),"Kinshasa")</f>
        <v>Kinshasa</v>
      </c>
      <c r="G1406" s="9" t="str">
        <f>IFERROR(__xludf.DUMMYFUNCTION("GOOGLETRANSLATE($A1406,""en"",""zh-cn"")"),"金沙萨")</f>
        <v>金沙萨</v>
      </c>
      <c r="H1406" s="9" t="str">
        <f>IFERROR(__xludf.DUMMYFUNCTION("GOOGLETRANSLATE($A1406,""en"",""ja"")"),"キンシャサ")</f>
        <v>キンシャサ</v>
      </c>
      <c r="I1406" s="9" t="str">
        <f>IFERROR(__xludf.DUMMYFUNCTION("GOOGLETRANSLATE($A1406,""en"",""ko"")"),"킨샤사")</f>
        <v>킨샤사</v>
      </c>
      <c r="J1406" s="9" t="str">
        <f>IFERROR(__xludf.DUMMYFUNCTION("GOOGLETRANSLATE($A1406,""en"",""pt-BR"")"),"Kinshasa")</f>
        <v>Kinshasa</v>
      </c>
    </row>
    <row r="1407">
      <c r="A1407" s="9" t="str">
        <f>IFERROR(__xludf.DUMMYFUNCTION("""COMPUTED_VALUE"""),"Maniema")</f>
        <v>Maniema</v>
      </c>
      <c r="B1407" s="9" t="str">
        <f>IFERROR(__xludf.DUMMYFUNCTION("""COMPUTED_VALUE"""),"cd-ma")</f>
        <v>cd-ma</v>
      </c>
      <c r="C1407" s="9" t="str">
        <f>IFERROR(__xludf.DUMMYFUNCTION("GOOGLETRANSLATE($A1407,""en"",""de"")"),"Maniema")</f>
        <v>Maniema</v>
      </c>
      <c r="D1407" s="9" t="str">
        <f>IFERROR(__xludf.DUMMYFUNCTION("GOOGLETRANSLATE($A1407,""en"",""fr"")"),"Maniéma")</f>
        <v>Maniéma</v>
      </c>
      <c r="E1407" s="9" t="str">
        <f>IFERROR(__xludf.DUMMYFUNCTION("GOOGLETRANSLATE($A1407,""en"",""es"")"),"Maniema")</f>
        <v>Maniema</v>
      </c>
      <c r="F1407" s="9" t="str">
        <f>IFERROR(__xludf.DUMMYFUNCTION("GOOGLETRANSLATE($A1407,""en"",""it"")"),"Maniema")</f>
        <v>Maniema</v>
      </c>
      <c r="G1407" s="9" t="str">
        <f>IFERROR(__xludf.DUMMYFUNCTION("GOOGLETRANSLATE($A1407,""en"",""zh-cn"")"),"马涅马")</f>
        <v>马涅马</v>
      </c>
      <c r="H1407" s="9" t="str">
        <f>IFERROR(__xludf.DUMMYFUNCTION("GOOGLETRANSLATE($A1407,""en"",""ja"")"),"マニエマ")</f>
        <v>マニエマ</v>
      </c>
      <c r="I1407" s="9" t="str">
        <f>IFERROR(__xludf.DUMMYFUNCTION("GOOGLETRANSLATE($A1407,""en"",""ko"")"),"마니에마")</f>
        <v>마니에마</v>
      </c>
      <c r="J1407" s="9" t="str">
        <f>IFERROR(__xludf.DUMMYFUNCTION("GOOGLETRANSLATE($A1407,""en"",""pt-BR"")"),"Maniema")</f>
        <v>Maniema</v>
      </c>
    </row>
    <row r="1408">
      <c r="A1408" s="9" t="str">
        <f>IFERROR(__xludf.DUMMYFUNCTION("""COMPUTED_VALUE"""),"Sud-Kivu")</f>
        <v>Sud-Kivu</v>
      </c>
      <c r="B1408" s="9" t="str">
        <f>IFERROR(__xludf.DUMMYFUNCTION("""COMPUTED_VALUE"""),"cd-sk")</f>
        <v>cd-sk</v>
      </c>
      <c r="C1408" s="9" t="str">
        <f>IFERROR(__xludf.DUMMYFUNCTION("GOOGLETRANSLATE($A1408,""en"",""de"")"),"Süd-Kivu")</f>
        <v>Süd-Kivu</v>
      </c>
      <c r="D1408" s="9" t="str">
        <f>IFERROR(__xludf.DUMMYFUNCTION("GOOGLETRANSLATE($A1408,""en"",""fr"")"),"Sud-Kivu")</f>
        <v>Sud-Kivu</v>
      </c>
      <c r="E1408" s="9" t="str">
        <f>IFERROR(__xludf.DUMMYFUNCTION("GOOGLETRANSLATE($A1408,""en"",""es"")"),"Kivu del Sur")</f>
        <v>Kivu del Sur</v>
      </c>
      <c r="F1408" s="9" t="str">
        <f>IFERROR(__xludf.DUMMYFUNCTION("GOOGLETRANSLATE($A1408,""en"",""it"")"),"Sud-Kivu")</f>
        <v>Sud-Kivu</v>
      </c>
      <c r="G1408" s="9" t="str">
        <f>IFERROR(__xludf.DUMMYFUNCTION("GOOGLETRANSLATE($A1408,""en"",""zh-cn"")"),"南基伍省")</f>
        <v>南基伍省</v>
      </c>
      <c r="H1408" s="9" t="str">
        <f>IFERROR(__xludf.DUMMYFUNCTION("GOOGLETRANSLATE($A1408,""en"",""ja"")"),"スッド・キブ")</f>
        <v>スッド・キブ</v>
      </c>
      <c r="I1408" s="9" t="str">
        <f>IFERROR(__xludf.DUMMYFUNCTION("GOOGLETRANSLATE($A1408,""en"",""ko"")"),"수드키부")</f>
        <v>수드키부</v>
      </c>
      <c r="J1408" s="9" t="str">
        <f>IFERROR(__xludf.DUMMYFUNCTION("GOOGLETRANSLATE($A1408,""en"",""pt-BR"")"),"Sul-Kivu")</f>
        <v>Sul-Kivu</v>
      </c>
    </row>
    <row r="1409">
      <c r="A1409" s="9" t="str">
        <f>IFERROR(__xludf.DUMMYFUNCTION("""COMPUTED_VALUE"""),"Bandundu")</f>
        <v>Bandundu</v>
      </c>
      <c r="B1409" s="9" t="str">
        <f>IFERROR(__xludf.DUMMYFUNCTION("""COMPUTED_VALUE"""),"cd-bn")</f>
        <v>cd-bn</v>
      </c>
      <c r="C1409" s="9" t="str">
        <f>IFERROR(__xludf.DUMMYFUNCTION("GOOGLETRANSLATE($A1409,""en"",""de"")"),"Bandundu")</f>
        <v>Bandundu</v>
      </c>
      <c r="D1409" s="9" t="str">
        <f>IFERROR(__xludf.DUMMYFUNCTION("GOOGLETRANSLATE($A1409,""en"",""fr"")"),"Bandundu")</f>
        <v>Bandundu</v>
      </c>
      <c r="E1409" s="9" t="str">
        <f>IFERROR(__xludf.DUMMYFUNCTION("GOOGLETRANSLATE($A1409,""en"",""es"")"),"Bandundu")</f>
        <v>Bandundu</v>
      </c>
      <c r="F1409" s="9" t="str">
        <f>IFERROR(__xludf.DUMMYFUNCTION("GOOGLETRANSLATE($A1409,""en"",""it"")"),"Bandundu")</f>
        <v>Bandundu</v>
      </c>
      <c r="G1409" s="9" t="str">
        <f>IFERROR(__xludf.DUMMYFUNCTION("GOOGLETRANSLATE($A1409,""en"",""zh-cn"")"),"班顿杜")</f>
        <v>班顿杜</v>
      </c>
      <c r="H1409" s="9" t="str">
        <f>IFERROR(__xludf.DUMMYFUNCTION("GOOGLETRANSLATE($A1409,""en"",""ja"")"),"バンドゥンドゥ")</f>
        <v>バンドゥンドゥ</v>
      </c>
      <c r="I1409" s="9" t="str">
        <f>IFERROR(__xludf.DUMMYFUNCTION("GOOGLETRANSLATE($A1409,""en"",""ko"")"),"반둔두")</f>
        <v>반둔두</v>
      </c>
      <c r="J1409" s="9" t="str">
        <f>IFERROR(__xludf.DUMMYFUNCTION("GOOGLETRANSLATE($A1409,""en"",""pt-BR"")"),"Bandundu")</f>
        <v>Bandundu</v>
      </c>
    </row>
    <row r="1410">
      <c r="A1410" s="9" t="str">
        <f>IFERROR(__xludf.DUMMYFUNCTION("""COMPUTED_VALUE"""),"Nord-Kivu")</f>
        <v>Nord-Kivu</v>
      </c>
      <c r="B1410" s="9" t="str">
        <f>IFERROR(__xludf.DUMMYFUNCTION("""COMPUTED_VALUE"""),"cd-nk")</f>
        <v>cd-nk</v>
      </c>
      <c r="C1410" s="9" t="str">
        <f>IFERROR(__xludf.DUMMYFUNCTION("GOOGLETRANSLATE($A1410,""en"",""de"")"),"Nord-Kivu")</f>
        <v>Nord-Kivu</v>
      </c>
      <c r="D1410" s="9" t="str">
        <f>IFERROR(__xludf.DUMMYFUNCTION("GOOGLETRANSLATE($A1410,""en"",""fr"")"),"Nord-Kivu")</f>
        <v>Nord-Kivu</v>
      </c>
      <c r="E1410" s="9" t="str">
        <f>IFERROR(__xludf.DUMMYFUNCTION("GOOGLETRANSLATE($A1410,""en"",""es"")"),"Nord-Kivu")</f>
        <v>Nord-Kivu</v>
      </c>
      <c r="F1410" s="9" t="str">
        <f>IFERROR(__xludf.DUMMYFUNCTION("GOOGLETRANSLATE($A1410,""en"",""it"")"),"Nord Kivu")</f>
        <v>Nord Kivu</v>
      </c>
      <c r="G1410" s="9" t="str">
        <f>IFERROR(__xludf.DUMMYFUNCTION("GOOGLETRANSLATE($A1410,""en"",""zh-cn"")"),"北基伍省")</f>
        <v>北基伍省</v>
      </c>
      <c r="H1410" s="9" t="str">
        <f>IFERROR(__xludf.DUMMYFUNCTION("GOOGLETRANSLATE($A1410,""en"",""ja"")"),"ノルド・キブ")</f>
        <v>ノルド・キブ</v>
      </c>
      <c r="I1410" s="9" t="str">
        <f>IFERROR(__xludf.DUMMYFUNCTION("GOOGLETRANSLATE($A1410,""en"",""ko"")"),"노르키부")</f>
        <v>노르키부</v>
      </c>
      <c r="J1410" s="9" t="str">
        <f>IFERROR(__xludf.DUMMYFUNCTION("GOOGLETRANSLATE($A1410,""en"",""pt-BR"")"),"Norte-Kivu")</f>
        <v>Norte-Kivu</v>
      </c>
    </row>
    <row r="1411">
      <c r="A1411" s="9" t="str">
        <f>IFERROR(__xludf.DUMMYFUNCTION("""COMPUTED_VALUE"""),"Kasai-Oriental")</f>
        <v>Kasai-Oriental</v>
      </c>
      <c r="B1411" s="9" t="str">
        <f>IFERROR(__xludf.DUMMYFUNCTION("""COMPUTED_VALUE"""),"cd-ke")</f>
        <v>cd-ke</v>
      </c>
      <c r="C1411" s="9" t="str">
        <f>IFERROR(__xludf.DUMMYFUNCTION("GOOGLETRANSLATE($A1411,""en"",""de"")"),"Kasai-Orientalisch")</f>
        <v>Kasai-Orientalisch</v>
      </c>
      <c r="D1411" s="9" t="str">
        <f>IFERROR(__xludf.DUMMYFUNCTION("GOOGLETRANSLATE($A1411,""en"",""fr"")"),"Kasaï-Oriental")</f>
        <v>Kasaï-Oriental</v>
      </c>
      <c r="E1411" s="9" t="str">
        <f>IFERROR(__xludf.DUMMYFUNCTION("GOOGLETRANSLATE($A1411,""en"",""es"")"),"Kasai Oriental")</f>
        <v>Kasai Oriental</v>
      </c>
      <c r="F1411" s="9" t="str">
        <f>IFERROR(__xludf.DUMMYFUNCTION("GOOGLETRANSLATE($A1411,""en"",""it"")"),"Kasai-orientale")</f>
        <v>Kasai-orientale</v>
      </c>
      <c r="G1411" s="9" t="str">
        <f>IFERROR(__xludf.DUMMYFUNCTION("GOOGLETRANSLATE($A1411,""en"",""zh-cn"")"),"葛西东方")</f>
        <v>葛西东方</v>
      </c>
      <c r="H1411" s="9" t="str">
        <f>IFERROR(__xludf.DUMMYFUNCTION("GOOGLETRANSLATE($A1411,""en"",""ja"")"),"葛西オリエンタル")</f>
        <v>葛西オリエンタル</v>
      </c>
      <c r="I1411" s="9" t="str">
        <f>IFERROR(__xludf.DUMMYFUNCTION("GOOGLETRANSLATE($A1411,""en"",""ko"")"),"가사이오리엔탈")</f>
        <v>가사이오리엔탈</v>
      </c>
      <c r="J1411" s="9" t="str">
        <f>IFERROR(__xludf.DUMMYFUNCTION("GOOGLETRANSLATE($A1411,""en"",""pt-BR"")"),"Kasai-Oriental")</f>
        <v>Kasai-Oriental</v>
      </c>
    </row>
    <row r="1412">
      <c r="A1412" s="9" t="str">
        <f>IFERROR(__xludf.DUMMYFUNCTION("""COMPUTED_VALUE"""),"Bas-Congo")</f>
        <v>Bas-Congo</v>
      </c>
      <c r="B1412" s="9" t="str">
        <f>IFERROR(__xludf.DUMMYFUNCTION("""COMPUTED_VALUE"""),"cd-bc")</f>
        <v>cd-bc</v>
      </c>
      <c r="C1412" s="9" t="str">
        <f>IFERROR(__xludf.DUMMYFUNCTION("GOOGLETRANSLATE($A1412,""en"",""de"")"),"Bas-Kongo")</f>
        <v>Bas-Kongo</v>
      </c>
      <c r="D1412" s="9" t="str">
        <f>IFERROR(__xludf.DUMMYFUNCTION("GOOGLETRANSLATE($A1412,""en"",""fr"")"),"Bas-Congo")</f>
        <v>Bas-Congo</v>
      </c>
      <c r="E1412" s="9" t="str">
        <f>IFERROR(__xludf.DUMMYFUNCTION("GOOGLETRANSLATE($A1412,""en"",""es"")"),"Bajo Congo")</f>
        <v>Bajo Congo</v>
      </c>
      <c r="F1412" s="9" t="str">
        <f>IFERROR(__xludf.DUMMYFUNCTION("GOOGLETRANSLATE($A1412,""en"",""it"")"),"Basso Congo")</f>
        <v>Basso Congo</v>
      </c>
      <c r="G1412" s="9" t="str">
        <f>IFERROR(__xludf.DUMMYFUNCTION("GOOGLETRANSLATE($A1412,""en"",""zh-cn"")"),"下刚果")</f>
        <v>下刚果</v>
      </c>
      <c r="H1412" s="9" t="str">
        <f>IFERROR(__xludf.DUMMYFUNCTION("GOOGLETRANSLATE($A1412,""en"",""ja"")"),"バスコンゴ")</f>
        <v>バスコンゴ</v>
      </c>
      <c r="I1412" s="9" t="str">
        <f>IFERROR(__xludf.DUMMYFUNCTION("GOOGLETRANSLATE($A1412,""en"",""ko"")"),"바스콩고")</f>
        <v>바스콩고</v>
      </c>
      <c r="J1412" s="9" t="str">
        <f>IFERROR(__xludf.DUMMYFUNCTION("GOOGLETRANSLATE($A1412,""en"",""pt-BR"")"),"Baixo Congo")</f>
        <v>Baixo Congo</v>
      </c>
    </row>
    <row r="1413">
      <c r="A1413" s="9" t="str">
        <f>IFERROR(__xludf.DUMMYFUNCTION("""COMPUTED_VALUE"""),"Équateur")</f>
        <v>Équateur</v>
      </c>
      <c r="B1413" s="9" t="str">
        <f>IFERROR(__xludf.DUMMYFUNCTION("""COMPUTED_VALUE"""),"cd-eq")</f>
        <v>cd-eq</v>
      </c>
      <c r="C1413" s="9" t="str">
        <f>IFERROR(__xludf.DUMMYFUNCTION("GOOGLETRANSLATE($A1413,""en"",""de"")"),"Äquateur")</f>
        <v>Äquateur</v>
      </c>
      <c r="D1413" s="9" t="str">
        <f>IFERROR(__xludf.DUMMYFUNCTION("GOOGLETRANSLATE($A1413,""en"",""fr"")"),"Équateur")</f>
        <v>Équateur</v>
      </c>
      <c r="E1413" s="9" t="str">
        <f>IFERROR(__xludf.DUMMYFUNCTION("GOOGLETRANSLATE($A1413,""en"",""es"")"),"Ecuador")</f>
        <v>Ecuador</v>
      </c>
      <c r="F1413" s="9" t="str">
        <f>IFERROR(__xludf.DUMMYFUNCTION("GOOGLETRANSLATE($A1413,""en"",""it"")"),"Equatore")</f>
        <v>Equatore</v>
      </c>
      <c r="G1413" s="9" t="str">
        <f>IFERROR(__xludf.DUMMYFUNCTION("GOOGLETRANSLATE($A1413,""en"",""zh-cn"")"),"赤道线")</f>
        <v>赤道线</v>
      </c>
      <c r="H1413" s="9" t="str">
        <f>IFERROR(__xludf.DUMMYFUNCTION("GOOGLETRANSLATE($A1413,""en"",""ja"")"),"赤道")</f>
        <v>赤道</v>
      </c>
      <c r="I1413" s="9" t="str">
        <f>IFERROR(__xludf.DUMMYFUNCTION("GOOGLETRANSLATE($A1413,""en"",""ko"")"),"에콰퇴르")</f>
        <v>에콰퇴르</v>
      </c>
      <c r="J1413" s="9" t="str">
        <f>IFERROR(__xludf.DUMMYFUNCTION("GOOGLETRANSLATE($A1413,""en"",""pt-BR"")"),"Equador")</f>
        <v>Equador</v>
      </c>
    </row>
    <row r="1414">
      <c r="A1414" s="9" t="str">
        <f>IFERROR(__xludf.DUMMYFUNCTION("""COMPUTED_VALUE"""),"Sønderjylland")</f>
        <v>Sønderjylland</v>
      </c>
      <c r="B1414" s="9" t="str">
        <f>IFERROR(__xludf.DUMMYFUNCTION("""COMPUTED_VALUE"""),"dk-050")</f>
        <v>dk-050</v>
      </c>
      <c r="C1414" s="9" t="str">
        <f>IFERROR(__xludf.DUMMYFUNCTION("GOOGLETRANSLATE($A1414,""en"",""de"")"),"Sonderjylland")</f>
        <v>Sonderjylland</v>
      </c>
      <c r="D1414" s="9" t="str">
        <f>IFERROR(__xludf.DUMMYFUNCTION("GOOGLETRANSLATE($A1414,""en"",""fr"")"),"Sonderjylland")</f>
        <v>Sonderjylland</v>
      </c>
      <c r="E1414" s="9" t="str">
        <f>IFERROR(__xludf.DUMMYFUNCTION("GOOGLETRANSLATE($A1414,""en"",""es"")"),"Sønderjylland")</f>
        <v>Sønderjylland</v>
      </c>
      <c r="F1414" s="9" t="str">
        <f>IFERROR(__xludf.DUMMYFUNCTION("GOOGLETRANSLATE($A1414,""en"",""it"")"),"Sønderjylland")</f>
        <v>Sønderjylland</v>
      </c>
      <c r="G1414" s="9" t="str">
        <f>IFERROR(__xludf.DUMMYFUNCTION("GOOGLETRANSLATE($A1414,""en"",""zh-cn"")"),"南日德兰")</f>
        <v>南日德兰</v>
      </c>
      <c r="H1414" s="9" t="str">
        <f>IFERROR(__xludf.DUMMYFUNCTION("GOOGLETRANSLATE($A1414,""en"",""ja"")"),"ソンデルユランド")</f>
        <v>ソンデルユランド</v>
      </c>
      <c r="I1414" s="9" t="str">
        <f>IFERROR(__xludf.DUMMYFUNCTION("GOOGLETRANSLATE($A1414,""en"",""ko"")"),"Sønderjylland")</f>
        <v>Sønderjylland</v>
      </c>
      <c r="J1414" s="9" t="str">
        <f>IFERROR(__xludf.DUMMYFUNCTION("GOOGLETRANSLATE($A1414,""en"",""pt-BR"")"),"Sønderjylland")</f>
        <v>Sønderjylland</v>
      </c>
    </row>
    <row r="1415">
      <c r="A1415" s="9" t="str">
        <f>IFERROR(__xludf.DUMMYFUNCTION("""COMPUTED_VALUE"""),"Vejle")</f>
        <v>Vejle</v>
      </c>
      <c r="B1415" s="9" t="str">
        <f>IFERROR(__xludf.DUMMYFUNCTION("""COMPUTED_VALUE"""),"dk-060")</f>
        <v>dk-060</v>
      </c>
      <c r="C1415" s="9" t="str">
        <f>IFERROR(__xludf.DUMMYFUNCTION("GOOGLETRANSLATE($A1415,""en"",""de"")"),"Vejle")</f>
        <v>Vejle</v>
      </c>
      <c r="D1415" s="9" t="str">
        <f>IFERROR(__xludf.DUMMYFUNCTION("GOOGLETRANSLATE($A1415,""en"",""fr"")"),"Vejle")</f>
        <v>Vejle</v>
      </c>
      <c r="E1415" s="9" t="str">
        <f>IFERROR(__xludf.DUMMYFUNCTION("GOOGLETRANSLATE($A1415,""en"",""es"")"),"Vejle")</f>
        <v>Vejle</v>
      </c>
      <c r="F1415" s="9" t="str">
        <f>IFERROR(__xludf.DUMMYFUNCTION("GOOGLETRANSLATE($A1415,""en"",""it"")"),"Vejle")</f>
        <v>Vejle</v>
      </c>
      <c r="G1415" s="9" t="str">
        <f>IFERROR(__xludf.DUMMYFUNCTION("GOOGLETRANSLATE($A1415,""en"",""zh-cn"")"),"瓦埃勒")</f>
        <v>瓦埃勒</v>
      </c>
      <c r="H1415" s="9" t="str">
        <f>IFERROR(__xludf.DUMMYFUNCTION("GOOGLETRANSLATE($A1415,""en"",""ja"")"),"ヴァイレ")</f>
        <v>ヴァイレ</v>
      </c>
      <c r="I1415" s="9" t="str">
        <f>IFERROR(__xludf.DUMMYFUNCTION("GOOGLETRANSLATE($A1415,""en"",""ko"")"),"바일레")</f>
        <v>바일레</v>
      </c>
      <c r="J1415" s="9" t="str">
        <f>IFERROR(__xludf.DUMMYFUNCTION("GOOGLETRANSLATE($A1415,""en"",""pt-BR"")"),"Vejle")</f>
        <v>Vejle</v>
      </c>
    </row>
    <row r="1416">
      <c r="A1416" s="9" t="str">
        <f>IFERROR(__xludf.DUMMYFUNCTION("""COMPUTED_VALUE"""),"Vestsjælland")</f>
        <v>Vestsjælland</v>
      </c>
      <c r="B1416" s="9" t="str">
        <f>IFERROR(__xludf.DUMMYFUNCTION("""COMPUTED_VALUE"""),"dk-030")</f>
        <v>dk-030</v>
      </c>
      <c r="C1416" s="9" t="str">
        <f>IFERROR(__xludf.DUMMYFUNCTION("GOOGLETRANSLATE($A1416,""en"",""de"")"),"Vestsjælland")</f>
        <v>Vestsjælland</v>
      </c>
      <c r="D1416" s="9" t="str">
        <f>IFERROR(__xludf.DUMMYFUNCTION("GOOGLETRANSLATE($A1416,""en"",""fr"")"),"Vestsjælland")</f>
        <v>Vestsjælland</v>
      </c>
      <c r="E1416" s="9" t="str">
        <f>IFERROR(__xludf.DUMMYFUNCTION("GOOGLETRANSLATE($A1416,""en"",""es"")"),"Vestsjælland")</f>
        <v>Vestsjælland</v>
      </c>
      <c r="F1416" s="9" t="str">
        <f>IFERROR(__xludf.DUMMYFUNCTION("GOOGLETRANSLATE($A1416,""en"",""it"")"),"Vestsjaelland")</f>
        <v>Vestsjaelland</v>
      </c>
      <c r="G1416" s="9" t="str">
        <f>IFERROR(__xludf.DUMMYFUNCTION("GOOGLETRANSLATE($A1416,""en"",""zh-cn"")"),"西西兰省")</f>
        <v>西西兰省</v>
      </c>
      <c r="H1416" s="9" t="str">
        <f>IFERROR(__xludf.DUMMYFUNCTION("GOOGLETRANSLATE($A1416,""en"",""ja"")"),"ヴェストシェラント")</f>
        <v>ヴェストシェラント</v>
      </c>
      <c r="I1416" s="9" t="str">
        <f>IFERROR(__xludf.DUMMYFUNCTION("GOOGLETRANSLATE($A1416,""en"",""ko"")"),"베스트셸란드")</f>
        <v>베스트셸란드</v>
      </c>
      <c r="J1416" s="9" t="str">
        <f>IFERROR(__xludf.DUMMYFUNCTION("GOOGLETRANSLATE($A1416,""en"",""pt-BR"")"),"Vestsjælland")</f>
        <v>Vestsjælland</v>
      </c>
    </row>
    <row r="1417">
      <c r="A1417" s="9" t="str">
        <f>IFERROR(__xludf.DUMMYFUNCTION("""COMPUTED_VALUE"""),"Viborg")</f>
        <v>Viborg</v>
      </c>
      <c r="B1417" s="9" t="str">
        <f>IFERROR(__xludf.DUMMYFUNCTION("""COMPUTED_VALUE"""),"dk-076")</f>
        <v>dk-076</v>
      </c>
      <c r="C1417" s="9" t="str">
        <f>IFERROR(__xludf.DUMMYFUNCTION("GOOGLETRANSLATE($A1417,""en"",""de"")"),"Viborg")</f>
        <v>Viborg</v>
      </c>
      <c r="D1417" s="9" t="str">
        <f>IFERROR(__xludf.DUMMYFUNCTION("GOOGLETRANSLATE($A1417,""en"",""fr"")"),"Viborg")</f>
        <v>Viborg</v>
      </c>
      <c r="E1417" s="9" t="str">
        <f>IFERROR(__xludf.DUMMYFUNCTION("GOOGLETRANSLATE($A1417,""en"",""es"")"),"Viborg")</f>
        <v>Viborg</v>
      </c>
      <c r="F1417" s="9" t="str">
        <f>IFERROR(__xludf.DUMMYFUNCTION("GOOGLETRANSLATE($A1417,""en"",""it"")"),"Viborg")</f>
        <v>Viborg</v>
      </c>
      <c r="G1417" s="9" t="str">
        <f>IFERROR(__xludf.DUMMYFUNCTION("GOOGLETRANSLATE($A1417,""en"",""zh-cn"")"),"维堡")</f>
        <v>维堡</v>
      </c>
      <c r="H1417" s="9" t="str">
        <f>IFERROR(__xludf.DUMMYFUNCTION("GOOGLETRANSLATE($A1417,""en"",""ja"")"),"ヴィボーグ")</f>
        <v>ヴィボーグ</v>
      </c>
      <c r="I1417" s="9" t="str">
        <f>IFERROR(__xludf.DUMMYFUNCTION("GOOGLETRANSLATE($A1417,""en"",""ko"")"),"비보르")</f>
        <v>비보르</v>
      </c>
      <c r="J1417" s="9" t="str">
        <f>IFERROR(__xludf.DUMMYFUNCTION("GOOGLETRANSLATE($A1417,""en"",""pt-BR"")"),"Viburgo")</f>
        <v>Viburgo</v>
      </c>
    </row>
    <row r="1418">
      <c r="A1418" s="9" t="str">
        <f>IFERROR(__xludf.DUMMYFUNCTION("""COMPUTED_VALUE"""),"Ribe")</f>
        <v>Ribe</v>
      </c>
      <c r="B1418" s="9" t="str">
        <f>IFERROR(__xludf.DUMMYFUNCTION("""COMPUTED_VALUE"""),"dk-055")</f>
        <v>dk-055</v>
      </c>
      <c r="C1418" s="9" t="str">
        <f>IFERROR(__xludf.DUMMYFUNCTION("GOOGLETRANSLATE($A1418,""en"",""de"")"),"Ribe")</f>
        <v>Ribe</v>
      </c>
      <c r="D1418" s="9" t="str">
        <f>IFERROR(__xludf.DUMMYFUNCTION("GOOGLETRANSLATE($A1418,""en"",""fr"")"),"Ribé")</f>
        <v>Ribé</v>
      </c>
      <c r="E1418" s="9" t="str">
        <f>IFERROR(__xludf.DUMMYFUNCTION("GOOGLETRANSLATE($A1418,""en"",""es"")"),"Ribé")</f>
        <v>Ribé</v>
      </c>
      <c r="F1418" s="9" t="str">
        <f>IFERROR(__xludf.DUMMYFUNCTION("GOOGLETRANSLATE($A1418,""en"",""it"")"),"Ribe")</f>
        <v>Ribe</v>
      </c>
      <c r="G1418" s="9" t="str">
        <f>IFERROR(__xludf.DUMMYFUNCTION("GOOGLETRANSLATE($A1418,""en"",""zh-cn"")"),"里伯")</f>
        <v>里伯</v>
      </c>
      <c r="H1418" s="9" t="str">
        <f>IFERROR(__xludf.DUMMYFUNCTION("GOOGLETRANSLATE($A1418,""en"",""ja"")"),"リーベ")</f>
        <v>リーベ</v>
      </c>
      <c r="I1418" s="9" t="str">
        <f>IFERROR(__xludf.DUMMYFUNCTION("GOOGLETRANSLATE($A1418,""en"",""ko"")"),"리베")</f>
        <v>리베</v>
      </c>
      <c r="J1418" s="9" t="str">
        <f>IFERROR(__xludf.DUMMYFUNCTION("GOOGLETRANSLATE($A1418,""en"",""pt-BR"")"),"Ribe")</f>
        <v>Ribe</v>
      </c>
    </row>
    <row r="1419">
      <c r="A1419" s="9" t="str">
        <f>IFERROR(__xludf.DUMMYFUNCTION("""COMPUTED_VALUE"""),"Ringkøbing")</f>
        <v>Ringkøbing</v>
      </c>
      <c r="B1419" s="9" t="str">
        <f>IFERROR(__xludf.DUMMYFUNCTION("""COMPUTED_VALUE"""),"dk-065")</f>
        <v>dk-065</v>
      </c>
      <c r="C1419" s="9" t="str">
        <f>IFERROR(__xludf.DUMMYFUNCTION("GOOGLETRANSLATE($A1419,""en"",""de"")"),"Ringkøbing")</f>
        <v>Ringkøbing</v>
      </c>
      <c r="D1419" s="9" t="str">
        <f>IFERROR(__xludf.DUMMYFUNCTION("GOOGLETRANSLATE($A1419,""en"",""fr"")"),"Ringkobing")</f>
        <v>Ringkobing</v>
      </c>
      <c r="E1419" s="9" t="str">
        <f>IFERROR(__xludf.DUMMYFUNCTION("GOOGLETRANSLATE($A1419,""en"",""es"")"),"Ringkobing")</f>
        <v>Ringkobing</v>
      </c>
      <c r="F1419" s="9" t="str">
        <f>IFERROR(__xludf.DUMMYFUNCTION("GOOGLETRANSLATE($A1419,""en"",""it"")"),"Ringkøbing")</f>
        <v>Ringkøbing</v>
      </c>
      <c r="G1419" s="9" t="str">
        <f>IFERROR(__xludf.DUMMYFUNCTION("GOOGLETRANSLATE($A1419,""en"",""zh-cn"")"),"灵克宾")</f>
        <v>灵克宾</v>
      </c>
      <c r="H1419" s="9" t="str">
        <f>IFERROR(__xludf.DUMMYFUNCTION("GOOGLETRANSLATE($A1419,""en"",""ja"")"),"リングコービング")</f>
        <v>リングコービング</v>
      </c>
      <c r="I1419" s="9" t="str">
        <f>IFERROR(__xludf.DUMMYFUNCTION("GOOGLETRANSLATE($A1419,""en"",""ko"")"),"링쾨빙")</f>
        <v>링쾨빙</v>
      </c>
      <c r="J1419" s="9" t="str">
        <f>IFERROR(__xludf.DUMMYFUNCTION("GOOGLETRANSLATE($A1419,""en"",""pt-BR"")"),"Ringkøbing")</f>
        <v>Ringkøbing</v>
      </c>
    </row>
    <row r="1420">
      <c r="A1420" s="9" t="str">
        <f>IFERROR(__xludf.DUMMYFUNCTION("""COMPUTED_VALUE"""),"Roskilde")</f>
        <v>Roskilde</v>
      </c>
      <c r="B1420" s="9" t="str">
        <f>IFERROR(__xludf.DUMMYFUNCTION("""COMPUTED_VALUE"""),"dk-025")</f>
        <v>dk-025</v>
      </c>
      <c r="C1420" s="9" t="str">
        <f>IFERROR(__xludf.DUMMYFUNCTION("GOOGLETRANSLATE($A1420,""en"",""de"")"),"Roskilde")</f>
        <v>Roskilde</v>
      </c>
      <c r="D1420" s="9" t="str">
        <f>IFERROR(__xludf.DUMMYFUNCTION("GOOGLETRANSLATE($A1420,""en"",""fr"")"),"Roskilde")</f>
        <v>Roskilde</v>
      </c>
      <c r="E1420" s="9" t="str">
        <f>IFERROR(__xludf.DUMMYFUNCTION("GOOGLETRANSLATE($A1420,""en"",""es"")"),"Roskilde")</f>
        <v>Roskilde</v>
      </c>
      <c r="F1420" s="9" t="str">
        <f>IFERROR(__xludf.DUMMYFUNCTION("GOOGLETRANSLATE($A1420,""en"",""it"")"),"Roskilde")</f>
        <v>Roskilde</v>
      </c>
      <c r="G1420" s="9" t="str">
        <f>IFERROR(__xludf.DUMMYFUNCTION("GOOGLETRANSLATE($A1420,""en"",""zh-cn"")"),"罗斯基勒")</f>
        <v>罗斯基勒</v>
      </c>
      <c r="H1420" s="9" t="str">
        <f>IFERROR(__xludf.DUMMYFUNCTION("GOOGLETRANSLATE($A1420,""en"",""ja"")"),"ロスキレ")</f>
        <v>ロスキレ</v>
      </c>
      <c r="I1420" s="9" t="str">
        <f>IFERROR(__xludf.DUMMYFUNCTION("GOOGLETRANSLATE($A1420,""en"",""ko"")"),"로스킬데")</f>
        <v>로스킬데</v>
      </c>
      <c r="J1420" s="9" t="str">
        <f>IFERROR(__xludf.DUMMYFUNCTION("GOOGLETRANSLATE($A1420,""en"",""pt-BR"")"),"Roskilde")</f>
        <v>Roskilde</v>
      </c>
    </row>
    <row r="1421">
      <c r="A1421" s="9" t="str">
        <f>IFERROR(__xludf.DUMMYFUNCTION("""COMPUTED_VALUE"""),"Storstrøm")</f>
        <v>Storstrøm</v>
      </c>
      <c r="B1421" s="9" t="str">
        <f>IFERROR(__xludf.DUMMYFUNCTION("""COMPUTED_VALUE"""),"dk-035")</f>
        <v>dk-035</v>
      </c>
      <c r="C1421" s="9" t="str">
        <f>IFERROR(__xludf.DUMMYFUNCTION("GOOGLETRANSLATE($A1421,""en"",""de"")"),"Storstrøm")</f>
        <v>Storstrøm</v>
      </c>
      <c r="D1421" s="9" t="str">
        <f>IFERROR(__xludf.DUMMYFUNCTION("GOOGLETRANSLATE($A1421,""en"",""fr"")"),"Storstrom")</f>
        <v>Storstrom</v>
      </c>
      <c r="E1421" s="9" t="str">
        <f>IFERROR(__xludf.DUMMYFUNCTION("GOOGLETRANSLATE($A1421,""en"",""es"")"),"Storstrøm")</f>
        <v>Storstrøm</v>
      </c>
      <c r="F1421" s="9" t="str">
        <f>IFERROR(__xludf.DUMMYFUNCTION("GOOGLETRANSLATE($A1421,""en"",""it"")"),"Storstrom")</f>
        <v>Storstrom</v>
      </c>
      <c r="G1421" s="9" t="str">
        <f>IFERROR(__xludf.DUMMYFUNCTION("GOOGLETRANSLATE($A1421,""en"",""zh-cn"")"),"斯托斯特罗姆")</f>
        <v>斯托斯特罗姆</v>
      </c>
      <c r="H1421" s="9" t="str">
        <f>IFERROR(__xludf.DUMMYFUNCTION("GOOGLETRANSLATE($A1421,""en"",""ja"")"),"ストーストロム")</f>
        <v>ストーストロム</v>
      </c>
      <c r="I1421" s="9" t="str">
        <f>IFERROR(__xludf.DUMMYFUNCTION("GOOGLETRANSLATE($A1421,""en"",""ko"")"),"스토르스트롬")</f>
        <v>스토르스트롬</v>
      </c>
      <c r="J1421" s="9" t="str">
        <f>IFERROR(__xludf.DUMMYFUNCTION("GOOGLETRANSLATE($A1421,""en"",""pt-BR"")"),"Storstrom")</f>
        <v>Storstrom</v>
      </c>
    </row>
    <row r="1422">
      <c r="A1422" s="9" t="str">
        <f>IFERROR(__xludf.DUMMYFUNCTION("""COMPUTED_VALUE"""),"Frederiksborg")</f>
        <v>Frederiksborg</v>
      </c>
      <c r="B1422" s="9" t="str">
        <f>IFERROR(__xludf.DUMMYFUNCTION("""COMPUTED_VALUE"""),"dk-020")</f>
        <v>dk-020</v>
      </c>
      <c r="C1422" s="9" t="str">
        <f>IFERROR(__xludf.DUMMYFUNCTION("GOOGLETRANSLATE($A1422,""en"",""de"")"),"Frederiksborg")</f>
        <v>Frederiksborg</v>
      </c>
      <c r="D1422" s="9" t="str">
        <f>IFERROR(__xludf.DUMMYFUNCTION("GOOGLETRANSLATE($A1422,""en"",""fr"")"),"Frederiksborg")</f>
        <v>Frederiksborg</v>
      </c>
      <c r="E1422" s="9" t="str">
        <f>IFERROR(__xludf.DUMMYFUNCTION("GOOGLETRANSLATE($A1422,""en"",""es"")"),"Frederiksborg")</f>
        <v>Frederiksborg</v>
      </c>
      <c r="F1422" s="9" t="str">
        <f>IFERROR(__xludf.DUMMYFUNCTION("GOOGLETRANSLATE($A1422,""en"",""it"")"),"Frederiksborg")</f>
        <v>Frederiksborg</v>
      </c>
      <c r="G1422" s="9" t="str">
        <f>IFERROR(__xludf.DUMMYFUNCTION("GOOGLETRANSLATE($A1422,""en"",""zh-cn"")"),"腓特烈堡")</f>
        <v>腓特烈堡</v>
      </c>
      <c r="H1422" s="9" t="str">
        <f>IFERROR(__xludf.DUMMYFUNCTION("GOOGLETRANSLATE($A1422,""en"",""ja"")"),"フレデリクスボーグ")</f>
        <v>フレデリクスボーグ</v>
      </c>
      <c r="I1422" s="9" t="str">
        <f>IFERROR(__xludf.DUMMYFUNCTION("GOOGLETRANSLATE($A1422,""en"",""ko"")"),"프레데릭스보르그")</f>
        <v>프레데릭스보르그</v>
      </c>
      <c r="J1422" s="9" t="str">
        <f>IFERROR(__xludf.DUMMYFUNCTION("GOOGLETRANSLATE($A1422,""en"",""pt-BR"")"),"Frederiksborg")</f>
        <v>Frederiksborg</v>
      </c>
    </row>
    <row r="1423">
      <c r="A1423" s="9" t="str">
        <f>IFERROR(__xludf.DUMMYFUNCTION("""COMPUTED_VALUE"""),"Fyn")</f>
        <v>Fyn</v>
      </c>
      <c r="B1423" s="9" t="str">
        <f>IFERROR(__xludf.DUMMYFUNCTION("""COMPUTED_VALUE"""),"dk-042")</f>
        <v>dk-042</v>
      </c>
      <c r="C1423" s="9" t="str">
        <f>IFERROR(__xludf.DUMMYFUNCTION("GOOGLETRANSLATE($A1423,""en"",""de"")"),"Fyn")</f>
        <v>Fyn</v>
      </c>
      <c r="D1423" s="9" t="str">
        <f>IFERROR(__xludf.DUMMYFUNCTION("GOOGLETRANSLATE($A1423,""en"",""fr"")"),"Fyn")</f>
        <v>Fyn</v>
      </c>
      <c r="E1423" s="9" t="str">
        <f>IFERROR(__xludf.DUMMYFUNCTION("GOOGLETRANSLATE($A1423,""en"",""es"")"),"Fionia")</f>
        <v>Fionia</v>
      </c>
      <c r="F1423" s="9" t="str">
        <f>IFERROR(__xludf.DUMMYFUNCTION("GOOGLETRANSLATE($A1423,""en"",""it"")"),"Fyn")</f>
        <v>Fyn</v>
      </c>
      <c r="G1423" s="9" t="str">
        <f>IFERROR(__xludf.DUMMYFUNCTION("GOOGLETRANSLATE($A1423,""en"",""zh-cn"")"),"菲英岛")</f>
        <v>菲英岛</v>
      </c>
      <c r="H1423" s="9" t="str">
        <f>IFERROR(__xludf.DUMMYFUNCTION("GOOGLETRANSLATE($A1423,""en"",""ja"")"),"フィン")</f>
        <v>フィン</v>
      </c>
      <c r="I1423" s="9" t="str">
        <f>IFERROR(__xludf.DUMMYFUNCTION("GOOGLETRANSLATE($A1423,""en"",""ko"")"),"핀")</f>
        <v>핀</v>
      </c>
      <c r="J1423" s="9" t="str">
        <f>IFERROR(__xludf.DUMMYFUNCTION("GOOGLETRANSLATE($A1423,""en"",""pt-BR"")"),"Fyn")</f>
        <v>Fyn</v>
      </c>
    </row>
    <row r="1424">
      <c r="A1424" s="9" t="str">
        <f>IFERROR(__xludf.DUMMYFUNCTION("""COMPUTED_VALUE"""),"København (County)")</f>
        <v>København (County)</v>
      </c>
      <c r="B1424" s="9" t="str">
        <f>IFERROR(__xludf.DUMMYFUNCTION("""COMPUTED_VALUE"""),"dk-015")</f>
        <v>dk-015</v>
      </c>
      <c r="C1424" s="9" t="str">
        <f>IFERROR(__xludf.DUMMYFUNCTION("GOOGLETRANSLATE($A1424,""en"",""de"")"),"Kopenhagen (Bezirk)")</f>
        <v>Kopenhagen (Bezirk)</v>
      </c>
      <c r="D1424" s="9" t="str">
        <f>IFERROR(__xludf.DUMMYFUNCTION("GOOGLETRANSLATE($A1424,""en"",""fr"")"),"Copenhague (Comté)")</f>
        <v>Copenhague (Comté)</v>
      </c>
      <c r="E1424" s="9" t="str">
        <f>IFERROR(__xludf.DUMMYFUNCTION("GOOGLETRANSLATE($A1424,""en"",""es"")"),"Copenhague (Condado)")</f>
        <v>Copenhague (Condado)</v>
      </c>
      <c r="F1424" s="9" t="str">
        <f>IFERROR(__xludf.DUMMYFUNCTION("GOOGLETRANSLATE($A1424,""en"",""it"")"),"Copenaghen (Contea)")</f>
        <v>Copenaghen (Contea)</v>
      </c>
      <c r="G1424" s="9" t="str">
        <f>IFERROR(__xludf.DUMMYFUNCTION("GOOGLETRANSLATE($A1424,""en"",""zh-cn"")"),"哥本哈根 (县)")</f>
        <v>哥本哈根 (县)</v>
      </c>
      <c r="H1424" s="9" t="str">
        <f>IFERROR(__xludf.DUMMYFUNCTION("GOOGLETRANSLATE($A1424,""en"",""ja"")"),"ケーベンハウン (郡)")</f>
        <v>ケーベンハウン (郡)</v>
      </c>
      <c r="I1424" s="9" t="str">
        <f>IFERROR(__xludf.DUMMYFUNCTION("GOOGLETRANSLATE($A1424,""en"",""ko"")"),"코펜하겐(주)")</f>
        <v>코펜하겐(주)</v>
      </c>
      <c r="J1424" s="9" t="str">
        <f>IFERROR(__xludf.DUMMYFUNCTION("GOOGLETRANSLATE($A1424,""en"",""pt-BR"")"),"Copenhague (condado)")</f>
        <v>Copenhague (condado)</v>
      </c>
    </row>
    <row r="1425">
      <c r="A1425" s="9" t="str">
        <f>IFERROR(__xludf.DUMMYFUNCTION("""COMPUTED_VALUE"""),"Nordjylland (County)")</f>
        <v>Nordjylland (County)</v>
      </c>
      <c r="B1425" s="9" t="str">
        <f>IFERROR(__xludf.DUMMYFUNCTION("""COMPUTED_VALUE"""),"dk-080")</f>
        <v>dk-080</v>
      </c>
      <c r="C1425" s="9" t="str">
        <f>IFERROR(__xludf.DUMMYFUNCTION("GOOGLETRANSLATE($A1425,""en"",""de"")"),"Nordjylland (Landkreis)")</f>
        <v>Nordjylland (Landkreis)</v>
      </c>
      <c r="D1425" s="9" t="str">
        <f>IFERROR(__xludf.DUMMYFUNCTION("GOOGLETRANSLATE($A1425,""en"",""fr"")"),"Jutland du Nord (Comté)")</f>
        <v>Jutland du Nord (Comté)</v>
      </c>
      <c r="E1425" s="9" t="str">
        <f>IFERROR(__xludf.DUMMYFUNCTION("GOOGLETRANSLATE($A1425,""en"",""es"")"),"Nordjylland (Condado)")</f>
        <v>Nordjylland (Condado)</v>
      </c>
      <c r="F1425" s="9" t="str">
        <f>IFERROR(__xludf.DUMMYFUNCTION("GOOGLETRANSLATE($A1425,""en"",""it"")"),"Nordjylland (Contea)")</f>
        <v>Nordjylland (Contea)</v>
      </c>
      <c r="G1425" s="9" t="str">
        <f>IFERROR(__xludf.DUMMYFUNCTION("GOOGLETRANSLATE($A1425,""en"",""zh-cn"")"),"北日德兰 (县)")</f>
        <v>北日德兰 (县)</v>
      </c>
      <c r="H1425" s="9" t="str">
        <f>IFERROR(__xludf.DUMMYFUNCTION("GOOGLETRANSLATE($A1425,""en"",""ja"")"),"ノールユラン県 (県)")</f>
        <v>ノールユラン県 (県)</v>
      </c>
      <c r="I1425" s="9" t="str">
        <f>IFERROR(__xludf.DUMMYFUNCTION("GOOGLETRANSLATE($A1425,""en"",""ko"")"),"노르질란드(주)")</f>
        <v>노르질란드(주)</v>
      </c>
      <c r="J1425" s="9" t="str">
        <f>IFERROR(__xludf.DUMMYFUNCTION("GOOGLETRANSLATE($A1425,""en"",""pt-BR"")"),"Nordjylland (condado)")</f>
        <v>Nordjylland (condado)</v>
      </c>
    </row>
    <row r="1426">
      <c r="A1426" s="9" t="str">
        <f>IFERROR(__xludf.DUMMYFUNCTION("""COMPUTED_VALUE"""),"Region of Southern Denmark")</f>
        <v>Region of Southern Denmark</v>
      </c>
      <c r="B1426" s="9" t="str">
        <f>IFERROR(__xludf.DUMMYFUNCTION("""COMPUTED_VALUE"""),"dk-83")</f>
        <v>dk-83</v>
      </c>
      <c r="C1426" s="9" t="str">
        <f>IFERROR(__xludf.DUMMYFUNCTION("GOOGLETRANSLATE($A1426,""en"",""de"")"),"Region Süddänemark")</f>
        <v>Region Süddänemark</v>
      </c>
      <c r="D1426" s="9" t="str">
        <f>IFERROR(__xludf.DUMMYFUNCTION("GOOGLETRANSLATE($A1426,""en"",""fr"")"),"Région du Danemark du Sud")</f>
        <v>Région du Danemark du Sud</v>
      </c>
      <c r="E1426" s="9" t="str">
        <f>IFERROR(__xludf.DUMMYFUNCTION("GOOGLETRANSLATE($A1426,""en"",""es"")"),"Región del sur de Dinamarca")</f>
        <v>Región del sur de Dinamarca</v>
      </c>
      <c r="F1426" s="9" t="str">
        <f>IFERROR(__xludf.DUMMYFUNCTION("GOOGLETRANSLATE($A1426,""en"",""it"")"),"Regione della Danimarca meridionale")</f>
        <v>Regione della Danimarca meridionale</v>
      </c>
      <c r="G1426" s="9" t="str">
        <f>IFERROR(__xludf.DUMMYFUNCTION("GOOGLETRANSLATE($A1426,""en"",""zh-cn"")"),"丹麦南部地区")</f>
        <v>丹麦南部地区</v>
      </c>
      <c r="H1426" s="9" t="str">
        <f>IFERROR(__xludf.DUMMYFUNCTION("GOOGLETRANSLATE($A1426,""en"",""ja"")"),"デンマーク南部の地域")</f>
        <v>デンマーク南部の地域</v>
      </c>
      <c r="I1426" s="9" t="str">
        <f>IFERROR(__xludf.DUMMYFUNCTION("GOOGLETRANSLATE($A1426,""en"",""ko"")"),"남부 덴마크 지역")</f>
        <v>남부 덴마크 지역</v>
      </c>
      <c r="J1426" s="9" t="str">
        <f>IFERROR(__xludf.DUMMYFUNCTION("GOOGLETRANSLATE($A1426,""en"",""pt-BR"")"),"Região do Sul da Dinamarca")</f>
        <v>Região do Sul da Dinamarca</v>
      </c>
    </row>
    <row r="1427">
      <c r="A1427" s="9" t="str">
        <f>IFERROR(__xludf.DUMMYFUNCTION("""COMPUTED_VALUE"""),"Frederiksberg")</f>
        <v>Frederiksberg</v>
      </c>
      <c r="B1427" s="9" t="str">
        <f>IFERROR(__xludf.DUMMYFUNCTION("""COMPUTED_VALUE"""),"dk-147")</f>
        <v>dk-147</v>
      </c>
      <c r="C1427" s="9" t="str">
        <f>IFERROR(__xludf.DUMMYFUNCTION("GOOGLETRANSLATE($A1427,""en"",""de"")"),"Frederiksberg")</f>
        <v>Frederiksberg</v>
      </c>
      <c r="D1427" s="9" t="str">
        <f>IFERROR(__xludf.DUMMYFUNCTION("GOOGLETRANSLATE($A1427,""en"",""fr"")"),"Frederiksberg")</f>
        <v>Frederiksberg</v>
      </c>
      <c r="E1427" s="9" t="str">
        <f>IFERROR(__xludf.DUMMYFUNCTION("GOOGLETRANSLATE($A1427,""en"",""es"")"),"Frederiksberg")</f>
        <v>Frederiksberg</v>
      </c>
      <c r="F1427" s="9" t="str">
        <f>IFERROR(__xludf.DUMMYFUNCTION("GOOGLETRANSLATE($A1427,""en"",""it"")"),"Frederiksberg")</f>
        <v>Frederiksberg</v>
      </c>
      <c r="G1427" s="9" t="str">
        <f>IFERROR(__xludf.DUMMYFUNCTION("GOOGLETRANSLATE($A1427,""en"",""zh-cn"")"),"腓特烈斯贝")</f>
        <v>腓特烈斯贝</v>
      </c>
      <c r="H1427" s="9" t="str">
        <f>IFERROR(__xludf.DUMMYFUNCTION("GOOGLETRANSLATE($A1427,""en"",""ja"")"),"フレゼレクスベア")</f>
        <v>フレゼレクスベア</v>
      </c>
      <c r="I1427" s="9" t="str">
        <f>IFERROR(__xludf.DUMMYFUNCTION("GOOGLETRANSLATE($A1427,""en"",""ko"")"),"프레데릭스베르")</f>
        <v>프레데릭스베르</v>
      </c>
      <c r="J1427" s="9" t="str">
        <f>IFERROR(__xludf.DUMMYFUNCTION("GOOGLETRANSLATE($A1427,""en"",""pt-BR"")"),"Frederiksberg")</f>
        <v>Frederiksberg</v>
      </c>
    </row>
    <row r="1428">
      <c r="A1428" s="9" t="str">
        <f>IFERROR(__xludf.DUMMYFUNCTION("""COMPUTED_VALUE"""),"København (City)")</f>
        <v>København (City)</v>
      </c>
      <c r="B1428" s="9" t="str">
        <f>IFERROR(__xludf.DUMMYFUNCTION("""COMPUTED_VALUE"""),"dk-101")</f>
        <v>dk-101</v>
      </c>
      <c r="C1428" s="9" t="str">
        <f>IFERROR(__xludf.DUMMYFUNCTION("GOOGLETRANSLATE($A1428,""en"",""de"")"),"Kopenhagen (Stadt)")</f>
        <v>Kopenhagen (Stadt)</v>
      </c>
      <c r="D1428" s="9" t="str">
        <f>IFERROR(__xludf.DUMMYFUNCTION("GOOGLETRANSLATE($A1428,""en"",""fr"")"),"Copenhague (Ville)")</f>
        <v>Copenhague (Ville)</v>
      </c>
      <c r="E1428" s="9" t="str">
        <f>IFERROR(__xludf.DUMMYFUNCTION("GOOGLETRANSLATE($A1428,""en"",""es"")"),"Copenhague (Ciudad)")</f>
        <v>Copenhague (Ciudad)</v>
      </c>
      <c r="F1428" s="9" t="str">
        <f>IFERROR(__xludf.DUMMYFUNCTION("GOOGLETRANSLATE($A1428,""en"",""it"")"),"Copenaghen (Città)")</f>
        <v>Copenaghen (Città)</v>
      </c>
      <c r="G1428" s="9" t="str">
        <f>IFERROR(__xludf.DUMMYFUNCTION("GOOGLETRANSLATE($A1428,""en"",""zh-cn"")"),"哥本哈根（市）")</f>
        <v>哥本哈根（市）</v>
      </c>
      <c r="H1428" s="9" t="str">
        <f>IFERROR(__xludf.DUMMYFUNCTION("GOOGLETRANSLATE($A1428,""en"",""ja"")"),"ケーベンハウン (市)")</f>
        <v>ケーベンハウン (市)</v>
      </c>
      <c r="I1428" s="9" t="str">
        <f>IFERROR(__xludf.DUMMYFUNCTION("GOOGLETRANSLATE($A1428,""en"",""ko"")"),"코펜하겐(도시)")</f>
        <v>코펜하겐(도시)</v>
      </c>
      <c r="J1428" s="9" t="str">
        <f>IFERROR(__xludf.DUMMYFUNCTION("GOOGLETRANSLATE($A1428,""en"",""pt-BR"")"),"Copenhaga (Cidade)")</f>
        <v>Copenhaga (Cidade)</v>
      </c>
    </row>
    <row r="1429">
      <c r="A1429" s="9" t="str">
        <f>IFERROR(__xludf.DUMMYFUNCTION("""COMPUTED_VALUE"""),"Bornholm")</f>
        <v>Bornholm</v>
      </c>
      <c r="B1429" s="9" t="str">
        <f>IFERROR(__xludf.DUMMYFUNCTION("""COMPUTED_VALUE"""),"dk-040")</f>
        <v>dk-040</v>
      </c>
      <c r="C1429" s="9" t="str">
        <f>IFERROR(__xludf.DUMMYFUNCTION("GOOGLETRANSLATE($A1429,""en"",""de"")"),"Bornholm")</f>
        <v>Bornholm</v>
      </c>
      <c r="D1429" s="9" t="str">
        <f>IFERROR(__xludf.DUMMYFUNCTION("GOOGLETRANSLATE($A1429,""en"",""fr"")"),"Bornholm")</f>
        <v>Bornholm</v>
      </c>
      <c r="E1429" s="9" t="str">
        <f>IFERROR(__xludf.DUMMYFUNCTION("GOOGLETRANSLATE($A1429,""en"",""es"")"),"Bornholm")</f>
        <v>Bornholm</v>
      </c>
      <c r="F1429" s="9" t="str">
        <f>IFERROR(__xludf.DUMMYFUNCTION("GOOGLETRANSLATE($A1429,""en"",""it"")"),"Bornholm")</f>
        <v>Bornholm</v>
      </c>
      <c r="G1429" s="9" t="str">
        <f>IFERROR(__xludf.DUMMYFUNCTION("GOOGLETRANSLATE($A1429,""en"",""zh-cn"")"),"博恩霍尔姆")</f>
        <v>博恩霍尔姆</v>
      </c>
      <c r="H1429" s="9" t="str">
        <f>IFERROR(__xludf.DUMMYFUNCTION("GOOGLETRANSLATE($A1429,""en"",""ja"")"),"ボーンホルム島")</f>
        <v>ボーンホルム島</v>
      </c>
      <c r="I1429" s="9" t="str">
        <f>IFERROR(__xludf.DUMMYFUNCTION("GOOGLETRANSLATE($A1429,""en"",""ko"")"),"보른홀름")</f>
        <v>보른홀름</v>
      </c>
      <c r="J1429" s="9" t="str">
        <f>IFERROR(__xludf.DUMMYFUNCTION("GOOGLETRANSLATE($A1429,""en"",""pt-BR"")"),"Bornholm")</f>
        <v>Bornholm</v>
      </c>
    </row>
    <row r="1430">
      <c r="A1430" s="9" t="str">
        <f>IFERROR(__xludf.DUMMYFUNCTION("""COMPUTED_VALUE"""),"Århus")</f>
        <v>Århus</v>
      </c>
      <c r="B1430" s="9" t="str">
        <f>IFERROR(__xludf.DUMMYFUNCTION("""COMPUTED_VALUE"""),"dk-070")</f>
        <v>dk-070</v>
      </c>
      <c r="C1430" s="9" t="str">
        <f>IFERROR(__xludf.DUMMYFUNCTION("GOOGLETRANSLATE($A1430,""en"",""de"")"),"Århus")</f>
        <v>Århus</v>
      </c>
      <c r="D1430" s="9" t="str">
        <f>IFERROR(__xludf.DUMMYFUNCTION("GOOGLETRANSLATE($A1430,""en"",""fr"")"),"Arhus")</f>
        <v>Arhus</v>
      </c>
      <c r="E1430" s="9" t="str">
        <f>IFERROR(__xludf.DUMMYFUNCTION("GOOGLETRANSLATE($A1430,""en"",""es"")"),"Århus")</f>
        <v>Århus</v>
      </c>
      <c r="F1430" s="9" t="str">
        <f>IFERROR(__xludf.DUMMYFUNCTION("GOOGLETRANSLATE($A1430,""en"",""it"")"),"Århus")</f>
        <v>Århus</v>
      </c>
      <c r="G1430" s="9" t="str">
        <f>IFERROR(__xludf.DUMMYFUNCTION("GOOGLETRANSLATE($A1430,""en"",""zh-cn"")"),"奥尔胡斯")</f>
        <v>奥尔胡斯</v>
      </c>
      <c r="H1430" s="9" t="str">
        <f>IFERROR(__xludf.DUMMYFUNCTION("GOOGLETRANSLATE($A1430,""en"",""ja"")"),"オーフス")</f>
        <v>オーフス</v>
      </c>
      <c r="I1430" s="9" t="str">
        <f>IFERROR(__xludf.DUMMYFUNCTION("GOOGLETRANSLATE($A1430,""en"",""ko"")"),"오르후스")</f>
        <v>오르후스</v>
      </c>
      <c r="J1430" s="9" t="str">
        <f>IFERROR(__xludf.DUMMYFUNCTION("GOOGLETRANSLATE($A1430,""en"",""pt-BR"")"),"Aarhus")</f>
        <v>Aarhus</v>
      </c>
    </row>
    <row r="1431">
      <c r="A1431" s="9" t="str">
        <f>IFERROR(__xludf.DUMMYFUNCTION("""COMPUTED_VALUE"""),"Region Zealand")</f>
        <v>Region Zealand</v>
      </c>
      <c r="B1431" s="9" t="str">
        <f>IFERROR(__xludf.DUMMYFUNCTION("""COMPUTED_VALUE"""),"dk-85")</f>
        <v>dk-85</v>
      </c>
      <c r="C1431" s="9" t="str">
        <f>IFERROR(__xludf.DUMMYFUNCTION("GOOGLETRANSLATE($A1431,""en"",""de"")"),"Region Seeland")</f>
        <v>Region Seeland</v>
      </c>
      <c r="D1431" s="9" t="str">
        <f>IFERROR(__xludf.DUMMYFUNCTION("GOOGLETRANSLATE($A1431,""en"",""fr"")"),"Région Zélande")</f>
        <v>Région Zélande</v>
      </c>
      <c r="E1431" s="9" t="str">
        <f>IFERROR(__xludf.DUMMYFUNCTION("GOOGLETRANSLATE($A1431,""en"",""es"")"),"Región Zelanda")</f>
        <v>Región Zelanda</v>
      </c>
      <c r="F1431" s="9" t="str">
        <f>IFERROR(__xludf.DUMMYFUNCTION("GOOGLETRANSLATE($A1431,""en"",""it"")"),"Regione Zelanda")</f>
        <v>Regione Zelanda</v>
      </c>
      <c r="G1431" s="9" t="str">
        <f>IFERROR(__xludf.DUMMYFUNCTION("GOOGLETRANSLATE($A1431,""en"",""zh-cn"")"),"地区 西兰岛")</f>
        <v>地区 西兰岛</v>
      </c>
      <c r="H1431" s="9" t="str">
        <f>IFERROR(__xludf.DUMMYFUNCTION("GOOGLETRANSLATE($A1431,""en"",""ja"")"),"地域 ニュージーランド")</f>
        <v>地域 ニュージーランド</v>
      </c>
      <c r="I1431" s="9" t="str">
        <f>IFERROR(__xludf.DUMMYFUNCTION("GOOGLETRANSLATE($A1431,""en"",""ko"")"),"지역 뉴질랜드")</f>
        <v>지역 뉴질랜드</v>
      </c>
      <c r="J1431" s="9" t="str">
        <f>IFERROR(__xludf.DUMMYFUNCTION("GOOGLETRANSLATE($A1431,""en"",""pt-BR"")"),"Região Zelândia")</f>
        <v>Região Zelândia</v>
      </c>
    </row>
    <row r="1432">
      <c r="A1432" s="9" t="str">
        <f>IFERROR(__xludf.DUMMYFUNCTION("""COMPUTED_VALUE"""),"Capital Region of Denmark")</f>
        <v>Capital Region of Denmark</v>
      </c>
      <c r="B1432" s="9" t="str">
        <f>IFERROR(__xludf.DUMMYFUNCTION("""COMPUTED_VALUE"""),"dk-84")</f>
        <v>dk-84</v>
      </c>
      <c r="C1432" s="9" t="str">
        <f>IFERROR(__xludf.DUMMYFUNCTION("GOOGLETRANSLATE($A1432,""en"",""de"")"),"Hauptstadtregion Dänemarks")</f>
        <v>Hauptstadtregion Dänemarks</v>
      </c>
      <c r="D1432" s="9" t="str">
        <f>IFERROR(__xludf.DUMMYFUNCTION("GOOGLETRANSLATE($A1432,""en"",""fr"")"),"Région capitale du Danemark")</f>
        <v>Région capitale du Danemark</v>
      </c>
      <c r="E1432" s="9" t="str">
        <f>IFERROR(__xludf.DUMMYFUNCTION("GOOGLETRANSLATE($A1432,""en"",""es"")"),"Región Capital de Dinamarca")</f>
        <v>Región Capital de Dinamarca</v>
      </c>
      <c r="F1432" s="9" t="str">
        <f>IFERROR(__xludf.DUMMYFUNCTION("GOOGLETRANSLATE($A1432,""en"",""it"")"),"Regione della capitale della Danimarca")</f>
        <v>Regione della capitale della Danimarca</v>
      </c>
      <c r="G1432" s="9" t="str">
        <f>IFERROR(__xludf.DUMMYFUNCTION("GOOGLETRANSLATE($A1432,""en"",""zh-cn"")"),"丹麦首都区")</f>
        <v>丹麦首都区</v>
      </c>
      <c r="H1432" s="9" t="str">
        <f>IFERROR(__xludf.DUMMYFUNCTION("GOOGLETRANSLATE($A1432,""en"",""ja"")"),"デンマーク首都地域")</f>
        <v>デンマーク首都地域</v>
      </c>
      <c r="I1432" s="9" t="str">
        <f>IFERROR(__xludf.DUMMYFUNCTION("GOOGLETRANSLATE($A1432,""en"",""ko"")"),"덴마크 수도 지역")</f>
        <v>덴마크 수도 지역</v>
      </c>
      <c r="J1432" s="9" t="str">
        <f>IFERROR(__xludf.DUMMYFUNCTION("GOOGLETRANSLATE($A1432,""en"",""pt-BR"")"),"Região da Capital da Dinamarca")</f>
        <v>Região da Capital da Dinamarca</v>
      </c>
    </row>
    <row r="1433">
      <c r="A1433" s="9" t="str">
        <f>IFERROR(__xludf.DUMMYFUNCTION("""COMPUTED_VALUE"""),"Central Denmark Region")</f>
        <v>Central Denmark Region</v>
      </c>
      <c r="B1433" s="9" t="str">
        <f>IFERROR(__xludf.DUMMYFUNCTION("""COMPUTED_VALUE"""),"dk-82")</f>
        <v>dk-82</v>
      </c>
      <c r="C1433" s="9" t="str">
        <f>IFERROR(__xludf.DUMMYFUNCTION("GOOGLETRANSLATE($A1433,""en"",""de"")"),"Region Mitteldänemark")</f>
        <v>Region Mitteldänemark</v>
      </c>
      <c r="D1433" s="9" t="str">
        <f>IFERROR(__xludf.DUMMYFUNCTION("GOOGLETRANSLATE($A1433,""en"",""fr"")"),"Région du Danemark central")</f>
        <v>Région du Danemark central</v>
      </c>
      <c r="E1433" s="9" t="str">
        <f>IFERROR(__xludf.DUMMYFUNCTION("GOOGLETRANSLATE($A1433,""en"",""es"")"),"Región de Dinamarca Central")</f>
        <v>Región de Dinamarca Central</v>
      </c>
      <c r="F1433" s="9" t="str">
        <f>IFERROR(__xludf.DUMMYFUNCTION("GOOGLETRANSLATE($A1433,""en"",""it"")"),"Regione della Danimarca centrale")</f>
        <v>Regione della Danimarca centrale</v>
      </c>
      <c r="G1433" s="9" t="str">
        <f>IFERROR(__xludf.DUMMYFUNCTION("GOOGLETRANSLATE($A1433,""en"",""zh-cn"")"),"丹麦中部地区")</f>
        <v>丹麦中部地区</v>
      </c>
      <c r="H1433" s="9" t="str">
        <f>IFERROR(__xludf.DUMMYFUNCTION("GOOGLETRANSLATE($A1433,""en"",""ja"")"),"デンマーク中部地域")</f>
        <v>デンマーク中部地域</v>
      </c>
      <c r="I1433" s="9" t="str">
        <f>IFERROR(__xludf.DUMMYFUNCTION("GOOGLETRANSLATE($A1433,""en"",""ko"")"),"덴마크 중부 지역")</f>
        <v>덴마크 중부 지역</v>
      </c>
      <c r="J1433" s="9" t="str">
        <f>IFERROR(__xludf.DUMMYFUNCTION("GOOGLETRANSLATE($A1433,""en"",""pt-BR"")"),"Região Central da Dinamarca")</f>
        <v>Região Central da Dinamarca</v>
      </c>
    </row>
    <row r="1434">
      <c r="A1434" s="9" t="str">
        <f>IFERROR(__xludf.DUMMYFUNCTION("""COMPUTED_VALUE"""),"North Denmark Region")</f>
        <v>North Denmark Region</v>
      </c>
      <c r="B1434" s="9" t="str">
        <f>IFERROR(__xludf.DUMMYFUNCTION("""COMPUTED_VALUE"""),"dk-81")</f>
        <v>dk-81</v>
      </c>
      <c r="C1434" s="9" t="str">
        <f>IFERROR(__xludf.DUMMYFUNCTION("GOOGLETRANSLATE($A1434,""en"",""de"")"),"Region Norddänemark")</f>
        <v>Region Norddänemark</v>
      </c>
      <c r="D1434" s="9" t="str">
        <f>IFERROR(__xludf.DUMMYFUNCTION("GOOGLETRANSLATE($A1434,""en"",""fr"")"),"Région du Danemark du Nord")</f>
        <v>Région du Danemark du Nord</v>
      </c>
      <c r="E1434" s="9" t="str">
        <f>IFERROR(__xludf.DUMMYFUNCTION("GOOGLETRANSLATE($A1434,""en"",""es"")"),"Región del norte de Dinamarca")</f>
        <v>Región del norte de Dinamarca</v>
      </c>
      <c r="F1434" s="9" t="str">
        <f>IFERROR(__xludf.DUMMYFUNCTION("GOOGLETRANSLATE($A1434,""en"",""it"")"),"Regione della Danimarca settentrionale")</f>
        <v>Regione della Danimarca settentrionale</v>
      </c>
      <c r="G1434" s="9" t="str">
        <f>IFERROR(__xludf.DUMMYFUNCTION("GOOGLETRANSLATE($A1434,""en"",""zh-cn"")"),"北丹麦地区")</f>
        <v>北丹麦地区</v>
      </c>
      <c r="H1434" s="9" t="str">
        <f>IFERROR(__xludf.DUMMYFUNCTION("GOOGLETRANSLATE($A1434,""en"",""ja"")"),"デンマーク北部地域")</f>
        <v>デンマーク北部地域</v>
      </c>
      <c r="I1434" s="9" t="str">
        <f>IFERROR(__xludf.DUMMYFUNCTION("GOOGLETRANSLATE($A1434,""en"",""ko"")"),"북부 덴마크 지역")</f>
        <v>북부 덴마크 지역</v>
      </c>
      <c r="J1434" s="9" t="str">
        <f>IFERROR(__xludf.DUMMYFUNCTION("GOOGLETRANSLATE($A1434,""en"",""pt-BR"")"),"Região Norte da Dinamarca")</f>
        <v>Região Norte da Dinamarca</v>
      </c>
    </row>
    <row r="1435">
      <c r="A1435" s="9" t="str">
        <f>IFERROR(__xludf.DUMMYFUNCTION("""COMPUTED_VALUE"""),"Arta (DJ)")</f>
        <v>Arta (DJ)</v>
      </c>
      <c r="B1435" s="9" t="str">
        <f>IFERROR(__xludf.DUMMYFUNCTION("""COMPUTED_VALUE"""),"dj-ar")</f>
        <v>dj-ar</v>
      </c>
      <c r="C1435" s="9" t="str">
        <f>IFERROR(__xludf.DUMMYFUNCTION("GOOGLETRANSLATE($A1435,""en"",""de"")"),"Arta (DJ)")</f>
        <v>Arta (DJ)</v>
      </c>
      <c r="D1435" s="9" t="str">
        <f>IFERROR(__xludf.DUMMYFUNCTION("GOOGLETRANSLATE($A1435,""en"",""fr"")"),"Arta (DJ)")</f>
        <v>Arta (DJ)</v>
      </c>
      <c r="E1435" s="9" t="str">
        <f>IFERROR(__xludf.DUMMYFUNCTION("GOOGLETRANSLATE($A1435,""en"",""es"")"),"Artá (DJ)")</f>
        <v>Artá (DJ)</v>
      </c>
      <c r="F1435" s="9" t="str">
        <f>IFERROR(__xludf.DUMMYFUNCTION("GOOGLETRANSLATE($A1435,""en"",""it"")"),"Arta (DJ)")</f>
        <v>Arta (DJ)</v>
      </c>
      <c r="G1435" s="9" t="str">
        <f>IFERROR(__xludf.DUMMYFUNCTION("GOOGLETRANSLATE($A1435,""en"",""zh-cn"")"),"阿尔塔 (DJ)")</f>
        <v>阿尔塔 (DJ)</v>
      </c>
      <c r="H1435" s="9" t="str">
        <f>IFERROR(__xludf.DUMMYFUNCTION("GOOGLETRANSLATE($A1435,""en"",""ja"")"),"アルタ (DJ)")</f>
        <v>アルタ (DJ)</v>
      </c>
      <c r="I1435" s="9" t="str">
        <f>IFERROR(__xludf.DUMMYFUNCTION("GOOGLETRANSLATE($A1435,""en"",""ko"")"),"아르타 (DJ)")</f>
        <v>아르타 (DJ)</v>
      </c>
      <c r="J1435" s="9" t="str">
        <f>IFERROR(__xludf.DUMMYFUNCTION("GOOGLETRANSLATE($A1435,""en"",""pt-BR"")"),"Arta (DJ)")</f>
        <v>Arta (DJ)</v>
      </c>
    </row>
    <row r="1436">
      <c r="A1436" s="9" t="str">
        <f>IFERROR(__xludf.DUMMYFUNCTION("""COMPUTED_VALUE"""),"Tadjourah")</f>
        <v>Tadjourah</v>
      </c>
      <c r="B1436" s="9" t="str">
        <f>IFERROR(__xludf.DUMMYFUNCTION("""COMPUTED_VALUE"""),"dj-ta")</f>
        <v>dj-ta</v>
      </c>
      <c r="C1436" s="9" t="str">
        <f>IFERROR(__xludf.DUMMYFUNCTION("GOOGLETRANSLATE($A1436,""en"",""de"")"),"Tadjourah")</f>
        <v>Tadjourah</v>
      </c>
      <c r="D1436" s="9" t="str">
        <f>IFERROR(__xludf.DUMMYFUNCTION("GOOGLETRANSLATE($A1436,""en"",""fr"")"),"Tadjourah")</f>
        <v>Tadjourah</v>
      </c>
      <c r="E1436" s="9" t="str">
        <f>IFERROR(__xludf.DUMMYFUNCTION("GOOGLETRANSLATE($A1436,""en"",""es"")"),"Tadjoura")</f>
        <v>Tadjoura</v>
      </c>
      <c r="F1436" s="9" t="str">
        <f>IFERROR(__xludf.DUMMYFUNCTION("GOOGLETRANSLATE($A1436,""en"",""it"")"),"Tadjourah")</f>
        <v>Tadjourah</v>
      </c>
      <c r="G1436" s="9" t="str">
        <f>IFERROR(__xludf.DUMMYFUNCTION("GOOGLETRANSLATE($A1436,""en"",""zh-cn"")"),"塔朱拉")</f>
        <v>塔朱拉</v>
      </c>
      <c r="H1436" s="9" t="str">
        <f>IFERROR(__xludf.DUMMYFUNCTION("GOOGLETRANSLATE($A1436,""en"",""ja"")"),"タジュラ")</f>
        <v>タジュラ</v>
      </c>
      <c r="I1436" s="9" t="str">
        <f>IFERROR(__xludf.DUMMYFUNCTION("GOOGLETRANSLATE($A1436,""en"",""ko"")"),"타주라")</f>
        <v>타주라</v>
      </c>
      <c r="J1436" s="9" t="str">
        <f>IFERROR(__xludf.DUMMYFUNCTION("GOOGLETRANSLATE($A1436,""en"",""pt-BR"")"),"Tadjourah")</f>
        <v>Tadjourah</v>
      </c>
    </row>
    <row r="1437">
      <c r="A1437" s="9" t="str">
        <f>IFERROR(__xludf.DUMMYFUNCTION("""COMPUTED_VALUE"""),"Djibouti")</f>
        <v>Djibouti</v>
      </c>
      <c r="B1437" s="9" t="str">
        <f>IFERROR(__xludf.DUMMYFUNCTION("""COMPUTED_VALUE"""),"dj-dj")</f>
        <v>dj-dj</v>
      </c>
      <c r="C1437" s="9" t="str">
        <f>IFERROR(__xludf.DUMMYFUNCTION("GOOGLETRANSLATE($A1437,""en"",""de"")"),"Dschibuti")</f>
        <v>Dschibuti</v>
      </c>
      <c r="D1437" s="9" t="str">
        <f>IFERROR(__xludf.DUMMYFUNCTION("GOOGLETRANSLATE($A1437,""en"",""fr"")"),"Djibouti")</f>
        <v>Djibouti</v>
      </c>
      <c r="E1437" s="9" t="str">
        <f>IFERROR(__xludf.DUMMYFUNCTION("GOOGLETRANSLATE($A1437,""en"",""es"")"),"Yibuti")</f>
        <v>Yibuti</v>
      </c>
      <c r="F1437" s="9" t="str">
        <f>IFERROR(__xludf.DUMMYFUNCTION("GOOGLETRANSLATE($A1437,""en"",""it"")"),"Gibuti")</f>
        <v>Gibuti</v>
      </c>
      <c r="G1437" s="9" t="str">
        <f>IFERROR(__xludf.DUMMYFUNCTION("GOOGLETRANSLATE($A1437,""en"",""zh-cn"")"),"吉布提")</f>
        <v>吉布提</v>
      </c>
      <c r="H1437" s="9" t="str">
        <f>IFERROR(__xludf.DUMMYFUNCTION("GOOGLETRANSLATE($A1437,""en"",""ja"")"),"ジブチ")</f>
        <v>ジブチ</v>
      </c>
      <c r="I1437" s="9" t="str">
        <f>IFERROR(__xludf.DUMMYFUNCTION("GOOGLETRANSLATE($A1437,""en"",""ko"")"),"지부티")</f>
        <v>지부티</v>
      </c>
      <c r="J1437" s="9" t="str">
        <f>IFERROR(__xludf.DUMMYFUNCTION("GOOGLETRANSLATE($A1437,""en"",""pt-BR"")"),"Djibuti")</f>
        <v>Djibuti</v>
      </c>
    </row>
    <row r="1438">
      <c r="A1438" s="9" t="str">
        <f>IFERROR(__xludf.DUMMYFUNCTION("""COMPUTED_VALUE"""),"Ali Sabieh")</f>
        <v>Ali Sabieh</v>
      </c>
      <c r="B1438" s="9" t="str">
        <f>IFERROR(__xludf.DUMMYFUNCTION("""COMPUTED_VALUE"""),"dj-as")</f>
        <v>dj-as</v>
      </c>
      <c r="C1438" s="9" t="str">
        <f>IFERROR(__xludf.DUMMYFUNCTION("GOOGLETRANSLATE($A1438,""en"",""de"")"),"Ali Sabieh")</f>
        <v>Ali Sabieh</v>
      </c>
      <c r="D1438" s="9" t="str">
        <f>IFERROR(__xludf.DUMMYFUNCTION("GOOGLETRANSLATE($A1438,""en"",""fr"")"),"Ali Sabieh")</f>
        <v>Ali Sabieh</v>
      </c>
      <c r="E1438" s="9" t="str">
        <f>IFERROR(__xludf.DUMMYFUNCTION("GOOGLETRANSLATE($A1438,""en"",""es"")"),"Ali Sabieh")</f>
        <v>Ali Sabieh</v>
      </c>
      <c r="F1438" s="9" t="str">
        <f>IFERROR(__xludf.DUMMYFUNCTION("GOOGLETRANSLATE($A1438,""en"",""it"")"),"Ali Sabieh")</f>
        <v>Ali Sabieh</v>
      </c>
      <c r="G1438" s="9" t="str">
        <f>IFERROR(__xludf.DUMMYFUNCTION("GOOGLETRANSLATE($A1438,""en"",""zh-cn"")"),"阿里·萨比耶")</f>
        <v>阿里·萨比耶</v>
      </c>
      <c r="H1438" s="9" t="str">
        <f>IFERROR(__xludf.DUMMYFUNCTION("GOOGLETRANSLATE($A1438,""en"",""ja"")"),"アリ・サビエ")</f>
        <v>アリ・サビエ</v>
      </c>
      <c r="I1438" s="9" t="str">
        <f>IFERROR(__xludf.DUMMYFUNCTION("GOOGLETRANSLATE($A1438,""en"",""ko"")"),"알리 사비에")</f>
        <v>알리 사비에</v>
      </c>
      <c r="J1438" s="9" t="str">
        <f>IFERROR(__xludf.DUMMYFUNCTION("GOOGLETRANSLATE($A1438,""en"",""pt-BR"")"),"Ali Sabieh")</f>
        <v>Ali Sabieh</v>
      </c>
    </row>
    <row r="1439">
      <c r="A1439" s="9" t="str">
        <f>IFERROR(__xludf.DUMMYFUNCTION("""COMPUTED_VALUE"""),"Obock")</f>
        <v>Obock</v>
      </c>
      <c r="B1439" s="9" t="str">
        <f>IFERROR(__xludf.DUMMYFUNCTION("""COMPUTED_VALUE"""),"dj-ob")</f>
        <v>dj-ob</v>
      </c>
      <c r="C1439" s="9" t="str">
        <f>IFERROR(__xludf.DUMMYFUNCTION("GOOGLETRANSLATE($A1439,""en"",""de"")"),"Obock")</f>
        <v>Obock</v>
      </c>
      <c r="D1439" s="9" t="str">
        <f>IFERROR(__xludf.DUMMYFUNCTION("GOOGLETRANSLATE($A1439,""en"",""fr"")"),"Obock")</f>
        <v>Obock</v>
      </c>
      <c r="E1439" s="9" t="str">
        <f>IFERROR(__xludf.DUMMYFUNCTION("GOOGLETRANSLATE($A1439,""en"",""es"")"),"Obock")</f>
        <v>Obock</v>
      </c>
      <c r="F1439" s="9" t="str">
        <f>IFERROR(__xludf.DUMMYFUNCTION("GOOGLETRANSLATE($A1439,""en"",""it"")"),"Obock")</f>
        <v>Obock</v>
      </c>
      <c r="G1439" s="9" t="str">
        <f>IFERROR(__xludf.DUMMYFUNCTION("GOOGLETRANSLATE($A1439,""en"",""zh-cn"")"),"奥博克")</f>
        <v>奥博克</v>
      </c>
      <c r="H1439" s="9" t="str">
        <f>IFERROR(__xludf.DUMMYFUNCTION("GOOGLETRANSLATE($A1439,""en"",""ja"")"),"オボック")</f>
        <v>オボック</v>
      </c>
      <c r="I1439" s="9" t="str">
        <f>IFERROR(__xludf.DUMMYFUNCTION("GOOGLETRANSLATE($A1439,""en"",""ko"")"),"오보크")</f>
        <v>오보크</v>
      </c>
      <c r="J1439" s="9" t="str">
        <f>IFERROR(__xludf.DUMMYFUNCTION("GOOGLETRANSLATE($A1439,""en"",""pt-BR"")"),"Obock")</f>
        <v>Obock</v>
      </c>
    </row>
    <row r="1440">
      <c r="A1440" s="9" t="str">
        <f>IFERROR(__xludf.DUMMYFUNCTION("""COMPUTED_VALUE"""),"Dikhil")</f>
        <v>Dikhil</v>
      </c>
      <c r="B1440" s="9" t="str">
        <f>IFERROR(__xludf.DUMMYFUNCTION("""COMPUTED_VALUE"""),"dj-di")</f>
        <v>dj-di</v>
      </c>
      <c r="C1440" s="9" t="str">
        <f>IFERROR(__xludf.DUMMYFUNCTION("GOOGLETRANSLATE($A1440,""en"",""de"")"),"Dikhil")</f>
        <v>Dikhil</v>
      </c>
      <c r="D1440" s="9" t="str">
        <f>IFERROR(__xludf.DUMMYFUNCTION("GOOGLETRANSLATE($A1440,""en"",""fr"")"),"Dikhil")</f>
        <v>Dikhil</v>
      </c>
      <c r="E1440" s="9" t="str">
        <f>IFERROR(__xludf.DUMMYFUNCTION("GOOGLETRANSLATE($A1440,""en"",""es"")"),"Dikhil")</f>
        <v>Dikhil</v>
      </c>
      <c r="F1440" s="9" t="str">
        <f>IFERROR(__xludf.DUMMYFUNCTION("GOOGLETRANSLATE($A1440,""en"",""it"")"),"Dikhil")</f>
        <v>Dikhil</v>
      </c>
      <c r="G1440" s="9" t="str">
        <f>IFERROR(__xludf.DUMMYFUNCTION("GOOGLETRANSLATE($A1440,""en"",""zh-cn"")"),"迪基勒")</f>
        <v>迪基勒</v>
      </c>
      <c r="H1440" s="9" t="str">
        <f>IFERROR(__xludf.DUMMYFUNCTION("GOOGLETRANSLATE($A1440,""en"",""ja"")"),"ディキル")</f>
        <v>ディキル</v>
      </c>
      <c r="I1440" s="9" t="str">
        <f>IFERROR(__xludf.DUMMYFUNCTION("GOOGLETRANSLATE($A1440,""en"",""ko"")"),"디킬")</f>
        <v>디킬</v>
      </c>
      <c r="J1440" s="9" t="str">
        <f>IFERROR(__xludf.DUMMYFUNCTION("GOOGLETRANSLATE($A1440,""en"",""pt-BR"")"),"Dikhil")</f>
        <v>Dikhil</v>
      </c>
    </row>
    <row r="1441">
      <c r="A1441" s="9" t="str">
        <f>IFERROR(__xludf.DUMMYFUNCTION("""COMPUTED_VALUE"""),"Saint Patrick (DM)")</f>
        <v>Saint Patrick (DM)</v>
      </c>
      <c r="B1441" s="9" t="str">
        <f>IFERROR(__xludf.DUMMYFUNCTION("""COMPUTED_VALUE"""),"dm-09")</f>
        <v>dm-09</v>
      </c>
      <c r="C1441" s="9" t="str">
        <f>IFERROR(__xludf.DUMMYFUNCTION("GOOGLETRANSLATE($A1441,""en"",""de"")"),"St. Patrick (DM)")</f>
        <v>St. Patrick (DM)</v>
      </c>
      <c r="D1441" s="9" t="str">
        <f>IFERROR(__xludf.DUMMYFUNCTION("GOOGLETRANSLATE($A1441,""en"",""fr"")"),"Saint Patrick (DM)")</f>
        <v>Saint Patrick (DM)</v>
      </c>
      <c r="E1441" s="9" t="str">
        <f>IFERROR(__xludf.DUMMYFUNCTION("GOOGLETRANSLATE($A1441,""en"",""es"")"),"San Patricio (DM)")</f>
        <v>San Patricio (DM)</v>
      </c>
      <c r="F1441" s="9" t="str">
        <f>IFERROR(__xludf.DUMMYFUNCTION("GOOGLETRANSLATE($A1441,""en"",""it"")"),"San Patrizio (DM)")</f>
        <v>San Patrizio (DM)</v>
      </c>
      <c r="G1441" s="9" t="str">
        <f>IFERROR(__xludf.DUMMYFUNCTION("GOOGLETRANSLATE($A1441,""en"",""zh-cn"")"),"圣帕特里克 (DM)")</f>
        <v>圣帕特里克 (DM)</v>
      </c>
      <c r="H1441" s="9" t="str">
        <f>IFERROR(__xludf.DUMMYFUNCTION("GOOGLETRANSLATE($A1441,""en"",""ja"")"),"聖パトリック (DM)")</f>
        <v>聖パトリック (DM)</v>
      </c>
      <c r="I1441" s="9" t="str">
        <f>IFERROR(__xludf.DUMMYFUNCTION("GOOGLETRANSLATE($A1441,""en"",""ko"")"),"성 패트릭(DM)")</f>
        <v>성 패트릭(DM)</v>
      </c>
      <c r="J1441" s="9" t="str">
        <f>IFERROR(__xludf.DUMMYFUNCTION("GOOGLETRANSLATE($A1441,""en"",""pt-BR"")"),"São Patrício (DM)")</f>
        <v>São Patrício (DM)</v>
      </c>
    </row>
    <row r="1442">
      <c r="A1442" s="9" t="str">
        <f>IFERROR(__xludf.DUMMYFUNCTION("""COMPUTED_VALUE"""),"Saint Luke")</f>
        <v>Saint Luke</v>
      </c>
      <c r="B1442" s="9" t="str">
        <f>IFERROR(__xludf.DUMMYFUNCTION("""COMPUTED_VALUE"""),"dm-07")</f>
        <v>dm-07</v>
      </c>
      <c r="C1442" s="9" t="str">
        <f>IFERROR(__xludf.DUMMYFUNCTION("GOOGLETRANSLATE($A1442,""en"",""de"")"),"Der heilige Lukas")</f>
        <v>Der heilige Lukas</v>
      </c>
      <c r="D1442" s="9" t="str">
        <f>IFERROR(__xludf.DUMMYFUNCTION("GOOGLETRANSLATE($A1442,""en"",""fr"")"),"Saint Luc")</f>
        <v>Saint Luc</v>
      </c>
      <c r="E1442" s="9" t="str">
        <f>IFERROR(__xludf.DUMMYFUNCTION("GOOGLETRANSLATE($A1442,""en"",""es"")"),"San Lucas")</f>
        <v>San Lucas</v>
      </c>
      <c r="F1442" s="9" t="str">
        <f>IFERROR(__xludf.DUMMYFUNCTION("GOOGLETRANSLATE($A1442,""en"",""it"")"),"San Luca")</f>
        <v>San Luca</v>
      </c>
      <c r="G1442" s="9" t="str">
        <f>IFERROR(__xludf.DUMMYFUNCTION("GOOGLETRANSLATE($A1442,""en"",""zh-cn"")"),"圣路加")</f>
        <v>圣路加</v>
      </c>
      <c r="H1442" s="9" t="str">
        <f>IFERROR(__xludf.DUMMYFUNCTION("GOOGLETRANSLATE($A1442,""en"",""ja"")"),"聖ルカ")</f>
        <v>聖ルカ</v>
      </c>
      <c r="I1442" s="9" t="str">
        <f>IFERROR(__xludf.DUMMYFUNCTION("GOOGLETRANSLATE($A1442,""en"",""ko"")"),"세인트 루크")</f>
        <v>세인트 루크</v>
      </c>
      <c r="J1442" s="9" t="str">
        <f>IFERROR(__xludf.DUMMYFUNCTION("GOOGLETRANSLATE($A1442,""en"",""pt-BR"")"),"São Lucas")</f>
        <v>São Lucas</v>
      </c>
    </row>
    <row r="1443">
      <c r="A1443" s="9" t="str">
        <f>IFERROR(__xludf.DUMMYFUNCTION("""COMPUTED_VALUE"""),"Saint Paul (DM)")</f>
        <v>Saint Paul (DM)</v>
      </c>
      <c r="B1443" s="9" t="str">
        <f>IFERROR(__xludf.DUMMYFUNCTION("""COMPUTED_VALUE"""),"dm-10")</f>
        <v>dm-10</v>
      </c>
      <c r="C1443" s="9" t="str">
        <f>IFERROR(__xludf.DUMMYFUNCTION("GOOGLETRANSLATE($A1443,""en"",""de"")"),"Saint Paul (DM)")</f>
        <v>Saint Paul (DM)</v>
      </c>
      <c r="D1443" s="9" t="str">
        <f>IFERROR(__xludf.DUMMYFUNCTION("GOOGLETRANSLATE($A1443,""en"",""fr"")"),"Saint-Paul (DM)")</f>
        <v>Saint-Paul (DM)</v>
      </c>
      <c r="E1443" s="9" t="str">
        <f>IFERROR(__xludf.DUMMYFUNCTION("GOOGLETRANSLATE($A1443,""en"",""es"")"),"San Pablo (DM)")</f>
        <v>San Pablo (DM)</v>
      </c>
      <c r="F1443" s="9" t="str">
        <f>IFERROR(__xludf.DUMMYFUNCTION("GOOGLETRANSLATE($A1443,""en"",""it"")"),"San Paolo (DM)")</f>
        <v>San Paolo (DM)</v>
      </c>
      <c r="G1443" s="9" t="str">
        <f>IFERROR(__xludf.DUMMYFUNCTION("GOOGLETRANSLATE($A1443,""en"",""zh-cn"")"),"圣保罗 (DM)")</f>
        <v>圣保罗 (DM)</v>
      </c>
      <c r="H1443" s="9" t="str">
        <f>IFERROR(__xludf.DUMMYFUNCTION("GOOGLETRANSLATE($A1443,""en"",""ja"")"),"セントポール (DM)")</f>
        <v>セントポール (DM)</v>
      </c>
      <c r="I1443" s="9" t="str">
        <f>IFERROR(__xludf.DUMMYFUNCTION("GOOGLETRANSLATE($A1443,""en"",""ko"")"),"세인트 폴(DM)")</f>
        <v>세인트 폴(DM)</v>
      </c>
      <c r="J1443" s="9" t="str">
        <f>IFERROR(__xludf.DUMMYFUNCTION("GOOGLETRANSLATE($A1443,""en"",""pt-BR"")"),"São Paulo (DM)")</f>
        <v>São Paulo (DM)</v>
      </c>
    </row>
    <row r="1444">
      <c r="A1444" s="9" t="str">
        <f>IFERROR(__xludf.DUMMYFUNCTION("""COMPUTED_VALUE"""),"Saint Andrew (DM)")</f>
        <v>Saint Andrew (DM)</v>
      </c>
      <c r="B1444" s="9" t="str">
        <f>IFERROR(__xludf.DUMMYFUNCTION("""COMPUTED_VALUE"""),"dm-02")</f>
        <v>dm-02</v>
      </c>
      <c r="C1444" s="9" t="str">
        <f>IFERROR(__xludf.DUMMYFUNCTION("GOOGLETRANSLATE($A1444,""en"",""de"")"),"Heiliger Andreas (DM)")</f>
        <v>Heiliger Andreas (DM)</v>
      </c>
      <c r="D1444" s="9" t="str">
        <f>IFERROR(__xludf.DUMMYFUNCTION("GOOGLETRANSLATE($A1444,""en"",""fr"")"),"Saint-André (DM)")</f>
        <v>Saint-André (DM)</v>
      </c>
      <c r="E1444" s="9" t="str">
        <f>IFERROR(__xludf.DUMMYFUNCTION("GOOGLETRANSLATE($A1444,""en"",""es"")"),"San Andrés (DM)")</f>
        <v>San Andrés (DM)</v>
      </c>
      <c r="F1444" s="9" t="str">
        <f>IFERROR(__xludf.DUMMYFUNCTION("GOOGLETRANSLATE($A1444,""en"",""it"")"),"Sant'Andrea (DM)")</f>
        <v>Sant'Andrea (DM)</v>
      </c>
      <c r="G1444" s="9" t="str">
        <f>IFERROR(__xludf.DUMMYFUNCTION("GOOGLETRANSLATE($A1444,""en"",""zh-cn"")"),"圣安德鲁 (DM)")</f>
        <v>圣安德鲁 (DM)</v>
      </c>
      <c r="H1444" s="9" t="str">
        <f>IFERROR(__xludf.DUMMYFUNCTION("GOOGLETRANSLATE($A1444,""en"",""ja"")"),"セント・アンドリュー (DM)")</f>
        <v>セント・アンドリュー (DM)</v>
      </c>
      <c r="I1444" s="9" t="str">
        <f>IFERROR(__xludf.DUMMYFUNCTION("GOOGLETRANSLATE($A1444,""en"",""ko"")"),"세인트 앤드류(DM)")</f>
        <v>세인트 앤드류(DM)</v>
      </c>
      <c r="J1444" s="9" t="str">
        <f>IFERROR(__xludf.DUMMYFUNCTION("GOOGLETRANSLATE($A1444,""en"",""pt-BR"")"),"Santo André (DM)")</f>
        <v>Santo André (DM)</v>
      </c>
    </row>
    <row r="1445">
      <c r="A1445" s="9" t="str">
        <f>IFERROR(__xludf.DUMMYFUNCTION("""COMPUTED_VALUE"""),"Saint John (DM)")</f>
        <v>Saint John (DM)</v>
      </c>
      <c r="B1445" s="9" t="str">
        <f>IFERROR(__xludf.DUMMYFUNCTION("""COMPUTED_VALUE"""),"dm-05")</f>
        <v>dm-05</v>
      </c>
      <c r="C1445" s="9" t="str">
        <f>IFERROR(__xludf.DUMMYFUNCTION("GOOGLETRANSLATE($A1445,""en"",""de"")"),"Saint John (DM)")</f>
        <v>Saint John (DM)</v>
      </c>
      <c r="D1445" s="9" t="str">
        <f>IFERROR(__xludf.DUMMYFUNCTION("GOOGLETRANSLATE($A1445,""en"",""fr"")"),"Saint-Jean (DM)")</f>
        <v>Saint-Jean (DM)</v>
      </c>
      <c r="E1445" s="9" t="str">
        <f>IFERROR(__xludf.DUMMYFUNCTION("GOOGLETRANSLATE($A1445,""en"",""es"")"),"San Juan (DM)")</f>
        <v>San Juan (DM)</v>
      </c>
      <c r="F1445" s="9" t="str">
        <f>IFERROR(__xludf.DUMMYFUNCTION("GOOGLETRANSLATE($A1445,""en"",""it"")"),"San Giovanni (DM)")</f>
        <v>San Giovanni (DM)</v>
      </c>
      <c r="G1445" s="9" t="str">
        <f>IFERROR(__xludf.DUMMYFUNCTION("GOOGLETRANSLATE($A1445,""en"",""zh-cn"")"),"圣约翰 (DM)")</f>
        <v>圣约翰 (DM)</v>
      </c>
      <c r="H1445" s="9" t="str">
        <f>IFERROR(__xludf.DUMMYFUNCTION("GOOGLETRANSLATE($A1445,""en"",""ja"")"),"セントジョン (DM)")</f>
        <v>セントジョン (DM)</v>
      </c>
      <c r="I1445" s="9" t="str">
        <f>IFERROR(__xludf.DUMMYFUNCTION("GOOGLETRANSLATE($A1445,""en"",""ko"")"),"세인트 존(DM)")</f>
        <v>세인트 존(DM)</v>
      </c>
      <c r="J1445" s="9" t="str">
        <f>IFERROR(__xludf.DUMMYFUNCTION("GOOGLETRANSLATE($A1445,""en"",""pt-BR"")"),"São João (DM)")</f>
        <v>São João (DM)</v>
      </c>
    </row>
    <row r="1446">
      <c r="A1446" s="9" t="str">
        <f>IFERROR(__xludf.DUMMYFUNCTION("""COMPUTED_VALUE"""),"Saint Joseph (DM)")</f>
        <v>Saint Joseph (DM)</v>
      </c>
      <c r="B1446" s="9" t="str">
        <f>IFERROR(__xludf.DUMMYFUNCTION("""COMPUTED_VALUE"""),"dm-06")</f>
        <v>dm-06</v>
      </c>
      <c r="C1446" s="9" t="str">
        <f>IFERROR(__xludf.DUMMYFUNCTION("GOOGLETRANSLATE($A1446,""en"",""de"")"),"Heiliger Josef (DM)")</f>
        <v>Heiliger Josef (DM)</v>
      </c>
      <c r="D1446" s="9" t="str">
        <f>IFERROR(__xludf.DUMMYFUNCTION("GOOGLETRANSLATE($A1446,""en"",""fr"")"),"Saint Joseph (DM)")</f>
        <v>Saint Joseph (DM)</v>
      </c>
      <c r="E1446" s="9" t="str">
        <f>IFERROR(__xludf.DUMMYFUNCTION("GOOGLETRANSLATE($A1446,""en"",""es"")"),"San José (DM)")</f>
        <v>San José (DM)</v>
      </c>
      <c r="F1446" s="9" t="str">
        <f>IFERROR(__xludf.DUMMYFUNCTION("GOOGLETRANSLATE($A1446,""en"",""it"")"),"San Giuseppe (DM)")</f>
        <v>San Giuseppe (DM)</v>
      </c>
      <c r="G1446" s="9" t="str">
        <f>IFERROR(__xludf.DUMMYFUNCTION("GOOGLETRANSLATE($A1446,""en"",""zh-cn"")"),"圣约瑟夫 (DM)")</f>
        <v>圣约瑟夫 (DM)</v>
      </c>
      <c r="H1446" s="9" t="str">
        <f>IFERROR(__xludf.DUMMYFUNCTION("GOOGLETRANSLATE($A1446,""en"",""ja"")"),"セント ジョセフ (DM)")</f>
        <v>セント ジョセフ (DM)</v>
      </c>
      <c r="I1446" s="9" t="str">
        <f>IFERROR(__xludf.DUMMYFUNCTION("GOOGLETRANSLATE($A1446,""en"",""ko"")"),"성 요셉(DM)")</f>
        <v>성 요셉(DM)</v>
      </c>
      <c r="J1446" s="9" t="str">
        <f>IFERROR(__xludf.DUMMYFUNCTION("GOOGLETRANSLATE($A1446,""en"",""pt-BR"")"),"São José (DM)")</f>
        <v>São José (DM)</v>
      </c>
    </row>
    <row r="1447">
      <c r="A1447" s="9" t="str">
        <f>IFERROR(__xludf.DUMMYFUNCTION("""COMPUTED_VALUE"""),"Saint Peter (DM)")</f>
        <v>Saint Peter (DM)</v>
      </c>
      <c r="B1447" s="9" t="str">
        <f>IFERROR(__xludf.DUMMYFUNCTION("""COMPUTED_VALUE"""),"dm-11")</f>
        <v>dm-11</v>
      </c>
      <c r="C1447" s="9" t="str">
        <f>IFERROR(__xludf.DUMMYFUNCTION("GOOGLETRANSLATE($A1447,""en"",""de"")"),"Sankt Peter (DM)")</f>
        <v>Sankt Peter (DM)</v>
      </c>
      <c r="D1447" s="9" t="str">
        <f>IFERROR(__xludf.DUMMYFUNCTION("GOOGLETRANSLATE($A1447,""en"",""fr"")"),"Saint Pierre (DM)")</f>
        <v>Saint Pierre (DM)</v>
      </c>
      <c r="E1447" s="9" t="str">
        <f>IFERROR(__xludf.DUMMYFUNCTION("GOOGLETRANSLATE($A1447,""en"",""es"")"),"San Pedro (DM)")</f>
        <v>San Pedro (DM)</v>
      </c>
      <c r="F1447" s="9" t="str">
        <f>IFERROR(__xludf.DUMMYFUNCTION("GOOGLETRANSLATE($A1447,""en"",""it"")"),"San Pietro (DM)")</f>
        <v>San Pietro (DM)</v>
      </c>
      <c r="G1447" s="9" t="str">
        <f>IFERROR(__xludf.DUMMYFUNCTION("GOOGLETRANSLATE($A1447,""en"",""zh-cn"")"),"圣彼得 (DM)")</f>
        <v>圣彼得 (DM)</v>
      </c>
      <c r="H1447" s="9" t="str">
        <f>IFERROR(__xludf.DUMMYFUNCTION("GOOGLETRANSLATE($A1447,""en"",""ja"")"),"セントピーター (DM)")</f>
        <v>セントピーター (DM)</v>
      </c>
      <c r="I1447" s="9" t="str">
        <f>IFERROR(__xludf.DUMMYFUNCTION("GOOGLETRANSLATE($A1447,""en"",""ko"")"),"성 베드로(DM)")</f>
        <v>성 베드로(DM)</v>
      </c>
      <c r="J1447" s="9" t="str">
        <f>IFERROR(__xludf.DUMMYFUNCTION("GOOGLETRANSLATE($A1447,""en"",""pt-BR"")"),"São Pedro (DM)")</f>
        <v>São Pedro (DM)</v>
      </c>
    </row>
    <row r="1448">
      <c r="A1448" s="9" t="str">
        <f>IFERROR(__xludf.DUMMYFUNCTION("""COMPUTED_VALUE"""),"Saint George (DM)")</f>
        <v>Saint George (DM)</v>
      </c>
      <c r="B1448" s="9" t="str">
        <f>IFERROR(__xludf.DUMMYFUNCTION("""COMPUTED_VALUE"""),"dm-04")</f>
        <v>dm-04</v>
      </c>
      <c r="C1448" s="9" t="str">
        <f>IFERROR(__xludf.DUMMYFUNCTION("GOOGLETRANSLATE($A1448,""en"",""de"")"),"Saint George (DM)")</f>
        <v>Saint George (DM)</v>
      </c>
      <c r="D1448" s="9" t="str">
        <f>IFERROR(__xludf.DUMMYFUNCTION("GOOGLETRANSLATE($A1448,""en"",""fr"")"),"Saint-Georges (DM)")</f>
        <v>Saint-Georges (DM)</v>
      </c>
      <c r="E1448" s="9" t="str">
        <f>IFERROR(__xludf.DUMMYFUNCTION("GOOGLETRANSLATE($A1448,""en"",""es"")"),"San Jorge (DM)")</f>
        <v>San Jorge (DM)</v>
      </c>
      <c r="F1448" s="9" t="str">
        <f>IFERROR(__xludf.DUMMYFUNCTION("GOOGLETRANSLATE($A1448,""en"",""it"")"),"San Giorgio (DM)")</f>
        <v>San Giorgio (DM)</v>
      </c>
      <c r="G1448" s="9" t="str">
        <f>IFERROR(__xludf.DUMMYFUNCTION("GOOGLETRANSLATE($A1448,""en"",""zh-cn"")"),"圣乔治 (DM)")</f>
        <v>圣乔治 (DM)</v>
      </c>
      <c r="H1448" s="9" t="str">
        <f>IFERROR(__xludf.DUMMYFUNCTION("GOOGLETRANSLATE($A1448,""en"",""ja"")"),"セントジョージ (DM)")</f>
        <v>セントジョージ (DM)</v>
      </c>
      <c r="I1448" s="9" t="str">
        <f>IFERROR(__xludf.DUMMYFUNCTION("GOOGLETRANSLATE($A1448,""en"",""ko"")"),"세인트 조지(DM)")</f>
        <v>세인트 조지(DM)</v>
      </c>
      <c r="J1448" s="9" t="str">
        <f>IFERROR(__xludf.DUMMYFUNCTION("GOOGLETRANSLATE($A1448,""en"",""pt-BR"")"),"São Jorge (DM)")</f>
        <v>São Jorge (DM)</v>
      </c>
    </row>
    <row r="1449">
      <c r="A1449" s="9" t="str">
        <f>IFERROR(__xludf.DUMMYFUNCTION("""COMPUTED_VALUE"""),"Saint Mark (DM)")</f>
        <v>Saint Mark (DM)</v>
      </c>
      <c r="B1449" s="9" t="str">
        <f>IFERROR(__xludf.DUMMYFUNCTION("""COMPUTED_VALUE"""),"dm-08")</f>
        <v>dm-08</v>
      </c>
      <c r="C1449" s="9" t="str">
        <f>IFERROR(__xludf.DUMMYFUNCTION("GOOGLETRANSLATE($A1449,""en"",""de"")"),"Heiliger Markus (DM)")</f>
        <v>Heiliger Markus (DM)</v>
      </c>
      <c r="D1449" s="9" t="str">
        <f>IFERROR(__xludf.DUMMYFUNCTION("GOOGLETRANSLATE($A1449,""en"",""fr"")"),"Saint Marc (DM)")</f>
        <v>Saint Marc (DM)</v>
      </c>
      <c r="E1449" s="9" t="str">
        <f>IFERROR(__xludf.DUMMYFUNCTION("GOOGLETRANSLATE($A1449,""en"",""es"")"),"San Marcos (DM)")</f>
        <v>San Marcos (DM)</v>
      </c>
      <c r="F1449" s="9" t="str">
        <f>IFERROR(__xludf.DUMMYFUNCTION("GOOGLETRANSLATE($A1449,""en"",""it"")"),"San Marco (DM)")</f>
        <v>San Marco (DM)</v>
      </c>
      <c r="G1449" s="9" t="str">
        <f>IFERROR(__xludf.DUMMYFUNCTION("GOOGLETRANSLATE($A1449,""en"",""zh-cn"")"),"圣马可 (DM)")</f>
        <v>圣马可 (DM)</v>
      </c>
      <c r="H1449" s="9" t="str">
        <f>IFERROR(__xludf.DUMMYFUNCTION("GOOGLETRANSLATE($A1449,""en"",""ja"")"),"サンマルク (DM)")</f>
        <v>サンマルク (DM)</v>
      </c>
      <c r="I1449" s="9" t="str">
        <f>IFERROR(__xludf.DUMMYFUNCTION("GOOGLETRANSLATE($A1449,""en"",""ko"")"),"세인트 마크(DM)")</f>
        <v>세인트 마크(DM)</v>
      </c>
      <c r="J1449" s="9" t="str">
        <f>IFERROR(__xludf.DUMMYFUNCTION("GOOGLETRANSLATE($A1449,""en"",""pt-BR"")"),"São Marcos (DM)")</f>
        <v>São Marcos (DM)</v>
      </c>
    </row>
    <row r="1450">
      <c r="A1450" s="9" t="str">
        <f>IFERROR(__xludf.DUMMYFUNCTION("""COMPUTED_VALUE"""),"Saint David (DM)")</f>
        <v>Saint David (DM)</v>
      </c>
      <c r="B1450" s="9" t="str">
        <f>IFERROR(__xludf.DUMMYFUNCTION("""COMPUTED_VALUE"""),"dm-03")</f>
        <v>dm-03</v>
      </c>
      <c r="C1450" s="9" t="str">
        <f>IFERROR(__xludf.DUMMYFUNCTION("GOOGLETRANSLATE($A1450,""en"",""de"")"),"Heiliger David (DM)")</f>
        <v>Heiliger David (DM)</v>
      </c>
      <c r="D1450" s="9" t="str">
        <f>IFERROR(__xludf.DUMMYFUNCTION("GOOGLETRANSLATE($A1450,""en"",""fr"")"),"Saint-David (DM)")</f>
        <v>Saint-David (DM)</v>
      </c>
      <c r="E1450" s="9" t="str">
        <f>IFERROR(__xludf.DUMMYFUNCTION("GOOGLETRANSLATE($A1450,""en"",""es"")"),"San David (DM)")</f>
        <v>San David (DM)</v>
      </c>
      <c r="F1450" s="9" t="str">
        <f>IFERROR(__xludf.DUMMYFUNCTION("GOOGLETRANSLATE($A1450,""en"",""it"")"),"San Davide (DM)")</f>
        <v>San Davide (DM)</v>
      </c>
      <c r="G1450" s="9" t="str">
        <f>IFERROR(__xludf.DUMMYFUNCTION("GOOGLETRANSLATE($A1450,""en"",""zh-cn"")"),"圣大卫 (DM)")</f>
        <v>圣大卫 (DM)</v>
      </c>
      <c r="H1450" s="9" t="str">
        <f>IFERROR(__xludf.DUMMYFUNCTION("GOOGLETRANSLATE($A1450,""en"",""ja"")"),"セントデイビッド (DM)")</f>
        <v>セントデイビッド (DM)</v>
      </c>
      <c r="I1450" s="9" t="str">
        <f>IFERROR(__xludf.DUMMYFUNCTION("GOOGLETRANSLATE($A1450,""en"",""ko"")"),"세인트 데이비드(DM)")</f>
        <v>세인트 데이비드(DM)</v>
      </c>
      <c r="J1450" s="9" t="str">
        <f>IFERROR(__xludf.DUMMYFUNCTION("GOOGLETRANSLATE($A1450,""en"",""pt-BR"")"),"São David (DM)")</f>
        <v>São David (DM)</v>
      </c>
    </row>
    <row r="1451">
      <c r="A1451" s="9" t="str">
        <f>IFERROR(__xludf.DUMMYFUNCTION("""COMPUTED_VALUE"""),"Sánchez Ramírez")</f>
        <v>Sánchez Ramírez</v>
      </c>
      <c r="B1451" s="9" t="str">
        <f>IFERROR(__xludf.DUMMYFUNCTION("""COMPUTED_VALUE"""),"do-24")</f>
        <v>do-24</v>
      </c>
      <c r="C1451" s="9" t="str">
        <f>IFERROR(__xludf.DUMMYFUNCTION("GOOGLETRANSLATE($A1451,""en"",""de"")"),"Sánchez Ramírez")</f>
        <v>Sánchez Ramírez</v>
      </c>
      <c r="D1451" s="9" t="str">
        <f>IFERROR(__xludf.DUMMYFUNCTION("GOOGLETRANSLATE($A1451,""en"",""fr"")"),"Sánchez Ramírez")</f>
        <v>Sánchez Ramírez</v>
      </c>
      <c r="E1451" s="9" t="str">
        <f>IFERROR(__xludf.DUMMYFUNCTION("GOOGLETRANSLATE($A1451,""en"",""es"")"),"Sánchez Ramírez")</f>
        <v>Sánchez Ramírez</v>
      </c>
      <c r="F1451" s="9" t="str">
        <f>IFERROR(__xludf.DUMMYFUNCTION("GOOGLETRANSLATE($A1451,""en"",""it"")"),"Sanchez Ramírez")</f>
        <v>Sanchez Ramírez</v>
      </c>
      <c r="G1451" s="9" t="str">
        <f>IFERROR(__xludf.DUMMYFUNCTION("GOOGLETRANSLATE($A1451,""en"",""zh-cn"")"),"桑切斯·拉米雷斯")</f>
        <v>桑切斯·拉米雷斯</v>
      </c>
      <c r="H1451" s="9" t="str">
        <f>IFERROR(__xludf.DUMMYFUNCTION("GOOGLETRANSLATE($A1451,""en"",""ja"")"),"サンチェス・ラミレス")</f>
        <v>サンチェス・ラミレス</v>
      </c>
      <c r="I1451" s="9" t="str">
        <f>IFERROR(__xludf.DUMMYFUNCTION("GOOGLETRANSLATE($A1451,""en"",""ko"")"),"산체스 라미레스")</f>
        <v>산체스 라미레스</v>
      </c>
      <c r="J1451" s="9" t="str">
        <f>IFERROR(__xludf.DUMMYFUNCTION("GOOGLETRANSLATE($A1451,""en"",""pt-BR"")"),"Sánchez Ramírez")</f>
        <v>Sánchez Ramírez</v>
      </c>
    </row>
    <row r="1452">
      <c r="A1452" s="9" t="str">
        <f>IFERROR(__xludf.DUMMYFUNCTION("""COMPUTED_VALUE"""),"Pedernales")</f>
        <v>Pedernales</v>
      </c>
      <c r="B1452" s="9" t="str">
        <f>IFERROR(__xludf.DUMMYFUNCTION("""COMPUTED_VALUE"""),"do-16")</f>
        <v>do-16</v>
      </c>
      <c r="C1452" s="9" t="str">
        <f>IFERROR(__xludf.DUMMYFUNCTION("GOOGLETRANSLATE($A1452,""en"",""de"")"),"Pedernales")</f>
        <v>Pedernales</v>
      </c>
      <c r="D1452" s="9" t="str">
        <f>IFERROR(__xludf.DUMMYFUNCTION("GOOGLETRANSLATE($A1452,""en"",""fr"")"),"Pédernales")</f>
        <v>Pédernales</v>
      </c>
      <c r="E1452" s="9" t="str">
        <f>IFERROR(__xludf.DUMMYFUNCTION("GOOGLETRANSLATE($A1452,""en"",""es"")"),"Pedernales")</f>
        <v>Pedernales</v>
      </c>
      <c r="F1452" s="9" t="str">
        <f>IFERROR(__xludf.DUMMYFUNCTION("GOOGLETRANSLATE($A1452,""en"",""it"")"),"Pedernales")</f>
        <v>Pedernales</v>
      </c>
      <c r="G1452" s="9" t="str">
        <f>IFERROR(__xludf.DUMMYFUNCTION("GOOGLETRANSLATE($A1452,""en"",""zh-cn"")"),"佩德纳莱斯")</f>
        <v>佩德纳莱斯</v>
      </c>
      <c r="H1452" s="9" t="str">
        <f>IFERROR(__xludf.DUMMYFUNCTION("GOOGLETRANSLATE($A1452,""en"",""ja"")"),"ペデルナレス")</f>
        <v>ペデルナレス</v>
      </c>
      <c r="I1452" s="9" t="str">
        <f>IFERROR(__xludf.DUMMYFUNCTION("GOOGLETRANSLATE($A1452,""en"",""ko"")"),"페데날레스")</f>
        <v>페데날레스</v>
      </c>
      <c r="J1452" s="9" t="str">
        <f>IFERROR(__xludf.DUMMYFUNCTION("GOOGLETRANSLATE($A1452,""en"",""pt-BR"")"),"Pedernales")</f>
        <v>Pedernales</v>
      </c>
    </row>
    <row r="1453">
      <c r="A1453" s="9" t="str">
        <f>IFERROR(__xludf.DUMMYFUNCTION("""COMPUTED_VALUE"""),"Barahona")</f>
        <v>Barahona</v>
      </c>
      <c r="B1453" s="9" t="str">
        <f>IFERROR(__xludf.DUMMYFUNCTION("""COMPUTED_VALUE"""),"do-04")</f>
        <v>do-04</v>
      </c>
      <c r="C1453" s="9" t="str">
        <f>IFERROR(__xludf.DUMMYFUNCTION("GOOGLETRANSLATE($A1453,""en"",""de"")"),"Barahona")</f>
        <v>Barahona</v>
      </c>
      <c r="D1453" s="9" t="str">
        <f>IFERROR(__xludf.DUMMYFUNCTION("GOOGLETRANSLATE($A1453,""en"",""fr"")"),"Barahona")</f>
        <v>Barahona</v>
      </c>
      <c r="E1453" s="9" t="str">
        <f>IFERROR(__xludf.DUMMYFUNCTION("GOOGLETRANSLATE($A1453,""en"",""es"")"),"Barahona")</f>
        <v>Barahona</v>
      </c>
      <c r="F1453" s="9" t="str">
        <f>IFERROR(__xludf.DUMMYFUNCTION("GOOGLETRANSLATE($A1453,""en"",""it"")"),"Barahona")</f>
        <v>Barahona</v>
      </c>
      <c r="G1453" s="9" t="str">
        <f>IFERROR(__xludf.DUMMYFUNCTION("GOOGLETRANSLATE($A1453,""en"",""zh-cn"")"),"巴拉奥纳")</f>
        <v>巴拉奥纳</v>
      </c>
      <c r="H1453" s="9" t="str">
        <f>IFERROR(__xludf.DUMMYFUNCTION("GOOGLETRANSLATE($A1453,""en"",""ja"")"),"バラオナ")</f>
        <v>バラオナ</v>
      </c>
      <c r="I1453" s="9" t="str">
        <f>IFERROR(__xludf.DUMMYFUNCTION("GOOGLETRANSLATE($A1453,""en"",""ko"")"),"바라오나")</f>
        <v>바라오나</v>
      </c>
      <c r="J1453" s="9" t="str">
        <f>IFERROR(__xludf.DUMMYFUNCTION("GOOGLETRANSLATE($A1453,""en"",""pt-BR"")"),"Barahona")</f>
        <v>Barahona</v>
      </c>
    </row>
    <row r="1454">
      <c r="A1454" s="9" t="str">
        <f>IFERROR(__xludf.DUMMYFUNCTION("""COMPUTED_VALUE"""),"La Altagracia")</f>
        <v>La Altagracia</v>
      </c>
      <c r="B1454" s="9" t="str">
        <f>IFERROR(__xludf.DUMMYFUNCTION("""COMPUTED_VALUE"""),"do-11")</f>
        <v>do-11</v>
      </c>
      <c r="C1454" s="9" t="str">
        <f>IFERROR(__xludf.DUMMYFUNCTION("GOOGLETRANSLATE($A1454,""en"",""de"")"),"La Altagracia")</f>
        <v>La Altagracia</v>
      </c>
      <c r="D1454" s="9" t="str">
        <f>IFERROR(__xludf.DUMMYFUNCTION("GOOGLETRANSLATE($A1454,""en"",""fr"")"),"La Altagracia")</f>
        <v>La Altagracia</v>
      </c>
      <c r="E1454" s="9" t="str">
        <f>IFERROR(__xludf.DUMMYFUNCTION("GOOGLETRANSLATE($A1454,""en"",""es"")"),"La Altagracia")</f>
        <v>La Altagracia</v>
      </c>
      <c r="F1454" s="9" t="str">
        <f>IFERROR(__xludf.DUMMYFUNCTION("GOOGLETRANSLATE($A1454,""en"",""it"")"),"L'Altagracia")</f>
        <v>L'Altagracia</v>
      </c>
      <c r="G1454" s="9" t="str">
        <f>IFERROR(__xludf.DUMMYFUNCTION("GOOGLETRANSLATE($A1454,""en"",""zh-cn"")"),"拉阿尔塔格拉西亚")</f>
        <v>拉阿尔塔格拉西亚</v>
      </c>
      <c r="H1454" s="9" t="str">
        <f>IFERROR(__xludf.DUMMYFUNCTION("GOOGLETRANSLATE($A1454,""en"",""ja"")"),"ラ アルタグラシア")</f>
        <v>ラ アルタグラシア</v>
      </c>
      <c r="I1454" s="9" t="str">
        <f>IFERROR(__xludf.DUMMYFUNCTION("GOOGLETRANSLATE($A1454,""en"",""ko"")"),"라 알타그라시아")</f>
        <v>라 알타그라시아</v>
      </c>
      <c r="J1454" s="9" t="str">
        <f>IFERROR(__xludf.DUMMYFUNCTION("GOOGLETRANSLATE($A1454,""en"",""pt-BR"")"),"La Altagracia")</f>
        <v>La Altagracia</v>
      </c>
    </row>
    <row r="1455">
      <c r="A1455" s="9" t="str">
        <f>IFERROR(__xludf.DUMMYFUNCTION("""COMPUTED_VALUE"""),"Dajabón")</f>
        <v>Dajabón</v>
      </c>
      <c r="B1455" s="9" t="str">
        <f>IFERROR(__xludf.DUMMYFUNCTION("""COMPUTED_VALUE"""),"do-05")</f>
        <v>do-05</v>
      </c>
      <c r="C1455" s="9" t="str">
        <f>IFERROR(__xludf.DUMMYFUNCTION("GOOGLETRANSLATE($A1455,""en"",""de"")"),"Dajabón")</f>
        <v>Dajabón</v>
      </c>
      <c r="D1455" s="9" t="str">
        <f>IFERROR(__xludf.DUMMYFUNCTION("GOOGLETRANSLATE($A1455,""en"",""fr"")"),"Dajabon")</f>
        <v>Dajabon</v>
      </c>
      <c r="E1455" s="9" t="str">
        <f>IFERROR(__xludf.DUMMYFUNCTION("GOOGLETRANSLATE($A1455,""en"",""es"")"),"Dajabón")</f>
        <v>Dajabón</v>
      </c>
      <c r="F1455" s="9" t="str">
        <f>IFERROR(__xludf.DUMMYFUNCTION("GOOGLETRANSLATE($A1455,""en"",""it"")"),"Dajabon")</f>
        <v>Dajabon</v>
      </c>
      <c r="G1455" s="9" t="str">
        <f>IFERROR(__xludf.DUMMYFUNCTION("GOOGLETRANSLATE($A1455,""en"",""zh-cn"")"),"达哈邦")</f>
        <v>达哈邦</v>
      </c>
      <c r="H1455" s="9" t="str">
        <f>IFERROR(__xludf.DUMMYFUNCTION("GOOGLETRANSLATE($A1455,""en"",""ja"")"),"ダハボン")</f>
        <v>ダハボン</v>
      </c>
      <c r="I1455" s="9" t="str">
        <f>IFERROR(__xludf.DUMMYFUNCTION("GOOGLETRANSLATE($A1455,""en"",""ko"")"),"다자본")</f>
        <v>다자본</v>
      </c>
      <c r="J1455" s="9" t="str">
        <f>IFERROR(__xludf.DUMMYFUNCTION("GOOGLETRANSLATE($A1455,""en"",""pt-BR"")"),"Dajabón")</f>
        <v>Dajabón</v>
      </c>
    </row>
    <row r="1456">
      <c r="A1456" s="9" t="str">
        <f>IFERROR(__xludf.DUMMYFUNCTION("""COMPUTED_VALUE"""),"Baoruco")</f>
        <v>Baoruco</v>
      </c>
      <c r="B1456" s="9" t="str">
        <f>IFERROR(__xludf.DUMMYFUNCTION("""COMPUTED_VALUE"""),"do-03")</f>
        <v>do-03</v>
      </c>
      <c r="C1456" s="9" t="str">
        <f>IFERROR(__xludf.DUMMYFUNCTION("GOOGLETRANSLATE($A1456,""en"",""de"")"),"Baoruco")</f>
        <v>Baoruco</v>
      </c>
      <c r="D1456" s="9" t="str">
        <f>IFERROR(__xludf.DUMMYFUNCTION("GOOGLETRANSLATE($A1456,""en"",""fr"")"),"Baoruco")</f>
        <v>Baoruco</v>
      </c>
      <c r="E1456" s="9" t="str">
        <f>IFERROR(__xludf.DUMMYFUNCTION("GOOGLETRANSLATE($A1456,""en"",""es"")"),"Baoruco")</f>
        <v>Baoruco</v>
      </c>
      <c r="F1456" s="9" t="str">
        <f>IFERROR(__xludf.DUMMYFUNCTION("GOOGLETRANSLATE($A1456,""en"",""it"")"),"Baoruco")</f>
        <v>Baoruco</v>
      </c>
      <c r="G1456" s="9" t="str">
        <f>IFERROR(__xludf.DUMMYFUNCTION("GOOGLETRANSLATE($A1456,""en"",""zh-cn"")"),"巴鲁科")</f>
        <v>巴鲁科</v>
      </c>
      <c r="H1456" s="9" t="str">
        <f>IFERROR(__xludf.DUMMYFUNCTION("GOOGLETRANSLATE($A1456,""en"",""ja"")"),"バオルコ")</f>
        <v>バオルコ</v>
      </c>
      <c r="I1456" s="9" t="str">
        <f>IFERROR(__xludf.DUMMYFUNCTION("GOOGLETRANSLATE($A1456,""en"",""ko"")"),"바오루코")</f>
        <v>바오루코</v>
      </c>
      <c r="J1456" s="9" t="str">
        <f>IFERROR(__xludf.DUMMYFUNCTION("GOOGLETRANSLATE($A1456,""en"",""pt-BR"")"),"Baoruco")</f>
        <v>Baoruco</v>
      </c>
    </row>
    <row r="1457">
      <c r="A1457" s="9" t="str">
        <f>IFERROR(__xludf.DUMMYFUNCTION("""COMPUTED_VALUE"""),"Yuma")</f>
        <v>Yuma</v>
      </c>
      <c r="B1457" s="9" t="str">
        <f>IFERROR(__xludf.DUMMYFUNCTION("""COMPUTED_VALUE"""),"do-42")</f>
        <v>do-42</v>
      </c>
      <c r="C1457" s="9" t="str">
        <f>IFERROR(__xludf.DUMMYFUNCTION("GOOGLETRANSLATE($A1457,""en"",""de"")"),"Yuma")</f>
        <v>Yuma</v>
      </c>
      <c r="D1457" s="9" t="str">
        <f>IFERROR(__xludf.DUMMYFUNCTION("GOOGLETRANSLATE($A1457,""en"",""fr"")"),"Yuma")</f>
        <v>Yuma</v>
      </c>
      <c r="E1457" s="9" t="str">
        <f>IFERROR(__xludf.DUMMYFUNCTION("GOOGLETRANSLATE($A1457,""en"",""es"")"),"Yuma")</f>
        <v>Yuma</v>
      </c>
      <c r="F1457" s="9" t="str">
        <f>IFERROR(__xludf.DUMMYFUNCTION("GOOGLETRANSLATE($A1457,""en"",""it"")"),"Yuma")</f>
        <v>Yuma</v>
      </c>
      <c r="G1457" s="9" t="str">
        <f>IFERROR(__xludf.DUMMYFUNCTION("GOOGLETRANSLATE($A1457,""en"",""zh-cn"")"),"尤马")</f>
        <v>尤马</v>
      </c>
      <c r="H1457" s="9" t="str">
        <f>IFERROR(__xludf.DUMMYFUNCTION("GOOGLETRANSLATE($A1457,""en"",""ja"")"),"ゆま")</f>
        <v>ゆま</v>
      </c>
      <c r="I1457" s="9" t="str">
        <f>IFERROR(__xludf.DUMMYFUNCTION("GOOGLETRANSLATE($A1457,""en"",""ko"")"),"유마")</f>
        <v>유마</v>
      </c>
      <c r="J1457" s="9" t="str">
        <f>IFERROR(__xludf.DUMMYFUNCTION("GOOGLETRANSLATE($A1457,""en"",""pt-BR"")"),"Yuma")</f>
        <v>Yuma</v>
      </c>
    </row>
    <row r="1458">
      <c r="A1458" s="9" t="str">
        <f>IFERROR(__xludf.DUMMYFUNCTION("""COMPUTED_VALUE"""),"Higuamo")</f>
        <v>Higuamo</v>
      </c>
      <c r="B1458" s="9" t="str">
        <f>IFERROR(__xludf.DUMMYFUNCTION("""COMPUTED_VALUE"""),"do-39")</f>
        <v>do-39</v>
      </c>
      <c r="C1458" s="9" t="str">
        <f>IFERROR(__xludf.DUMMYFUNCTION("GOOGLETRANSLATE($A1458,""en"",""de"")"),"Higuamo")</f>
        <v>Higuamo</v>
      </c>
      <c r="D1458" s="9" t="str">
        <f>IFERROR(__xludf.DUMMYFUNCTION("GOOGLETRANSLATE($A1458,""en"",""fr"")"),"Higuamo")</f>
        <v>Higuamo</v>
      </c>
      <c r="E1458" s="9" t="str">
        <f>IFERROR(__xludf.DUMMYFUNCTION("GOOGLETRANSLATE($A1458,""en"",""es"")"),"Higuamó")</f>
        <v>Higuamó</v>
      </c>
      <c r="F1458" s="9" t="str">
        <f>IFERROR(__xludf.DUMMYFUNCTION("GOOGLETRANSLATE($A1458,""en"",""it"")"),"Higuamo")</f>
        <v>Higuamo</v>
      </c>
      <c r="G1458" s="9" t="str">
        <f>IFERROR(__xludf.DUMMYFUNCTION("GOOGLETRANSLATE($A1458,""en"",""zh-cn"")"),"伊瓜莫")</f>
        <v>伊瓜莫</v>
      </c>
      <c r="H1458" s="9" t="str">
        <f>IFERROR(__xludf.DUMMYFUNCTION("GOOGLETRANSLATE($A1458,""en"",""ja"")"),"ヒグアモ")</f>
        <v>ヒグアモ</v>
      </c>
      <c r="I1458" s="9" t="str">
        <f>IFERROR(__xludf.DUMMYFUNCTION("GOOGLETRANSLATE($A1458,""en"",""ko"")"),"이구아모")</f>
        <v>이구아모</v>
      </c>
      <c r="J1458" s="9" t="str">
        <f>IFERROR(__xludf.DUMMYFUNCTION("GOOGLETRANSLATE($A1458,""en"",""pt-BR"")"),"Higuamo")</f>
        <v>Higuamo</v>
      </c>
    </row>
    <row r="1459">
      <c r="A1459" s="9" t="str">
        <f>IFERROR(__xludf.DUMMYFUNCTION("""COMPUTED_VALUE"""),"El Valle")</f>
        <v>El Valle</v>
      </c>
      <c r="B1459" s="9" t="str">
        <f>IFERROR(__xludf.DUMMYFUNCTION("""COMPUTED_VALUE"""),"do-37")</f>
        <v>do-37</v>
      </c>
      <c r="C1459" s="9" t="str">
        <f>IFERROR(__xludf.DUMMYFUNCTION("GOOGLETRANSLATE($A1459,""en"",""de"")"),"El Valle")</f>
        <v>El Valle</v>
      </c>
      <c r="D1459" s="9" t="str">
        <f>IFERROR(__xludf.DUMMYFUNCTION("GOOGLETRANSLATE($A1459,""en"",""fr"")"),"La Vallée")</f>
        <v>La Vallée</v>
      </c>
      <c r="E1459" s="9" t="str">
        <f>IFERROR(__xludf.DUMMYFUNCTION("GOOGLETRANSLATE($A1459,""en"",""es"")"),"El Valle")</f>
        <v>El Valle</v>
      </c>
      <c r="F1459" s="9" t="str">
        <f>IFERROR(__xludf.DUMMYFUNCTION("GOOGLETRANSLATE($A1459,""en"",""it"")"),"El Valle")</f>
        <v>El Valle</v>
      </c>
      <c r="G1459" s="9" t="str">
        <f>IFERROR(__xludf.DUMMYFUNCTION("GOOGLETRANSLATE($A1459,""en"",""zh-cn"")"),"埃尔瓦莱")</f>
        <v>埃尔瓦莱</v>
      </c>
      <c r="H1459" s="9" t="str">
        <f>IFERROR(__xludf.DUMMYFUNCTION("GOOGLETRANSLATE($A1459,""en"",""ja"")"),"エル・バジェ")</f>
        <v>エル・バジェ</v>
      </c>
      <c r="I1459" s="9" t="str">
        <f>IFERROR(__xludf.DUMMYFUNCTION("GOOGLETRANSLATE($A1459,""en"",""ko"")"),"엘 발레")</f>
        <v>엘 발레</v>
      </c>
      <c r="J1459" s="9" t="str">
        <f>IFERROR(__xludf.DUMMYFUNCTION("GOOGLETRANSLATE($A1459,""en"",""pt-BR"")"),"El Valle")</f>
        <v>El Valle</v>
      </c>
    </row>
    <row r="1460">
      <c r="A1460" s="9" t="str">
        <f>IFERROR(__xludf.DUMMYFUNCTION("""COMPUTED_VALUE"""),"Cibao Noroeste")</f>
        <v>Cibao Noroeste</v>
      </c>
      <c r="B1460" s="9" t="str">
        <f>IFERROR(__xludf.DUMMYFUNCTION("""COMPUTED_VALUE"""),"do-34")</f>
        <v>do-34</v>
      </c>
      <c r="C1460" s="9" t="str">
        <f>IFERROR(__xludf.DUMMYFUNCTION("GOOGLETRANSLATE($A1460,""en"",""de"")"),"Cibao Noroeste")</f>
        <v>Cibao Noroeste</v>
      </c>
      <c r="D1460" s="9" t="str">
        <f>IFERROR(__xludf.DUMMYFUNCTION("GOOGLETRANSLATE($A1460,""en"",""fr"")"),"Cibao Noroeste")</f>
        <v>Cibao Noroeste</v>
      </c>
      <c r="E1460" s="9" t="str">
        <f>IFERROR(__xludf.DUMMYFUNCTION("GOOGLETRANSLATE($A1460,""en"",""es"")"),"Cibao Noroeste")</f>
        <v>Cibao Noroeste</v>
      </c>
      <c r="F1460" s="9" t="str">
        <f>IFERROR(__xludf.DUMMYFUNCTION("GOOGLETRANSLATE($A1460,""en"",""it"")"),"Cibao Noroeste")</f>
        <v>Cibao Noroeste</v>
      </c>
      <c r="G1460" s="9" t="str">
        <f>IFERROR(__xludf.DUMMYFUNCTION("GOOGLETRANSLATE($A1460,""en"",""zh-cn"")"),"慈宝诺罗斯特")</f>
        <v>慈宝诺罗斯特</v>
      </c>
      <c r="H1460" s="9" t="str">
        <f>IFERROR(__xludf.DUMMYFUNCTION("GOOGLETRANSLATE($A1460,""en"",""ja"")"),"シバオ・ノロエステ")</f>
        <v>シバオ・ノロエステ</v>
      </c>
      <c r="I1460" s="9" t="str">
        <f>IFERROR(__xludf.DUMMYFUNCTION("GOOGLETRANSLATE($A1460,""en"",""ko"")"),"시바오 노로에스테")</f>
        <v>시바오 노로에스테</v>
      </c>
      <c r="J1460" s="9" t="str">
        <f>IFERROR(__xludf.DUMMYFUNCTION("GOOGLETRANSLATE($A1460,""en"",""pt-BR"")"),"Cibao Noroeste")</f>
        <v>Cibao Noroeste</v>
      </c>
    </row>
    <row r="1461">
      <c r="A1461" s="9" t="str">
        <f>IFERROR(__xludf.DUMMYFUNCTION("""COMPUTED_VALUE"""),"María Trinidad Sánchez")</f>
        <v>María Trinidad Sánchez</v>
      </c>
      <c r="B1461" s="9" t="str">
        <f>IFERROR(__xludf.DUMMYFUNCTION("""COMPUTED_VALUE"""),"do-14")</f>
        <v>do-14</v>
      </c>
      <c r="C1461" s="9" t="str">
        <f>IFERROR(__xludf.DUMMYFUNCTION("GOOGLETRANSLATE($A1461,""en"",""de"")"),"María Trinidad Sánchez")</f>
        <v>María Trinidad Sánchez</v>
      </c>
      <c r="D1461" s="9" t="str">
        <f>IFERROR(__xludf.DUMMYFUNCTION("GOOGLETRANSLATE($A1461,""en"",""fr"")"),"María Trinidad Sánchez")</f>
        <v>María Trinidad Sánchez</v>
      </c>
      <c r="E1461" s="9" t="str">
        <f>IFERROR(__xludf.DUMMYFUNCTION("GOOGLETRANSLATE($A1461,""en"",""es"")"),"María Trinidad Sánchez")</f>
        <v>María Trinidad Sánchez</v>
      </c>
      <c r="F1461" s="9" t="str">
        <f>IFERROR(__xludf.DUMMYFUNCTION("GOOGLETRANSLATE($A1461,""en"",""it"")"),"Maria Trinidad Sanchez")</f>
        <v>Maria Trinidad Sanchez</v>
      </c>
      <c r="G1461" s="9" t="str">
        <f>IFERROR(__xludf.DUMMYFUNCTION("GOOGLETRANSLATE($A1461,""en"",""zh-cn"")"),"玛丽亚·特立尼达·桑切斯")</f>
        <v>玛丽亚·特立尼达·桑切斯</v>
      </c>
      <c r="H1461" s="9" t="str">
        <f>IFERROR(__xludf.DUMMYFUNCTION("GOOGLETRANSLATE($A1461,""en"",""ja"")"),"マリア・トリニダード・サンチェス")</f>
        <v>マリア・トリニダード・サンチェス</v>
      </c>
      <c r="I1461" s="9" t="str">
        <f>IFERROR(__xludf.DUMMYFUNCTION("GOOGLETRANSLATE($A1461,""en"",""ko"")"),"마리아 트리니다드 산체스")</f>
        <v>마리아 트리니다드 산체스</v>
      </c>
      <c r="J1461" s="9" t="str">
        <f>IFERROR(__xludf.DUMMYFUNCTION("GOOGLETRANSLATE($A1461,""en"",""pt-BR"")"),"Maria Trinidad Sánchez")</f>
        <v>Maria Trinidad Sánchez</v>
      </c>
    </row>
    <row r="1462">
      <c r="A1462" s="9" t="str">
        <f>IFERROR(__xludf.DUMMYFUNCTION("""COMPUTED_VALUE"""),"Santiago")</f>
        <v>Santiago</v>
      </c>
      <c r="B1462" s="9" t="str">
        <f>IFERROR(__xludf.DUMMYFUNCTION("""COMPUTED_VALUE"""),"do-25")</f>
        <v>do-25</v>
      </c>
      <c r="C1462" s="9" t="str">
        <f>IFERROR(__xludf.DUMMYFUNCTION("GOOGLETRANSLATE($A1462,""en"",""de"")"),"Santiago")</f>
        <v>Santiago</v>
      </c>
      <c r="D1462" s="9" t="str">
        <f>IFERROR(__xludf.DUMMYFUNCTION("GOOGLETRANSLATE($A1462,""en"",""fr"")"),"Saint-Jacques")</f>
        <v>Saint-Jacques</v>
      </c>
      <c r="E1462" s="9" t="str">
        <f>IFERROR(__xludf.DUMMYFUNCTION("GOOGLETRANSLATE($A1462,""en"",""es"")"),"santiago")</f>
        <v>santiago</v>
      </c>
      <c r="F1462" s="9" t="str">
        <f>IFERROR(__xludf.DUMMYFUNCTION("GOOGLETRANSLATE($A1462,""en"",""it"")"),"Santiago")</f>
        <v>Santiago</v>
      </c>
      <c r="G1462" s="9" t="str">
        <f>IFERROR(__xludf.DUMMYFUNCTION("GOOGLETRANSLATE($A1462,""en"",""zh-cn"")"),"圣地亚哥")</f>
        <v>圣地亚哥</v>
      </c>
      <c r="H1462" s="9" t="str">
        <f>IFERROR(__xludf.DUMMYFUNCTION("GOOGLETRANSLATE($A1462,""en"",""ja"")"),"サンティアゴ")</f>
        <v>サンティアゴ</v>
      </c>
      <c r="I1462" s="9" t="str">
        <f>IFERROR(__xludf.DUMMYFUNCTION("GOOGLETRANSLATE($A1462,""en"",""ko"")"),"산티아고")</f>
        <v>산티아고</v>
      </c>
      <c r="J1462" s="9" t="str">
        <f>IFERROR(__xludf.DUMMYFUNCTION("GOOGLETRANSLATE($A1462,""en"",""pt-BR"")"),"Santiago")</f>
        <v>Santiago</v>
      </c>
    </row>
    <row r="1463">
      <c r="A1463" s="9" t="str">
        <f>IFERROR(__xludf.DUMMYFUNCTION("""COMPUTED_VALUE"""),"Samaná")</f>
        <v>Samaná</v>
      </c>
      <c r="B1463" s="9" t="str">
        <f>IFERROR(__xludf.DUMMYFUNCTION("""COMPUTED_VALUE"""),"do-20")</f>
        <v>do-20</v>
      </c>
      <c r="C1463" s="9" t="str">
        <f>IFERROR(__xludf.DUMMYFUNCTION("GOOGLETRANSLATE($A1463,""en"",""de"")"),"Samaná")</f>
        <v>Samaná</v>
      </c>
      <c r="D1463" s="9" t="str">
        <f>IFERROR(__xludf.DUMMYFUNCTION("GOOGLETRANSLATE($A1463,""en"",""fr"")"),"Samana")</f>
        <v>Samana</v>
      </c>
      <c r="E1463" s="9" t="str">
        <f>IFERROR(__xludf.DUMMYFUNCTION("GOOGLETRANSLATE($A1463,""en"",""es"")"),"Samaná")</f>
        <v>Samaná</v>
      </c>
      <c r="F1463" s="9" t="str">
        <f>IFERROR(__xludf.DUMMYFUNCTION("GOOGLETRANSLATE($A1463,""en"",""it"")"),"Samana")</f>
        <v>Samana</v>
      </c>
      <c r="G1463" s="9" t="str">
        <f>IFERROR(__xludf.DUMMYFUNCTION("GOOGLETRANSLATE($A1463,""en"",""zh-cn"")"),"萨马纳")</f>
        <v>萨马纳</v>
      </c>
      <c r="H1463" s="9" t="str">
        <f>IFERROR(__xludf.DUMMYFUNCTION("GOOGLETRANSLATE($A1463,""en"",""ja"")"),"サマナ")</f>
        <v>サマナ</v>
      </c>
      <c r="I1463" s="9" t="str">
        <f>IFERROR(__xludf.DUMMYFUNCTION("GOOGLETRANSLATE($A1463,""en"",""ko"")"),"사마나")</f>
        <v>사마나</v>
      </c>
      <c r="J1463" s="9" t="str">
        <f>IFERROR(__xludf.DUMMYFUNCTION("GOOGLETRANSLATE($A1463,""en"",""pt-BR"")"),"Samaná")</f>
        <v>Samaná</v>
      </c>
    </row>
    <row r="1464">
      <c r="A1464" s="9" t="str">
        <f>IFERROR(__xludf.DUMMYFUNCTION("""COMPUTED_VALUE"""),"Monseñor Nouel")</f>
        <v>Monseñor Nouel</v>
      </c>
      <c r="B1464" s="9" t="str">
        <f>IFERROR(__xludf.DUMMYFUNCTION("""COMPUTED_VALUE"""),"do-28")</f>
        <v>do-28</v>
      </c>
      <c r="C1464" s="9" t="str">
        <f>IFERROR(__xludf.DUMMYFUNCTION("GOOGLETRANSLATE($A1464,""en"",""de"")"),"Monseñor Nouel")</f>
        <v>Monseñor Nouel</v>
      </c>
      <c r="D1464" s="9" t="str">
        <f>IFERROR(__xludf.DUMMYFUNCTION("GOOGLETRANSLATE($A1464,""en"",""fr"")"),"Monseigneur Nouel")</f>
        <v>Monseigneur Nouel</v>
      </c>
      <c r="E1464" s="9" t="str">
        <f>IFERROR(__xludf.DUMMYFUNCTION("GOOGLETRANSLATE($A1464,""en"",""es"")"),"monseñor nouel")</f>
        <v>monseñor nouel</v>
      </c>
      <c r="F1464" s="9" t="str">
        <f>IFERROR(__xludf.DUMMYFUNCTION("GOOGLETRANSLATE($A1464,""en"",""it"")"),"Monsignor Nouel")</f>
        <v>Monsignor Nouel</v>
      </c>
      <c r="G1464" s="9" t="str">
        <f>IFERROR(__xludf.DUMMYFUNCTION("GOOGLETRANSLATE($A1464,""en"",""zh-cn"")"),"努埃尔先生")</f>
        <v>努埃尔先生</v>
      </c>
      <c r="H1464" s="9" t="str">
        <f>IFERROR(__xludf.DUMMYFUNCTION("GOOGLETRANSLATE($A1464,""en"",""ja"")"),"モンセニョール・ノエル")</f>
        <v>モンセニョール・ノエル</v>
      </c>
      <c r="I1464" s="9" t="str">
        <f>IFERROR(__xludf.DUMMYFUNCTION("GOOGLETRANSLATE($A1464,""en"",""ko"")"),"몬세뇨르 누엘")</f>
        <v>몬세뇨르 누엘</v>
      </c>
      <c r="J1464" s="9" t="str">
        <f>IFERROR(__xludf.DUMMYFUNCTION("GOOGLETRANSLATE($A1464,""en"",""pt-BR"")"),"Monsenhor Nouel")</f>
        <v>Monsenhor Nouel</v>
      </c>
    </row>
    <row r="1465">
      <c r="A1465" s="9" t="str">
        <f>IFERROR(__xludf.DUMMYFUNCTION("""COMPUTED_VALUE"""),"San Pedro de Macorís")</f>
        <v>San Pedro de Macorís</v>
      </c>
      <c r="B1465" s="9" t="str">
        <f>IFERROR(__xludf.DUMMYFUNCTION("""COMPUTED_VALUE"""),"do-23")</f>
        <v>do-23</v>
      </c>
      <c r="C1465" s="9" t="str">
        <f>IFERROR(__xludf.DUMMYFUNCTION("GOOGLETRANSLATE($A1465,""en"",""de"")"),"San Pedro de Macoris")</f>
        <v>San Pedro de Macoris</v>
      </c>
      <c r="D1465" s="9" t="str">
        <f>IFERROR(__xludf.DUMMYFUNCTION("GOOGLETRANSLATE($A1465,""en"",""fr"")"),"San Pedro de Macoris")</f>
        <v>San Pedro de Macoris</v>
      </c>
      <c r="E1465" s="9" t="str">
        <f>IFERROR(__xludf.DUMMYFUNCTION("GOOGLETRANSLATE($A1465,""en"",""es"")"),"San Pedro de Macorís")</f>
        <v>San Pedro de Macorís</v>
      </c>
      <c r="F1465" s="9" t="str">
        <f>IFERROR(__xludf.DUMMYFUNCTION("GOOGLETRANSLATE($A1465,""en"",""it"")"),"San Pedro de Macoris")</f>
        <v>San Pedro de Macoris</v>
      </c>
      <c r="G1465" s="9" t="str">
        <f>IFERROR(__xludf.DUMMYFUNCTION("GOOGLETRANSLATE($A1465,""en"",""zh-cn"")"),"圣佩德罗·德·马科里斯")</f>
        <v>圣佩德罗·德·马科里斯</v>
      </c>
      <c r="H1465" s="9" t="str">
        <f>IFERROR(__xludf.DUMMYFUNCTION("GOOGLETRANSLATE($A1465,""en"",""ja"")"),"サンペドロ・デ・マコリス")</f>
        <v>サンペドロ・デ・マコリス</v>
      </c>
      <c r="I1465" s="9" t="str">
        <f>IFERROR(__xludf.DUMMYFUNCTION("GOOGLETRANSLATE($A1465,""en"",""ko"")"),"산 페드로 데 마코리스")</f>
        <v>산 페드로 데 마코리스</v>
      </c>
      <c r="J1465" s="9" t="str">
        <f>IFERROR(__xludf.DUMMYFUNCTION("GOOGLETRANSLATE($A1465,""en"",""pt-BR"")"),"São Pedro de Macorís")</f>
        <v>São Pedro de Macorís</v>
      </c>
    </row>
    <row r="1466">
      <c r="A1466" s="9" t="str">
        <f>IFERROR(__xludf.DUMMYFUNCTION("""COMPUTED_VALUE"""),"Valverde")</f>
        <v>Valverde</v>
      </c>
      <c r="B1466" s="9" t="str">
        <f>IFERROR(__xludf.DUMMYFUNCTION("""COMPUTED_VALUE"""),"do-27")</f>
        <v>do-27</v>
      </c>
      <c r="C1466" s="9" t="str">
        <f>IFERROR(__xludf.DUMMYFUNCTION("GOOGLETRANSLATE($A1466,""en"",""de"")"),"Valverde")</f>
        <v>Valverde</v>
      </c>
      <c r="D1466" s="9" t="str">
        <f>IFERROR(__xludf.DUMMYFUNCTION("GOOGLETRANSLATE($A1466,""en"",""fr"")"),"Valverde")</f>
        <v>Valverde</v>
      </c>
      <c r="E1466" s="9" t="str">
        <f>IFERROR(__xludf.DUMMYFUNCTION("GOOGLETRANSLATE($A1466,""en"",""es"")"),"Valverde")</f>
        <v>Valverde</v>
      </c>
      <c r="F1466" s="9" t="str">
        <f>IFERROR(__xludf.DUMMYFUNCTION("GOOGLETRANSLATE($A1466,""en"",""it"")"),"Valverde")</f>
        <v>Valverde</v>
      </c>
      <c r="G1466" s="9" t="str">
        <f>IFERROR(__xludf.DUMMYFUNCTION("GOOGLETRANSLATE($A1466,""en"",""zh-cn"")"),"巴尔韦德")</f>
        <v>巴尔韦德</v>
      </c>
      <c r="H1466" s="9" t="str">
        <f>IFERROR(__xludf.DUMMYFUNCTION("GOOGLETRANSLATE($A1466,""en"",""ja"")"),"バルベルデ")</f>
        <v>バルベルデ</v>
      </c>
      <c r="I1466" s="9" t="str">
        <f>IFERROR(__xludf.DUMMYFUNCTION("GOOGLETRANSLATE($A1466,""en"",""ko"")"),"발베르데")</f>
        <v>발베르데</v>
      </c>
      <c r="J1466" s="9" t="str">
        <f>IFERROR(__xludf.DUMMYFUNCTION("GOOGLETRANSLATE($A1466,""en"",""pt-BR"")"),"Valverde")</f>
        <v>Valverde</v>
      </c>
    </row>
    <row r="1467">
      <c r="A1467" s="9" t="str">
        <f>IFERROR(__xludf.DUMMYFUNCTION("""COMPUTED_VALUE"""),"La Romana")</f>
        <v>La Romana</v>
      </c>
      <c r="B1467" s="9" t="str">
        <f>IFERROR(__xludf.DUMMYFUNCTION("""COMPUTED_VALUE"""),"do-12")</f>
        <v>do-12</v>
      </c>
      <c r="C1467" s="9" t="str">
        <f>IFERROR(__xludf.DUMMYFUNCTION("GOOGLETRANSLATE($A1467,""en"",""de"")"),"La Romana")</f>
        <v>La Romana</v>
      </c>
      <c r="D1467" s="9" t="str">
        <f>IFERROR(__xludf.DUMMYFUNCTION("GOOGLETRANSLATE($A1467,""en"",""fr"")"),"La Romana")</f>
        <v>La Romana</v>
      </c>
      <c r="E1467" s="9" t="str">
        <f>IFERROR(__xludf.DUMMYFUNCTION("GOOGLETRANSLATE($A1467,""en"",""es"")"),"La Romana")</f>
        <v>La Romana</v>
      </c>
      <c r="F1467" s="9" t="str">
        <f>IFERROR(__xludf.DUMMYFUNCTION("GOOGLETRANSLATE($A1467,""en"",""it"")"),"La Romana")</f>
        <v>La Romana</v>
      </c>
      <c r="G1467" s="9" t="str">
        <f>IFERROR(__xludf.DUMMYFUNCTION("GOOGLETRANSLATE($A1467,""en"",""zh-cn"")"),"拉罗马纳")</f>
        <v>拉罗马纳</v>
      </c>
      <c r="H1467" s="9" t="str">
        <f>IFERROR(__xludf.DUMMYFUNCTION("GOOGLETRANSLATE($A1467,""en"",""ja"")"),"ラ・ロマーナ")</f>
        <v>ラ・ロマーナ</v>
      </c>
      <c r="I1467" s="9" t="str">
        <f>IFERROR(__xludf.DUMMYFUNCTION("GOOGLETRANSLATE($A1467,""en"",""ko"")"),"라 로마나")</f>
        <v>라 로마나</v>
      </c>
      <c r="J1467" s="9" t="str">
        <f>IFERROR(__xludf.DUMMYFUNCTION("GOOGLETRANSLATE($A1467,""en"",""pt-BR"")"),"A Romana")</f>
        <v>A Romana</v>
      </c>
    </row>
    <row r="1468">
      <c r="A1468" s="9" t="str">
        <f>IFERROR(__xludf.DUMMYFUNCTION("""COMPUTED_VALUE"""),"San José de Ocoa")</f>
        <v>San José de Ocoa</v>
      </c>
      <c r="B1468" s="9" t="str">
        <f>IFERROR(__xludf.DUMMYFUNCTION("""COMPUTED_VALUE"""),"do-31")</f>
        <v>do-31</v>
      </c>
      <c r="C1468" s="9" t="str">
        <f>IFERROR(__xludf.DUMMYFUNCTION("GOOGLETRANSLATE($A1468,""en"",""de"")"),"San José de Ocoa")</f>
        <v>San José de Ocoa</v>
      </c>
      <c r="D1468" s="9" t="str">
        <f>IFERROR(__xludf.DUMMYFUNCTION("GOOGLETRANSLATE($A1468,""en"",""fr"")"),"San José de Ocoa")</f>
        <v>San José de Ocoa</v>
      </c>
      <c r="E1468" s="9" t="str">
        <f>IFERROR(__xludf.DUMMYFUNCTION("GOOGLETRANSLATE($A1468,""en"",""es"")"),"san jose de ocoa")</f>
        <v>san jose de ocoa</v>
      </c>
      <c r="F1468" s="9" t="str">
        <f>IFERROR(__xludf.DUMMYFUNCTION("GOOGLETRANSLATE($A1468,""en"",""it"")"),"San José de Ocoa")</f>
        <v>San José de Ocoa</v>
      </c>
      <c r="G1468" s="9" t="str">
        <f>IFERROR(__xludf.DUMMYFUNCTION("GOOGLETRANSLATE($A1468,""en"",""zh-cn"")"),"圣何塞德奥科阿")</f>
        <v>圣何塞德奥科阿</v>
      </c>
      <c r="H1468" s="9" t="str">
        <f>IFERROR(__xludf.DUMMYFUNCTION("GOOGLETRANSLATE($A1468,""en"",""ja"")"),"サンホセデオコア")</f>
        <v>サンホセデオコア</v>
      </c>
      <c r="I1468" s="9" t="str">
        <f>IFERROR(__xludf.DUMMYFUNCTION("GOOGLETRANSLATE($A1468,""en"",""ko"")"),"산호세 데 오코아")</f>
        <v>산호세 데 오코아</v>
      </c>
      <c r="J1468" s="9" t="str">
        <f>IFERROR(__xludf.DUMMYFUNCTION("GOOGLETRANSLATE($A1468,""en"",""pt-BR"")"),"São José de Ocoa")</f>
        <v>São José de Ocoa</v>
      </c>
    </row>
    <row r="1469">
      <c r="A1469" s="9" t="str">
        <f>IFERROR(__xludf.DUMMYFUNCTION("""COMPUTED_VALUE"""),"Cibao Nordeste")</f>
        <v>Cibao Nordeste</v>
      </c>
      <c r="B1469" s="9" t="str">
        <f>IFERROR(__xludf.DUMMYFUNCTION("""COMPUTED_VALUE"""),"do-33")</f>
        <v>do-33</v>
      </c>
      <c r="C1469" s="9" t="str">
        <f>IFERROR(__xludf.DUMMYFUNCTION("GOOGLETRANSLATE($A1469,""en"",""de"")"),"Cibao Nordeste")</f>
        <v>Cibao Nordeste</v>
      </c>
      <c r="D1469" s="9" t="str">
        <f>IFERROR(__xludf.DUMMYFUNCTION("GOOGLETRANSLATE($A1469,""en"",""fr"")"),"Cibao Nordeste")</f>
        <v>Cibao Nordeste</v>
      </c>
      <c r="E1469" s="9" t="str">
        <f>IFERROR(__xludf.DUMMYFUNCTION("GOOGLETRANSLATE($A1469,""en"",""es"")"),"Cibao Nordeste")</f>
        <v>Cibao Nordeste</v>
      </c>
      <c r="F1469" s="9" t="str">
        <f>IFERROR(__xludf.DUMMYFUNCTION("GOOGLETRANSLATE($A1469,""en"",""it"")"),"Cibao Nordeste")</f>
        <v>Cibao Nordeste</v>
      </c>
      <c r="G1469" s="9" t="str">
        <f>IFERROR(__xludf.DUMMYFUNCTION("GOOGLETRANSLATE($A1469,""en"",""zh-cn"")"),"北方瓷宝")</f>
        <v>北方瓷宝</v>
      </c>
      <c r="H1469" s="9" t="str">
        <f>IFERROR(__xludf.DUMMYFUNCTION("GOOGLETRANSLATE($A1469,""en"",""ja"")"),"シバオ・ノルデステ")</f>
        <v>シバオ・ノルデステ</v>
      </c>
      <c r="I1469" s="9" t="str">
        <f>IFERROR(__xludf.DUMMYFUNCTION("GOOGLETRANSLATE($A1469,""en"",""ko"")"),"시바오 노르데스테")</f>
        <v>시바오 노르데스테</v>
      </c>
      <c r="J1469" s="9" t="str">
        <f>IFERROR(__xludf.DUMMYFUNCTION("GOOGLETRANSLATE($A1469,""en"",""pt-BR"")"),"Cibao Nordeste")</f>
        <v>Cibao Nordeste</v>
      </c>
    </row>
    <row r="1470">
      <c r="A1470" s="9" t="str">
        <f>IFERROR(__xludf.DUMMYFUNCTION("""COMPUTED_VALUE"""),"Cibao Norte")</f>
        <v>Cibao Norte</v>
      </c>
      <c r="B1470" s="9" t="str">
        <f>IFERROR(__xludf.DUMMYFUNCTION("""COMPUTED_VALUE"""),"do-35")</f>
        <v>do-35</v>
      </c>
      <c r="C1470" s="9" t="str">
        <f>IFERROR(__xludf.DUMMYFUNCTION("GOOGLETRANSLATE($A1470,""en"",""de"")"),"Cibao Norte")</f>
        <v>Cibao Norte</v>
      </c>
      <c r="D1470" s="9" t="str">
        <f>IFERROR(__xludf.DUMMYFUNCTION("GOOGLETRANSLATE($A1470,""en"",""fr"")"),"Cibao Nord")</f>
        <v>Cibao Nord</v>
      </c>
      <c r="E1470" s="9" t="str">
        <f>IFERROR(__xludf.DUMMYFUNCTION("GOOGLETRANSLATE($A1470,""en"",""es"")"),"Cibao Norte")</f>
        <v>Cibao Norte</v>
      </c>
      <c r="F1470" s="9" t="str">
        <f>IFERROR(__xludf.DUMMYFUNCTION("GOOGLETRANSLATE($A1470,""en"",""it"")"),"Cibao Norte")</f>
        <v>Cibao Norte</v>
      </c>
      <c r="G1470" s="9" t="str">
        <f>IFERROR(__xludf.DUMMYFUNCTION("GOOGLETRANSLATE($A1470,""en"",""zh-cn"")"),"北磁宝")</f>
        <v>北磁宝</v>
      </c>
      <c r="H1470" s="9" t="str">
        <f>IFERROR(__xludf.DUMMYFUNCTION("GOOGLETRANSLATE($A1470,""en"",""ja"")"),"シバオ ノルテ")</f>
        <v>シバオ ノルテ</v>
      </c>
      <c r="I1470" s="9" t="str">
        <f>IFERROR(__xludf.DUMMYFUNCTION("GOOGLETRANSLATE($A1470,""en"",""ko"")"),"시바오 노르테")</f>
        <v>시바오 노르테</v>
      </c>
      <c r="J1470" s="9" t="str">
        <f>IFERROR(__xludf.DUMMYFUNCTION("GOOGLETRANSLATE($A1470,""en"",""pt-BR"")"),"Cibao Norte")</f>
        <v>Cibao Norte</v>
      </c>
    </row>
    <row r="1471">
      <c r="A1471" s="9" t="str">
        <f>IFERROR(__xludf.DUMMYFUNCTION("""COMPUTED_VALUE"""),"Cibao Sur")</f>
        <v>Cibao Sur</v>
      </c>
      <c r="B1471" s="9" t="str">
        <f>IFERROR(__xludf.DUMMYFUNCTION("""COMPUTED_VALUE"""),"do-36")</f>
        <v>do-36</v>
      </c>
      <c r="C1471" s="9" t="str">
        <f>IFERROR(__xludf.DUMMYFUNCTION("GOOGLETRANSLATE($A1471,""en"",""de"")"),"Cibao Sur")</f>
        <v>Cibao Sur</v>
      </c>
      <c r="D1471" s="9" t="str">
        <f>IFERROR(__xludf.DUMMYFUNCTION("GOOGLETRANSLATE($A1471,""en"",""fr"")"),"Cibao Sur")</f>
        <v>Cibao Sur</v>
      </c>
      <c r="E1471" s="9" t="str">
        <f>IFERROR(__xludf.DUMMYFUNCTION("GOOGLETRANSLATE($A1471,""en"",""es"")"),"Cibao Sur")</f>
        <v>Cibao Sur</v>
      </c>
      <c r="F1471" s="9" t="str">
        <f>IFERROR(__xludf.DUMMYFUNCTION("GOOGLETRANSLATE($A1471,""en"",""it"")"),"Cibao Sur")</f>
        <v>Cibao Sur</v>
      </c>
      <c r="G1471" s="9" t="str">
        <f>IFERROR(__xludf.DUMMYFUNCTION("GOOGLETRANSLATE($A1471,""en"",""zh-cn"")"),"南磁宝")</f>
        <v>南磁宝</v>
      </c>
      <c r="H1471" s="9" t="str">
        <f>IFERROR(__xludf.DUMMYFUNCTION("GOOGLETRANSLATE($A1471,""en"",""ja"")"),"シバオ・スール")</f>
        <v>シバオ・スール</v>
      </c>
      <c r="I1471" s="9" t="str">
        <f>IFERROR(__xludf.DUMMYFUNCTION("GOOGLETRANSLATE($A1471,""en"",""ko"")"),"시바오 수르")</f>
        <v>시바오 수르</v>
      </c>
      <c r="J1471" s="9" t="str">
        <f>IFERROR(__xludf.DUMMYFUNCTION("GOOGLETRANSLATE($A1471,""en"",""pt-BR"")"),"Cibao Sul")</f>
        <v>Cibao Sul</v>
      </c>
    </row>
    <row r="1472">
      <c r="A1472" s="9" t="str">
        <f>IFERROR(__xludf.DUMMYFUNCTION("""COMPUTED_VALUE"""),"Enriquillo")</f>
        <v>Enriquillo</v>
      </c>
      <c r="B1472" s="9" t="str">
        <f>IFERROR(__xludf.DUMMYFUNCTION("""COMPUTED_VALUE"""),"do-38")</f>
        <v>do-38</v>
      </c>
      <c r="C1472" s="9" t="str">
        <f>IFERROR(__xludf.DUMMYFUNCTION("GOOGLETRANSLATE($A1472,""en"",""de"")"),"Enriquillo")</f>
        <v>Enriquillo</v>
      </c>
      <c r="D1472" s="9" t="str">
        <f>IFERROR(__xludf.DUMMYFUNCTION("GOOGLETRANSLATE($A1472,""en"",""fr"")"),"Enriquillo")</f>
        <v>Enriquillo</v>
      </c>
      <c r="E1472" s="9" t="str">
        <f>IFERROR(__xludf.DUMMYFUNCTION("GOOGLETRANSLATE($A1472,""en"",""es"")"),"Enriquillo")</f>
        <v>Enriquillo</v>
      </c>
      <c r="F1472" s="9" t="str">
        <f>IFERROR(__xludf.DUMMYFUNCTION("GOOGLETRANSLATE($A1472,""en"",""it"")"),"Enrico")</f>
        <v>Enrico</v>
      </c>
      <c r="G1472" s="9" t="str">
        <f>IFERROR(__xludf.DUMMYFUNCTION("GOOGLETRANSLATE($A1472,""en"",""zh-cn"")"),"恩里基略")</f>
        <v>恩里基略</v>
      </c>
      <c r="H1472" s="9" t="str">
        <f>IFERROR(__xludf.DUMMYFUNCTION("GOOGLETRANSLATE($A1472,""en"",""ja"")"),"エンリキージョ")</f>
        <v>エンリキージョ</v>
      </c>
      <c r="I1472" s="9" t="str">
        <f>IFERROR(__xludf.DUMMYFUNCTION("GOOGLETRANSLATE($A1472,""en"",""ko"")"),"엔리퀼로")</f>
        <v>엔리퀼로</v>
      </c>
      <c r="J1472" s="9" t="str">
        <f>IFERROR(__xludf.DUMMYFUNCTION("GOOGLETRANSLATE($A1472,""en"",""pt-BR"")"),"Enriquillo")</f>
        <v>Enriquillo</v>
      </c>
    </row>
    <row r="1473">
      <c r="A1473" s="9" t="str">
        <f>IFERROR(__xludf.DUMMYFUNCTION("""COMPUTED_VALUE"""),"Ozama")</f>
        <v>Ozama</v>
      </c>
      <c r="B1473" s="9" t="str">
        <f>IFERROR(__xludf.DUMMYFUNCTION("""COMPUTED_VALUE"""),"do-40")</f>
        <v>do-40</v>
      </c>
      <c r="C1473" s="9" t="str">
        <f>IFERROR(__xludf.DUMMYFUNCTION("GOOGLETRANSLATE($A1473,""en"",""de"")"),"Ozama")</f>
        <v>Ozama</v>
      </c>
      <c r="D1473" s="9" t="str">
        <f>IFERROR(__xludf.DUMMYFUNCTION("GOOGLETRANSLATE($A1473,""en"",""fr"")"),"Ōzama")</f>
        <v>Ōzama</v>
      </c>
      <c r="E1473" s="9" t="str">
        <f>IFERROR(__xludf.DUMMYFUNCTION("GOOGLETRANSLATE($A1473,""en"",""es"")"),"Ozama")</f>
        <v>Ozama</v>
      </c>
      <c r="F1473" s="9" t="str">
        <f>IFERROR(__xludf.DUMMYFUNCTION("GOOGLETRANSLATE($A1473,""en"",""it"")"),"Ozama")</f>
        <v>Ozama</v>
      </c>
      <c r="G1473" s="9" t="str">
        <f>IFERROR(__xludf.DUMMYFUNCTION("GOOGLETRANSLATE($A1473,""en"",""zh-cn"")"),"小座间")</f>
        <v>小座间</v>
      </c>
      <c r="H1473" s="9" t="str">
        <f>IFERROR(__xludf.DUMMYFUNCTION("GOOGLETRANSLATE($A1473,""en"",""ja"")"),"オザマ")</f>
        <v>オザマ</v>
      </c>
      <c r="I1473" s="9" t="str">
        <f>IFERROR(__xludf.DUMMYFUNCTION("GOOGLETRANSLATE($A1473,""en"",""ko"")"),"오자마")</f>
        <v>오자마</v>
      </c>
      <c r="J1473" s="9" t="str">
        <f>IFERROR(__xludf.DUMMYFUNCTION("GOOGLETRANSLATE($A1473,""en"",""pt-BR"")"),"Ozama")</f>
        <v>Ozama</v>
      </c>
    </row>
    <row r="1474">
      <c r="A1474" s="9" t="str">
        <f>IFERROR(__xludf.DUMMYFUNCTION("""COMPUTED_VALUE"""),"Valdesia")</f>
        <v>Valdesia</v>
      </c>
      <c r="B1474" s="9" t="str">
        <f>IFERROR(__xludf.DUMMYFUNCTION("""COMPUTED_VALUE"""),"do-41")</f>
        <v>do-41</v>
      </c>
      <c r="C1474" s="9" t="str">
        <f>IFERROR(__xludf.DUMMYFUNCTION("GOOGLETRANSLATE($A1474,""en"",""de"")"),"Valdesia")</f>
        <v>Valdesia</v>
      </c>
      <c r="D1474" s="9" t="str">
        <f>IFERROR(__xludf.DUMMYFUNCTION("GOOGLETRANSLATE($A1474,""en"",""fr"")"),"Valdésia")</f>
        <v>Valdésia</v>
      </c>
      <c r="E1474" s="9" t="str">
        <f>IFERROR(__xludf.DUMMYFUNCTION("GOOGLETRANSLATE($A1474,""en"",""es"")"),"Valdesia")</f>
        <v>Valdesia</v>
      </c>
      <c r="F1474" s="9" t="str">
        <f>IFERROR(__xludf.DUMMYFUNCTION("GOOGLETRANSLATE($A1474,""en"",""it"")"),"Valdesia")</f>
        <v>Valdesia</v>
      </c>
      <c r="G1474" s="9" t="str">
        <f>IFERROR(__xludf.DUMMYFUNCTION("GOOGLETRANSLATE($A1474,""en"",""zh-cn"")"),"巴尔德西亚")</f>
        <v>巴尔德西亚</v>
      </c>
      <c r="H1474" s="9" t="str">
        <f>IFERROR(__xludf.DUMMYFUNCTION("GOOGLETRANSLATE($A1474,""en"",""ja"")"),"バルデシア")</f>
        <v>バルデシア</v>
      </c>
      <c r="I1474" s="9" t="str">
        <f>IFERROR(__xludf.DUMMYFUNCTION("GOOGLETRANSLATE($A1474,""en"",""ko"")"),"발데시아")</f>
        <v>발데시아</v>
      </c>
      <c r="J1474" s="9" t="str">
        <f>IFERROR(__xludf.DUMMYFUNCTION("GOOGLETRANSLATE($A1474,""en"",""pt-BR"")"),"Valdésia")</f>
        <v>Valdésia</v>
      </c>
    </row>
    <row r="1475">
      <c r="A1475" s="9" t="str">
        <f>IFERROR(__xludf.DUMMYFUNCTION("""COMPUTED_VALUE"""),"Elías Piña")</f>
        <v>Elías Piña</v>
      </c>
      <c r="B1475" s="9" t="str">
        <f>IFERROR(__xludf.DUMMYFUNCTION("""COMPUTED_VALUE"""),"do-07")</f>
        <v>do-07</v>
      </c>
      <c r="C1475" s="9" t="str">
        <f>IFERROR(__xludf.DUMMYFUNCTION("GOOGLETRANSLATE($A1475,""en"",""de"")"),"Elías Piña")</f>
        <v>Elías Piña</v>
      </c>
      <c r="D1475" s="9" t="str">
        <f>IFERROR(__xludf.DUMMYFUNCTION("GOOGLETRANSLATE($A1475,""en"",""fr"")"),"Élias Piña")</f>
        <v>Élias Piña</v>
      </c>
      <c r="E1475" s="9" t="str">
        <f>IFERROR(__xludf.DUMMYFUNCTION("GOOGLETRANSLATE($A1475,""en"",""es"")"),"Elías Piña")</f>
        <v>Elías Piña</v>
      </c>
      <c r="F1475" s="9" t="str">
        <f>IFERROR(__xludf.DUMMYFUNCTION("GOOGLETRANSLATE($A1475,""en"",""it"")"),"Elias Pina")</f>
        <v>Elias Pina</v>
      </c>
      <c r="G1475" s="9" t="str">
        <f>IFERROR(__xludf.DUMMYFUNCTION("GOOGLETRANSLATE($A1475,""en"",""zh-cn"")"),"埃利亚斯·皮纳")</f>
        <v>埃利亚斯·皮纳</v>
      </c>
      <c r="H1475" s="9" t="str">
        <f>IFERROR(__xludf.DUMMYFUNCTION("GOOGLETRANSLATE($A1475,""en"",""ja"")"),"エリアス・ピニャ")</f>
        <v>エリアス・ピニャ</v>
      </c>
      <c r="I1475" s="9" t="str">
        <f>IFERROR(__xludf.DUMMYFUNCTION("GOOGLETRANSLATE($A1475,""en"",""ko"")"),"엘리아스 피냐")</f>
        <v>엘리아스 피냐</v>
      </c>
      <c r="J1475" s="9" t="str">
        <f>IFERROR(__xludf.DUMMYFUNCTION("GOOGLETRANSLATE($A1475,""en"",""pt-BR"")"),"Elias Piña")</f>
        <v>Elias Piña</v>
      </c>
    </row>
    <row r="1476">
      <c r="A1476" s="9" t="str">
        <f>IFERROR(__xludf.DUMMYFUNCTION("""COMPUTED_VALUE"""),"Peravia")</f>
        <v>Peravia</v>
      </c>
      <c r="B1476" s="9" t="str">
        <f>IFERROR(__xludf.DUMMYFUNCTION("""COMPUTED_VALUE"""),"do-17")</f>
        <v>do-17</v>
      </c>
      <c r="C1476" s="9" t="str">
        <f>IFERROR(__xludf.DUMMYFUNCTION("GOOGLETRANSLATE($A1476,""en"",""de"")"),"Peravia")</f>
        <v>Peravia</v>
      </c>
      <c r="D1476" s="9" t="str">
        <f>IFERROR(__xludf.DUMMYFUNCTION("GOOGLETRANSLATE($A1476,""en"",""fr"")"),"Peravia")</f>
        <v>Peravia</v>
      </c>
      <c r="E1476" s="9" t="str">
        <f>IFERROR(__xludf.DUMMYFUNCTION("GOOGLETRANSLATE($A1476,""en"",""es"")"),"Peraviá")</f>
        <v>Peraviá</v>
      </c>
      <c r="F1476" s="9" t="str">
        <f>IFERROR(__xludf.DUMMYFUNCTION("GOOGLETRANSLATE($A1476,""en"",""it"")"),"Peravia")</f>
        <v>Peravia</v>
      </c>
      <c r="G1476" s="9" t="str">
        <f>IFERROR(__xludf.DUMMYFUNCTION("GOOGLETRANSLATE($A1476,""en"",""zh-cn"")"),"佩拉维亚")</f>
        <v>佩拉维亚</v>
      </c>
      <c r="H1476" s="9" t="str">
        <f>IFERROR(__xludf.DUMMYFUNCTION("GOOGLETRANSLATE($A1476,""en"",""ja"")"),"ペラビア")</f>
        <v>ペラビア</v>
      </c>
      <c r="I1476" s="9" t="str">
        <f>IFERROR(__xludf.DUMMYFUNCTION("GOOGLETRANSLATE($A1476,""en"",""ko"")"),"페라비아")</f>
        <v>페라비아</v>
      </c>
      <c r="J1476" s="9" t="str">
        <f>IFERROR(__xludf.DUMMYFUNCTION("GOOGLETRANSLATE($A1476,""en"",""pt-BR"")"),"Perávia")</f>
        <v>Perávia</v>
      </c>
    </row>
    <row r="1477">
      <c r="A1477" s="9" t="str">
        <f>IFERROR(__xludf.DUMMYFUNCTION("""COMPUTED_VALUE"""),"Azua")</f>
        <v>Azua</v>
      </c>
      <c r="B1477" s="9" t="str">
        <f>IFERROR(__xludf.DUMMYFUNCTION("""COMPUTED_VALUE"""),"do-02")</f>
        <v>do-02</v>
      </c>
      <c r="C1477" s="9" t="str">
        <f>IFERROR(__xludf.DUMMYFUNCTION("GOOGLETRANSLATE($A1477,""en"",""de"")"),"Azua")</f>
        <v>Azua</v>
      </c>
      <c r="D1477" s="9" t="str">
        <f>IFERROR(__xludf.DUMMYFUNCTION("GOOGLETRANSLATE($A1477,""en"",""fr"")"),"Azuá")</f>
        <v>Azuá</v>
      </c>
      <c r="E1477" s="9" t="str">
        <f>IFERROR(__xludf.DUMMYFUNCTION("GOOGLETRANSLATE($A1477,""en"",""es"")"),"azua")</f>
        <v>azua</v>
      </c>
      <c r="F1477" s="9" t="str">
        <f>IFERROR(__xludf.DUMMYFUNCTION("GOOGLETRANSLATE($A1477,""en"",""it"")"),"Azua")</f>
        <v>Azua</v>
      </c>
      <c r="G1477" s="9" t="str">
        <f>IFERROR(__xludf.DUMMYFUNCTION("GOOGLETRANSLATE($A1477,""en"",""zh-cn"")"),"阿苏阿")</f>
        <v>阿苏阿</v>
      </c>
      <c r="H1477" s="9" t="str">
        <f>IFERROR(__xludf.DUMMYFUNCTION("GOOGLETRANSLATE($A1477,""en"",""ja"")"),"アズア")</f>
        <v>アズア</v>
      </c>
      <c r="I1477" s="9" t="str">
        <f>IFERROR(__xludf.DUMMYFUNCTION("GOOGLETRANSLATE($A1477,""en"",""ko"")"),"아주아")</f>
        <v>아주아</v>
      </c>
      <c r="J1477" s="9" t="str">
        <f>IFERROR(__xludf.DUMMYFUNCTION("GOOGLETRANSLATE($A1477,""en"",""pt-BR"")"),"Azua")</f>
        <v>Azua</v>
      </c>
    </row>
    <row r="1478">
      <c r="A1478" s="9" t="str">
        <f>IFERROR(__xludf.DUMMYFUNCTION("""COMPUTED_VALUE"""),"El Seibo")</f>
        <v>El Seibo</v>
      </c>
      <c r="B1478" s="9" t="str">
        <f>IFERROR(__xludf.DUMMYFUNCTION("""COMPUTED_VALUE"""),"do-08")</f>
        <v>do-08</v>
      </c>
      <c r="C1478" s="9" t="str">
        <f>IFERROR(__xludf.DUMMYFUNCTION("GOOGLETRANSLATE($A1478,""en"",""de"")"),"El Seibo")</f>
        <v>El Seibo</v>
      </c>
      <c r="D1478" s="9" t="str">
        <f>IFERROR(__xludf.DUMMYFUNCTION("GOOGLETRANSLATE($A1478,""en"",""fr"")"),"Le Seibo")</f>
        <v>Le Seibo</v>
      </c>
      <c r="E1478" s="9" t="str">
        <f>IFERROR(__xludf.DUMMYFUNCTION("GOOGLETRANSLATE($A1478,""en"",""es"")"),"El Seibo")</f>
        <v>El Seibo</v>
      </c>
      <c r="F1478" s="9" t="str">
        <f>IFERROR(__xludf.DUMMYFUNCTION("GOOGLETRANSLATE($A1478,""en"",""it"")"),"El Seibo")</f>
        <v>El Seibo</v>
      </c>
      <c r="G1478" s="9" t="str">
        <f>IFERROR(__xludf.DUMMYFUNCTION("GOOGLETRANSLATE($A1478,""en"",""zh-cn"")"),"埃尔塞博")</f>
        <v>埃尔塞博</v>
      </c>
      <c r="H1478" s="9" t="str">
        <f>IFERROR(__xludf.DUMMYFUNCTION("GOOGLETRANSLATE($A1478,""en"",""ja"")"),"エル・セイボ")</f>
        <v>エル・セイボ</v>
      </c>
      <c r="I1478" s="9" t="str">
        <f>IFERROR(__xludf.DUMMYFUNCTION("GOOGLETRANSLATE($A1478,""en"",""ko"")"),"엘 세이보")</f>
        <v>엘 세이보</v>
      </c>
      <c r="J1478" s="9" t="str">
        <f>IFERROR(__xludf.DUMMYFUNCTION("GOOGLETRANSLATE($A1478,""en"",""pt-BR"")"),"El Seibo")</f>
        <v>El Seibo</v>
      </c>
    </row>
    <row r="1479">
      <c r="A1479" s="9" t="str">
        <f>IFERROR(__xludf.DUMMYFUNCTION("""COMPUTED_VALUE"""),"Monte Cristi")</f>
        <v>Monte Cristi</v>
      </c>
      <c r="B1479" s="9" t="str">
        <f>IFERROR(__xludf.DUMMYFUNCTION("""COMPUTED_VALUE"""),"do-15")</f>
        <v>do-15</v>
      </c>
      <c r="C1479" s="9" t="str">
        <f>IFERROR(__xludf.DUMMYFUNCTION("GOOGLETRANSLATE($A1479,""en"",""de"")"),"Monte Cristi")</f>
        <v>Monte Cristi</v>
      </c>
      <c r="D1479" s="9" t="str">
        <f>IFERROR(__xludf.DUMMYFUNCTION("GOOGLETRANSLATE($A1479,""en"",""fr"")"),"Monte-Cristi")</f>
        <v>Monte-Cristi</v>
      </c>
      <c r="E1479" s="9" t="str">
        <f>IFERROR(__xludf.DUMMYFUNCTION("GOOGLETRANSLATE($A1479,""en"",""es"")"),"montecristi")</f>
        <v>montecristi</v>
      </c>
      <c r="F1479" s="9" t="str">
        <f>IFERROR(__xludf.DUMMYFUNCTION("GOOGLETRANSLATE($A1479,""en"",""it"")"),"Montecristi")</f>
        <v>Montecristi</v>
      </c>
      <c r="G1479" s="9" t="str">
        <f>IFERROR(__xludf.DUMMYFUNCTION("GOOGLETRANSLATE($A1479,""en"",""zh-cn"")"),"克里斯蒂山")</f>
        <v>克里斯蒂山</v>
      </c>
      <c r="H1479" s="9" t="str">
        <f>IFERROR(__xludf.DUMMYFUNCTION("GOOGLETRANSLATE($A1479,""en"",""ja"")"),"モンテクリスティ")</f>
        <v>モンテクリスティ</v>
      </c>
      <c r="I1479" s="9" t="str">
        <f>IFERROR(__xludf.DUMMYFUNCTION("GOOGLETRANSLATE($A1479,""en"",""ko"")"),"몬테 크리스티")</f>
        <v>몬테 크리스티</v>
      </c>
      <c r="J1479" s="9" t="str">
        <f>IFERROR(__xludf.DUMMYFUNCTION("GOOGLETRANSLATE($A1479,""en"",""pt-BR"")"),"Monte Cristi")</f>
        <v>Monte Cristi</v>
      </c>
    </row>
    <row r="1480">
      <c r="A1480" s="9" t="str">
        <f>IFERROR(__xludf.DUMMYFUNCTION("""COMPUTED_VALUE"""),"Monte Plata")</f>
        <v>Monte Plata</v>
      </c>
      <c r="B1480" s="9" t="str">
        <f>IFERROR(__xludf.DUMMYFUNCTION("""COMPUTED_VALUE"""),"do-29")</f>
        <v>do-29</v>
      </c>
      <c r="C1480" s="9" t="str">
        <f>IFERROR(__xludf.DUMMYFUNCTION("GOOGLETRANSLATE($A1480,""en"",""de"")"),"Monte Plata")</f>
        <v>Monte Plata</v>
      </c>
      <c r="D1480" s="9" t="str">
        <f>IFERROR(__xludf.DUMMYFUNCTION("GOOGLETRANSLATE($A1480,""en"",""fr"")"),"Mont Plata")</f>
        <v>Mont Plata</v>
      </c>
      <c r="E1480" s="9" t="str">
        <f>IFERROR(__xludf.DUMMYFUNCTION("GOOGLETRANSLATE($A1480,""en"",""es"")"),"monteplata")</f>
        <v>monteplata</v>
      </c>
      <c r="F1480" s="9" t="str">
        <f>IFERROR(__xludf.DUMMYFUNCTION("GOOGLETRANSLATE($A1480,""en"",""it"")"),"Monte Plata")</f>
        <v>Monte Plata</v>
      </c>
      <c r="G1480" s="9" t="str">
        <f>IFERROR(__xludf.DUMMYFUNCTION("GOOGLETRANSLATE($A1480,""en"",""zh-cn"")"),"普拉塔山")</f>
        <v>普拉塔山</v>
      </c>
      <c r="H1480" s="9" t="str">
        <f>IFERROR(__xludf.DUMMYFUNCTION("GOOGLETRANSLATE($A1480,""en"",""ja"")"),"モンテ プラタ")</f>
        <v>モンテ プラタ</v>
      </c>
      <c r="I1480" s="9" t="str">
        <f>IFERROR(__xludf.DUMMYFUNCTION("GOOGLETRANSLATE($A1480,""en"",""ko"")"),"몬테 플라타")</f>
        <v>몬테 플라타</v>
      </c>
      <c r="J1480" s="9" t="str">
        <f>IFERROR(__xludf.DUMMYFUNCTION("GOOGLETRANSLATE($A1480,""en"",""pt-BR"")"),"Monte Plata")</f>
        <v>Monte Plata</v>
      </c>
    </row>
    <row r="1481">
      <c r="A1481" s="9" t="str">
        <f>IFERROR(__xludf.DUMMYFUNCTION("""COMPUTED_VALUE"""),"La Vega")</f>
        <v>La Vega</v>
      </c>
      <c r="B1481" s="9" t="str">
        <f>IFERROR(__xludf.DUMMYFUNCTION("""COMPUTED_VALUE"""),"do-13")</f>
        <v>do-13</v>
      </c>
      <c r="C1481" s="9" t="str">
        <f>IFERROR(__xludf.DUMMYFUNCTION("GOOGLETRANSLATE($A1481,""en"",""de"")"),"La Vega")</f>
        <v>La Vega</v>
      </c>
      <c r="D1481" s="9" t="str">
        <f>IFERROR(__xludf.DUMMYFUNCTION("GOOGLETRANSLATE($A1481,""en"",""fr"")"),"La Véga")</f>
        <v>La Véga</v>
      </c>
      <c r="E1481" s="9" t="str">
        <f>IFERROR(__xludf.DUMMYFUNCTION("GOOGLETRANSLATE($A1481,""en"",""es"")"),"La Vega")</f>
        <v>La Vega</v>
      </c>
      <c r="F1481" s="9" t="str">
        <f>IFERROR(__xludf.DUMMYFUNCTION("GOOGLETRANSLATE($A1481,""en"",""it"")"),"La Vega")</f>
        <v>La Vega</v>
      </c>
      <c r="G1481" s="9" t="str">
        <f>IFERROR(__xludf.DUMMYFUNCTION("GOOGLETRANSLATE($A1481,""en"",""zh-cn"")"),"拉维加")</f>
        <v>拉维加</v>
      </c>
      <c r="H1481" s="9" t="str">
        <f>IFERROR(__xludf.DUMMYFUNCTION("GOOGLETRANSLATE($A1481,""en"",""ja"")"),"ラベガ")</f>
        <v>ラベガ</v>
      </c>
      <c r="I1481" s="9" t="str">
        <f>IFERROR(__xludf.DUMMYFUNCTION("GOOGLETRANSLATE($A1481,""en"",""ko"")"),"라베가")</f>
        <v>라베가</v>
      </c>
      <c r="J1481" s="9" t="str">
        <f>IFERROR(__xludf.DUMMYFUNCTION("GOOGLETRANSLATE($A1481,""en"",""pt-BR"")"),"La Vega")</f>
        <v>La Vega</v>
      </c>
    </row>
    <row r="1482">
      <c r="A1482" s="9" t="str">
        <f>IFERROR(__xludf.DUMMYFUNCTION("""COMPUTED_VALUE"""),"Hato Mayor")</f>
        <v>Hato Mayor</v>
      </c>
      <c r="B1482" s="9" t="str">
        <f>IFERROR(__xludf.DUMMYFUNCTION("""COMPUTED_VALUE"""),"do-30")</f>
        <v>do-30</v>
      </c>
      <c r="C1482" s="9" t="str">
        <f>IFERROR(__xludf.DUMMYFUNCTION("GOOGLETRANSLATE($A1482,""en"",""de"")"),"Hato-Bürgermeister")</f>
        <v>Hato-Bürgermeister</v>
      </c>
      <c r="D1482" s="9" t="str">
        <f>IFERROR(__xludf.DUMMYFUNCTION("GOOGLETRANSLATE($A1482,""en"",""fr"")"),"Maire de Hato")</f>
        <v>Maire de Hato</v>
      </c>
      <c r="E1482" s="9" t="str">
        <f>IFERROR(__xludf.DUMMYFUNCTION("GOOGLETRANSLATE($A1482,""en"",""es"")"),"Hato Mayor")</f>
        <v>Hato Mayor</v>
      </c>
      <c r="F1482" s="9" t="str">
        <f>IFERROR(__xludf.DUMMYFUNCTION("GOOGLETRANSLATE($A1482,""en"",""it"")"),"Sindaco Hato")</f>
        <v>Sindaco Hato</v>
      </c>
      <c r="G1482" s="9" t="str">
        <f>IFERROR(__xludf.DUMMYFUNCTION("GOOGLETRANSLATE($A1482,""en"",""zh-cn"")"),"鸠市长")</f>
        <v>鸠市长</v>
      </c>
      <c r="H1482" s="9" t="str">
        <f>IFERROR(__xludf.DUMMYFUNCTION("GOOGLETRANSLATE($A1482,""en"",""ja"")"),"羽藤市長")</f>
        <v>羽藤市長</v>
      </c>
      <c r="I1482" s="9" t="str">
        <f>IFERROR(__xludf.DUMMYFUNCTION("GOOGLETRANSLATE($A1482,""en"",""ko"")"),"하토 시장")</f>
        <v>하토 시장</v>
      </c>
      <c r="J1482" s="9" t="str">
        <f>IFERROR(__xludf.DUMMYFUNCTION("GOOGLETRANSLATE($A1482,""en"",""pt-BR"")"),"Prefeito Hato")</f>
        <v>Prefeito Hato</v>
      </c>
    </row>
    <row r="1483">
      <c r="A1483" s="9" t="str">
        <f>IFERROR(__xludf.DUMMYFUNCTION("""COMPUTED_VALUE"""),"Espaillat")</f>
        <v>Espaillat</v>
      </c>
      <c r="B1483" s="9" t="str">
        <f>IFERROR(__xludf.DUMMYFUNCTION("""COMPUTED_VALUE"""),"do-09")</f>
        <v>do-09</v>
      </c>
      <c r="C1483" s="9" t="str">
        <f>IFERROR(__xludf.DUMMYFUNCTION("GOOGLETRANSLATE($A1483,""en"",""de"")"),"Espaillat")</f>
        <v>Espaillat</v>
      </c>
      <c r="D1483" s="9" t="str">
        <f>IFERROR(__xludf.DUMMYFUNCTION("GOOGLETRANSLATE($A1483,""en"",""fr"")"),"Espaillat")</f>
        <v>Espaillat</v>
      </c>
      <c r="E1483" s="9" t="str">
        <f>IFERROR(__xludf.DUMMYFUNCTION("GOOGLETRANSLATE($A1483,""en"",""es"")"),"Espaillat")</f>
        <v>Espaillat</v>
      </c>
      <c r="F1483" s="9" t="str">
        <f>IFERROR(__xludf.DUMMYFUNCTION("GOOGLETRANSLATE($A1483,""en"",""it"")"),"Espaillat")</f>
        <v>Espaillat</v>
      </c>
      <c r="G1483" s="9" t="str">
        <f>IFERROR(__xludf.DUMMYFUNCTION("GOOGLETRANSLATE($A1483,""en"",""zh-cn"")"),"埃斯佩亚特")</f>
        <v>埃斯佩亚特</v>
      </c>
      <c r="H1483" s="9" t="str">
        <f>IFERROR(__xludf.DUMMYFUNCTION("GOOGLETRANSLATE($A1483,""en"",""ja"")"),"エスパイヤ")</f>
        <v>エスパイヤ</v>
      </c>
      <c r="I1483" s="9" t="str">
        <f>IFERROR(__xludf.DUMMYFUNCTION("GOOGLETRANSLATE($A1483,""en"",""ko"")"),"에스파이야")</f>
        <v>에스파이야</v>
      </c>
      <c r="J1483" s="9" t="str">
        <f>IFERROR(__xludf.DUMMYFUNCTION("GOOGLETRANSLATE($A1483,""en"",""pt-BR"")"),"Espanhol")</f>
        <v>Espanhol</v>
      </c>
    </row>
    <row r="1484">
      <c r="A1484" s="9" t="str">
        <f>IFERROR(__xludf.DUMMYFUNCTION("""COMPUTED_VALUE"""),"Duarte")</f>
        <v>Duarte</v>
      </c>
      <c r="B1484" s="9" t="str">
        <f>IFERROR(__xludf.DUMMYFUNCTION("""COMPUTED_VALUE"""),"do-06")</f>
        <v>do-06</v>
      </c>
      <c r="C1484" s="9" t="str">
        <f>IFERROR(__xludf.DUMMYFUNCTION("GOOGLETRANSLATE($A1484,""en"",""de"")"),"Duarte")</f>
        <v>Duarte</v>
      </c>
      <c r="D1484" s="9" t="str">
        <f>IFERROR(__xludf.DUMMYFUNCTION("GOOGLETRANSLATE($A1484,""en"",""fr"")"),"Duarte")</f>
        <v>Duarte</v>
      </c>
      <c r="E1484" s="9" t="str">
        <f>IFERROR(__xludf.DUMMYFUNCTION("GOOGLETRANSLATE($A1484,""en"",""es"")"),"duarte")</f>
        <v>duarte</v>
      </c>
      <c r="F1484" s="9" t="str">
        <f>IFERROR(__xludf.DUMMYFUNCTION("GOOGLETRANSLATE($A1484,""en"",""it"")"),"Duarte")</f>
        <v>Duarte</v>
      </c>
      <c r="G1484" s="9" t="str">
        <f>IFERROR(__xludf.DUMMYFUNCTION("GOOGLETRANSLATE($A1484,""en"",""zh-cn"")"),"杜阿尔特")</f>
        <v>杜阿尔特</v>
      </c>
      <c r="H1484" s="9" t="str">
        <f>IFERROR(__xludf.DUMMYFUNCTION("GOOGLETRANSLATE($A1484,""en"",""ja"")"),"ドゥアルテ")</f>
        <v>ドゥアルテ</v>
      </c>
      <c r="I1484" s="9" t="str">
        <f>IFERROR(__xludf.DUMMYFUNCTION("GOOGLETRANSLATE($A1484,""en"",""ko"")"),"두아르테")</f>
        <v>두아르테</v>
      </c>
      <c r="J1484" s="9" t="str">
        <f>IFERROR(__xludf.DUMMYFUNCTION("GOOGLETRANSLATE($A1484,""en"",""pt-BR"")"),"Duarte")</f>
        <v>Duarte</v>
      </c>
    </row>
    <row r="1485">
      <c r="A1485" s="9" t="str">
        <f>IFERROR(__xludf.DUMMYFUNCTION("""COMPUTED_VALUE"""),"Santo Domingo")</f>
        <v>Santo Domingo</v>
      </c>
      <c r="B1485" s="9" t="str">
        <f>IFERROR(__xludf.DUMMYFUNCTION("""COMPUTED_VALUE"""),"do-32")</f>
        <v>do-32</v>
      </c>
      <c r="C1485" s="9" t="str">
        <f>IFERROR(__xludf.DUMMYFUNCTION("GOOGLETRANSLATE($A1485,""en"",""de"")"),"Santo Domingo")</f>
        <v>Santo Domingo</v>
      </c>
      <c r="D1485" s="9" t="str">
        <f>IFERROR(__xludf.DUMMYFUNCTION("GOOGLETRANSLATE($A1485,""en"",""fr"")"),"Saint-Domingue")</f>
        <v>Saint-Domingue</v>
      </c>
      <c r="E1485" s="9" t="str">
        <f>IFERROR(__xludf.DUMMYFUNCTION("GOOGLETRANSLATE($A1485,""en"",""es"")"),"santo domingo")</f>
        <v>santo domingo</v>
      </c>
      <c r="F1485" s="9" t="str">
        <f>IFERROR(__xludf.DUMMYFUNCTION("GOOGLETRANSLATE($A1485,""en"",""it"")"),"Santo Domingo")</f>
        <v>Santo Domingo</v>
      </c>
      <c r="G1485" s="9" t="str">
        <f>IFERROR(__xludf.DUMMYFUNCTION("GOOGLETRANSLATE($A1485,""en"",""zh-cn"")"),"圣多明各")</f>
        <v>圣多明各</v>
      </c>
      <c r="H1485" s="9" t="str">
        <f>IFERROR(__xludf.DUMMYFUNCTION("GOOGLETRANSLATE($A1485,""en"",""ja"")"),"サントドミンゴ")</f>
        <v>サントドミンゴ</v>
      </c>
      <c r="I1485" s="9" t="str">
        <f>IFERROR(__xludf.DUMMYFUNCTION("GOOGLETRANSLATE($A1485,""en"",""ko"")"),"산토도밍고")</f>
        <v>산토도밍고</v>
      </c>
      <c r="J1485" s="9" t="str">
        <f>IFERROR(__xludf.DUMMYFUNCTION("GOOGLETRANSLATE($A1485,""en"",""pt-BR"")"),"Santo Domingo")</f>
        <v>Santo Domingo</v>
      </c>
    </row>
    <row r="1486">
      <c r="A1486" s="9" t="str">
        <f>IFERROR(__xludf.DUMMYFUNCTION("""COMPUTED_VALUE"""),"Hermanas Mirabal")</f>
        <v>Hermanas Mirabal</v>
      </c>
      <c r="B1486" s="9" t="str">
        <f>IFERROR(__xludf.DUMMYFUNCTION("""COMPUTED_VALUE"""),"do-19")</f>
        <v>do-19</v>
      </c>
      <c r="C1486" s="9" t="str">
        <f>IFERROR(__xludf.DUMMYFUNCTION("GOOGLETRANSLATE($A1486,""en"",""de"")"),"Hermanas Mirabal")</f>
        <v>Hermanas Mirabal</v>
      </c>
      <c r="D1486" s="9" t="str">
        <f>IFERROR(__xludf.DUMMYFUNCTION("GOOGLETRANSLATE($A1486,""en"",""fr"")"),"Hermanas Mirabal")</f>
        <v>Hermanas Mirabal</v>
      </c>
      <c r="E1486" s="9" t="str">
        <f>IFERROR(__xludf.DUMMYFUNCTION("GOOGLETRANSLATE($A1486,""en"",""es"")"),"Hermanas Mirabal")</f>
        <v>Hermanas Mirabal</v>
      </c>
      <c r="F1486" s="9" t="str">
        <f>IFERROR(__xludf.DUMMYFUNCTION("GOOGLETRANSLATE($A1486,""en"",""it"")"),"Hermanas Mirabal")</f>
        <v>Hermanas Mirabal</v>
      </c>
      <c r="G1486" s="9" t="str">
        <f>IFERROR(__xludf.DUMMYFUNCTION("GOOGLETRANSLATE($A1486,""en"",""zh-cn"")"),"赫马纳斯·米拉巴尔")</f>
        <v>赫马纳斯·米拉巴尔</v>
      </c>
      <c r="H1486" s="9" t="str">
        <f>IFERROR(__xludf.DUMMYFUNCTION("GOOGLETRANSLATE($A1486,""en"",""ja"")"),"ヘルマナス・ミラバル")</f>
        <v>ヘルマナス・ミラバル</v>
      </c>
      <c r="I1486" s="9" t="str">
        <f>IFERROR(__xludf.DUMMYFUNCTION("GOOGLETRANSLATE($A1486,""en"",""ko"")"),"에르마나스 미라발")</f>
        <v>에르마나스 미라발</v>
      </c>
      <c r="J1486" s="9" t="str">
        <f>IFERROR(__xludf.DUMMYFUNCTION("GOOGLETRANSLATE($A1486,""en"",""pt-BR"")"),"Hermanas Mirabal")</f>
        <v>Hermanas Mirabal</v>
      </c>
    </row>
    <row r="1487">
      <c r="A1487" s="9" t="str">
        <f>IFERROR(__xludf.DUMMYFUNCTION("""COMPUTED_VALUE"""),"San Cristóbal")</f>
        <v>San Cristóbal</v>
      </c>
      <c r="B1487" s="9" t="str">
        <f>IFERROR(__xludf.DUMMYFUNCTION("""COMPUTED_VALUE"""),"do-21")</f>
        <v>do-21</v>
      </c>
      <c r="C1487" s="9" t="str">
        <f>IFERROR(__xludf.DUMMYFUNCTION("GOOGLETRANSLATE($A1487,""en"",""de"")"),"San Cristóbal")</f>
        <v>San Cristóbal</v>
      </c>
      <c r="D1487" s="9" t="str">
        <f>IFERROR(__xludf.DUMMYFUNCTION("GOOGLETRANSLATE($A1487,""en"",""fr"")"),"San Cristóbal")</f>
        <v>San Cristóbal</v>
      </c>
      <c r="E1487" s="9" t="str">
        <f>IFERROR(__xludf.DUMMYFUNCTION("GOOGLETRANSLATE($A1487,""en"",""es"")"),"San Cristóbal")</f>
        <v>San Cristóbal</v>
      </c>
      <c r="F1487" s="9" t="str">
        <f>IFERROR(__xludf.DUMMYFUNCTION("GOOGLETRANSLATE($A1487,""en"",""it"")"),"San Cristobal")</f>
        <v>San Cristobal</v>
      </c>
      <c r="G1487" s="9" t="str">
        <f>IFERROR(__xludf.DUMMYFUNCTION("GOOGLETRANSLATE($A1487,""en"",""zh-cn"")"),"圣克里斯托瓦尔")</f>
        <v>圣克里斯托瓦尔</v>
      </c>
      <c r="H1487" s="9" t="str">
        <f>IFERROR(__xludf.DUMMYFUNCTION("GOOGLETRANSLATE($A1487,""en"",""ja"")"),"サンクリストバル島")</f>
        <v>サンクリストバル島</v>
      </c>
      <c r="I1487" s="9" t="str">
        <f>IFERROR(__xludf.DUMMYFUNCTION("GOOGLETRANSLATE($A1487,""en"",""ko"")"),"산 크리스토발")</f>
        <v>산 크리스토발</v>
      </c>
      <c r="J1487" s="9" t="str">
        <f>IFERROR(__xludf.DUMMYFUNCTION("GOOGLETRANSLATE($A1487,""en"",""pt-BR"")"),"São Cristóvão")</f>
        <v>São Cristóvão</v>
      </c>
    </row>
    <row r="1488">
      <c r="A1488" s="9" t="str">
        <f>IFERROR(__xludf.DUMMYFUNCTION("""COMPUTED_VALUE"""),"Puerto Plata")</f>
        <v>Puerto Plata</v>
      </c>
      <c r="B1488" s="9" t="str">
        <f>IFERROR(__xludf.DUMMYFUNCTION("""COMPUTED_VALUE"""),"do-18")</f>
        <v>do-18</v>
      </c>
      <c r="C1488" s="9" t="str">
        <f>IFERROR(__xludf.DUMMYFUNCTION("GOOGLETRANSLATE($A1488,""en"",""de"")"),"Puerto Plata")</f>
        <v>Puerto Plata</v>
      </c>
      <c r="D1488" s="9" t="str">
        <f>IFERROR(__xludf.DUMMYFUNCTION("GOOGLETRANSLATE($A1488,""en"",""fr"")"),"Puerto Plata")</f>
        <v>Puerto Plata</v>
      </c>
      <c r="E1488" s="9" t="str">
        <f>IFERROR(__xludf.DUMMYFUNCTION("GOOGLETRANSLATE($A1488,""en"",""es"")"),"Puerto Plata")</f>
        <v>Puerto Plata</v>
      </c>
      <c r="F1488" s="9" t="str">
        <f>IFERROR(__xludf.DUMMYFUNCTION("GOOGLETRANSLATE($A1488,""en"",""it"")"),"Porto Plata")</f>
        <v>Porto Plata</v>
      </c>
      <c r="G1488" s="9" t="str">
        <f>IFERROR(__xludf.DUMMYFUNCTION("GOOGLETRANSLATE($A1488,""en"",""zh-cn"")"),"普拉塔港")</f>
        <v>普拉塔港</v>
      </c>
      <c r="H1488" s="9" t="str">
        <f>IFERROR(__xludf.DUMMYFUNCTION("GOOGLETRANSLATE($A1488,""en"",""ja"")"),"プエルト プラタ")</f>
        <v>プエルト プラタ</v>
      </c>
      <c r="I1488" s="9" t="str">
        <f>IFERROR(__xludf.DUMMYFUNCTION("GOOGLETRANSLATE($A1488,""en"",""ko"")"),"푸에르토 플라타")</f>
        <v>푸에르토 플라타</v>
      </c>
      <c r="J1488" s="9" t="str">
        <f>IFERROR(__xludf.DUMMYFUNCTION("GOOGLETRANSLATE($A1488,""en"",""pt-BR"")"),"Porto Plata")</f>
        <v>Porto Plata</v>
      </c>
    </row>
    <row r="1489">
      <c r="A1489" s="9" t="str">
        <f>IFERROR(__xludf.DUMMYFUNCTION("""COMPUTED_VALUE"""),"San Juan (DO)")</f>
        <v>San Juan (DO)</v>
      </c>
      <c r="B1489" s="9" t="str">
        <f>IFERROR(__xludf.DUMMYFUNCTION("""COMPUTED_VALUE"""),"do-22")</f>
        <v>do-22</v>
      </c>
      <c r="C1489" s="9" t="str">
        <f>IFERROR(__xludf.DUMMYFUNCTION("GOOGLETRANSLATE($A1489,""en"",""de"")"),"San Juan (DO)")</f>
        <v>San Juan (DO)</v>
      </c>
      <c r="D1489" s="9" t="str">
        <f>IFERROR(__xludf.DUMMYFUNCTION("GOOGLETRANSLATE($A1489,""en"",""fr"")"),"San Juan (DO)")</f>
        <v>San Juan (DO)</v>
      </c>
      <c r="E1489" s="9" t="str">
        <f>IFERROR(__xludf.DUMMYFUNCTION("GOOGLETRANSLATE($A1489,""en"",""es"")"),"San Juan (DO)")</f>
        <v>San Juan (DO)</v>
      </c>
      <c r="F1489" s="9" t="str">
        <f>IFERROR(__xludf.DUMMYFUNCTION("GOOGLETRANSLATE($A1489,""en"",""it"")"),"San Juan (DO)")</f>
        <v>San Juan (DO)</v>
      </c>
      <c r="G1489" s="9" t="str">
        <f>IFERROR(__xludf.DUMMYFUNCTION("GOOGLETRANSLATE($A1489,""en"",""zh-cn"")"),"圣胡安 (DO)")</f>
        <v>圣胡安 (DO)</v>
      </c>
      <c r="H1489" s="9" t="str">
        <f>IFERROR(__xludf.DUMMYFUNCTION("GOOGLETRANSLATE($A1489,""en"",""ja"")"),"サンファン（DO）")</f>
        <v>サンファン（DO）</v>
      </c>
      <c r="I1489" s="9" t="str">
        <f>IFERROR(__xludf.DUMMYFUNCTION("GOOGLETRANSLATE($A1489,""en"",""ko"")"),"산후안(DO)")</f>
        <v>산후안(DO)</v>
      </c>
      <c r="J1489" s="9" t="str">
        <f>IFERROR(__xludf.DUMMYFUNCTION("GOOGLETRANSLATE($A1489,""en"",""pt-BR"")"),"São João (DO)")</f>
        <v>São João (DO)</v>
      </c>
    </row>
    <row r="1490">
      <c r="A1490" s="9" t="str">
        <f>IFERROR(__xludf.DUMMYFUNCTION("""COMPUTED_VALUE"""),"Santiago Rodríguez")</f>
        <v>Santiago Rodríguez</v>
      </c>
      <c r="B1490" s="9" t="str">
        <f>IFERROR(__xludf.DUMMYFUNCTION("""COMPUTED_VALUE"""),"do-26")</f>
        <v>do-26</v>
      </c>
      <c r="C1490" s="9" t="str">
        <f>IFERROR(__xludf.DUMMYFUNCTION("GOOGLETRANSLATE($A1490,""en"",""de"")"),"Santiago Rodríguez")</f>
        <v>Santiago Rodríguez</v>
      </c>
      <c r="D1490" s="9" t="str">
        <f>IFERROR(__xludf.DUMMYFUNCTION("GOOGLETRANSLATE($A1490,""en"",""fr"")"),"Santiago Rodríguez")</f>
        <v>Santiago Rodríguez</v>
      </c>
      <c r="E1490" s="9" t="str">
        <f>IFERROR(__xludf.DUMMYFUNCTION("GOOGLETRANSLATE($A1490,""en"",""es"")"),"Santiago Rodríguez")</f>
        <v>Santiago Rodríguez</v>
      </c>
      <c r="F1490" s="9" t="str">
        <f>IFERROR(__xludf.DUMMYFUNCTION("GOOGLETRANSLATE($A1490,""en"",""it"")"),"Santiago Rodriguez")</f>
        <v>Santiago Rodriguez</v>
      </c>
      <c r="G1490" s="9" t="str">
        <f>IFERROR(__xludf.DUMMYFUNCTION("GOOGLETRANSLATE($A1490,""en"",""zh-cn"")"),"圣地亚哥·罗德里格斯")</f>
        <v>圣地亚哥·罗德里格斯</v>
      </c>
      <c r="H1490" s="9" t="str">
        <f>IFERROR(__xludf.DUMMYFUNCTION("GOOGLETRANSLATE($A1490,""en"",""ja"")"),"サンティアゴ・ロドリゲス")</f>
        <v>サンティアゴ・ロドリゲス</v>
      </c>
      <c r="I1490" s="9" t="str">
        <f>IFERROR(__xludf.DUMMYFUNCTION("GOOGLETRANSLATE($A1490,""en"",""ko"")"),"산티아고 로드리게스")</f>
        <v>산티아고 로드리게스</v>
      </c>
      <c r="J1490" s="9" t="str">
        <f>IFERROR(__xludf.DUMMYFUNCTION("GOOGLETRANSLATE($A1490,""en"",""pt-BR"")"),"Santiago Rodríguez")</f>
        <v>Santiago Rodríguez</v>
      </c>
    </row>
    <row r="1491">
      <c r="A1491" s="9" t="str">
        <f>IFERROR(__xludf.DUMMYFUNCTION("""COMPUTED_VALUE"""),"Independencia")</f>
        <v>Independencia</v>
      </c>
      <c r="B1491" s="9" t="str">
        <f>IFERROR(__xludf.DUMMYFUNCTION("""COMPUTED_VALUE"""),"do-10")</f>
        <v>do-10</v>
      </c>
      <c r="C1491" s="9" t="str">
        <f>IFERROR(__xludf.DUMMYFUNCTION("GOOGLETRANSLATE($A1491,""en"",""de"")"),"Unabhängigkeit")</f>
        <v>Unabhängigkeit</v>
      </c>
      <c r="D1491" s="9" t="str">
        <f>IFERROR(__xludf.DUMMYFUNCTION("GOOGLETRANSLATE($A1491,""en"",""fr"")"),"Indépendance")</f>
        <v>Indépendance</v>
      </c>
      <c r="E1491" s="9" t="str">
        <f>IFERROR(__xludf.DUMMYFUNCTION("GOOGLETRANSLATE($A1491,""en"",""es"")"),"Independencia")</f>
        <v>Independencia</v>
      </c>
      <c r="F1491" s="9" t="str">
        <f>IFERROR(__xludf.DUMMYFUNCTION("GOOGLETRANSLATE($A1491,""en"",""it"")"),"Indipendenza")</f>
        <v>Indipendenza</v>
      </c>
      <c r="G1491" s="9" t="str">
        <f>IFERROR(__xludf.DUMMYFUNCTION("GOOGLETRANSLATE($A1491,""en"",""zh-cn"")"),"独立")</f>
        <v>独立</v>
      </c>
      <c r="H1491" s="9" t="str">
        <f>IFERROR(__xludf.DUMMYFUNCTION("GOOGLETRANSLATE($A1491,""en"",""ja"")"),"インデペンデンシア")</f>
        <v>インデペンデンシア</v>
      </c>
      <c r="I1491" s="9" t="str">
        <f>IFERROR(__xludf.DUMMYFUNCTION("GOOGLETRANSLATE($A1491,""en"",""ko"")"),"인디펜덴시아")</f>
        <v>인디펜덴시아</v>
      </c>
      <c r="J1491" s="9" t="str">
        <f>IFERROR(__xludf.DUMMYFUNCTION("GOOGLETRANSLATE($A1491,""en"",""pt-BR"")"),"Independência")</f>
        <v>Independência</v>
      </c>
    </row>
    <row r="1492">
      <c r="A1492" s="9" t="str">
        <f>IFERROR(__xludf.DUMMYFUNCTION("""COMPUTED_VALUE"""),"Distrito Nacional (Santo Domingo)")</f>
        <v>Distrito Nacional (Santo Domingo)</v>
      </c>
      <c r="B1492" s="9" t="str">
        <f>IFERROR(__xludf.DUMMYFUNCTION("""COMPUTED_VALUE"""),"do-01")</f>
        <v>do-01</v>
      </c>
      <c r="C1492" s="9" t="str">
        <f>IFERROR(__xludf.DUMMYFUNCTION("GOOGLETRANSLATE($A1492,""en"",""de"")"),"Distrito Nacional (Santo Domingo)")</f>
        <v>Distrito Nacional (Santo Domingo)</v>
      </c>
      <c r="D1492" s="9" t="str">
        <f>IFERROR(__xludf.DUMMYFUNCTION("GOOGLETRANSLATE($A1492,""en"",""fr"")"),"District National (Saint-Domingue)")</f>
        <v>District National (Saint-Domingue)</v>
      </c>
      <c r="E1492" s="9" t="str">
        <f>IFERROR(__xludf.DUMMYFUNCTION("GOOGLETRANSLATE($A1492,""en"",""es"")"),"Distrito Nacional (Santo Domingo)")</f>
        <v>Distrito Nacional (Santo Domingo)</v>
      </c>
      <c r="F1492" s="9" t="str">
        <f>IFERROR(__xludf.DUMMYFUNCTION("GOOGLETRANSLATE($A1492,""en"",""it"")"),"Distretto Nazionale (Santo Domingo)")</f>
        <v>Distretto Nazionale (Santo Domingo)</v>
      </c>
      <c r="G1492" s="9" t="str">
        <f>IFERROR(__xludf.DUMMYFUNCTION("GOOGLETRANSLATE($A1492,""en"",""zh-cn"")"),"国家区（圣多明各）")</f>
        <v>国家区（圣多明各）</v>
      </c>
      <c r="H1492" s="9" t="str">
        <f>IFERROR(__xludf.DUMMYFUNCTION("GOOGLETRANSLATE($A1492,""en"",""ja"")"),"ナシオナル地区 (サント ドミンゴ)")</f>
        <v>ナシオナル地区 (サント ドミンゴ)</v>
      </c>
      <c r="I1492" s="9" t="str">
        <f>IFERROR(__xludf.DUMMYFUNCTION("GOOGLETRANSLATE($A1492,""en"",""ko"")"),"나시오날 지구(산토도밍고)")</f>
        <v>나시오날 지구(산토도밍고)</v>
      </c>
      <c r="J1492" s="9" t="str">
        <f>IFERROR(__xludf.DUMMYFUNCTION("GOOGLETRANSLATE($A1492,""en"",""pt-BR"")"),"Distrito Nacional (Santo Domingo)")</f>
        <v>Distrito Nacional (Santo Domingo)</v>
      </c>
    </row>
    <row r="1493">
      <c r="A1493" s="9" t="str">
        <f>IFERROR(__xludf.DUMMYFUNCTION("""COMPUTED_VALUE"""),"Azuay")</f>
        <v>Azuay</v>
      </c>
      <c r="B1493" s="9" t="str">
        <f>IFERROR(__xludf.DUMMYFUNCTION("""COMPUTED_VALUE"""),"ec-a")</f>
        <v>ec-a</v>
      </c>
      <c r="C1493" s="9" t="str">
        <f>IFERROR(__xludf.DUMMYFUNCTION("GOOGLETRANSLATE($A1493,""en"",""de"")"),"Azuay")</f>
        <v>Azuay</v>
      </c>
      <c r="D1493" s="9" t="str">
        <f>IFERROR(__xludf.DUMMYFUNCTION("GOOGLETRANSLATE($A1493,""en"",""fr"")"),"Azuay")</f>
        <v>Azuay</v>
      </c>
      <c r="E1493" s="9" t="str">
        <f>IFERROR(__xludf.DUMMYFUNCTION("GOOGLETRANSLATE($A1493,""en"",""es"")"),"Azuay")</f>
        <v>Azuay</v>
      </c>
      <c r="F1493" s="9" t="str">
        <f>IFERROR(__xludf.DUMMYFUNCTION("GOOGLETRANSLATE($A1493,""en"",""it"")"),"Azuay")</f>
        <v>Azuay</v>
      </c>
      <c r="G1493" s="9" t="str">
        <f>IFERROR(__xludf.DUMMYFUNCTION("GOOGLETRANSLATE($A1493,""en"",""zh-cn"")"),"阿苏艾")</f>
        <v>阿苏艾</v>
      </c>
      <c r="H1493" s="9" t="str">
        <f>IFERROR(__xludf.DUMMYFUNCTION("GOOGLETRANSLATE($A1493,""en"",""ja"")"),"アズアイ")</f>
        <v>アズアイ</v>
      </c>
      <c r="I1493" s="9" t="str">
        <f>IFERROR(__xludf.DUMMYFUNCTION("GOOGLETRANSLATE($A1493,""en"",""ko"")"),"아주아이")</f>
        <v>아주아이</v>
      </c>
      <c r="J1493" s="9" t="str">
        <f>IFERROR(__xludf.DUMMYFUNCTION("GOOGLETRANSLATE($A1493,""en"",""pt-BR"")"),"Azuay")</f>
        <v>Azuay</v>
      </c>
    </row>
    <row r="1494">
      <c r="A1494" s="9" t="str">
        <f>IFERROR(__xludf.DUMMYFUNCTION("""COMPUTED_VALUE"""),"El Oro")</f>
        <v>El Oro</v>
      </c>
      <c r="B1494" s="9" t="str">
        <f>IFERROR(__xludf.DUMMYFUNCTION("""COMPUTED_VALUE"""),"ec-o")</f>
        <v>ec-o</v>
      </c>
      <c r="C1494" s="9" t="str">
        <f>IFERROR(__xludf.DUMMYFUNCTION("GOOGLETRANSLATE($A1494,""en"",""de"")"),"El Oro")</f>
        <v>El Oro</v>
      </c>
      <c r="D1494" s="9" t="str">
        <f>IFERROR(__xludf.DUMMYFUNCTION("GOOGLETRANSLATE($A1494,""en"",""fr"")"),"El Oro")</f>
        <v>El Oro</v>
      </c>
      <c r="E1494" s="9" t="str">
        <f>IFERROR(__xludf.DUMMYFUNCTION("GOOGLETRANSLATE($A1494,""en"",""es"")"),"El Oro")</f>
        <v>El Oro</v>
      </c>
      <c r="F1494" s="9" t="str">
        <f>IFERROR(__xludf.DUMMYFUNCTION("GOOGLETRANSLATE($A1494,""en"",""it"")"),"L'Oro")</f>
        <v>L'Oro</v>
      </c>
      <c r="G1494" s="9" t="str">
        <f>IFERROR(__xludf.DUMMYFUNCTION("GOOGLETRANSLATE($A1494,""en"",""zh-cn"")"),"埃尔奥罗")</f>
        <v>埃尔奥罗</v>
      </c>
      <c r="H1494" s="9" t="str">
        <f>IFERROR(__xludf.DUMMYFUNCTION("GOOGLETRANSLATE($A1494,""en"",""ja"")"),"エルオロ")</f>
        <v>エルオロ</v>
      </c>
      <c r="I1494" s="9" t="str">
        <f>IFERROR(__xludf.DUMMYFUNCTION("GOOGLETRANSLATE($A1494,""en"",""ko"")"),"엘오로")</f>
        <v>엘오로</v>
      </c>
      <c r="J1494" s="9" t="str">
        <f>IFERROR(__xludf.DUMMYFUNCTION("GOOGLETRANSLATE($A1494,""en"",""pt-BR"")"),"El Ouro")</f>
        <v>El Ouro</v>
      </c>
    </row>
    <row r="1495">
      <c r="A1495" s="9" t="str">
        <f>IFERROR(__xludf.DUMMYFUNCTION("""COMPUTED_VALUE"""),"Carchi")</f>
        <v>Carchi</v>
      </c>
      <c r="B1495" s="9" t="str">
        <f>IFERROR(__xludf.DUMMYFUNCTION("""COMPUTED_VALUE"""),"ec-c")</f>
        <v>ec-c</v>
      </c>
      <c r="C1495" s="9" t="str">
        <f>IFERROR(__xludf.DUMMYFUNCTION("GOOGLETRANSLATE($A1495,""en"",""de"")"),"Carchi")</f>
        <v>Carchi</v>
      </c>
      <c r="D1495" s="9" t="str">
        <f>IFERROR(__xludf.DUMMYFUNCTION("GOOGLETRANSLATE($A1495,""en"",""fr"")"),"Carchi")</f>
        <v>Carchi</v>
      </c>
      <c r="E1495" s="9" t="str">
        <f>IFERROR(__xludf.DUMMYFUNCTION("GOOGLETRANSLATE($A1495,""en"",""es"")"),"Carchi")</f>
        <v>Carchi</v>
      </c>
      <c r="F1495" s="9" t="str">
        <f>IFERROR(__xludf.DUMMYFUNCTION("GOOGLETRANSLATE($A1495,""en"",""it"")"),"Carchi")</f>
        <v>Carchi</v>
      </c>
      <c r="G1495" s="9" t="str">
        <f>IFERROR(__xludf.DUMMYFUNCTION("GOOGLETRANSLATE($A1495,""en"",""zh-cn"")"),"卡奇")</f>
        <v>卡奇</v>
      </c>
      <c r="H1495" s="9" t="str">
        <f>IFERROR(__xludf.DUMMYFUNCTION("GOOGLETRANSLATE($A1495,""en"",""ja"")"),"カルチ")</f>
        <v>カルチ</v>
      </c>
      <c r="I1495" s="9" t="str">
        <f>IFERROR(__xludf.DUMMYFUNCTION("GOOGLETRANSLATE($A1495,""en"",""ko"")"),"카르치")</f>
        <v>카르치</v>
      </c>
      <c r="J1495" s="9" t="str">
        <f>IFERROR(__xludf.DUMMYFUNCTION("GOOGLETRANSLATE($A1495,""en"",""pt-BR"")"),"Carchi")</f>
        <v>Carchi</v>
      </c>
    </row>
    <row r="1496">
      <c r="A1496" s="9" t="str">
        <f>IFERROR(__xludf.DUMMYFUNCTION("""COMPUTED_VALUE"""),"Imbabura")</f>
        <v>Imbabura</v>
      </c>
      <c r="B1496" s="9" t="str">
        <f>IFERROR(__xludf.DUMMYFUNCTION("""COMPUTED_VALUE"""),"ec-i")</f>
        <v>ec-i</v>
      </c>
      <c r="C1496" s="9" t="str">
        <f>IFERROR(__xludf.DUMMYFUNCTION("GOOGLETRANSLATE($A1496,""en"",""de"")"),"Imbabura")</f>
        <v>Imbabura</v>
      </c>
      <c r="D1496" s="9" t="str">
        <f>IFERROR(__xludf.DUMMYFUNCTION("GOOGLETRANSLATE($A1496,""en"",""fr"")"),"Imbabura")</f>
        <v>Imbabura</v>
      </c>
      <c r="E1496" s="9" t="str">
        <f>IFERROR(__xludf.DUMMYFUNCTION("GOOGLETRANSLATE($A1496,""en"",""es"")"),"Imbabura")</f>
        <v>Imbabura</v>
      </c>
      <c r="F1496" s="9" t="str">
        <f>IFERROR(__xludf.DUMMYFUNCTION("GOOGLETRANSLATE($A1496,""en"",""it"")"),"Imbabura")</f>
        <v>Imbabura</v>
      </c>
      <c r="G1496" s="9" t="str">
        <f>IFERROR(__xludf.DUMMYFUNCTION("GOOGLETRANSLATE($A1496,""en"",""zh-cn"")"),"因巴布拉")</f>
        <v>因巴布拉</v>
      </c>
      <c r="H1496" s="9" t="str">
        <f>IFERROR(__xludf.DUMMYFUNCTION("GOOGLETRANSLATE($A1496,""en"",""ja"")"),"インバブラ")</f>
        <v>インバブラ</v>
      </c>
      <c r="I1496" s="9" t="str">
        <f>IFERROR(__xludf.DUMMYFUNCTION("GOOGLETRANSLATE($A1496,""en"",""ko"")"),"임바부라")</f>
        <v>임바부라</v>
      </c>
      <c r="J1496" s="9" t="str">
        <f>IFERROR(__xludf.DUMMYFUNCTION("GOOGLETRANSLATE($A1496,""en"",""pt-BR"")"),"Imbabura")</f>
        <v>Imbabura</v>
      </c>
    </row>
    <row r="1497">
      <c r="A1497" s="9" t="str">
        <f>IFERROR(__xludf.DUMMYFUNCTION("""COMPUTED_VALUE"""),"Sucumbíos")</f>
        <v>Sucumbíos</v>
      </c>
      <c r="B1497" s="9" t="str">
        <f>IFERROR(__xludf.DUMMYFUNCTION("""COMPUTED_VALUE"""),"ec-u")</f>
        <v>ec-u</v>
      </c>
      <c r="C1497" s="9" t="str">
        <f>IFERROR(__xludf.DUMMYFUNCTION("GOOGLETRANSLATE($A1497,""en"",""de"")"),"Sucumbíos")</f>
        <v>Sucumbíos</v>
      </c>
      <c r="D1497" s="9" t="str">
        <f>IFERROR(__xludf.DUMMYFUNCTION("GOOGLETRANSLATE($A1497,""en"",""fr"")"),"Sucumbios")</f>
        <v>Sucumbios</v>
      </c>
      <c r="E1497" s="9" t="str">
        <f>IFERROR(__xludf.DUMMYFUNCTION("GOOGLETRANSLATE($A1497,""en"",""es"")"),"Sucumbíos")</f>
        <v>Sucumbíos</v>
      </c>
      <c r="F1497" s="9" t="str">
        <f>IFERROR(__xludf.DUMMYFUNCTION("GOOGLETRANSLATE($A1497,""en"",""it"")"),"Sucumbios")</f>
        <v>Sucumbios</v>
      </c>
      <c r="G1497" s="9" t="str">
        <f>IFERROR(__xludf.DUMMYFUNCTION("GOOGLETRANSLATE($A1497,""en"",""zh-cn"")"),"苏昆比奥斯")</f>
        <v>苏昆比奥斯</v>
      </c>
      <c r="H1497" s="9" t="str">
        <f>IFERROR(__xludf.DUMMYFUNCTION("GOOGLETRANSLATE($A1497,""en"",""ja"")"),"スクンビオス")</f>
        <v>スクンビオス</v>
      </c>
      <c r="I1497" s="9" t="str">
        <f>IFERROR(__xludf.DUMMYFUNCTION("GOOGLETRANSLATE($A1497,""en"",""ko"")"),"수쿰비오스")</f>
        <v>수쿰비오스</v>
      </c>
      <c r="J1497" s="9" t="str">
        <f>IFERROR(__xludf.DUMMYFUNCTION("GOOGLETRANSLATE($A1497,""en"",""pt-BR"")"),"Sucumbíos")</f>
        <v>Sucumbíos</v>
      </c>
    </row>
    <row r="1498">
      <c r="A1498" s="9" t="str">
        <f>IFERROR(__xludf.DUMMYFUNCTION("""COMPUTED_VALUE"""),"Morona-Santiago")</f>
        <v>Morona-Santiago</v>
      </c>
      <c r="B1498" s="9" t="str">
        <f>IFERROR(__xludf.DUMMYFUNCTION("""COMPUTED_VALUE"""),"ec-s")</f>
        <v>ec-s</v>
      </c>
      <c r="C1498" s="9" t="str">
        <f>IFERROR(__xludf.DUMMYFUNCTION("GOOGLETRANSLATE($A1498,""en"",""de"")"),"Morona-Santiago")</f>
        <v>Morona-Santiago</v>
      </c>
      <c r="D1498" s="9" t="str">
        <f>IFERROR(__xludf.DUMMYFUNCTION("GOOGLETRANSLATE($A1498,""en"",""fr"")"),"Morona-Santiago")</f>
        <v>Morona-Santiago</v>
      </c>
      <c r="E1498" s="9" t="str">
        <f>IFERROR(__xludf.DUMMYFUNCTION("GOOGLETRANSLATE($A1498,""en"",""es"")"),"Morona Santiago")</f>
        <v>Morona Santiago</v>
      </c>
      <c r="F1498" s="9" t="str">
        <f>IFERROR(__xludf.DUMMYFUNCTION("GOOGLETRANSLATE($A1498,""en"",""it"")"),"Morona-Santiago")</f>
        <v>Morona-Santiago</v>
      </c>
      <c r="G1498" s="9" t="str">
        <f>IFERROR(__xludf.DUMMYFUNCTION("GOOGLETRANSLATE($A1498,""en"",""zh-cn"")"),"莫罗纳-圣地亚哥")</f>
        <v>莫罗纳-圣地亚哥</v>
      </c>
      <c r="H1498" s="9" t="str">
        <f>IFERROR(__xludf.DUMMYFUNCTION("GOOGLETRANSLATE($A1498,""en"",""ja"")"),"モロナ-サンティアゴ")</f>
        <v>モロナ-サンティアゴ</v>
      </c>
      <c r="I1498" s="9" t="str">
        <f>IFERROR(__xludf.DUMMYFUNCTION("GOOGLETRANSLATE($A1498,""en"",""ko"")"),"모로나-산티아고")</f>
        <v>모로나-산티아고</v>
      </c>
      <c r="J1498" s="9" t="str">
        <f>IFERROR(__xludf.DUMMYFUNCTION("GOOGLETRANSLATE($A1498,""en"",""pt-BR"")"),"Morona-Santiago")</f>
        <v>Morona-Santiago</v>
      </c>
    </row>
    <row r="1499">
      <c r="A1499" s="9" t="str">
        <f>IFERROR(__xludf.DUMMYFUNCTION("""COMPUTED_VALUE"""),"Galápagos")</f>
        <v>Galápagos</v>
      </c>
      <c r="B1499" s="9" t="str">
        <f>IFERROR(__xludf.DUMMYFUNCTION("""COMPUTED_VALUE"""),"ec-w")</f>
        <v>ec-w</v>
      </c>
      <c r="C1499" s="9" t="str">
        <f>IFERROR(__xludf.DUMMYFUNCTION("GOOGLETRANSLATE($A1499,""en"",""de"")"),"Galapagos")</f>
        <v>Galapagos</v>
      </c>
      <c r="D1499" s="9" t="str">
        <f>IFERROR(__xludf.DUMMYFUNCTION("GOOGLETRANSLATE($A1499,""en"",""fr"")"),"Galapagos")</f>
        <v>Galapagos</v>
      </c>
      <c r="E1499" s="9" t="str">
        <f>IFERROR(__xludf.DUMMYFUNCTION("GOOGLETRANSLATE($A1499,""en"",""es"")"),"Galápagos")</f>
        <v>Galápagos</v>
      </c>
      <c r="F1499" s="9" t="str">
        <f>IFERROR(__xludf.DUMMYFUNCTION("GOOGLETRANSLATE($A1499,""en"",""it"")"),"Galapagos")</f>
        <v>Galapagos</v>
      </c>
      <c r="G1499" s="9" t="str">
        <f>IFERROR(__xludf.DUMMYFUNCTION("GOOGLETRANSLATE($A1499,""en"",""zh-cn"")"),"加拉帕戈斯群岛")</f>
        <v>加拉帕戈斯群岛</v>
      </c>
      <c r="H1499" s="9" t="str">
        <f>IFERROR(__xludf.DUMMYFUNCTION("GOOGLETRANSLATE($A1499,""en"",""ja"")"),"ガラパゴス")</f>
        <v>ガラパゴス</v>
      </c>
      <c r="I1499" s="9" t="str">
        <f>IFERROR(__xludf.DUMMYFUNCTION("GOOGLETRANSLATE($A1499,""en"",""ko"")"),"갈라파고스")</f>
        <v>갈라파고스</v>
      </c>
      <c r="J1499" s="9" t="str">
        <f>IFERROR(__xludf.DUMMYFUNCTION("GOOGLETRANSLATE($A1499,""en"",""pt-BR"")"),"Galápagos")</f>
        <v>Galápagos</v>
      </c>
    </row>
    <row r="1500">
      <c r="A1500" s="9" t="str">
        <f>IFERROR(__xludf.DUMMYFUNCTION("""COMPUTED_VALUE"""),"Cañar")</f>
        <v>Cañar</v>
      </c>
      <c r="B1500" s="9" t="str">
        <f>IFERROR(__xludf.DUMMYFUNCTION("""COMPUTED_VALUE"""),"ec-f")</f>
        <v>ec-f</v>
      </c>
      <c r="C1500" s="9" t="str">
        <f>IFERROR(__xludf.DUMMYFUNCTION("GOOGLETRANSLATE($A1500,""en"",""de"")"),"Cañar")</f>
        <v>Cañar</v>
      </c>
      <c r="D1500" s="9" t="str">
        <f>IFERROR(__xludf.DUMMYFUNCTION("GOOGLETRANSLATE($A1500,""en"",""fr"")"),"Canar")</f>
        <v>Canar</v>
      </c>
      <c r="E1500" s="9" t="str">
        <f>IFERROR(__xludf.DUMMYFUNCTION("GOOGLETRANSLATE($A1500,""en"",""es"")"),"cañar")</f>
        <v>cañar</v>
      </c>
      <c r="F1500" s="9" t="str">
        <f>IFERROR(__xludf.DUMMYFUNCTION("GOOGLETRANSLATE($A1500,""en"",""it"")"),"Canar")</f>
        <v>Canar</v>
      </c>
      <c r="G1500" s="9" t="str">
        <f>IFERROR(__xludf.DUMMYFUNCTION("GOOGLETRANSLATE($A1500,""en"",""zh-cn"")"),"卡纳尔")</f>
        <v>卡纳尔</v>
      </c>
      <c r="H1500" s="9" t="str">
        <f>IFERROR(__xludf.DUMMYFUNCTION("GOOGLETRANSLATE($A1500,""en"",""ja"")"),"カニャール")</f>
        <v>カニャール</v>
      </c>
      <c r="I1500" s="9" t="str">
        <f>IFERROR(__xludf.DUMMYFUNCTION("GOOGLETRANSLATE($A1500,""en"",""ko"")"),"카냐르")</f>
        <v>카냐르</v>
      </c>
      <c r="J1500" s="9" t="str">
        <f>IFERROR(__xludf.DUMMYFUNCTION("GOOGLETRANSLATE($A1500,""en"",""pt-BR"")"),"Cañar")</f>
        <v>Cañar</v>
      </c>
    </row>
    <row r="1501">
      <c r="A1501" s="9" t="str">
        <f>IFERROR(__xludf.DUMMYFUNCTION("""COMPUTED_VALUE"""),"Tungurahua")</f>
        <v>Tungurahua</v>
      </c>
      <c r="B1501" s="9" t="str">
        <f>IFERROR(__xludf.DUMMYFUNCTION("""COMPUTED_VALUE"""),"ec-t")</f>
        <v>ec-t</v>
      </c>
      <c r="C1501" s="9" t="str">
        <f>IFERROR(__xludf.DUMMYFUNCTION("GOOGLETRANSLATE($A1501,""en"",""de"")"),"Tungurahua")</f>
        <v>Tungurahua</v>
      </c>
      <c r="D1501" s="9" t="str">
        <f>IFERROR(__xludf.DUMMYFUNCTION("GOOGLETRANSLATE($A1501,""en"",""fr"")"),"Toungurahua")</f>
        <v>Toungurahua</v>
      </c>
      <c r="E1501" s="9" t="str">
        <f>IFERROR(__xludf.DUMMYFUNCTION("GOOGLETRANSLATE($A1501,""en"",""es"")"),"Tungurahua")</f>
        <v>Tungurahua</v>
      </c>
      <c r="F1501" s="9" t="str">
        <f>IFERROR(__xludf.DUMMYFUNCTION("GOOGLETRANSLATE($A1501,""en"",""it"")"),"Tungurahua")</f>
        <v>Tungurahua</v>
      </c>
      <c r="G1501" s="9" t="str">
        <f>IFERROR(__xludf.DUMMYFUNCTION("GOOGLETRANSLATE($A1501,""en"",""zh-cn"")"),"通古拉瓦")</f>
        <v>通古拉瓦</v>
      </c>
      <c r="H1501" s="9" t="str">
        <f>IFERROR(__xludf.DUMMYFUNCTION("GOOGLETRANSLATE($A1501,""en"",""ja"")"),"トゥングラワ")</f>
        <v>トゥングラワ</v>
      </c>
      <c r="I1501" s="9" t="str">
        <f>IFERROR(__xludf.DUMMYFUNCTION("GOOGLETRANSLATE($A1501,""en"",""ko"")"),"퉁구라후아")</f>
        <v>퉁구라후아</v>
      </c>
      <c r="J1501" s="9" t="str">
        <f>IFERROR(__xludf.DUMMYFUNCTION("GOOGLETRANSLATE($A1501,""en"",""pt-BR"")"),"Tungurahua")</f>
        <v>Tungurahua</v>
      </c>
    </row>
    <row r="1502">
      <c r="A1502" s="9" t="str">
        <f>IFERROR(__xludf.DUMMYFUNCTION("""COMPUTED_VALUE"""),"Guayas")</f>
        <v>Guayas</v>
      </c>
      <c r="B1502" s="9" t="str">
        <f>IFERROR(__xludf.DUMMYFUNCTION("""COMPUTED_VALUE"""),"ec-g")</f>
        <v>ec-g</v>
      </c>
      <c r="C1502" s="9" t="str">
        <f>IFERROR(__xludf.DUMMYFUNCTION("GOOGLETRANSLATE($A1502,""en"",""de"")"),"Guayas")</f>
        <v>Guayas</v>
      </c>
      <c r="D1502" s="9" t="str">
        <f>IFERROR(__xludf.DUMMYFUNCTION("GOOGLETRANSLATE($A1502,""en"",""fr"")"),"Guayas")</f>
        <v>Guayas</v>
      </c>
      <c r="E1502" s="9" t="str">
        <f>IFERROR(__xludf.DUMMYFUNCTION("GOOGLETRANSLATE($A1502,""en"",""es"")"),"guayas")</f>
        <v>guayas</v>
      </c>
      <c r="F1502" s="9" t="str">
        <f>IFERROR(__xludf.DUMMYFUNCTION("GOOGLETRANSLATE($A1502,""en"",""it"")"),"Guayas")</f>
        <v>Guayas</v>
      </c>
      <c r="G1502" s="9" t="str">
        <f>IFERROR(__xludf.DUMMYFUNCTION("GOOGLETRANSLATE($A1502,""en"",""zh-cn"")"),"瓜亚斯")</f>
        <v>瓜亚斯</v>
      </c>
      <c r="H1502" s="9" t="str">
        <f>IFERROR(__xludf.DUMMYFUNCTION("GOOGLETRANSLATE($A1502,""en"",""ja"")"),"グアヤス")</f>
        <v>グアヤス</v>
      </c>
      <c r="I1502" s="9" t="str">
        <f>IFERROR(__xludf.DUMMYFUNCTION("GOOGLETRANSLATE($A1502,""en"",""ko"")"),"과야스")</f>
        <v>과야스</v>
      </c>
      <c r="J1502" s="9" t="str">
        <f>IFERROR(__xludf.DUMMYFUNCTION("GOOGLETRANSLATE($A1502,""en"",""pt-BR"")"),"Guaias")</f>
        <v>Guaias</v>
      </c>
    </row>
    <row r="1503">
      <c r="A1503" s="9" t="str">
        <f>IFERROR(__xludf.DUMMYFUNCTION("""COMPUTED_VALUE"""),"Napo")</f>
        <v>Napo</v>
      </c>
      <c r="B1503" s="9" t="str">
        <f>IFERROR(__xludf.DUMMYFUNCTION("""COMPUTED_VALUE"""),"ec-n")</f>
        <v>ec-n</v>
      </c>
      <c r="C1503" s="9" t="str">
        <f>IFERROR(__xludf.DUMMYFUNCTION("GOOGLETRANSLATE($A1503,""en"",""de"")"),"Napo")</f>
        <v>Napo</v>
      </c>
      <c r="D1503" s="9" t="str">
        <f>IFERROR(__xludf.DUMMYFUNCTION("GOOGLETRANSLATE($A1503,""en"",""fr"")"),"Napo")</f>
        <v>Napo</v>
      </c>
      <c r="E1503" s="9" t="str">
        <f>IFERROR(__xludf.DUMMYFUNCTION("GOOGLETRANSLATE($A1503,""en"",""es"")"),"napo")</f>
        <v>napo</v>
      </c>
      <c r="F1503" s="9" t="str">
        <f>IFERROR(__xludf.DUMMYFUNCTION("GOOGLETRANSLATE($A1503,""en"",""it"")"),"Napo")</f>
        <v>Napo</v>
      </c>
      <c r="G1503" s="9" t="str">
        <f>IFERROR(__xludf.DUMMYFUNCTION("GOOGLETRANSLATE($A1503,""en"",""zh-cn"")"),"纳波")</f>
        <v>纳波</v>
      </c>
      <c r="H1503" s="9" t="str">
        <f>IFERROR(__xludf.DUMMYFUNCTION("GOOGLETRANSLATE($A1503,""en"",""ja"")"),"ナポ")</f>
        <v>ナポ</v>
      </c>
      <c r="I1503" s="9" t="str">
        <f>IFERROR(__xludf.DUMMYFUNCTION("GOOGLETRANSLATE($A1503,""en"",""ko"")"),"나포")</f>
        <v>나포</v>
      </c>
      <c r="J1503" s="9" t="str">
        <f>IFERROR(__xludf.DUMMYFUNCTION("GOOGLETRANSLATE($A1503,""en"",""pt-BR"")"),"Napo")</f>
        <v>Napo</v>
      </c>
    </row>
    <row r="1504">
      <c r="A1504" s="9" t="str">
        <f>IFERROR(__xludf.DUMMYFUNCTION("""COMPUTED_VALUE"""),"Orellana")</f>
        <v>Orellana</v>
      </c>
      <c r="B1504" s="9" t="str">
        <f>IFERROR(__xludf.DUMMYFUNCTION("""COMPUTED_VALUE"""),"ec-d")</f>
        <v>ec-d</v>
      </c>
      <c r="C1504" s="9" t="str">
        <f>IFERROR(__xludf.DUMMYFUNCTION("GOOGLETRANSLATE($A1504,""en"",""de"")"),"Orellana")</f>
        <v>Orellana</v>
      </c>
      <c r="D1504" s="9" t="str">
        <f>IFERROR(__xludf.DUMMYFUNCTION("GOOGLETRANSLATE($A1504,""en"",""fr"")"),"Orellane")</f>
        <v>Orellane</v>
      </c>
      <c r="E1504" s="9" t="str">
        <f>IFERROR(__xludf.DUMMYFUNCTION("GOOGLETRANSLATE($A1504,""en"",""es"")"),"orellana")</f>
        <v>orellana</v>
      </c>
      <c r="F1504" s="9" t="str">
        <f>IFERROR(__xludf.DUMMYFUNCTION("GOOGLETRANSLATE($A1504,""en"",""it"")"),"Orellana")</f>
        <v>Orellana</v>
      </c>
      <c r="G1504" s="9" t="str">
        <f>IFERROR(__xludf.DUMMYFUNCTION("GOOGLETRANSLATE($A1504,""en"",""zh-cn"")"),"奥雷利亚纳")</f>
        <v>奥雷利亚纳</v>
      </c>
      <c r="H1504" s="9" t="str">
        <f>IFERROR(__xludf.DUMMYFUNCTION("GOOGLETRANSLATE($A1504,""en"",""ja"")"),"オレラナ")</f>
        <v>オレラナ</v>
      </c>
      <c r="I1504" s="9" t="str">
        <f>IFERROR(__xludf.DUMMYFUNCTION("GOOGLETRANSLATE($A1504,""en"",""ko"")"),"오렐라나")</f>
        <v>오렐라나</v>
      </c>
      <c r="J1504" s="9" t="str">
        <f>IFERROR(__xludf.DUMMYFUNCTION("GOOGLETRANSLATE($A1504,""en"",""pt-BR"")"),"Orellana")</f>
        <v>Orellana</v>
      </c>
    </row>
    <row r="1505">
      <c r="A1505" s="9" t="str">
        <f>IFERROR(__xludf.DUMMYFUNCTION("""COMPUTED_VALUE"""),"Cotopaxi")</f>
        <v>Cotopaxi</v>
      </c>
      <c r="B1505" s="9" t="str">
        <f>IFERROR(__xludf.DUMMYFUNCTION("""COMPUTED_VALUE"""),"ec-x")</f>
        <v>ec-x</v>
      </c>
      <c r="C1505" s="9" t="str">
        <f>IFERROR(__xludf.DUMMYFUNCTION("GOOGLETRANSLATE($A1505,""en"",""de"")"),"Cotopaxi")</f>
        <v>Cotopaxi</v>
      </c>
      <c r="D1505" s="9" t="str">
        <f>IFERROR(__xludf.DUMMYFUNCTION("GOOGLETRANSLATE($A1505,""en"",""fr"")"),"Cotopaxi")</f>
        <v>Cotopaxi</v>
      </c>
      <c r="E1505" s="9" t="str">
        <f>IFERROR(__xludf.DUMMYFUNCTION("GOOGLETRANSLATE($A1505,""en"",""es"")"),"Cotopaxi")</f>
        <v>Cotopaxi</v>
      </c>
      <c r="F1505" s="9" t="str">
        <f>IFERROR(__xludf.DUMMYFUNCTION("GOOGLETRANSLATE($A1505,""en"",""it"")"),"Cotopaxi")</f>
        <v>Cotopaxi</v>
      </c>
      <c r="G1505" s="9" t="str">
        <f>IFERROR(__xludf.DUMMYFUNCTION("GOOGLETRANSLATE($A1505,""en"",""zh-cn"")"),"科托帕希")</f>
        <v>科托帕希</v>
      </c>
      <c r="H1505" s="9" t="str">
        <f>IFERROR(__xludf.DUMMYFUNCTION("GOOGLETRANSLATE($A1505,""en"",""ja"")"),"コトパクシ")</f>
        <v>コトパクシ</v>
      </c>
      <c r="I1505" s="9" t="str">
        <f>IFERROR(__xludf.DUMMYFUNCTION("GOOGLETRANSLATE($A1505,""en"",""ko"")"),"코토팍시")</f>
        <v>코토팍시</v>
      </c>
      <c r="J1505" s="9" t="str">
        <f>IFERROR(__xludf.DUMMYFUNCTION("GOOGLETRANSLATE($A1505,""en"",""pt-BR"")"),"Cotopaxi")</f>
        <v>Cotopaxi</v>
      </c>
    </row>
    <row r="1506">
      <c r="A1506" s="9" t="str">
        <f>IFERROR(__xludf.DUMMYFUNCTION("""COMPUTED_VALUE"""),"Los Ríos (EC)")</f>
        <v>Los Ríos (EC)</v>
      </c>
      <c r="B1506" s="9" t="str">
        <f>IFERROR(__xludf.DUMMYFUNCTION("""COMPUTED_VALUE"""),"ec-r")</f>
        <v>ec-r</v>
      </c>
      <c r="C1506" s="9" t="str">
        <f>IFERROR(__xludf.DUMMYFUNCTION("GOOGLETRANSLATE($A1506,""en"",""de"")"),"Los Ríos (EG)")</f>
        <v>Los Ríos (EG)</v>
      </c>
      <c r="D1506" s="9" t="str">
        <f>IFERROR(__xludf.DUMMYFUNCTION("GOOGLETRANSLATE($A1506,""en"",""fr"")"),"Los Rios (CE)")</f>
        <v>Los Rios (CE)</v>
      </c>
      <c r="E1506" s="9" t="str">
        <f>IFERROR(__xludf.DUMMYFUNCTION("GOOGLETRANSLATE($A1506,""en"",""es"")"),"Los Ríos (CE)")</f>
        <v>Los Ríos (CE)</v>
      </c>
      <c r="F1506" s="9" t="str">
        <f>IFERROR(__xludf.DUMMYFUNCTION("GOOGLETRANSLATE($A1506,""en"",""it"")"),"Los Ríos (CE)")</f>
        <v>Los Ríos (CE)</v>
      </c>
      <c r="G1506" s="9" t="str">
        <f>IFERROR(__xludf.DUMMYFUNCTION("GOOGLETRANSLATE($A1506,""en"",""zh-cn"")"),"洛斯里奥斯 (EC)")</f>
        <v>洛斯里奥斯 (EC)</v>
      </c>
      <c r="H1506" s="9" t="str">
        <f>IFERROR(__xludf.DUMMYFUNCTION("GOOGLETRANSLATE($A1506,""en"",""ja"")"),"ロスリオス（EC）")</f>
        <v>ロスリオス（EC）</v>
      </c>
      <c r="I1506" s="9" t="str">
        <f>IFERROR(__xludf.DUMMYFUNCTION("GOOGLETRANSLATE($A1506,""en"",""ko"")"),"로스리오스(EC)")</f>
        <v>로스리오스(EC)</v>
      </c>
      <c r="J1506" s="9" t="str">
        <f>IFERROR(__xludf.DUMMYFUNCTION("GOOGLETRANSLATE($A1506,""en"",""pt-BR"")"),"Los Rios (CE)")</f>
        <v>Los Rios (CE)</v>
      </c>
    </row>
    <row r="1507">
      <c r="A1507" s="9" t="str">
        <f>IFERROR(__xludf.DUMMYFUNCTION("""COMPUTED_VALUE"""),"Pastaza")</f>
        <v>Pastaza</v>
      </c>
      <c r="B1507" s="9" t="str">
        <f>IFERROR(__xludf.DUMMYFUNCTION("""COMPUTED_VALUE"""),"ec-y")</f>
        <v>ec-y</v>
      </c>
      <c r="C1507" s="9" t="str">
        <f>IFERROR(__xludf.DUMMYFUNCTION("GOOGLETRANSLATE($A1507,""en"",""de"")"),"Pastaza")</f>
        <v>Pastaza</v>
      </c>
      <c r="D1507" s="9" t="str">
        <f>IFERROR(__xludf.DUMMYFUNCTION("GOOGLETRANSLATE($A1507,""en"",""fr"")"),"Pastaza")</f>
        <v>Pastaza</v>
      </c>
      <c r="E1507" s="9" t="str">
        <f>IFERROR(__xludf.DUMMYFUNCTION("GOOGLETRANSLATE($A1507,""en"",""es"")"),"pastaza")</f>
        <v>pastaza</v>
      </c>
      <c r="F1507" s="9" t="str">
        <f>IFERROR(__xludf.DUMMYFUNCTION("GOOGLETRANSLATE($A1507,""en"",""it"")"),"Pastaza")</f>
        <v>Pastaza</v>
      </c>
      <c r="G1507" s="9" t="str">
        <f>IFERROR(__xludf.DUMMYFUNCTION("GOOGLETRANSLATE($A1507,""en"",""zh-cn"")"),"帕斯塔萨")</f>
        <v>帕斯塔萨</v>
      </c>
      <c r="H1507" s="9" t="str">
        <f>IFERROR(__xludf.DUMMYFUNCTION("GOOGLETRANSLATE($A1507,""en"",""ja"")"),"パスタサ")</f>
        <v>パスタサ</v>
      </c>
      <c r="I1507" s="9" t="str">
        <f>IFERROR(__xludf.DUMMYFUNCTION("GOOGLETRANSLATE($A1507,""en"",""ko"")"),"파스타자")</f>
        <v>파스타자</v>
      </c>
      <c r="J1507" s="9" t="str">
        <f>IFERROR(__xludf.DUMMYFUNCTION("GOOGLETRANSLATE($A1507,""en"",""pt-BR"")"),"Massa")</f>
        <v>Massa</v>
      </c>
    </row>
    <row r="1508">
      <c r="A1508" s="9" t="str">
        <f>IFERROR(__xludf.DUMMYFUNCTION("""COMPUTED_VALUE"""),"Manabí")</f>
        <v>Manabí</v>
      </c>
      <c r="B1508" s="9" t="str">
        <f>IFERROR(__xludf.DUMMYFUNCTION("""COMPUTED_VALUE"""),"ec-m")</f>
        <v>ec-m</v>
      </c>
      <c r="C1508" s="9" t="str">
        <f>IFERROR(__xludf.DUMMYFUNCTION("GOOGLETRANSLATE($A1508,""en"",""de"")"),"Manabi")</f>
        <v>Manabi</v>
      </c>
      <c r="D1508" s="9" t="str">
        <f>IFERROR(__xludf.DUMMYFUNCTION("GOOGLETRANSLATE($A1508,""en"",""fr"")"),"Manabi")</f>
        <v>Manabi</v>
      </c>
      <c r="E1508" s="9" t="str">
        <f>IFERROR(__xludf.DUMMYFUNCTION("GOOGLETRANSLATE($A1508,""en"",""es"")"),"Manabí")</f>
        <v>Manabí</v>
      </c>
      <c r="F1508" s="9" t="str">
        <f>IFERROR(__xludf.DUMMYFUNCTION("GOOGLETRANSLATE($A1508,""en"",""it"")"),"Manabi")</f>
        <v>Manabi</v>
      </c>
      <c r="G1508" s="9" t="str">
        <f>IFERROR(__xludf.DUMMYFUNCTION("GOOGLETRANSLATE($A1508,""en"",""zh-cn"")"),"马纳比")</f>
        <v>马纳比</v>
      </c>
      <c r="H1508" s="9" t="str">
        <f>IFERROR(__xludf.DUMMYFUNCTION("GOOGLETRANSLATE($A1508,""en"",""ja"")"),"マナビ")</f>
        <v>マナビ</v>
      </c>
      <c r="I1508" s="9" t="str">
        <f>IFERROR(__xludf.DUMMYFUNCTION("GOOGLETRANSLATE($A1508,""en"",""ko"")"),"마나비")</f>
        <v>마나비</v>
      </c>
      <c r="J1508" s="9" t="str">
        <f>IFERROR(__xludf.DUMMYFUNCTION("GOOGLETRANSLATE($A1508,""en"",""pt-BR"")"),"Manabí")</f>
        <v>Manabí</v>
      </c>
    </row>
    <row r="1509">
      <c r="A1509" s="9" t="str">
        <f>IFERROR(__xludf.DUMMYFUNCTION("""COMPUTED_VALUE"""),"Zamora Chinchipe")</f>
        <v>Zamora Chinchipe</v>
      </c>
      <c r="B1509" s="9" t="str">
        <f>IFERROR(__xludf.DUMMYFUNCTION("""COMPUTED_VALUE"""),"ec-z")</f>
        <v>ec-z</v>
      </c>
      <c r="C1509" s="9" t="str">
        <f>IFERROR(__xludf.DUMMYFUNCTION("GOOGLETRANSLATE($A1509,""en"",""de"")"),"Zamora Chinchipe")</f>
        <v>Zamora Chinchipe</v>
      </c>
      <c r="D1509" s="9" t="str">
        <f>IFERROR(__xludf.DUMMYFUNCTION("GOOGLETRANSLATE($A1509,""en"",""fr"")"),"Chinchipe de Zamora")</f>
        <v>Chinchipe de Zamora</v>
      </c>
      <c r="E1509" s="9" t="str">
        <f>IFERROR(__xludf.DUMMYFUNCTION("GOOGLETRANSLATE($A1509,""en"",""es"")"),"Zamora Chinchipe")</f>
        <v>Zamora Chinchipe</v>
      </c>
      <c r="F1509" s="9" t="str">
        <f>IFERROR(__xludf.DUMMYFUNCTION("GOOGLETRANSLATE($A1509,""en"",""it"")"),"Zamora Chinchip")</f>
        <v>Zamora Chinchip</v>
      </c>
      <c r="G1509" s="9" t="str">
        <f>IFERROR(__xludf.DUMMYFUNCTION("GOOGLETRANSLATE($A1509,""en"",""zh-cn"")"),"萨莫拉钦奇佩")</f>
        <v>萨莫拉钦奇佩</v>
      </c>
      <c r="H1509" s="9" t="str">
        <f>IFERROR(__xludf.DUMMYFUNCTION("GOOGLETRANSLATE($A1509,""en"",""ja"")"),"サモラ・チンチペ")</f>
        <v>サモラ・チンチペ</v>
      </c>
      <c r="I1509" s="9" t="str">
        <f>IFERROR(__xludf.DUMMYFUNCTION("GOOGLETRANSLATE($A1509,""en"",""ko"")"),"자모라 친치페")</f>
        <v>자모라 친치페</v>
      </c>
      <c r="J1509" s="9" t="str">
        <f>IFERROR(__xludf.DUMMYFUNCTION("GOOGLETRANSLATE($A1509,""en"",""pt-BR"")"),"Zamora Chinchipe")</f>
        <v>Zamora Chinchipe</v>
      </c>
    </row>
    <row r="1510">
      <c r="A1510" s="9" t="str">
        <f>IFERROR(__xludf.DUMMYFUNCTION("""COMPUTED_VALUE"""),"Loja")</f>
        <v>Loja</v>
      </c>
      <c r="B1510" s="9" t="str">
        <f>IFERROR(__xludf.DUMMYFUNCTION("""COMPUTED_VALUE"""),"ec-l")</f>
        <v>ec-l</v>
      </c>
      <c r="C1510" s="9" t="str">
        <f>IFERROR(__xludf.DUMMYFUNCTION("GOOGLETRANSLATE($A1510,""en"",""de"")"),"Loja")</f>
        <v>Loja</v>
      </c>
      <c r="D1510" s="9" t="str">
        <f>IFERROR(__xludf.DUMMYFUNCTION("GOOGLETRANSLATE($A1510,""en"",""fr"")"),"Loja")</f>
        <v>Loja</v>
      </c>
      <c r="E1510" s="9" t="str">
        <f>IFERROR(__xludf.DUMMYFUNCTION("GOOGLETRANSLATE($A1510,""en"",""es"")"),"loja")</f>
        <v>loja</v>
      </c>
      <c r="F1510" s="9" t="str">
        <f>IFERROR(__xludf.DUMMYFUNCTION("GOOGLETRANSLATE($A1510,""en"",""it"")"),"Loja")</f>
        <v>Loja</v>
      </c>
      <c r="G1510" s="9" t="str">
        <f>IFERROR(__xludf.DUMMYFUNCTION("GOOGLETRANSLATE($A1510,""en"",""zh-cn"")"),"洛哈")</f>
        <v>洛哈</v>
      </c>
      <c r="H1510" s="9" t="str">
        <f>IFERROR(__xludf.DUMMYFUNCTION("GOOGLETRANSLATE($A1510,""en"",""ja"")"),"ロハ")</f>
        <v>ロハ</v>
      </c>
      <c r="I1510" s="9" t="str">
        <f>IFERROR(__xludf.DUMMYFUNCTION("GOOGLETRANSLATE($A1510,""en"",""ko"")"),"로하")</f>
        <v>로하</v>
      </c>
      <c r="J1510" s="9" t="str">
        <f>IFERROR(__xludf.DUMMYFUNCTION("GOOGLETRANSLATE($A1510,""en"",""pt-BR"")"),"Loja")</f>
        <v>Loja</v>
      </c>
    </row>
    <row r="1511">
      <c r="A1511" s="9" t="str">
        <f>IFERROR(__xludf.DUMMYFUNCTION("""COMPUTED_VALUE"""),"Bolívar (EC)")</f>
        <v>Bolívar (EC)</v>
      </c>
      <c r="B1511" s="9" t="str">
        <f>IFERROR(__xludf.DUMMYFUNCTION("""COMPUTED_VALUE"""),"ec-b")</f>
        <v>ec-b</v>
      </c>
      <c r="C1511" s="9" t="str">
        <f>IFERROR(__xludf.DUMMYFUNCTION("GOOGLETRANSLATE($A1511,""en"",""de"")"),"Bolívar (EG)")</f>
        <v>Bolívar (EG)</v>
      </c>
      <c r="D1511" s="9" t="str">
        <f>IFERROR(__xludf.DUMMYFUNCTION("GOOGLETRANSLATE($A1511,""en"",""fr"")"),"Bolivar (CE)")</f>
        <v>Bolivar (CE)</v>
      </c>
      <c r="E1511" s="9" t="str">
        <f>IFERROR(__xludf.DUMMYFUNCTION("GOOGLETRANSLATE($A1511,""en"",""es"")"),"Bolívar (CE)")</f>
        <v>Bolívar (CE)</v>
      </c>
      <c r="F1511" s="9" t="str">
        <f>IFERROR(__xludf.DUMMYFUNCTION("GOOGLETRANSLATE($A1511,""en"",""it"")"),"Bolivar (CE)")</f>
        <v>Bolivar (CE)</v>
      </c>
      <c r="G1511" s="9" t="str">
        <f>IFERROR(__xludf.DUMMYFUNCTION("GOOGLETRANSLATE($A1511,""en"",""zh-cn"")"),"玻利瓦尔 (EC)")</f>
        <v>玻利瓦尔 (EC)</v>
      </c>
      <c r="H1511" s="9" t="str">
        <f>IFERROR(__xludf.DUMMYFUNCTION("GOOGLETRANSLATE($A1511,""en"",""ja"")"),"ボリバル (EC)")</f>
        <v>ボリバル (EC)</v>
      </c>
      <c r="I1511" s="9" t="str">
        <f>IFERROR(__xludf.DUMMYFUNCTION("GOOGLETRANSLATE($A1511,""en"",""ko"")"),"볼리바르(EC)")</f>
        <v>볼리바르(EC)</v>
      </c>
      <c r="J1511" s="9" t="str">
        <f>IFERROR(__xludf.DUMMYFUNCTION("GOOGLETRANSLATE($A1511,""en"",""pt-BR"")"),"Bolívar (CE)")</f>
        <v>Bolívar (CE)</v>
      </c>
    </row>
    <row r="1512">
      <c r="A1512" s="9" t="str">
        <f>IFERROR(__xludf.DUMMYFUNCTION("""COMPUTED_VALUE"""),"Santo Domingo de los Tsáchilas")</f>
        <v>Santo Domingo de los Tsáchilas</v>
      </c>
      <c r="B1512" s="9" t="str">
        <f>IFERROR(__xludf.DUMMYFUNCTION("""COMPUTED_VALUE"""),"ec-sd")</f>
        <v>ec-sd</v>
      </c>
      <c r="C1512" s="9" t="str">
        <f>IFERROR(__xludf.DUMMYFUNCTION("GOOGLETRANSLATE($A1512,""en"",""de"")"),"Santo Domingo de los Tsáchilas")</f>
        <v>Santo Domingo de los Tsáchilas</v>
      </c>
      <c r="D1512" s="9" t="str">
        <f>IFERROR(__xludf.DUMMYFUNCTION("GOOGLETRANSLATE($A1512,""en"",""fr"")"),"Saint-Domingue de los Tsachilas")</f>
        <v>Saint-Domingue de los Tsachilas</v>
      </c>
      <c r="E1512" s="9" t="str">
        <f>IFERROR(__xludf.DUMMYFUNCTION("GOOGLETRANSLATE($A1512,""en"",""es"")"),"Santo Domingo de los Tsachilas")</f>
        <v>Santo Domingo de los Tsachilas</v>
      </c>
      <c r="F1512" s="9" t="str">
        <f>IFERROR(__xludf.DUMMYFUNCTION("GOOGLETRANSLATE($A1512,""en"",""it"")"),"Santo Domingo de los Tsáchilas")</f>
        <v>Santo Domingo de los Tsáchilas</v>
      </c>
      <c r="G1512" s="9" t="str">
        <f>IFERROR(__xludf.DUMMYFUNCTION("GOOGLETRANSLATE($A1512,""en"",""zh-cn"")"),"圣多明各德洛斯察奇拉斯")</f>
        <v>圣多明各德洛斯察奇拉斯</v>
      </c>
      <c r="H1512" s="9" t="str">
        <f>IFERROR(__xludf.DUMMYFUNCTION("GOOGLETRANSLATE($A1512,""en"",""ja"")"),"サント ドミンゴ デ ロス ツァチラス")</f>
        <v>サント ドミンゴ デ ロス ツァチラス</v>
      </c>
      <c r="I1512" s="9" t="str">
        <f>IFERROR(__xludf.DUMMYFUNCTION("GOOGLETRANSLATE($A1512,""en"",""ko"")"),"산토 도밍고 데 로스 차칠라스")</f>
        <v>산토 도밍고 데 로스 차칠라스</v>
      </c>
      <c r="J1512" s="9" t="str">
        <f>IFERROR(__xludf.DUMMYFUNCTION("GOOGLETRANSLATE($A1512,""en"",""pt-BR"")"),"Santo Domingo de los Tsáchilas")</f>
        <v>Santo Domingo de los Tsáchilas</v>
      </c>
    </row>
    <row r="1513">
      <c r="A1513" s="9" t="str">
        <f>IFERROR(__xludf.DUMMYFUNCTION("""COMPUTED_VALUE"""),"Chimborazo")</f>
        <v>Chimborazo</v>
      </c>
      <c r="B1513" s="9" t="str">
        <f>IFERROR(__xludf.DUMMYFUNCTION("""COMPUTED_VALUE"""),"ec-h")</f>
        <v>ec-h</v>
      </c>
      <c r="C1513" s="9" t="str">
        <f>IFERROR(__xludf.DUMMYFUNCTION("GOOGLETRANSLATE($A1513,""en"",""de"")"),"Chimborazo")</f>
        <v>Chimborazo</v>
      </c>
      <c r="D1513" s="9" t="str">
        <f>IFERROR(__xludf.DUMMYFUNCTION("GOOGLETRANSLATE($A1513,""en"",""fr"")"),"Chimborazo")</f>
        <v>Chimborazo</v>
      </c>
      <c r="E1513" s="9" t="str">
        <f>IFERROR(__xludf.DUMMYFUNCTION("GOOGLETRANSLATE($A1513,""en"",""es"")"),"Chimborazo")</f>
        <v>Chimborazo</v>
      </c>
      <c r="F1513" s="9" t="str">
        <f>IFERROR(__xludf.DUMMYFUNCTION("GOOGLETRANSLATE($A1513,""en"",""it"")"),"Chimborazo")</f>
        <v>Chimborazo</v>
      </c>
      <c r="G1513" s="9" t="str">
        <f>IFERROR(__xludf.DUMMYFUNCTION("GOOGLETRANSLATE($A1513,""en"",""zh-cn"")"),"钦博拉索")</f>
        <v>钦博拉索</v>
      </c>
      <c r="H1513" s="9" t="str">
        <f>IFERROR(__xludf.DUMMYFUNCTION("GOOGLETRANSLATE($A1513,""en"",""ja"")"),"チンボラソ")</f>
        <v>チンボラソ</v>
      </c>
      <c r="I1513" s="9" t="str">
        <f>IFERROR(__xludf.DUMMYFUNCTION("GOOGLETRANSLATE($A1513,""en"",""ko"")"),"침보라조")</f>
        <v>침보라조</v>
      </c>
      <c r="J1513" s="9" t="str">
        <f>IFERROR(__xludf.DUMMYFUNCTION("GOOGLETRANSLATE($A1513,""en"",""pt-BR"")"),"Chimborazo")</f>
        <v>Chimborazo</v>
      </c>
    </row>
    <row r="1514">
      <c r="A1514" s="9" t="str">
        <f>IFERROR(__xludf.DUMMYFUNCTION("""COMPUTED_VALUE"""),"Pichincha")</f>
        <v>Pichincha</v>
      </c>
      <c r="B1514" s="9" t="str">
        <f>IFERROR(__xludf.DUMMYFUNCTION("""COMPUTED_VALUE"""),"ec-p")</f>
        <v>ec-p</v>
      </c>
      <c r="C1514" s="9" t="str">
        <f>IFERROR(__xludf.DUMMYFUNCTION("GOOGLETRANSLATE($A1514,""en"",""de"")"),"Pichincha")</f>
        <v>Pichincha</v>
      </c>
      <c r="D1514" s="9" t="str">
        <f>IFERROR(__xludf.DUMMYFUNCTION("GOOGLETRANSLATE($A1514,""en"",""fr"")"),"Pichincha")</f>
        <v>Pichincha</v>
      </c>
      <c r="E1514" s="9" t="str">
        <f>IFERROR(__xludf.DUMMYFUNCTION("GOOGLETRANSLATE($A1514,""en"",""es"")"),"Pichincha")</f>
        <v>Pichincha</v>
      </c>
      <c r="F1514" s="9" t="str">
        <f>IFERROR(__xludf.DUMMYFUNCTION("GOOGLETRANSLATE($A1514,""en"",""it"")"),"Pichincha")</f>
        <v>Pichincha</v>
      </c>
      <c r="G1514" s="9" t="str">
        <f>IFERROR(__xludf.DUMMYFUNCTION("GOOGLETRANSLATE($A1514,""en"",""zh-cn"")"),"皮钦查")</f>
        <v>皮钦查</v>
      </c>
      <c r="H1514" s="9" t="str">
        <f>IFERROR(__xludf.DUMMYFUNCTION("GOOGLETRANSLATE($A1514,""en"",""ja"")"),"ピチンチャ")</f>
        <v>ピチンチャ</v>
      </c>
      <c r="I1514" s="9" t="str">
        <f>IFERROR(__xludf.DUMMYFUNCTION("GOOGLETRANSLATE($A1514,""en"",""ko"")"),"피친차")</f>
        <v>피친차</v>
      </c>
      <c r="J1514" s="9" t="str">
        <f>IFERROR(__xludf.DUMMYFUNCTION("GOOGLETRANSLATE($A1514,""en"",""pt-BR"")"),"Pichincha")</f>
        <v>Pichincha</v>
      </c>
    </row>
    <row r="1515">
      <c r="A1515" s="9" t="str">
        <f>IFERROR(__xludf.DUMMYFUNCTION("""COMPUTED_VALUE"""),"Esmeraldas")</f>
        <v>Esmeraldas</v>
      </c>
      <c r="B1515" s="9" t="str">
        <f>IFERROR(__xludf.DUMMYFUNCTION("""COMPUTED_VALUE"""),"ec-e")</f>
        <v>ec-e</v>
      </c>
      <c r="C1515" s="9" t="str">
        <f>IFERROR(__xludf.DUMMYFUNCTION("GOOGLETRANSLATE($A1515,""en"",""de"")"),"Esmeraldas")</f>
        <v>Esmeraldas</v>
      </c>
      <c r="D1515" s="9" t="str">
        <f>IFERROR(__xludf.DUMMYFUNCTION("GOOGLETRANSLATE($A1515,""en"",""fr"")"),"Esméraldas")</f>
        <v>Esméraldas</v>
      </c>
      <c r="E1515" s="9" t="str">
        <f>IFERROR(__xludf.DUMMYFUNCTION("GOOGLETRANSLATE($A1515,""en"",""es"")"),"Esmeraldas")</f>
        <v>Esmeraldas</v>
      </c>
      <c r="F1515" s="9" t="str">
        <f>IFERROR(__xludf.DUMMYFUNCTION("GOOGLETRANSLATE($A1515,""en"",""it"")"),"Esmeralda")</f>
        <v>Esmeralda</v>
      </c>
      <c r="G1515" s="9" t="str">
        <f>IFERROR(__xludf.DUMMYFUNCTION("GOOGLETRANSLATE($A1515,""en"",""zh-cn"")"),"埃斯梅拉达斯")</f>
        <v>埃斯梅拉达斯</v>
      </c>
      <c r="H1515" s="9" t="str">
        <f>IFERROR(__xludf.DUMMYFUNCTION("GOOGLETRANSLATE($A1515,""en"",""ja"")"),"エスメラルダス")</f>
        <v>エスメラルダス</v>
      </c>
      <c r="I1515" s="9" t="str">
        <f>IFERROR(__xludf.DUMMYFUNCTION("GOOGLETRANSLATE($A1515,""en"",""ko"")"),"에스메랄다스")</f>
        <v>에스메랄다스</v>
      </c>
      <c r="J1515" s="9" t="str">
        <f>IFERROR(__xludf.DUMMYFUNCTION("GOOGLETRANSLATE($A1515,""en"",""pt-BR"")"),"Esmeraldas")</f>
        <v>Esmeraldas</v>
      </c>
    </row>
    <row r="1516">
      <c r="A1516" s="9" t="str">
        <f>IFERROR(__xludf.DUMMYFUNCTION("""COMPUTED_VALUE"""),"Santa Elena")</f>
        <v>Santa Elena</v>
      </c>
      <c r="B1516" s="9" t="str">
        <f>IFERROR(__xludf.DUMMYFUNCTION("""COMPUTED_VALUE"""),"ec-se")</f>
        <v>ec-se</v>
      </c>
      <c r="C1516" s="9" t="str">
        <f>IFERROR(__xludf.DUMMYFUNCTION("GOOGLETRANSLATE($A1516,""en"",""de"")"),"Santa Elena")</f>
        <v>Santa Elena</v>
      </c>
      <c r="D1516" s="9" t="str">
        <f>IFERROR(__xludf.DUMMYFUNCTION("GOOGLETRANSLATE($A1516,""en"",""fr"")"),"Sainte Hélène")</f>
        <v>Sainte Hélène</v>
      </c>
      <c r="E1516" s="9" t="str">
        <f>IFERROR(__xludf.DUMMYFUNCTION("GOOGLETRANSLATE($A1516,""en"",""es"")"),"santa elena")</f>
        <v>santa elena</v>
      </c>
      <c r="F1516" s="9" t="str">
        <f>IFERROR(__xludf.DUMMYFUNCTION("GOOGLETRANSLATE($A1516,""en"",""it"")"),"Santa Elena")</f>
        <v>Santa Elena</v>
      </c>
      <c r="G1516" s="9" t="str">
        <f>IFERROR(__xludf.DUMMYFUNCTION("GOOGLETRANSLATE($A1516,""en"",""zh-cn"")"),"圣埃琳娜")</f>
        <v>圣埃琳娜</v>
      </c>
      <c r="H1516" s="9" t="str">
        <f>IFERROR(__xludf.DUMMYFUNCTION("GOOGLETRANSLATE($A1516,""en"",""ja"")"),"サンタエレナ")</f>
        <v>サンタエレナ</v>
      </c>
      <c r="I1516" s="9" t="str">
        <f>IFERROR(__xludf.DUMMYFUNCTION("GOOGLETRANSLATE($A1516,""en"",""ko"")"),"산타 엘레나")</f>
        <v>산타 엘레나</v>
      </c>
      <c r="J1516" s="9" t="str">
        <f>IFERROR(__xludf.DUMMYFUNCTION("GOOGLETRANSLATE($A1516,""en"",""pt-BR"")"),"Santa Helena")</f>
        <v>Santa Helena</v>
      </c>
    </row>
    <row r="1517">
      <c r="A1517" s="9" t="str">
        <f>IFERROR(__xludf.DUMMYFUNCTION("""COMPUTED_VALUE"""),"Al Fayyūm")</f>
        <v>Al Fayyūm</v>
      </c>
      <c r="B1517" s="9" t="str">
        <f>IFERROR(__xludf.DUMMYFUNCTION("""COMPUTED_VALUE"""),"eg-fym")</f>
        <v>eg-fym</v>
      </c>
      <c r="C1517" s="9" t="str">
        <f>IFERROR(__xludf.DUMMYFUNCTION("GOOGLETRANSLATE($A1517,""en"",""de"")"),"Al Fayyūm")</f>
        <v>Al Fayyūm</v>
      </c>
      <c r="D1517" s="9" t="str">
        <f>IFERROR(__xludf.DUMMYFUNCTION("GOOGLETRANSLATE($A1517,""en"",""fr"")"),"Al Fayoum")</f>
        <v>Al Fayoum</v>
      </c>
      <c r="E1517" s="9" t="str">
        <f>IFERROR(__xludf.DUMMYFUNCTION("GOOGLETRANSLATE($A1517,""en"",""es"")"),"Al Fayum")</f>
        <v>Al Fayum</v>
      </c>
      <c r="F1517" s="9" t="str">
        <f>IFERROR(__xludf.DUMMYFUNCTION("GOOGLETRANSLATE($A1517,""en"",""it"")"),"Al Fayyūm")</f>
        <v>Al Fayyūm</v>
      </c>
      <c r="G1517" s="9" t="str">
        <f>IFERROR(__xludf.DUMMYFUNCTION("GOOGLETRANSLATE($A1517,""en"",""zh-cn"")"),"法尤姆")</f>
        <v>法尤姆</v>
      </c>
      <c r="H1517" s="9" t="str">
        <f>IFERROR(__xludf.DUMMYFUNCTION("GOOGLETRANSLATE($A1517,""en"",""ja"")"),"アル・ファイユーム")</f>
        <v>アル・ファイユーム</v>
      </c>
      <c r="I1517" s="9" t="str">
        <f>IFERROR(__xludf.DUMMYFUNCTION("GOOGLETRANSLATE($A1517,""en"",""ko"")"),"알 파이윰")</f>
        <v>알 파이윰</v>
      </c>
      <c r="J1517" s="9" t="str">
        <f>IFERROR(__xludf.DUMMYFUNCTION("GOOGLETRANSLATE($A1517,""en"",""pt-BR"")"),"Al Fayyum")</f>
        <v>Al Fayyum</v>
      </c>
    </row>
    <row r="1518">
      <c r="A1518" s="9" t="str">
        <f>IFERROR(__xludf.DUMMYFUNCTION("""COMPUTED_VALUE"""),"Al Qalyūbīyah")</f>
        <v>Al Qalyūbīyah</v>
      </c>
      <c r="B1518" s="9" t="str">
        <f>IFERROR(__xludf.DUMMYFUNCTION("""COMPUTED_VALUE"""),"eg-kb")</f>
        <v>eg-kb</v>
      </c>
      <c r="C1518" s="9" t="str">
        <f>IFERROR(__xludf.DUMMYFUNCTION("GOOGLETRANSLATE($A1518,""en"",""de"")"),"Al Qalyūbīyah")</f>
        <v>Al Qalyūbīyah</v>
      </c>
      <c r="D1518" s="9" t="str">
        <f>IFERROR(__xludf.DUMMYFUNCTION("GOOGLETRANSLATE($A1518,""en"",""fr"")"),"Al Qalyubiyah")</f>
        <v>Al Qalyubiyah</v>
      </c>
      <c r="E1518" s="9" t="str">
        <f>IFERROR(__xludf.DUMMYFUNCTION("GOOGLETRANSLATE($A1518,""en"",""es"")"),"Al Qalyūbīyah")</f>
        <v>Al Qalyūbīyah</v>
      </c>
      <c r="F1518" s="9" t="str">
        <f>IFERROR(__xludf.DUMMYFUNCTION("GOOGLETRANSLATE($A1518,""en"",""it"")"),"Al Qalyūbīyah")</f>
        <v>Al Qalyūbīyah</v>
      </c>
      <c r="G1518" s="9" t="str">
        <f>IFERROR(__xludf.DUMMYFUNCTION("GOOGLETRANSLATE($A1518,""en"",""zh-cn"")"),"卡柳比亚")</f>
        <v>卡柳比亚</v>
      </c>
      <c r="H1518" s="9" t="str">
        <f>IFERROR(__xludf.DUMMYFUNCTION("GOOGLETRANSLATE($A1518,""en"",""ja"")"),"アル・カリウビーヤ")</f>
        <v>アル・カリウビーヤ</v>
      </c>
      <c r="I1518" s="9" t="str">
        <f>IFERROR(__xludf.DUMMYFUNCTION("GOOGLETRANSLATE($A1518,""en"",""ko"")"),"알 칼류비야")</f>
        <v>알 칼류비야</v>
      </c>
      <c r="J1518" s="9" t="str">
        <f>IFERROR(__xludf.DUMMYFUNCTION("GOOGLETRANSLATE($A1518,""en"",""pt-BR"")"),"Al Qalyubīyah")</f>
        <v>Al Qalyubīyah</v>
      </c>
    </row>
    <row r="1519">
      <c r="A1519" s="9" t="str">
        <f>IFERROR(__xludf.DUMMYFUNCTION("""COMPUTED_VALUE"""),"Al Wādī al Jadīd")</f>
        <v>Al Wādī al Jadīd</v>
      </c>
      <c r="B1519" s="9" t="str">
        <f>IFERROR(__xludf.DUMMYFUNCTION("""COMPUTED_VALUE"""),"eg-wad")</f>
        <v>eg-wad</v>
      </c>
      <c r="C1519" s="9" t="str">
        <f>IFERROR(__xludf.DUMMYFUNCTION("GOOGLETRANSLATE($A1519,""en"",""de"")"),"Al Wādī al Jadīd")</f>
        <v>Al Wādī al Jadīd</v>
      </c>
      <c r="D1519" s="9" t="str">
        <f>IFERROR(__xludf.DUMMYFUNCTION("GOOGLETRANSLATE($A1519,""en"",""fr"")"),"Al Wadi al Jadid")</f>
        <v>Al Wadi al Jadid</v>
      </c>
      <c r="E1519" s="9" t="str">
        <f>IFERROR(__xludf.DUMMYFUNCTION("GOOGLETRANSLATE($A1519,""en"",""es"")"),"Al Wādī al Jadīd")</f>
        <v>Al Wādī al Jadīd</v>
      </c>
      <c r="F1519" s="9" t="str">
        <f>IFERROR(__xludf.DUMMYFUNCTION("GOOGLETRANSLATE($A1519,""en"",""it"")"),"Al Wādī al Jadīd")</f>
        <v>Al Wādī al Jadīd</v>
      </c>
      <c r="G1519" s="9" t="str">
        <f>IFERROR(__xludf.DUMMYFUNCTION("GOOGLETRANSLATE($A1519,""en"",""zh-cn"")"),"瓦迪贾迪德")</f>
        <v>瓦迪贾迪德</v>
      </c>
      <c r="H1519" s="9" t="str">
        <f>IFERROR(__xludf.DUMMYFUNCTION("GOOGLETRANSLATE($A1519,""en"",""ja"")"),"アル ワディー アル ジャディード")</f>
        <v>アル ワディー アル ジャディード</v>
      </c>
      <c r="I1519" s="9" t="str">
        <f>IFERROR(__xludf.DUMMYFUNCTION("GOOGLETRANSLATE($A1519,""en"",""ko"")"),"알 와디 알 자디드")</f>
        <v>알 와디 알 자디드</v>
      </c>
      <c r="J1519" s="9" t="str">
        <f>IFERROR(__xludf.DUMMYFUNCTION("GOOGLETRANSLATE($A1519,""en"",""pt-BR"")"),"Al Wādī al Jadīd")</f>
        <v>Al Wādī al Jadīd</v>
      </c>
    </row>
    <row r="1520">
      <c r="A1520" s="9" t="str">
        <f>IFERROR(__xludf.DUMMYFUNCTION("""COMPUTED_VALUE"""),"Al Uqşur")</f>
        <v>Al Uqşur</v>
      </c>
      <c r="B1520" s="9" t="str">
        <f>IFERROR(__xludf.DUMMYFUNCTION("""COMPUTED_VALUE"""),"eg-lx")</f>
        <v>eg-lx</v>
      </c>
      <c r="C1520" s="9" t="str">
        <f>IFERROR(__xludf.DUMMYFUNCTION("GOOGLETRANSLATE($A1520,""en"",""de"")"),"Al Uqsur")</f>
        <v>Al Uqsur</v>
      </c>
      <c r="D1520" s="9" t="str">
        <f>IFERROR(__xludf.DUMMYFUNCTION("GOOGLETRANSLATE($A1520,""en"",""fr"")"),"Al Uqsur")</f>
        <v>Al Uqsur</v>
      </c>
      <c r="E1520" s="9" t="str">
        <f>IFERROR(__xludf.DUMMYFUNCTION("GOOGLETRANSLATE($A1520,""en"",""es"")"),"Al Uqşur")</f>
        <v>Al Uqşur</v>
      </c>
      <c r="F1520" s="9" t="str">
        <f>IFERROR(__xludf.DUMMYFUNCTION("GOOGLETRANSLATE($A1520,""en"",""it"")"),"Al Uqşur")</f>
        <v>Al Uqşur</v>
      </c>
      <c r="G1520" s="9" t="str">
        <f>IFERROR(__xludf.DUMMYFUNCTION("GOOGLETRANSLATE($A1520,""en"",""zh-cn"")"),"乌克苏尔")</f>
        <v>乌克苏尔</v>
      </c>
      <c r="H1520" s="9" t="str">
        <f>IFERROR(__xludf.DUMMYFUNCTION("GOOGLETRANSLATE($A1520,""en"",""ja"")"),"アル・ウクシュル")</f>
        <v>アル・ウクシュル</v>
      </c>
      <c r="I1520" s="9" t="str">
        <f>IFERROR(__xludf.DUMMYFUNCTION("GOOGLETRANSLATE($A1520,""en"",""ko"")"),"알 우크슈르")</f>
        <v>알 우크슈르</v>
      </c>
      <c r="J1520" s="9" t="str">
        <f>IFERROR(__xludf.DUMMYFUNCTION("GOOGLETRANSLATE($A1520,""en"",""pt-BR"")"),"Al Uqsur")</f>
        <v>Al Uqsur</v>
      </c>
    </row>
    <row r="1521">
      <c r="A1521" s="9" t="str">
        <f>IFERROR(__xludf.DUMMYFUNCTION("""COMPUTED_VALUE"""),"Al Jīzah")</f>
        <v>Al Jīzah</v>
      </c>
      <c r="B1521" s="9" t="str">
        <f>IFERROR(__xludf.DUMMYFUNCTION("""COMPUTED_VALUE"""),"eg-gz")</f>
        <v>eg-gz</v>
      </c>
      <c r="C1521" s="9" t="str">
        <f>IFERROR(__xludf.DUMMYFUNCTION("GOOGLETRANSLATE($A1521,""en"",""de"")"),"Al Jīzah")</f>
        <v>Al Jīzah</v>
      </c>
      <c r="D1521" s="9" t="str">
        <f>IFERROR(__xludf.DUMMYFUNCTION("GOOGLETRANSLATE($A1521,""en"",""fr"")"),"Al Jizah")</f>
        <v>Al Jizah</v>
      </c>
      <c r="E1521" s="9" t="str">
        <f>IFERROR(__xludf.DUMMYFUNCTION("GOOGLETRANSLATE($A1521,""en"",""es"")"),"Al Jizah")</f>
        <v>Al Jizah</v>
      </c>
      <c r="F1521" s="9" t="str">
        <f>IFERROR(__xludf.DUMMYFUNCTION("GOOGLETRANSLATE($A1521,""en"",""it"")"),"Al Jizah")</f>
        <v>Al Jizah</v>
      </c>
      <c r="G1521" s="9" t="str">
        <f>IFERROR(__xludf.DUMMYFUNCTION("GOOGLETRANSLATE($A1521,""en"",""zh-cn"")"),"吉扎")</f>
        <v>吉扎</v>
      </c>
      <c r="H1521" s="9" t="str">
        <f>IFERROR(__xludf.DUMMYFUNCTION("GOOGLETRANSLATE($A1521,""en"",""ja"")"),"アル・ジーザ")</f>
        <v>アル・ジーザ</v>
      </c>
      <c r="I1521" s="9" t="str">
        <f>IFERROR(__xludf.DUMMYFUNCTION("GOOGLETRANSLATE($A1521,""en"",""ko"")"),"알 지자")</f>
        <v>알 지자</v>
      </c>
      <c r="J1521" s="9" t="str">
        <f>IFERROR(__xludf.DUMMYFUNCTION("GOOGLETRANSLATE($A1521,""en"",""pt-BR"")"),"Al Jizah")</f>
        <v>Al Jizah</v>
      </c>
    </row>
    <row r="1522">
      <c r="A1522" s="9" t="str">
        <f>IFERROR(__xludf.DUMMYFUNCTION("""COMPUTED_VALUE"""),"Ash Sharqīyah")</f>
        <v>Ash Sharqīyah</v>
      </c>
      <c r="B1522" s="9" t="str">
        <f>IFERROR(__xludf.DUMMYFUNCTION("""COMPUTED_VALUE"""),"eg-shr")</f>
        <v>eg-shr</v>
      </c>
      <c r="C1522" s="9" t="str">
        <f>IFERROR(__xludf.DUMMYFUNCTION("GOOGLETRANSLATE($A1522,""en"",""de"")"),"Ash Sharqīyah")</f>
        <v>Ash Sharqīyah</v>
      </c>
      <c r="D1522" s="9" t="str">
        <f>IFERROR(__xludf.DUMMYFUNCTION("GOOGLETRANSLATE($A1522,""en"",""fr"")"),"Ash Sharqiyah")</f>
        <v>Ash Sharqiyah</v>
      </c>
      <c r="E1522" s="9" t="str">
        <f>IFERROR(__xludf.DUMMYFUNCTION("GOOGLETRANSLATE($A1522,""en"",""es"")"),"Ash Sharqiyah")</f>
        <v>Ash Sharqiyah</v>
      </c>
      <c r="F1522" s="9" t="str">
        <f>IFERROR(__xludf.DUMMYFUNCTION("GOOGLETRANSLATE($A1522,""en"",""it"")"),"Ash Sharqīyah")</f>
        <v>Ash Sharqīyah</v>
      </c>
      <c r="G1522" s="9" t="str">
        <f>IFERROR(__xludf.DUMMYFUNCTION("GOOGLETRANSLATE($A1522,""en"",""zh-cn"")"),"阿什·沙尔基亚")</f>
        <v>阿什·沙尔基亚</v>
      </c>
      <c r="H1522" s="9" t="str">
        <f>IFERROR(__xludf.DUMMYFUNCTION("GOOGLETRANSLATE($A1522,""en"",""ja"")"),"アッシュ・シャルキーヤ")</f>
        <v>アッシュ・シャルキーヤ</v>
      </c>
      <c r="I1522" s="9" t="str">
        <f>IFERROR(__xludf.DUMMYFUNCTION("GOOGLETRANSLATE($A1522,""en"",""ko"")"),"애쉬 샤르키야")</f>
        <v>애쉬 샤르키야</v>
      </c>
      <c r="J1522" s="9" t="str">
        <f>IFERROR(__xludf.DUMMYFUNCTION("GOOGLETRANSLATE($A1522,""en"",""pt-BR"")"),"Ash Sharqīyah")</f>
        <v>Ash Sharqīyah</v>
      </c>
    </row>
    <row r="1523">
      <c r="A1523" s="9" t="str">
        <f>IFERROR(__xludf.DUMMYFUNCTION("""COMPUTED_VALUE"""),"Asyūţ")</f>
        <v>Asyūţ</v>
      </c>
      <c r="B1523" s="9" t="str">
        <f>IFERROR(__xludf.DUMMYFUNCTION("""COMPUTED_VALUE"""),"eg-ast")</f>
        <v>eg-ast</v>
      </c>
      <c r="C1523" s="9" t="str">
        <f>IFERROR(__xludf.DUMMYFUNCTION("GOOGLETRANSLATE($A1523,""en"",""de"")"),"Asyūţ")</f>
        <v>Asyūţ</v>
      </c>
      <c r="D1523" s="9" t="str">
        <f>IFERROR(__xludf.DUMMYFUNCTION("GOOGLETRANSLATE($A1523,""en"",""fr"")"),"Assiout")</f>
        <v>Assiout</v>
      </c>
      <c r="E1523" s="9" t="str">
        <f>IFERROR(__xludf.DUMMYFUNCTION("GOOGLETRANSLATE($A1523,""en"",""es"")"),"Asiūţ")</f>
        <v>Asiūţ</v>
      </c>
      <c r="F1523" s="9" t="str">
        <f>IFERROR(__xludf.DUMMYFUNCTION("GOOGLETRANSLATE($A1523,""en"",""it"")"),"Asyūţ")</f>
        <v>Asyūţ</v>
      </c>
      <c r="G1523" s="9" t="str">
        <f>IFERROR(__xludf.DUMMYFUNCTION("GOOGLETRANSLATE($A1523,""en"",""zh-cn"")"),"艾斯尤特")</f>
        <v>艾斯尤特</v>
      </c>
      <c r="H1523" s="9" t="str">
        <f>IFERROR(__xludf.DUMMYFUNCTION("GOOGLETRANSLATE($A1523,""en"",""ja"")"),"アシュシュ")</f>
        <v>アシュシュ</v>
      </c>
      <c r="I1523" s="9" t="str">
        <f>IFERROR(__xludf.DUMMYFUNCTION("GOOGLETRANSLATE($A1523,""en"",""ko"")"),"아시우츠")</f>
        <v>아시우츠</v>
      </c>
      <c r="J1523" s="9" t="str">
        <f>IFERROR(__xludf.DUMMYFUNCTION("GOOGLETRANSLATE($A1523,""en"",""pt-BR"")"),"Assiut")</f>
        <v>Assiut</v>
      </c>
    </row>
    <row r="1524">
      <c r="A1524" s="9" t="str">
        <f>IFERROR(__xludf.DUMMYFUNCTION("""COMPUTED_VALUE"""),"Maţrūḩ")</f>
        <v>Maţrūḩ</v>
      </c>
      <c r="B1524" s="9" t="str">
        <f>IFERROR(__xludf.DUMMYFUNCTION("""COMPUTED_VALUE"""),"eg-mt")</f>
        <v>eg-mt</v>
      </c>
      <c r="C1524" s="9" t="str">
        <f>IFERROR(__xludf.DUMMYFUNCTION("GOOGLETRANSLATE($A1524,""en"",""de"")"),"Matrūḩ")</f>
        <v>Matrūḩ</v>
      </c>
      <c r="D1524" s="9" t="str">
        <f>IFERROR(__xludf.DUMMYFUNCTION("GOOGLETRANSLATE($A1524,""en"",""fr"")"),"Maţrūḩ")</f>
        <v>Maţrūḩ</v>
      </c>
      <c r="E1524" s="9" t="str">
        <f>IFERROR(__xludf.DUMMYFUNCTION("GOOGLETRANSLATE($A1524,""en"",""es"")"),"Matrūḩ")</f>
        <v>Matrūḩ</v>
      </c>
      <c r="F1524" s="9" t="str">
        <f>IFERROR(__xludf.DUMMYFUNCTION("GOOGLETRANSLATE($A1524,""en"",""it"")"),"Maţrūḩ")</f>
        <v>Maţrūḩ</v>
      </c>
      <c r="G1524" s="9" t="str">
        <f>IFERROR(__xludf.DUMMYFUNCTION("GOOGLETRANSLATE($A1524,""en"",""zh-cn"")"),"玛兹鲁赫")</f>
        <v>玛兹鲁赫</v>
      </c>
      <c r="H1524" s="9" t="str">
        <f>IFERROR(__xludf.DUMMYFUNCTION("GOOGLETRANSLATE($A1524,""en"",""ja"")"),"マシュルフ")</f>
        <v>マシュルフ</v>
      </c>
      <c r="I1524" s="9" t="str">
        <f>IFERROR(__xludf.DUMMYFUNCTION("GOOGLETRANSLATE($A1524,""en"",""ko"")"),"마루흐")</f>
        <v>마루흐</v>
      </c>
      <c r="J1524" s="9" t="str">
        <f>IFERROR(__xludf.DUMMYFUNCTION("GOOGLETRANSLATE($A1524,""en"",""pt-BR"")"),"Maţrūḩ")</f>
        <v>Maţrūḩ</v>
      </c>
    </row>
    <row r="1525">
      <c r="A1525" s="9" t="str">
        <f>IFERROR(__xludf.DUMMYFUNCTION("""COMPUTED_VALUE"""),"Al Iskandarīyah")</f>
        <v>Al Iskandarīyah</v>
      </c>
      <c r="B1525" s="9" t="str">
        <f>IFERROR(__xludf.DUMMYFUNCTION("""COMPUTED_VALUE"""),"eg-alx")</f>
        <v>eg-alx</v>
      </c>
      <c r="C1525" s="9" t="str">
        <f>IFERROR(__xludf.DUMMYFUNCTION("GOOGLETRANSLATE($A1525,""en"",""de"")"),"Al Iskandariyah")</f>
        <v>Al Iskandariyah</v>
      </c>
      <c r="D1525" s="9" t="str">
        <f>IFERROR(__xludf.DUMMYFUNCTION("GOOGLETRANSLATE($A1525,""en"",""fr"")"),"Al Iskandariyah")</f>
        <v>Al Iskandariyah</v>
      </c>
      <c r="E1525" s="9" t="str">
        <f>IFERROR(__xludf.DUMMYFUNCTION("GOOGLETRANSLATE($A1525,""en"",""es"")"),"Al Iskandarīyah")</f>
        <v>Al Iskandarīyah</v>
      </c>
      <c r="F1525" s="9" t="str">
        <f>IFERROR(__xludf.DUMMYFUNCTION("GOOGLETRANSLATE($A1525,""en"",""it"")"),"Al Iskandariyah")</f>
        <v>Al Iskandariyah</v>
      </c>
      <c r="G1525" s="9" t="str">
        <f>IFERROR(__xludf.DUMMYFUNCTION("GOOGLETRANSLATE($A1525,""en"",""zh-cn"")"),"伊斯坎达里亚")</f>
        <v>伊斯坎达里亚</v>
      </c>
      <c r="H1525" s="9" t="str">
        <f>IFERROR(__xludf.DUMMYFUNCTION("GOOGLETRANSLATE($A1525,""en"",""ja"")"),"アル・イスカンダリーヤ")</f>
        <v>アル・イスカンダリーヤ</v>
      </c>
      <c r="I1525" s="9" t="str">
        <f>IFERROR(__xludf.DUMMYFUNCTION("GOOGLETRANSLATE($A1525,""en"",""ko"")"),"알 이스칸다리야")</f>
        <v>알 이스칸다리야</v>
      </c>
      <c r="J1525" s="9" t="str">
        <f>IFERROR(__xludf.DUMMYFUNCTION("GOOGLETRANSLATE($A1525,""en"",""pt-BR"")"),"Al Iskandarīyah")</f>
        <v>Al Iskandarīyah</v>
      </c>
    </row>
    <row r="1526">
      <c r="A1526" s="9" t="str">
        <f>IFERROR(__xludf.DUMMYFUNCTION("""COMPUTED_VALUE"""),"Shamāl Sīnā'")</f>
        <v>Shamāl Sīnā'</v>
      </c>
      <c r="B1526" s="9" t="str">
        <f>IFERROR(__xludf.DUMMYFUNCTION("""COMPUTED_VALUE"""),"eg-sin")</f>
        <v>eg-sin</v>
      </c>
      <c r="C1526" s="9" t="str">
        <f>IFERROR(__xludf.DUMMYFUNCTION("GOOGLETRANSLATE($A1526,""en"",""de"")"),"Shamal Sīnā'")</f>
        <v>Shamal Sīnā'</v>
      </c>
      <c r="D1526" s="9" t="str">
        <f>IFERROR(__xludf.DUMMYFUNCTION("GOOGLETRANSLATE($A1526,""en"",""fr"")"),"Shamal Sīna'")</f>
        <v>Shamal Sīna'</v>
      </c>
      <c r="E1526" s="9" t="str">
        <f>IFERROR(__xludf.DUMMYFUNCTION("GOOGLETRANSLATE($A1526,""en"",""es"")"),"Shamāl Sīnā'")</f>
        <v>Shamāl Sīnā'</v>
      </c>
      <c r="F1526" s="9" t="str">
        <f>IFERROR(__xludf.DUMMYFUNCTION("GOOGLETRANSLATE($A1526,""en"",""it"")"),"Shamal Sina'")</f>
        <v>Shamal Sina'</v>
      </c>
      <c r="G1526" s="9" t="str">
        <f>IFERROR(__xludf.DUMMYFUNCTION("GOOGLETRANSLATE($A1526,""en"",""zh-cn"")"),"沙玛尔·西纳'")</f>
        <v>沙玛尔·西纳'</v>
      </c>
      <c r="H1526" s="9" t="str">
        <f>IFERROR(__xludf.DUMMYFUNCTION("GOOGLETRANSLATE($A1526,""en"",""ja"")"),"シャマル・シナ")</f>
        <v>シャマル・シナ</v>
      </c>
      <c r="I1526" s="9" t="str">
        <f>IFERROR(__xludf.DUMMYFUNCTION("GOOGLETRANSLATE($A1526,""en"",""ko"")"),"샤말 시나'")</f>
        <v>샤말 시나'</v>
      </c>
      <c r="J1526" s="9" t="str">
        <f>IFERROR(__xludf.DUMMYFUNCTION("GOOGLETRANSLATE($A1526,""en"",""pt-BR"")"),"Shamāl Sīnā'")</f>
        <v>Shamāl Sīnā'</v>
      </c>
    </row>
    <row r="1527">
      <c r="A1527" s="9" t="str">
        <f>IFERROR(__xludf.DUMMYFUNCTION("""COMPUTED_VALUE"""),"Al Buḩayrah")</f>
        <v>Al Buḩayrah</v>
      </c>
      <c r="B1527" s="9" t="str">
        <f>IFERROR(__xludf.DUMMYFUNCTION("""COMPUTED_VALUE"""),"eg-bh")</f>
        <v>eg-bh</v>
      </c>
      <c r="C1527" s="9" t="str">
        <f>IFERROR(__xludf.DUMMYFUNCTION("GOOGLETRANSLATE($A1527,""en"",""de"")"),"Al Buḩayrah")</f>
        <v>Al Buḩayrah</v>
      </c>
      <c r="D1527" s="9" t="str">
        <f>IFERROR(__xludf.DUMMYFUNCTION("GOOGLETRANSLATE($A1527,""en"",""fr"")"),"Al Buhayrah")</f>
        <v>Al Buhayrah</v>
      </c>
      <c r="E1527" s="9" t="str">
        <f>IFERROR(__xludf.DUMMYFUNCTION("GOOGLETRANSLATE($A1527,""en"",""es"")"),"Al Buhayrah")</f>
        <v>Al Buhayrah</v>
      </c>
      <c r="F1527" s="9" t="str">
        <f>IFERROR(__xludf.DUMMYFUNCTION("GOOGLETRANSLATE($A1527,""en"",""it"")"),"Al Buḩayrah")</f>
        <v>Al Buḩayrah</v>
      </c>
      <c r="G1527" s="9" t="str">
        <f>IFERROR(__xludf.DUMMYFUNCTION("GOOGLETRANSLATE($A1527,""en"",""zh-cn"")"),"阿尔布艾拉")</f>
        <v>阿尔布艾拉</v>
      </c>
      <c r="H1527" s="9" t="str">
        <f>IFERROR(__xludf.DUMMYFUNCTION("GOOGLETRANSLATE($A1527,""en"",""ja"")"),"アル・ブアイラ")</f>
        <v>アル・ブアイラ</v>
      </c>
      <c r="I1527" s="9" t="str">
        <f>IFERROR(__xludf.DUMMYFUNCTION("GOOGLETRANSLATE($A1527,""en"",""ko"")"),"알 부하이라")</f>
        <v>알 부하이라</v>
      </c>
      <c r="J1527" s="9" t="str">
        <f>IFERROR(__xludf.DUMMYFUNCTION("GOOGLETRANSLATE($A1527,""en"",""pt-BR"")"),"Al Buhayrah")</f>
        <v>Al Buhayrah</v>
      </c>
    </row>
    <row r="1528">
      <c r="A1528" s="9" t="str">
        <f>IFERROR(__xludf.DUMMYFUNCTION("""COMPUTED_VALUE"""),"Qinā")</f>
        <v>Qinā</v>
      </c>
      <c r="B1528" s="9" t="str">
        <f>IFERROR(__xludf.DUMMYFUNCTION("""COMPUTED_VALUE"""),"eg-kn")</f>
        <v>eg-kn</v>
      </c>
      <c r="C1528" s="9" t="str">
        <f>IFERROR(__xludf.DUMMYFUNCTION("GOOGLETRANSLATE($A1528,""en"",""de"")"),"Qina")</f>
        <v>Qina</v>
      </c>
      <c r="D1528" s="9" t="str">
        <f>IFERROR(__xludf.DUMMYFUNCTION("GOOGLETRANSLATE($A1528,""en"",""fr"")"),"Qinā")</f>
        <v>Qinā</v>
      </c>
      <c r="E1528" s="9" t="str">
        <f>IFERROR(__xludf.DUMMYFUNCTION("GOOGLETRANSLATE($A1528,""en"",""es"")"),"qina")</f>
        <v>qina</v>
      </c>
      <c r="F1528" s="9" t="str">
        <f>IFERROR(__xludf.DUMMYFUNCTION("GOOGLETRANSLATE($A1528,""en"",""it"")"),"Qina")</f>
        <v>Qina</v>
      </c>
      <c r="G1528" s="9" t="str">
        <f>IFERROR(__xludf.DUMMYFUNCTION("GOOGLETRANSLATE($A1528,""en"",""zh-cn"")"),"奇纳")</f>
        <v>奇纳</v>
      </c>
      <c r="H1528" s="9" t="str">
        <f>IFERROR(__xludf.DUMMYFUNCTION("GOOGLETRANSLATE($A1528,""en"",""ja"")"),"キナ")</f>
        <v>キナ</v>
      </c>
      <c r="I1528" s="9" t="str">
        <f>IFERROR(__xludf.DUMMYFUNCTION("GOOGLETRANSLATE($A1528,""en"",""ko"")"),"키나")</f>
        <v>키나</v>
      </c>
      <c r="J1528" s="9" t="str">
        <f>IFERROR(__xludf.DUMMYFUNCTION("GOOGLETRANSLATE($A1528,""en"",""pt-BR"")"),"Qina")</f>
        <v>Qina</v>
      </c>
    </row>
    <row r="1529">
      <c r="A1529" s="9" t="str">
        <f>IFERROR(__xludf.DUMMYFUNCTION("""COMPUTED_VALUE"""),"Janūb Sīnā'")</f>
        <v>Janūb Sīnā'</v>
      </c>
      <c r="B1529" s="9" t="str">
        <f>IFERROR(__xludf.DUMMYFUNCTION("""COMPUTED_VALUE"""),"eg-js")</f>
        <v>eg-js</v>
      </c>
      <c r="C1529" s="9" t="str">
        <f>IFERROR(__xludf.DUMMYFUNCTION("GOOGLETRANSLATE($A1529,""en"",""de"")"),"Janūb Sīnā'")</f>
        <v>Janūb Sīnā'</v>
      </c>
      <c r="D1529" s="9" t="str">
        <f>IFERROR(__xludf.DUMMYFUNCTION("GOOGLETRANSLATE($A1529,""en"",""fr"")"),"Janūb Sīna'")</f>
        <v>Janūb Sīna'</v>
      </c>
      <c r="E1529" s="9" t="str">
        <f>IFERROR(__xludf.DUMMYFUNCTION("GOOGLETRANSLATE($A1529,""en"",""es"")"),"Janūb Sīnā'")</f>
        <v>Janūb Sīnā'</v>
      </c>
      <c r="F1529" s="9" t="str">
        <f>IFERROR(__xludf.DUMMYFUNCTION("GOOGLETRANSLATE($A1529,""en"",""it"")"),"Janūb Sīnā'")</f>
        <v>Janūb Sīnā'</v>
      </c>
      <c r="G1529" s="9" t="str">
        <f>IFERROR(__xludf.DUMMYFUNCTION("GOOGLETRANSLATE($A1529,""en"",""zh-cn"")"),"贾努布·西那")</f>
        <v>贾努布·西那</v>
      </c>
      <c r="H1529" s="9" t="str">
        <f>IFERROR(__xludf.DUMMYFUNCTION("GOOGLETRANSLATE($A1529,""en"",""ja"")"),"ジャヌブ・シナ'")</f>
        <v>ジャヌブ・シナ'</v>
      </c>
      <c r="I1529" s="9" t="str">
        <f>IFERROR(__xludf.DUMMYFUNCTION("GOOGLETRANSLATE($A1529,""en"",""ko"")"),"자눕 시나'")</f>
        <v>자눕 시나'</v>
      </c>
      <c r="J1529" s="9" t="str">
        <f>IFERROR(__xludf.DUMMYFUNCTION("GOOGLETRANSLATE($A1529,""en"",""pt-BR"")"),"Janūb Sīnā'")</f>
        <v>Janūb Sīnā'</v>
      </c>
    </row>
    <row r="1530">
      <c r="A1530" s="9" t="str">
        <f>IFERROR(__xludf.DUMMYFUNCTION("""COMPUTED_VALUE"""),"Banī Suwayf")</f>
        <v>Banī Suwayf</v>
      </c>
      <c r="B1530" s="9" t="str">
        <f>IFERROR(__xludf.DUMMYFUNCTION("""COMPUTED_VALUE"""),"eg-bns")</f>
        <v>eg-bns</v>
      </c>
      <c r="C1530" s="9" t="str">
        <f>IFERROR(__xludf.DUMMYFUNCTION("GOOGLETRANSLATE($A1530,""en"",""de"")"),"Banī Suwayf")</f>
        <v>Banī Suwayf</v>
      </c>
      <c r="D1530" s="9" t="str">
        <f>IFERROR(__xludf.DUMMYFUNCTION("GOOGLETRANSLATE($A1530,""en"",""fr"")"),"Bani Suwayf")</f>
        <v>Bani Suwayf</v>
      </c>
      <c r="E1530" s="9" t="str">
        <f>IFERROR(__xludf.DUMMYFUNCTION("GOOGLETRANSLATE($A1530,""en"",""es"")"),"Bani Suwayf")</f>
        <v>Bani Suwayf</v>
      </c>
      <c r="F1530" s="9" t="str">
        <f>IFERROR(__xludf.DUMMYFUNCTION("GOOGLETRANSLATE($A1530,""en"",""it"")"),"Bani Suwayf")</f>
        <v>Bani Suwayf</v>
      </c>
      <c r="G1530" s="9" t="str">
        <f>IFERROR(__xludf.DUMMYFUNCTION("GOOGLETRANSLATE($A1530,""en"",""zh-cn"")"),"巴尼苏韦夫")</f>
        <v>巴尼苏韦夫</v>
      </c>
      <c r="H1530" s="9" t="str">
        <f>IFERROR(__xludf.DUMMYFUNCTION("GOOGLETRANSLATE($A1530,""en"",""ja"")"),"バニー・スワイフ")</f>
        <v>バニー・スワイフ</v>
      </c>
      <c r="I1530" s="9" t="str">
        <f>IFERROR(__xludf.DUMMYFUNCTION("GOOGLETRANSLATE($A1530,""en"",""ko"")"),"바니 수웨이프")</f>
        <v>바니 수웨이프</v>
      </c>
      <c r="J1530" s="9" t="str">
        <f>IFERROR(__xludf.DUMMYFUNCTION("GOOGLETRANSLATE($A1530,""en"",""pt-BR"")"),"Bani Suwayf")</f>
        <v>Bani Suwayf</v>
      </c>
    </row>
    <row r="1531">
      <c r="A1531" s="9" t="str">
        <f>IFERROR(__xludf.DUMMYFUNCTION("""COMPUTED_VALUE"""),"Ad Daqahlīyah")</f>
        <v>Ad Daqahlīyah</v>
      </c>
      <c r="B1531" s="9" t="str">
        <f>IFERROR(__xludf.DUMMYFUNCTION("""COMPUTED_VALUE"""),"eg-dk")</f>
        <v>eg-dk</v>
      </c>
      <c r="C1531" s="9" t="str">
        <f>IFERROR(__xludf.DUMMYFUNCTION("GOOGLETRANSLATE($A1531,""en"",""de"")"),"Ad Daqahlīyah")</f>
        <v>Ad Daqahlīyah</v>
      </c>
      <c r="D1531" s="9" t="str">
        <f>IFERROR(__xludf.DUMMYFUNCTION("GOOGLETRANSLATE($A1531,""en"",""fr"")"),"Ad Daqahliyah")</f>
        <v>Ad Daqahliyah</v>
      </c>
      <c r="E1531" s="9" t="str">
        <f>IFERROR(__xludf.DUMMYFUNCTION("GOOGLETRANSLATE($A1531,""en"",""es"")"),"Ad Daqahliyah")</f>
        <v>Ad Daqahliyah</v>
      </c>
      <c r="F1531" s="9" t="str">
        <f>IFERROR(__xludf.DUMMYFUNCTION("GOOGLETRANSLATE($A1531,""en"",""it"")"),"Ad Daqahlīyah")</f>
        <v>Ad Daqahlīyah</v>
      </c>
      <c r="G1531" s="9" t="str">
        <f>IFERROR(__xludf.DUMMYFUNCTION("GOOGLETRANSLATE($A1531,""en"",""zh-cn"")"),"达卡利耶")</f>
        <v>达卡利耶</v>
      </c>
      <c r="H1531" s="9" t="str">
        <f>IFERROR(__xludf.DUMMYFUNCTION("GOOGLETRANSLATE($A1531,""en"",""ja"")"),"アド・ダカーリーヤ")</f>
        <v>アド・ダカーリーヤ</v>
      </c>
      <c r="I1531" s="9" t="str">
        <f>IFERROR(__xludf.DUMMYFUNCTION("GOOGLETRANSLATE($A1531,""en"",""ko"")"),"애드 다칼리야")</f>
        <v>애드 다칼리야</v>
      </c>
      <c r="J1531" s="9" t="str">
        <f>IFERROR(__xludf.DUMMYFUNCTION("GOOGLETRANSLATE($A1531,""en"",""pt-BR"")"),"Ad Daqahlīyah")</f>
        <v>Ad Daqahlīyah</v>
      </c>
    </row>
    <row r="1532">
      <c r="A1532" s="9" t="str">
        <f>IFERROR(__xludf.DUMMYFUNCTION("""COMPUTED_VALUE"""),"Sūhāj")</f>
        <v>Sūhāj</v>
      </c>
      <c r="B1532" s="9" t="str">
        <f>IFERROR(__xludf.DUMMYFUNCTION("""COMPUTED_VALUE"""),"eg-shg")</f>
        <v>eg-shg</v>
      </c>
      <c r="C1532" s="9" t="str">
        <f>IFERROR(__xludf.DUMMYFUNCTION("GOOGLETRANSLATE($A1532,""en"",""de"")"),"Sūhāj")</f>
        <v>Sūhāj</v>
      </c>
      <c r="D1532" s="9" t="str">
        <f>IFERROR(__xludf.DUMMYFUNCTION("GOOGLETRANSLATE($A1532,""en"",""fr"")"),"Suhaj")</f>
        <v>Suhaj</v>
      </c>
      <c r="E1532" s="9" t="str">
        <f>IFERROR(__xludf.DUMMYFUNCTION("GOOGLETRANSLATE($A1532,""en"",""es"")"),"Suhaj")</f>
        <v>Suhaj</v>
      </c>
      <c r="F1532" s="9" t="str">
        <f>IFERROR(__xludf.DUMMYFUNCTION("GOOGLETRANSLATE($A1532,""en"",""it"")"),"Sūhāj")</f>
        <v>Sūhāj</v>
      </c>
      <c r="G1532" s="9" t="str">
        <f>IFERROR(__xludf.DUMMYFUNCTION("GOOGLETRANSLATE($A1532,""en"",""zh-cn"")"),"苏哈吉")</f>
        <v>苏哈吉</v>
      </c>
      <c r="H1532" s="9" t="str">
        <f>IFERROR(__xludf.DUMMYFUNCTION("GOOGLETRANSLATE($A1532,""en"",""ja"")"),"スハージ")</f>
        <v>スハージ</v>
      </c>
      <c r="I1532" s="9" t="str">
        <f>IFERROR(__xludf.DUMMYFUNCTION("GOOGLETRANSLATE($A1532,""en"",""ko"")"),"수하즈")</f>
        <v>수하즈</v>
      </c>
      <c r="J1532" s="9" t="str">
        <f>IFERROR(__xludf.DUMMYFUNCTION("GOOGLETRANSLATE($A1532,""en"",""pt-BR"")"),"Suhaj")</f>
        <v>Suhaj</v>
      </c>
    </row>
    <row r="1533">
      <c r="A1533" s="9" t="str">
        <f>IFERROR(__xludf.DUMMYFUNCTION("""COMPUTED_VALUE"""),"Al Minyā")</f>
        <v>Al Minyā</v>
      </c>
      <c r="B1533" s="9" t="str">
        <f>IFERROR(__xludf.DUMMYFUNCTION("""COMPUTED_VALUE"""),"eg-mn")</f>
        <v>eg-mn</v>
      </c>
      <c r="C1533" s="9" t="str">
        <f>IFERROR(__xludf.DUMMYFUNCTION("GOOGLETRANSLATE($A1533,""en"",""de"")"),"Al Minyā")</f>
        <v>Al Minyā</v>
      </c>
      <c r="D1533" s="9" t="str">
        <f>IFERROR(__xludf.DUMMYFUNCTION("GOOGLETRANSLATE($A1533,""en"",""fr"")"),"Al Minya")</f>
        <v>Al Minya</v>
      </c>
      <c r="E1533" s="9" t="str">
        <f>IFERROR(__xludf.DUMMYFUNCTION("GOOGLETRANSLATE($A1533,""en"",""es"")"),"Al Minya")</f>
        <v>Al Minya</v>
      </c>
      <c r="F1533" s="9" t="str">
        <f>IFERROR(__xludf.DUMMYFUNCTION("GOOGLETRANSLATE($A1533,""en"",""it"")"),"Al Minya")</f>
        <v>Al Minya</v>
      </c>
      <c r="G1533" s="9" t="str">
        <f>IFERROR(__xludf.DUMMYFUNCTION("GOOGLETRANSLATE($A1533,""en"",""zh-cn"")"),"阿尔明亚")</f>
        <v>阿尔明亚</v>
      </c>
      <c r="H1533" s="9" t="str">
        <f>IFERROR(__xludf.DUMMYFUNCTION("GOOGLETRANSLATE($A1533,""en"",""ja"")"),"アル・ミニヤ")</f>
        <v>アル・ミニヤ</v>
      </c>
      <c r="I1533" s="9" t="str">
        <f>IFERROR(__xludf.DUMMYFUNCTION("GOOGLETRANSLATE($A1533,""en"",""ko"")"),"알 미냐")</f>
        <v>알 미냐</v>
      </c>
      <c r="J1533" s="9" t="str">
        <f>IFERROR(__xludf.DUMMYFUNCTION("GOOGLETRANSLATE($A1533,""en"",""pt-BR"")"),"Al Minya")</f>
        <v>Al Minya</v>
      </c>
    </row>
    <row r="1534">
      <c r="A1534" s="9" t="str">
        <f>IFERROR(__xludf.DUMMYFUNCTION("""COMPUTED_VALUE"""),"Aswān")</f>
        <v>Aswān</v>
      </c>
      <c r="B1534" s="9" t="str">
        <f>IFERROR(__xludf.DUMMYFUNCTION("""COMPUTED_VALUE"""),"eg-asn")</f>
        <v>eg-asn</v>
      </c>
      <c r="C1534" s="9" t="str">
        <f>IFERROR(__xludf.DUMMYFUNCTION("GOOGLETRANSLATE($A1534,""en"",""de"")"),"Assuan")</f>
        <v>Assuan</v>
      </c>
      <c r="D1534" s="9" t="str">
        <f>IFERROR(__xludf.DUMMYFUNCTION("GOOGLETRANSLATE($A1534,""en"",""fr"")"),"Assouan")</f>
        <v>Assouan</v>
      </c>
      <c r="E1534" s="9" t="str">
        <f>IFERROR(__xludf.DUMMYFUNCTION("GOOGLETRANSLATE($A1534,""en"",""es"")"),"Asuán")</f>
        <v>Asuán</v>
      </c>
      <c r="F1534" s="9" t="str">
        <f>IFERROR(__xludf.DUMMYFUNCTION("GOOGLETRANSLATE($A1534,""en"",""it"")"),"Assuan")</f>
        <v>Assuan</v>
      </c>
      <c r="G1534" s="9" t="str">
        <f>IFERROR(__xludf.DUMMYFUNCTION("GOOGLETRANSLATE($A1534,""en"",""zh-cn"")"),"阿斯旺")</f>
        <v>阿斯旺</v>
      </c>
      <c r="H1534" s="9" t="str">
        <f>IFERROR(__xludf.DUMMYFUNCTION("GOOGLETRANSLATE($A1534,""en"",""ja"")"),"アスワン")</f>
        <v>アスワン</v>
      </c>
      <c r="I1534" s="9" t="str">
        <f>IFERROR(__xludf.DUMMYFUNCTION("GOOGLETRANSLATE($A1534,""en"",""ko"")"),"아스완")</f>
        <v>아스완</v>
      </c>
      <c r="J1534" s="9" t="str">
        <f>IFERROR(__xludf.DUMMYFUNCTION("GOOGLETRANSLATE($A1534,""en"",""pt-BR"")"),"Aswan")</f>
        <v>Aswan</v>
      </c>
    </row>
    <row r="1535">
      <c r="A1535" s="9" t="str">
        <f>IFERROR(__xludf.DUMMYFUNCTION("""COMPUTED_VALUE"""),"Al Baḩr al Aḩmar")</f>
        <v>Al Baḩr al Aḩmar</v>
      </c>
      <c r="B1535" s="9" t="str">
        <f>IFERROR(__xludf.DUMMYFUNCTION("""COMPUTED_VALUE"""),"eg-ba")</f>
        <v>eg-ba</v>
      </c>
      <c r="C1535" s="9" t="str">
        <f>IFERROR(__xludf.DUMMYFUNCTION("GOOGLETRANSLATE($A1535,""en"",""de"")"),"Al Baḩr al Aḩmar")</f>
        <v>Al Baḩr al Aḩmar</v>
      </c>
      <c r="D1535" s="9" t="str">
        <f>IFERROR(__xludf.DUMMYFUNCTION("GOOGLETRANSLATE($A1535,""en"",""fr"")"),"Al Baḩr al Aḩmar")</f>
        <v>Al Baḩr al Aḩmar</v>
      </c>
      <c r="E1535" s="9" t="str">
        <f>IFERROR(__xludf.DUMMYFUNCTION("GOOGLETRANSLATE($A1535,""en"",""es"")"),"Al Baḩr al Aḩmar")</f>
        <v>Al Baḩr al Aḩmar</v>
      </c>
      <c r="F1535" s="9" t="str">
        <f>IFERROR(__xludf.DUMMYFUNCTION("GOOGLETRANSLATE($A1535,""en"",""it"")"),"Al Baḩr al Aḩmar")</f>
        <v>Al Baḩr al Aḩmar</v>
      </c>
      <c r="G1535" s="9" t="str">
        <f>IFERROR(__xludf.DUMMYFUNCTION("GOOGLETRANSLATE($A1535,""en"",""zh-cn"")"),"巴哈尔阿马尔")</f>
        <v>巴哈尔阿马尔</v>
      </c>
      <c r="H1535" s="9" t="str">
        <f>IFERROR(__xludf.DUMMYFUNCTION("GOOGLETRANSLATE($A1535,""en"",""ja"")"),"アル・バフル・アル・アフマル")</f>
        <v>アル・バフル・アル・アフマル</v>
      </c>
      <c r="I1535" s="9" t="str">
        <f>IFERROR(__xludf.DUMMYFUNCTION("GOOGLETRANSLATE($A1535,""en"",""ko"")"),"알 바하르 알 아마르")</f>
        <v>알 바하르 알 아마르</v>
      </c>
      <c r="J1535" s="9" t="str">
        <f>IFERROR(__xludf.DUMMYFUNCTION("GOOGLETRANSLATE($A1535,""en"",""pt-BR"")"),"Al Bahr al Ahmar")</f>
        <v>Al Bahr al Ahmar</v>
      </c>
    </row>
    <row r="1536">
      <c r="A1536" s="9" t="str">
        <f>IFERROR(__xludf.DUMMYFUNCTION("""COMPUTED_VALUE"""),"Būr Sa‘īd")</f>
        <v>Būr Sa‘īd</v>
      </c>
      <c r="B1536" s="9" t="str">
        <f>IFERROR(__xludf.DUMMYFUNCTION("""COMPUTED_VALUE"""),"eg-pts")</f>
        <v>eg-pts</v>
      </c>
      <c r="C1536" s="9" t="str">
        <f>IFERROR(__xludf.DUMMYFUNCTION("GOOGLETRANSLATE($A1536,""en"",""de"")"),"Būr Sa‘īd")</f>
        <v>Būr Sa‘īd</v>
      </c>
      <c r="D1536" s="9" t="str">
        <f>IFERROR(__xludf.DUMMYFUNCTION("GOOGLETRANSLATE($A1536,""en"",""fr"")"),"Bur Sa'id")</f>
        <v>Bur Sa'id</v>
      </c>
      <c r="E1536" s="9" t="str">
        <f>IFERROR(__xludf.DUMMYFUNCTION("GOOGLETRANSLATE($A1536,""en"",""es"")"),"Bur Sa‘id")</f>
        <v>Bur Sa‘id</v>
      </c>
      <c r="F1536" s="9" t="str">
        <f>IFERROR(__xludf.DUMMYFUNCTION("GOOGLETRANSLATE($A1536,""en"",""it"")"),"Būr Sa'īd")</f>
        <v>Būr Sa'īd</v>
      </c>
      <c r="G1536" s="9" t="str">
        <f>IFERROR(__xludf.DUMMYFUNCTION("GOOGLETRANSLATE($A1536,""en"",""zh-cn"")"),"布尔赛义德")</f>
        <v>布尔赛义德</v>
      </c>
      <c r="H1536" s="9" t="str">
        <f>IFERROR(__xludf.DUMMYFUNCTION("GOOGLETRANSLATE($A1536,""en"",""ja"")"),"ブル・サイド")</f>
        <v>ブル・サイド</v>
      </c>
      <c r="I1536" s="9" t="str">
        <f>IFERROR(__xludf.DUMMYFUNCTION("GOOGLETRANSLATE($A1536,""en"",""ko"")"),"부르 사이드")</f>
        <v>부르 사이드</v>
      </c>
      <c r="J1536" s="9" t="str">
        <f>IFERROR(__xludf.DUMMYFUNCTION("GOOGLETRANSLATE($A1536,""en"",""pt-BR"")"),"Būr Sa'īd")</f>
        <v>Būr Sa'īd</v>
      </c>
    </row>
    <row r="1537">
      <c r="A1537" s="9" t="str">
        <f>IFERROR(__xludf.DUMMYFUNCTION("""COMPUTED_VALUE"""),"As Suways")</f>
        <v>As Suways</v>
      </c>
      <c r="B1537" s="9" t="str">
        <f>IFERROR(__xludf.DUMMYFUNCTION("""COMPUTED_VALUE"""),"eg-suz")</f>
        <v>eg-suz</v>
      </c>
      <c r="C1537" s="9" t="str">
        <f>IFERROR(__xludf.DUMMYFUNCTION("GOOGLETRANSLATE($A1537,""en"",""de"")"),"Als Suways")</f>
        <v>Als Suways</v>
      </c>
      <c r="D1537" s="9" t="str">
        <f>IFERROR(__xludf.DUMMYFUNCTION("GOOGLETRANSLATE($A1537,""en"",""fr"")"),"Comme Suways")</f>
        <v>Comme Suways</v>
      </c>
      <c r="E1537" s="9" t="str">
        <f>IFERROR(__xludf.DUMMYFUNCTION("GOOGLETRANSLATE($A1537,""en"",""es"")"),"como siempre")</f>
        <v>como siempre</v>
      </c>
      <c r="F1537" s="9" t="str">
        <f>IFERROR(__xludf.DUMMYFUNCTION("GOOGLETRANSLATE($A1537,""en"",""it"")"),"Come Suways")</f>
        <v>Come Suways</v>
      </c>
      <c r="G1537" s="9" t="str">
        <f>IFERROR(__xludf.DUMMYFUNCTION("GOOGLETRANSLATE($A1537,""en"",""zh-cn"")"),"作为苏威斯")</f>
        <v>作为苏威斯</v>
      </c>
      <c r="H1537" s="9" t="str">
        <f>IFERROR(__xludf.DUMMYFUNCTION("GOOGLETRANSLATE($A1537,""en"",""ja"")"),"スウェイズとして")</f>
        <v>スウェイズとして</v>
      </c>
      <c r="I1537" s="9" t="str">
        <f>IFERROR(__xludf.DUMMYFUNCTION("GOOGLETRANSLATE($A1537,""en"",""ko"")"),"아스 수웨이")</f>
        <v>아스 수웨이</v>
      </c>
      <c r="J1537" s="9" t="str">
        <f>IFERROR(__xludf.DUMMYFUNCTION("GOOGLETRANSLATE($A1537,""en"",""pt-BR"")"),"Como Suways")</f>
        <v>Como Suways</v>
      </c>
    </row>
    <row r="1538">
      <c r="A1538" s="9" t="str">
        <f>IFERROR(__xludf.DUMMYFUNCTION("""COMPUTED_VALUE"""),"Al Qāhirah")</f>
        <v>Al Qāhirah</v>
      </c>
      <c r="B1538" s="9" t="str">
        <f>IFERROR(__xludf.DUMMYFUNCTION("""COMPUTED_VALUE"""),"eg-c")</f>
        <v>eg-c</v>
      </c>
      <c r="C1538" s="9" t="str">
        <f>IFERROR(__xludf.DUMMYFUNCTION("GOOGLETRANSLATE($A1538,""en"",""de"")"),"Al Qāhirah")</f>
        <v>Al Qāhirah</v>
      </c>
      <c r="D1538" s="9" t="str">
        <f>IFERROR(__xludf.DUMMYFUNCTION("GOOGLETRANSLATE($A1538,""en"",""fr"")"),"Al Qahirah")</f>
        <v>Al Qahirah</v>
      </c>
      <c r="E1538" s="9" t="str">
        <f>IFERROR(__xludf.DUMMYFUNCTION("GOOGLETRANSLATE($A1538,""en"",""es"")"),"Al Qāhirah")</f>
        <v>Al Qāhirah</v>
      </c>
      <c r="F1538" s="9" t="str">
        <f>IFERROR(__xludf.DUMMYFUNCTION("GOOGLETRANSLATE($A1538,""en"",""it"")"),"Al Qāhirah")</f>
        <v>Al Qāhirah</v>
      </c>
      <c r="G1538" s="9" t="str">
        <f>IFERROR(__xludf.DUMMYFUNCTION("GOOGLETRANSLATE($A1538,""en"",""zh-cn"")"),"阿尔卡希拉")</f>
        <v>阿尔卡希拉</v>
      </c>
      <c r="H1538" s="9" t="str">
        <f>IFERROR(__xludf.DUMMYFUNCTION("GOOGLETRANSLATE($A1538,""en"",""ja"")"),"アル・カーヒラ")</f>
        <v>アル・カーヒラ</v>
      </c>
      <c r="I1538" s="9" t="str">
        <f>IFERROR(__xludf.DUMMYFUNCTION("GOOGLETRANSLATE($A1538,""en"",""ko"")"),"알 카히라")</f>
        <v>알 카히라</v>
      </c>
      <c r="J1538" s="9" t="str">
        <f>IFERROR(__xludf.DUMMYFUNCTION("GOOGLETRANSLATE($A1538,""en"",""pt-BR"")"),"Al Qahirah")</f>
        <v>Al Qahirah</v>
      </c>
    </row>
    <row r="1539">
      <c r="A1539" s="9" t="str">
        <f>IFERROR(__xludf.DUMMYFUNCTION("""COMPUTED_VALUE"""),"Kafr ash Shaykh")</f>
        <v>Kafr ash Shaykh</v>
      </c>
      <c r="B1539" s="9" t="str">
        <f>IFERROR(__xludf.DUMMYFUNCTION("""COMPUTED_VALUE"""),"eg-kfs")</f>
        <v>eg-kfs</v>
      </c>
      <c r="C1539" s="9" t="str">
        <f>IFERROR(__xludf.DUMMYFUNCTION("GOOGLETRANSLATE($A1539,""en"",""de"")"),"Kafr Asch-Scheich")</f>
        <v>Kafr Asch-Scheich</v>
      </c>
      <c r="D1539" s="9" t="str">
        <f>IFERROR(__xludf.DUMMYFUNCTION("GOOGLETRANSLATE($A1539,""en"",""fr"")"),"Kafr ash Cheikh")</f>
        <v>Kafr ash Cheikh</v>
      </c>
      <c r="E1539" s="9" t="str">
        <f>IFERROR(__xludf.DUMMYFUNCTION("GOOGLETRANSLATE($A1539,""en"",""es"")"),"Kafr ash Sheij")</f>
        <v>Kafr ash Sheij</v>
      </c>
      <c r="F1539" s="9" t="str">
        <f>IFERROR(__xludf.DUMMYFUNCTION("GOOGLETRANSLATE($A1539,""en"",""it"")"),"Kafr ash Shaykh")</f>
        <v>Kafr ash Shaykh</v>
      </c>
      <c r="G1539" s="9" t="str">
        <f>IFERROR(__xludf.DUMMYFUNCTION("GOOGLETRANSLATE($A1539,""en"",""zh-cn"")"),"卡夫拉·阿什·谢赫")</f>
        <v>卡夫拉·阿什·谢赫</v>
      </c>
      <c r="H1539" s="9" t="str">
        <f>IFERROR(__xludf.DUMMYFUNCTION("GOOGLETRANSLATE($A1539,""en"",""ja"")"),"カフル・アッシュ・シェイク")</f>
        <v>カフル・アッシュ・シェイク</v>
      </c>
      <c r="I1539" s="9" t="str">
        <f>IFERROR(__xludf.DUMMYFUNCTION("GOOGLETRANSLATE($A1539,""en"",""ko"")"),"카프르 애쉬 셰이크")</f>
        <v>카프르 애쉬 셰이크</v>
      </c>
      <c r="J1539" s="9" t="str">
        <f>IFERROR(__xludf.DUMMYFUNCTION("GOOGLETRANSLATE($A1539,""en"",""pt-BR"")"),"Kafr ash Shaykh")</f>
        <v>Kafr ash Shaykh</v>
      </c>
    </row>
    <row r="1540">
      <c r="A1540" s="9" t="str">
        <f>IFERROR(__xludf.DUMMYFUNCTION("""COMPUTED_VALUE"""),"Al Minūfīyah")</f>
        <v>Al Minūfīyah</v>
      </c>
      <c r="B1540" s="9" t="str">
        <f>IFERROR(__xludf.DUMMYFUNCTION("""COMPUTED_VALUE"""),"eg-mnf")</f>
        <v>eg-mnf</v>
      </c>
      <c r="C1540" s="9" t="str">
        <f>IFERROR(__xludf.DUMMYFUNCTION("GOOGLETRANSLATE($A1540,""en"",""de"")"),"Al Minūfīyah")</f>
        <v>Al Minūfīyah</v>
      </c>
      <c r="D1540" s="9" t="str">
        <f>IFERROR(__xludf.DUMMYFUNCTION("GOOGLETRANSLATE($A1540,""en"",""fr"")"),"Al Minûfiyah")</f>
        <v>Al Minûfiyah</v>
      </c>
      <c r="E1540" s="9" t="str">
        <f>IFERROR(__xludf.DUMMYFUNCTION("GOOGLETRANSLATE($A1540,""en"",""es"")"),"Al Minūfīyah")</f>
        <v>Al Minūfīyah</v>
      </c>
      <c r="F1540" s="9" t="str">
        <f>IFERROR(__xludf.DUMMYFUNCTION("GOOGLETRANSLATE($A1540,""en"",""it"")"),"Al Minūfīyah")</f>
        <v>Al Minūfīyah</v>
      </c>
      <c r="G1540" s="9" t="str">
        <f>IFERROR(__xludf.DUMMYFUNCTION("GOOGLETRANSLATE($A1540,""en"",""zh-cn"")"),"阿尔米努菲亚")</f>
        <v>阿尔米努菲亚</v>
      </c>
      <c r="H1540" s="9" t="str">
        <f>IFERROR(__xludf.DUMMYFUNCTION("GOOGLETRANSLATE($A1540,""en"",""ja"")"),"アル・ミヌフィーヤ")</f>
        <v>アル・ミヌフィーヤ</v>
      </c>
      <c r="I1540" s="9" t="str">
        <f>IFERROR(__xludf.DUMMYFUNCTION("GOOGLETRANSLATE($A1540,""en"",""ko"")"),"알 미누피야")</f>
        <v>알 미누피야</v>
      </c>
      <c r="J1540" s="9" t="str">
        <f>IFERROR(__xludf.DUMMYFUNCTION("GOOGLETRANSLATE($A1540,""en"",""pt-BR"")"),"Al Minufiyah")</f>
        <v>Al Minufiyah</v>
      </c>
    </row>
    <row r="1541">
      <c r="A1541" s="9" t="str">
        <f>IFERROR(__xludf.DUMMYFUNCTION("""COMPUTED_VALUE"""),"Al Ismā'īlīyah")</f>
        <v>Al Ismā'īlīyah</v>
      </c>
      <c r="B1541" s="9" t="str">
        <f>IFERROR(__xludf.DUMMYFUNCTION("""COMPUTED_VALUE"""),"eg-is")</f>
        <v>eg-is</v>
      </c>
      <c r="C1541" s="9" t="str">
        <f>IFERROR(__xludf.DUMMYFUNCTION("GOOGLETRANSLATE($A1541,""en"",""de"")"),"Al Ismā'īlīyah")</f>
        <v>Al Ismā'īlīyah</v>
      </c>
      <c r="D1541" s="9" t="str">
        <f>IFERROR(__xludf.DUMMYFUNCTION("GOOGLETRANSLATE($A1541,""en"",""fr"")"),"Al Ismā'īlīyah")</f>
        <v>Al Ismā'īlīyah</v>
      </c>
      <c r="E1541" s="9" t="str">
        <f>IFERROR(__xludf.DUMMYFUNCTION("GOOGLETRANSLATE($A1541,""en"",""es"")"),"Al Ismā'īlīyah")</f>
        <v>Al Ismā'īlīyah</v>
      </c>
      <c r="F1541" s="9" t="str">
        <f>IFERROR(__xludf.DUMMYFUNCTION("GOOGLETRANSLATE($A1541,""en"",""it"")"),"Al Ismā'īlīyah")</f>
        <v>Al Ismā'īlīyah</v>
      </c>
      <c r="G1541" s="9" t="str">
        <f>IFERROR(__xludf.DUMMYFUNCTION("GOOGLETRANSLATE($A1541,""en"",""zh-cn"")"),"伊斯玛利亚")</f>
        <v>伊斯玛利亚</v>
      </c>
      <c r="H1541" s="9" t="str">
        <f>IFERROR(__xludf.DUMMYFUNCTION("GOOGLETRANSLATE($A1541,""en"",""ja"")"),"アル イスマーイーリーヤ")</f>
        <v>アル イスマーイーリーヤ</v>
      </c>
      <c r="I1541" s="9" t="str">
        <f>IFERROR(__xludf.DUMMYFUNCTION("GOOGLETRANSLATE($A1541,""en"",""ko"")"),"알 이스마일리야")</f>
        <v>알 이스마일리야</v>
      </c>
      <c r="J1541" s="9" t="str">
        <f>IFERROR(__xludf.DUMMYFUNCTION("GOOGLETRANSLATE($A1541,""en"",""pt-BR"")"),"Al Ismā'īlīyah")</f>
        <v>Al Ismā'īlīyah</v>
      </c>
    </row>
    <row r="1542">
      <c r="A1542" s="9" t="str">
        <f>IFERROR(__xludf.DUMMYFUNCTION("""COMPUTED_VALUE"""),"Al Gharbīyah")</f>
        <v>Al Gharbīyah</v>
      </c>
      <c r="B1542" s="9" t="str">
        <f>IFERROR(__xludf.DUMMYFUNCTION("""COMPUTED_VALUE"""),"eg-gh")</f>
        <v>eg-gh</v>
      </c>
      <c r="C1542" s="9" t="str">
        <f>IFERROR(__xludf.DUMMYFUNCTION("GOOGLETRANSLATE($A1542,""en"",""de"")"),"Al Gharbīyah")</f>
        <v>Al Gharbīyah</v>
      </c>
      <c r="D1542" s="9" t="str">
        <f>IFERROR(__xludf.DUMMYFUNCTION("GOOGLETRANSLATE($A1542,""en"",""fr"")"),"Al Gharbiyah")</f>
        <v>Al Gharbiyah</v>
      </c>
      <c r="E1542" s="9" t="str">
        <f>IFERROR(__xludf.DUMMYFUNCTION("GOOGLETRANSLATE($A1542,""en"",""es"")"),"Al Gharbīyah")</f>
        <v>Al Gharbīyah</v>
      </c>
      <c r="F1542" s="9" t="str">
        <f>IFERROR(__xludf.DUMMYFUNCTION("GOOGLETRANSLATE($A1542,""en"",""it"")"),"Al Gharbīyah")</f>
        <v>Al Gharbīyah</v>
      </c>
      <c r="G1542" s="9" t="str">
        <f>IFERROR(__xludf.DUMMYFUNCTION("GOOGLETRANSLATE($A1542,""en"",""zh-cn"")"),"阿尔加尔比亚")</f>
        <v>阿尔加尔比亚</v>
      </c>
      <c r="H1542" s="9" t="str">
        <f>IFERROR(__xludf.DUMMYFUNCTION("GOOGLETRANSLATE($A1542,""en"",""ja"")"),"アル・ガルビーヤ")</f>
        <v>アル・ガルビーヤ</v>
      </c>
      <c r="I1542" s="9" t="str">
        <f>IFERROR(__xludf.DUMMYFUNCTION("GOOGLETRANSLATE($A1542,""en"",""ko"")"),"알 가르비아")</f>
        <v>알 가르비아</v>
      </c>
      <c r="J1542" s="9" t="str">
        <f>IFERROR(__xludf.DUMMYFUNCTION("GOOGLETRANSLATE($A1542,""en"",""pt-BR"")"),"Al Gharbīyah")</f>
        <v>Al Gharbīyah</v>
      </c>
    </row>
    <row r="1543">
      <c r="A1543" s="9" t="str">
        <f>IFERROR(__xludf.DUMMYFUNCTION("""COMPUTED_VALUE"""),"Dumyāţ")</f>
        <v>Dumyāţ</v>
      </c>
      <c r="B1543" s="9" t="str">
        <f>IFERROR(__xludf.DUMMYFUNCTION("""COMPUTED_VALUE"""),"eg-dt")</f>
        <v>eg-dt</v>
      </c>
      <c r="C1543" s="9" t="str">
        <f>IFERROR(__xludf.DUMMYFUNCTION("GOOGLETRANSLATE($A1543,""en"",""de"")"),"Dumyāţ")</f>
        <v>Dumyāţ</v>
      </c>
      <c r="D1543" s="9" t="str">
        <f>IFERROR(__xludf.DUMMYFUNCTION("GOOGLETRANSLATE($A1543,""en"",""fr"")"),"Dumyāţ")</f>
        <v>Dumyāţ</v>
      </c>
      <c r="E1543" s="9" t="str">
        <f>IFERROR(__xludf.DUMMYFUNCTION("GOOGLETRANSLATE($A1543,""en"",""es"")"),"Dumyāţ")</f>
        <v>Dumyāţ</v>
      </c>
      <c r="F1543" s="9" t="str">
        <f>IFERROR(__xludf.DUMMYFUNCTION("GOOGLETRANSLATE($A1543,""en"",""it"")"),"Dumyāţ")</f>
        <v>Dumyāţ</v>
      </c>
      <c r="G1543" s="9" t="str">
        <f>IFERROR(__xludf.DUMMYFUNCTION("GOOGLETRANSLATE($A1543,""en"",""zh-cn"")"),"杜米亚特")</f>
        <v>杜米亚特</v>
      </c>
      <c r="H1543" s="9" t="str">
        <f>IFERROR(__xludf.DUMMYFUNCTION("GOOGLETRANSLATE($A1543,""en"",""ja"")"),"ドゥミャシュ")</f>
        <v>ドゥミャシュ</v>
      </c>
      <c r="I1543" s="9" t="str">
        <f>IFERROR(__xludf.DUMMYFUNCTION("GOOGLETRANSLATE($A1543,""en"",""ko"")"),"Dumyāţ")</f>
        <v>Dumyāţ</v>
      </c>
      <c r="J1543" s="9" t="str">
        <f>IFERROR(__xludf.DUMMYFUNCTION("GOOGLETRANSLATE($A1543,""en"",""pt-BR"")"),"Dumyāţ")</f>
        <v>Dumyāţ</v>
      </c>
    </row>
    <row r="1544">
      <c r="A1544" s="9" t="str">
        <f>IFERROR(__xludf.DUMMYFUNCTION("""COMPUTED_VALUE"""),"La Paz (SV)")</f>
        <v>La Paz (SV)</v>
      </c>
      <c r="B1544" s="9" t="str">
        <f>IFERROR(__xludf.DUMMYFUNCTION("""COMPUTED_VALUE"""),"sv-pa")</f>
        <v>sv-pa</v>
      </c>
      <c r="C1544" s="9" t="str">
        <f>IFERROR(__xludf.DUMMYFUNCTION("GOOGLETRANSLATE($A1544,""en"",""de"")"),"La Paz (SV)")</f>
        <v>La Paz (SV)</v>
      </c>
      <c r="D1544" s="9" t="str">
        <f>IFERROR(__xludf.DUMMYFUNCTION("GOOGLETRANSLATE($A1544,""en"",""fr"")"),"La Paz (SV)")</f>
        <v>La Paz (SV)</v>
      </c>
      <c r="E1544" s="9" t="str">
        <f>IFERROR(__xludf.DUMMYFUNCTION("GOOGLETRANSLATE($A1544,""en"",""es"")"),"La Paz (SV)")</f>
        <v>La Paz (SV)</v>
      </c>
      <c r="F1544" s="9" t="str">
        <f>IFERROR(__xludf.DUMMYFUNCTION("GOOGLETRANSLATE($A1544,""en"",""it"")"),"La Pace (SV)")</f>
        <v>La Pace (SV)</v>
      </c>
      <c r="G1544" s="9" t="str">
        <f>IFERROR(__xludf.DUMMYFUNCTION("GOOGLETRANSLATE($A1544,""en"",""zh-cn"")"),"拉巴斯 (SV)")</f>
        <v>拉巴斯 (SV)</v>
      </c>
      <c r="H1544" s="9" t="str">
        <f>IFERROR(__xludf.DUMMYFUNCTION("GOOGLETRANSLATE($A1544,""en"",""ja"")"),"ラパス（SV）")</f>
        <v>ラパス（SV）</v>
      </c>
      <c r="I1544" s="9" t="str">
        <f>IFERROR(__xludf.DUMMYFUNCTION("GOOGLETRANSLATE($A1544,""en"",""ko"")"),"라파스(SV)")</f>
        <v>라파스(SV)</v>
      </c>
      <c r="J1544" s="9" t="str">
        <f>IFERROR(__xludf.DUMMYFUNCTION("GOOGLETRANSLATE($A1544,""en"",""pt-BR"")"),"La Paz (SV)")</f>
        <v>La Paz (SV)</v>
      </c>
    </row>
    <row r="1545">
      <c r="A1545" s="9" t="str">
        <f>IFERROR(__xludf.DUMMYFUNCTION("""COMPUTED_VALUE"""),"San Vicente")</f>
        <v>San Vicente</v>
      </c>
      <c r="B1545" s="9" t="str">
        <f>IFERROR(__xludf.DUMMYFUNCTION("""COMPUTED_VALUE"""),"sv-sv")</f>
        <v>sv-sv</v>
      </c>
      <c r="C1545" s="9" t="str">
        <f>IFERROR(__xludf.DUMMYFUNCTION("GOOGLETRANSLATE($A1545,""en"",""de"")"),"San Vicente")</f>
        <v>San Vicente</v>
      </c>
      <c r="D1545" s="9" t="str">
        <f>IFERROR(__xludf.DUMMYFUNCTION("GOOGLETRANSLATE($A1545,""en"",""fr"")"),"Saint-Vincent")</f>
        <v>Saint-Vincent</v>
      </c>
      <c r="E1545" s="9" t="str">
        <f>IFERROR(__xludf.DUMMYFUNCTION("GOOGLETRANSLATE($A1545,""en"",""es"")"),"San Vicente")</f>
        <v>San Vicente</v>
      </c>
      <c r="F1545" s="9" t="str">
        <f>IFERROR(__xludf.DUMMYFUNCTION("GOOGLETRANSLATE($A1545,""en"",""it"")"),"San Vicente")</f>
        <v>San Vicente</v>
      </c>
      <c r="G1545" s="9" t="str">
        <f>IFERROR(__xludf.DUMMYFUNCTION("GOOGLETRANSLATE($A1545,""en"",""zh-cn"")"),"圣维森特")</f>
        <v>圣维森特</v>
      </c>
      <c r="H1545" s="9" t="str">
        <f>IFERROR(__xludf.DUMMYFUNCTION("GOOGLETRANSLATE($A1545,""en"",""ja"")"),"サンビセンテ")</f>
        <v>サンビセンテ</v>
      </c>
      <c r="I1545" s="9" t="str">
        <f>IFERROR(__xludf.DUMMYFUNCTION("GOOGLETRANSLATE($A1545,""en"",""ko"")"),"산 비센테")</f>
        <v>산 비센테</v>
      </c>
      <c r="J1545" s="9" t="str">
        <f>IFERROR(__xludf.DUMMYFUNCTION("GOOGLETRANSLATE($A1545,""en"",""pt-BR"")"),"São Vicente")</f>
        <v>São Vicente</v>
      </c>
    </row>
    <row r="1546">
      <c r="A1546" s="9" t="str">
        <f>IFERROR(__xludf.DUMMYFUNCTION("""COMPUTED_VALUE"""),"Cabañas")</f>
        <v>Cabañas</v>
      </c>
      <c r="B1546" s="9" t="str">
        <f>IFERROR(__xludf.DUMMYFUNCTION("""COMPUTED_VALUE"""),"sv-ca")</f>
        <v>sv-ca</v>
      </c>
      <c r="C1546" s="9" t="str">
        <f>IFERROR(__xludf.DUMMYFUNCTION("GOOGLETRANSLATE($A1546,""en"",""de"")"),"Cabañas")</f>
        <v>Cabañas</v>
      </c>
      <c r="D1546" s="9" t="str">
        <f>IFERROR(__xludf.DUMMYFUNCTION("GOOGLETRANSLATE($A1546,""en"",""fr"")"),"Cabanes")</f>
        <v>Cabanes</v>
      </c>
      <c r="E1546" s="9" t="str">
        <f>IFERROR(__xludf.DUMMYFUNCTION("GOOGLETRANSLATE($A1546,""en"",""es"")"),"cabañas")</f>
        <v>cabañas</v>
      </c>
      <c r="F1546" s="9" t="str">
        <f>IFERROR(__xludf.DUMMYFUNCTION("GOOGLETRANSLATE($A1546,""en"",""it"")"),"Cabañas")</f>
        <v>Cabañas</v>
      </c>
      <c r="G1546" s="9" t="str">
        <f>IFERROR(__xludf.DUMMYFUNCTION("GOOGLETRANSLATE($A1546,""en"",""zh-cn"")"),"卡瓦尼亚斯")</f>
        <v>卡瓦尼亚斯</v>
      </c>
      <c r="H1546" s="9" t="str">
        <f>IFERROR(__xludf.DUMMYFUNCTION("GOOGLETRANSLATE($A1546,""en"",""ja"")"),"カバニャ")</f>
        <v>カバニャ</v>
      </c>
      <c r="I1546" s="9" t="str">
        <f>IFERROR(__xludf.DUMMYFUNCTION("GOOGLETRANSLATE($A1546,""en"",""ko"")"),"카바냐스")</f>
        <v>카바냐스</v>
      </c>
      <c r="J1546" s="9" t="str">
        <f>IFERROR(__xludf.DUMMYFUNCTION("GOOGLETRANSLATE($A1546,""en"",""pt-BR"")"),"Cabanas")</f>
        <v>Cabanas</v>
      </c>
    </row>
    <row r="1547">
      <c r="A1547" s="9" t="str">
        <f>IFERROR(__xludf.DUMMYFUNCTION("""COMPUTED_VALUE"""),"Ahuachapán")</f>
        <v>Ahuachapán</v>
      </c>
      <c r="B1547" s="9" t="str">
        <f>IFERROR(__xludf.DUMMYFUNCTION("""COMPUTED_VALUE"""),"sv-ah")</f>
        <v>sv-ah</v>
      </c>
      <c r="C1547" s="9" t="str">
        <f>IFERROR(__xludf.DUMMYFUNCTION("GOOGLETRANSLATE($A1547,""en"",""de"")"),"Ahuachapán")</f>
        <v>Ahuachapán</v>
      </c>
      <c r="D1547" s="9" t="str">
        <f>IFERROR(__xludf.DUMMYFUNCTION("GOOGLETRANSLATE($A1547,""en"",""fr"")"),"Ahuachapán")</f>
        <v>Ahuachapán</v>
      </c>
      <c r="E1547" s="9" t="str">
        <f>IFERROR(__xludf.DUMMYFUNCTION("GOOGLETRANSLATE($A1547,""en"",""es"")"),"ahuachapán")</f>
        <v>ahuachapán</v>
      </c>
      <c r="F1547" s="9" t="str">
        <f>IFERROR(__xludf.DUMMYFUNCTION("GOOGLETRANSLATE($A1547,""en"",""it"")"),"Ahuachapan")</f>
        <v>Ahuachapan</v>
      </c>
      <c r="G1547" s="9" t="str">
        <f>IFERROR(__xludf.DUMMYFUNCTION("GOOGLETRANSLATE($A1547,""en"",""zh-cn"")"),"阿瓦查潘")</f>
        <v>阿瓦查潘</v>
      </c>
      <c r="H1547" s="9" t="str">
        <f>IFERROR(__xludf.DUMMYFUNCTION("GOOGLETRANSLATE($A1547,""en"",""ja"")"),"アワチャパン")</f>
        <v>アワチャパン</v>
      </c>
      <c r="I1547" s="9" t="str">
        <f>IFERROR(__xludf.DUMMYFUNCTION("GOOGLETRANSLATE($A1547,""en"",""ko"")"),"아우아차판")</f>
        <v>아우아차판</v>
      </c>
      <c r="J1547" s="9" t="str">
        <f>IFERROR(__xludf.DUMMYFUNCTION("GOOGLETRANSLATE($A1547,""en"",""pt-BR"")"),"Ahuachapán")</f>
        <v>Ahuachapán</v>
      </c>
    </row>
    <row r="1548">
      <c r="A1548" s="9" t="str">
        <f>IFERROR(__xludf.DUMMYFUNCTION("""COMPUTED_VALUE"""),"La Libertad (SV)")</f>
        <v>La Libertad (SV)</v>
      </c>
      <c r="B1548" s="9" t="str">
        <f>IFERROR(__xludf.DUMMYFUNCTION("""COMPUTED_VALUE"""),"sv-li")</f>
        <v>sv-li</v>
      </c>
      <c r="C1548" s="9" t="str">
        <f>IFERROR(__xludf.DUMMYFUNCTION("GOOGLETRANSLATE($A1548,""en"",""de"")"),"La Libertad (SV)")</f>
        <v>La Libertad (SV)</v>
      </c>
      <c r="D1548" s="9" t="str">
        <f>IFERROR(__xludf.DUMMYFUNCTION("GOOGLETRANSLATE($A1548,""en"",""fr"")"),"La Liberté (SV)")</f>
        <v>La Liberté (SV)</v>
      </c>
      <c r="E1548" s="9" t="str">
        <f>IFERROR(__xludf.DUMMYFUNCTION("GOOGLETRANSLATE($A1548,""en"",""es"")"),"La Libertad (SV)")</f>
        <v>La Libertad (SV)</v>
      </c>
      <c r="F1548" s="9" t="str">
        <f>IFERROR(__xludf.DUMMYFUNCTION("GOOGLETRANSLATE($A1548,""en"",""it"")"),"La Libertad (SV)")</f>
        <v>La Libertad (SV)</v>
      </c>
      <c r="G1548" s="9" t="str">
        <f>IFERROR(__xludf.DUMMYFUNCTION("GOOGLETRANSLATE($A1548,""en"",""zh-cn"")"),"拉利伯塔德 (SV)")</f>
        <v>拉利伯塔德 (SV)</v>
      </c>
      <c r="H1548" s="9" t="str">
        <f>IFERROR(__xludf.DUMMYFUNCTION("GOOGLETRANSLATE($A1548,""en"",""ja"")"),"ラ・リベルタード（SV）")</f>
        <v>ラ・リベルタード（SV）</v>
      </c>
      <c r="I1548" s="9" t="str">
        <f>IFERROR(__xludf.DUMMYFUNCTION("GOOGLETRANSLATE($A1548,""en"",""ko"")"),"라 리베르타드(SV)")</f>
        <v>라 리베르타드(SV)</v>
      </c>
      <c r="J1548" s="9" t="str">
        <f>IFERROR(__xludf.DUMMYFUNCTION("GOOGLETRANSLATE($A1548,""en"",""pt-BR"")"),"La Libertad (SV)")</f>
        <v>La Libertad (SV)</v>
      </c>
    </row>
    <row r="1549">
      <c r="A1549" s="9" t="str">
        <f>IFERROR(__xludf.DUMMYFUNCTION("""COMPUTED_VALUE"""),"Morazán")</f>
        <v>Morazán</v>
      </c>
      <c r="B1549" s="9" t="str">
        <f>IFERROR(__xludf.DUMMYFUNCTION("""COMPUTED_VALUE"""),"sv-mo")</f>
        <v>sv-mo</v>
      </c>
      <c r="C1549" s="9" t="str">
        <f>IFERROR(__xludf.DUMMYFUNCTION("GOOGLETRANSLATE($A1549,""en"",""de"")"),"Morazán")</f>
        <v>Morazán</v>
      </c>
      <c r="D1549" s="9" t="str">
        <f>IFERROR(__xludf.DUMMYFUNCTION("GOOGLETRANSLATE($A1549,""en"",""fr"")"),"Morazan")</f>
        <v>Morazan</v>
      </c>
      <c r="E1549" s="9" t="str">
        <f>IFERROR(__xludf.DUMMYFUNCTION("GOOGLETRANSLATE($A1549,""en"",""es"")"),"Morazan")</f>
        <v>Morazan</v>
      </c>
      <c r="F1549" s="9" t="str">
        <f>IFERROR(__xludf.DUMMYFUNCTION("GOOGLETRANSLATE($A1549,""en"",""it"")"),"Morazan")</f>
        <v>Morazan</v>
      </c>
      <c r="G1549" s="9" t="str">
        <f>IFERROR(__xludf.DUMMYFUNCTION("GOOGLETRANSLATE($A1549,""en"",""zh-cn"")"),"莫拉桑")</f>
        <v>莫拉桑</v>
      </c>
      <c r="H1549" s="9" t="str">
        <f>IFERROR(__xludf.DUMMYFUNCTION("GOOGLETRANSLATE($A1549,""en"",""ja"")"),"モラザン")</f>
        <v>モラザン</v>
      </c>
      <c r="I1549" s="9" t="str">
        <f>IFERROR(__xludf.DUMMYFUNCTION("GOOGLETRANSLATE($A1549,""en"",""ko"")"),"모라잔")</f>
        <v>모라잔</v>
      </c>
      <c r="J1549" s="9" t="str">
        <f>IFERROR(__xludf.DUMMYFUNCTION("GOOGLETRANSLATE($A1549,""en"",""pt-BR"")"),"Morazán")</f>
        <v>Morazán</v>
      </c>
    </row>
    <row r="1550">
      <c r="A1550" s="9" t="str">
        <f>IFERROR(__xludf.DUMMYFUNCTION("""COMPUTED_VALUE"""),"Usulután")</f>
        <v>Usulután</v>
      </c>
      <c r="B1550" s="9" t="str">
        <f>IFERROR(__xludf.DUMMYFUNCTION("""COMPUTED_VALUE"""),"sv-us")</f>
        <v>sv-us</v>
      </c>
      <c r="C1550" s="9" t="str">
        <f>IFERROR(__xludf.DUMMYFUNCTION("GOOGLETRANSLATE($A1550,""en"",""de"")"),"Usulután")</f>
        <v>Usulután</v>
      </c>
      <c r="D1550" s="9" t="str">
        <f>IFERROR(__xludf.DUMMYFUNCTION("GOOGLETRANSLATE($A1550,""en"",""fr"")"),"Usulutan")</f>
        <v>Usulutan</v>
      </c>
      <c r="E1550" s="9" t="str">
        <f>IFERROR(__xludf.DUMMYFUNCTION("GOOGLETRANSLATE($A1550,""en"",""es"")"),"Usulutan")</f>
        <v>Usulutan</v>
      </c>
      <c r="F1550" s="9" t="str">
        <f>IFERROR(__xludf.DUMMYFUNCTION("GOOGLETRANSLATE($A1550,""en"",""it"")"),"Usulutan")</f>
        <v>Usulutan</v>
      </c>
      <c r="G1550" s="9" t="str">
        <f>IFERROR(__xludf.DUMMYFUNCTION("GOOGLETRANSLATE($A1550,""en"",""zh-cn"")"),"乌苏卢坦")</f>
        <v>乌苏卢坦</v>
      </c>
      <c r="H1550" s="9" t="str">
        <f>IFERROR(__xludf.DUMMYFUNCTION("GOOGLETRANSLATE($A1550,""en"",""ja"")"),"ウスルタン")</f>
        <v>ウスルタン</v>
      </c>
      <c r="I1550" s="9" t="str">
        <f>IFERROR(__xludf.DUMMYFUNCTION("GOOGLETRANSLATE($A1550,""en"",""ko"")"),"우술루탄")</f>
        <v>우술루탄</v>
      </c>
      <c r="J1550" s="9" t="str">
        <f>IFERROR(__xludf.DUMMYFUNCTION("GOOGLETRANSLATE($A1550,""en"",""pt-BR"")"),"Usulután")</f>
        <v>Usulután</v>
      </c>
    </row>
    <row r="1551">
      <c r="A1551" s="9" t="str">
        <f>IFERROR(__xludf.DUMMYFUNCTION("""COMPUTED_VALUE"""),"Cuscatlán")</f>
        <v>Cuscatlán</v>
      </c>
      <c r="B1551" s="9" t="str">
        <f>IFERROR(__xludf.DUMMYFUNCTION("""COMPUTED_VALUE"""),"sv-cu")</f>
        <v>sv-cu</v>
      </c>
      <c r="C1551" s="9" t="str">
        <f>IFERROR(__xludf.DUMMYFUNCTION("GOOGLETRANSLATE($A1551,""en"",""de"")"),"Cuscatlán")</f>
        <v>Cuscatlán</v>
      </c>
      <c r="D1551" s="9" t="str">
        <f>IFERROR(__xludf.DUMMYFUNCTION("GOOGLETRANSLATE($A1551,""en"",""fr"")"),"Cuscatlán")</f>
        <v>Cuscatlán</v>
      </c>
      <c r="E1551" s="9" t="str">
        <f>IFERROR(__xludf.DUMMYFUNCTION("GOOGLETRANSLATE($A1551,""en"",""es"")"),"Cuscatlán")</f>
        <v>Cuscatlán</v>
      </c>
      <c r="F1551" s="9" t="str">
        <f>IFERROR(__xludf.DUMMYFUNCTION("GOOGLETRANSLATE($A1551,""en"",""it"")"),"Cuscatlan")</f>
        <v>Cuscatlan</v>
      </c>
      <c r="G1551" s="9" t="str">
        <f>IFERROR(__xludf.DUMMYFUNCTION("GOOGLETRANSLATE($A1551,""en"",""zh-cn"")"),"库斯卡特兰")</f>
        <v>库斯卡特兰</v>
      </c>
      <c r="H1551" s="9" t="str">
        <f>IFERROR(__xludf.DUMMYFUNCTION("GOOGLETRANSLATE($A1551,""en"",""ja"")"),"クスカトラン")</f>
        <v>クスカトラン</v>
      </c>
      <c r="I1551" s="9" t="str">
        <f>IFERROR(__xludf.DUMMYFUNCTION("GOOGLETRANSLATE($A1551,""en"",""ko"")"),"쿠스카틀란")</f>
        <v>쿠스카틀란</v>
      </c>
      <c r="J1551" s="9" t="str">
        <f>IFERROR(__xludf.DUMMYFUNCTION("GOOGLETRANSLATE($A1551,""en"",""pt-BR"")"),"Cuscatlán")</f>
        <v>Cuscatlán</v>
      </c>
    </row>
    <row r="1552">
      <c r="A1552" s="9" t="str">
        <f>IFERROR(__xludf.DUMMYFUNCTION("""COMPUTED_VALUE"""),"La Unión (SV)")</f>
        <v>La Unión (SV)</v>
      </c>
      <c r="B1552" s="9" t="str">
        <f>IFERROR(__xludf.DUMMYFUNCTION("""COMPUTED_VALUE"""),"sv-un")</f>
        <v>sv-un</v>
      </c>
      <c r="C1552" s="9" t="str">
        <f>IFERROR(__xludf.DUMMYFUNCTION("GOOGLETRANSLATE($A1552,""en"",""de"")"),"La Unión (SV)")</f>
        <v>La Unión (SV)</v>
      </c>
      <c r="D1552" s="9" t="str">
        <f>IFERROR(__xludf.DUMMYFUNCTION("GOOGLETRANSLATE($A1552,""en"",""fr"")"),"La Union (SV)")</f>
        <v>La Union (SV)</v>
      </c>
      <c r="E1552" s="9" t="str">
        <f>IFERROR(__xludf.DUMMYFUNCTION("GOOGLETRANSLATE($A1552,""en"",""es"")"),"La Unión (SV)")</f>
        <v>La Unión (SV)</v>
      </c>
      <c r="F1552" s="9" t="str">
        <f>IFERROR(__xludf.DUMMYFUNCTION("GOOGLETRANSLATE($A1552,""en"",""it"")"),"La Unione (SV)")</f>
        <v>La Unione (SV)</v>
      </c>
      <c r="G1552" s="9" t="str">
        <f>IFERROR(__xludf.DUMMYFUNCTION("GOOGLETRANSLATE($A1552,""en"",""zh-cn"")"),"拉乌尼翁 (SV)")</f>
        <v>拉乌尼翁 (SV)</v>
      </c>
      <c r="H1552" s="9" t="str">
        <f>IFERROR(__xludf.DUMMYFUNCTION("GOOGLETRANSLATE($A1552,""en"",""ja"")"),"ラウニオン（SV）")</f>
        <v>ラウニオン（SV）</v>
      </c>
      <c r="I1552" s="9" t="str">
        <f>IFERROR(__xludf.DUMMYFUNCTION("GOOGLETRANSLATE($A1552,""en"",""ko"")"),"라 유니온(SV)")</f>
        <v>라 유니온(SV)</v>
      </c>
      <c r="J1552" s="9" t="str">
        <f>IFERROR(__xludf.DUMMYFUNCTION("GOOGLETRANSLATE($A1552,""en"",""pt-BR"")"),"La União (SV)")</f>
        <v>La União (SV)</v>
      </c>
    </row>
    <row r="1553">
      <c r="A1553" s="9" t="str">
        <f>IFERROR(__xludf.DUMMYFUNCTION("""COMPUTED_VALUE"""),"San Miguel")</f>
        <v>San Miguel</v>
      </c>
      <c r="B1553" s="9" t="str">
        <f>IFERROR(__xludf.DUMMYFUNCTION("""COMPUTED_VALUE"""),"sv-sm")</f>
        <v>sv-sm</v>
      </c>
      <c r="C1553" s="9" t="str">
        <f>IFERROR(__xludf.DUMMYFUNCTION("GOOGLETRANSLATE($A1553,""en"",""de"")"),"San Miguel")</f>
        <v>San Miguel</v>
      </c>
      <c r="D1553" s="9" t="str">
        <f>IFERROR(__xludf.DUMMYFUNCTION("GOOGLETRANSLATE($A1553,""en"",""fr"")"),"Saint-Miguel")</f>
        <v>Saint-Miguel</v>
      </c>
      <c r="E1553" s="9" t="str">
        <f>IFERROR(__xludf.DUMMYFUNCTION("GOOGLETRANSLATE($A1553,""en"",""es"")"),"sanmiguel")</f>
        <v>sanmiguel</v>
      </c>
      <c r="F1553" s="9" t="str">
        <f>IFERROR(__xludf.DUMMYFUNCTION("GOOGLETRANSLATE($A1553,""en"",""it"")"),"San Miguel")</f>
        <v>San Miguel</v>
      </c>
      <c r="G1553" s="9" t="str">
        <f>IFERROR(__xludf.DUMMYFUNCTION("GOOGLETRANSLATE($A1553,""en"",""zh-cn"")"),"生力啤酒")</f>
        <v>生力啤酒</v>
      </c>
      <c r="H1553" s="9" t="str">
        <f>IFERROR(__xludf.DUMMYFUNCTION("GOOGLETRANSLATE($A1553,""en"",""ja"")"),"サンミゲル")</f>
        <v>サンミゲル</v>
      </c>
      <c r="I1553" s="9" t="str">
        <f>IFERROR(__xludf.DUMMYFUNCTION("GOOGLETRANSLATE($A1553,""en"",""ko"")"),"산미구엘")</f>
        <v>산미구엘</v>
      </c>
      <c r="J1553" s="9" t="str">
        <f>IFERROR(__xludf.DUMMYFUNCTION("GOOGLETRANSLATE($A1553,""en"",""pt-BR"")"),"São Miguel")</f>
        <v>São Miguel</v>
      </c>
    </row>
    <row r="1554">
      <c r="A1554" s="9" t="str">
        <f>IFERROR(__xludf.DUMMYFUNCTION("""COMPUTED_VALUE"""),"Sonsonate")</f>
        <v>Sonsonate</v>
      </c>
      <c r="B1554" s="9" t="str">
        <f>IFERROR(__xludf.DUMMYFUNCTION("""COMPUTED_VALUE"""),"sv-so")</f>
        <v>sv-so</v>
      </c>
      <c r="C1554" s="9" t="str">
        <f>IFERROR(__xludf.DUMMYFUNCTION("GOOGLETRANSLATE($A1554,""en"",""de"")"),"Sonsonate")</f>
        <v>Sonsonate</v>
      </c>
      <c r="D1554" s="9" t="str">
        <f>IFERROR(__xludf.DUMMYFUNCTION("GOOGLETRANSLATE($A1554,""en"",""fr"")"),"Sonsonate")</f>
        <v>Sonsonate</v>
      </c>
      <c r="E1554" s="9" t="str">
        <f>IFERROR(__xludf.DUMMYFUNCTION("GOOGLETRANSLATE($A1554,""en"",""es"")"),"Sonsonate")</f>
        <v>Sonsonate</v>
      </c>
      <c r="F1554" s="9" t="str">
        <f>IFERROR(__xludf.DUMMYFUNCTION("GOOGLETRANSLATE($A1554,""en"",""it"")"),"Sonsonato")</f>
        <v>Sonsonato</v>
      </c>
      <c r="G1554" s="9" t="str">
        <f>IFERROR(__xludf.DUMMYFUNCTION("GOOGLETRANSLATE($A1554,""en"",""zh-cn"")"),"松索纳特")</f>
        <v>松索纳特</v>
      </c>
      <c r="H1554" s="9" t="str">
        <f>IFERROR(__xludf.DUMMYFUNCTION("GOOGLETRANSLATE($A1554,""en"",""ja"")"),"ソンソナテ")</f>
        <v>ソンソナテ</v>
      </c>
      <c r="I1554" s="9" t="str">
        <f>IFERROR(__xludf.DUMMYFUNCTION("GOOGLETRANSLATE($A1554,""en"",""ko"")"),"손소나테")</f>
        <v>손소나테</v>
      </c>
      <c r="J1554" s="9" t="str">
        <f>IFERROR(__xludf.DUMMYFUNCTION("GOOGLETRANSLATE($A1554,""en"",""pt-BR"")"),"Sonsonato")</f>
        <v>Sonsonato</v>
      </c>
    </row>
    <row r="1555">
      <c r="A1555" s="9" t="str">
        <f>IFERROR(__xludf.DUMMYFUNCTION("""COMPUTED_VALUE"""),"Chalatenango")</f>
        <v>Chalatenango</v>
      </c>
      <c r="B1555" s="9" t="str">
        <f>IFERROR(__xludf.DUMMYFUNCTION("""COMPUTED_VALUE"""),"sv-ch")</f>
        <v>sv-ch</v>
      </c>
      <c r="C1555" s="9" t="str">
        <f>IFERROR(__xludf.DUMMYFUNCTION("GOOGLETRANSLATE($A1555,""en"",""de"")"),"Chalatenango")</f>
        <v>Chalatenango</v>
      </c>
      <c r="D1555" s="9" t="str">
        <f>IFERROR(__xludf.DUMMYFUNCTION("GOOGLETRANSLATE($A1555,""en"",""fr"")"),"Chalatenango")</f>
        <v>Chalatenango</v>
      </c>
      <c r="E1555" s="9" t="str">
        <f>IFERROR(__xludf.DUMMYFUNCTION("GOOGLETRANSLATE($A1555,""en"",""es"")"),"Chalatenango")</f>
        <v>Chalatenango</v>
      </c>
      <c r="F1555" s="9" t="str">
        <f>IFERROR(__xludf.DUMMYFUNCTION("GOOGLETRANSLATE($A1555,""en"",""it"")"),"Chalatenango")</f>
        <v>Chalatenango</v>
      </c>
      <c r="G1555" s="9" t="str">
        <f>IFERROR(__xludf.DUMMYFUNCTION("GOOGLETRANSLATE($A1555,""en"",""zh-cn"")"),"查拉特南戈")</f>
        <v>查拉特南戈</v>
      </c>
      <c r="H1555" s="9" t="str">
        <f>IFERROR(__xludf.DUMMYFUNCTION("GOOGLETRANSLATE($A1555,""en"",""ja"")"),"チャラテナンゴ")</f>
        <v>チャラテナンゴ</v>
      </c>
      <c r="I1555" s="9" t="str">
        <f>IFERROR(__xludf.DUMMYFUNCTION("GOOGLETRANSLATE($A1555,""en"",""ko"")"),"찰라테낭고")</f>
        <v>찰라테낭고</v>
      </c>
      <c r="J1555" s="9" t="str">
        <f>IFERROR(__xludf.DUMMYFUNCTION("GOOGLETRANSLATE($A1555,""en"",""pt-BR"")"),"Chalatenango")</f>
        <v>Chalatenango</v>
      </c>
    </row>
    <row r="1556">
      <c r="A1556" s="9" t="str">
        <f>IFERROR(__xludf.DUMMYFUNCTION("""COMPUTED_VALUE"""),"San Salvador (SV)")</f>
        <v>San Salvador (SV)</v>
      </c>
      <c r="B1556" s="9" t="str">
        <f>IFERROR(__xludf.DUMMYFUNCTION("""COMPUTED_VALUE"""),"sv-ss")</f>
        <v>sv-ss</v>
      </c>
      <c r="C1556" s="9" t="str">
        <f>IFERROR(__xludf.DUMMYFUNCTION("GOOGLETRANSLATE($A1556,""en"",""de"")"),"San Salvador (SV)")</f>
        <v>San Salvador (SV)</v>
      </c>
      <c r="D1556" s="9" t="str">
        <f>IFERROR(__xludf.DUMMYFUNCTION("GOOGLETRANSLATE($A1556,""en"",""fr"")"),"San Salvador (SV)")</f>
        <v>San Salvador (SV)</v>
      </c>
      <c r="E1556" s="9" t="str">
        <f>IFERROR(__xludf.DUMMYFUNCTION("GOOGLETRANSLATE($A1556,""en"",""es"")"),"San Salvador (SV)")</f>
        <v>San Salvador (SV)</v>
      </c>
      <c r="F1556" s="9" t="str">
        <f>IFERROR(__xludf.DUMMYFUNCTION("GOOGLETRANSLATE($A1556,""en"",""it"")"),"San Salvador (SV)")</f>
        <v>San Salvador (SV)</v>
      </c>
      <c r="G1556" s="9" t="str">
        <f>IFERROR(__xludf.DUMMYFUNCTION("GOOGLETRANSLATE($A1556,""en"",""zh-cn"")"),"圣萨尔瓦多 (SV)")</f>
        <v>圣萨尔瓦多 (SV)</v>
      </c>
      <c r="H1556" s="9" t="str">
        <f>IFERROR(__xludf.DUMMYFUNCTION("GOOGLETRANSLATE($A1556,""en"",""ja"")"),"サンサルバドル（SV）")</f>
        <v>サンサルバドル（SV）</v>
      </c>
      <c r="I1556" s="9" t="str">
        <f>IFERROR(__xludf.DUMMYFUNCTION("GOOGLETRANSLATE($A1556,""en"",""ko"")"),"산살바도르(SV)")</f>
        <v>산살바도르(SV)</v>
      </c>
      <c r="J1556" s="9" t="str">
        <f>IFERROR(__xludf.DUMMYFUNCTION("GOOGLETRANSLATE($A1556,""en"",""pt-BR"")"),"São Salvador (SV)")</f>
        <v>São Salvador (SV)</v>
      </c>
    </row>
    <row r="1557">
      <c r="A1557" s="9" t="str">
        <f>IFERROR(__xludf.DUMMYFUNCTION("""COMPUTED_VALUE"""),"Santa Ana")</f>
        <v>Santa Ana</v>
      </c>
      <c r="B1557" s="9" t="str">
        <f>IFERROR(__xludf.DUMMYFUNCTION("""COMPUTED_VALUE"""),"sv-sa")</f>
        <v>sv-sa</v>
      </c>
      <c r="C1557" s="9" t="str">
        <f>IFERROR(__xludf.DUMMYFUNCTION("GOOGLETRANSLATE($A1557,""en"",""de"")"),"Santa Ana")</f>
        <v>Santa Ana</v>
      </c>
      <c r="D1557" s="9" t="str">
        <f>IFERROR(__xludf.DUMMYFUNCTION("GOOGLETRANSLATE($A1557,""en"",""fr"")"),"Sainte-Anne")</f>
        <v>Sainte-Anne</v>
      </c>
      <c r="E1557" s="9" t="str">
        <f>IFERROR(__xludf.DUMMYFUNCTION("GOOGLETRANSLATE($A1557,""en"",""es"")"),"santa ana")</f>
        <v>santa ana</v>
      </c>
      <c r="F1557" s="9" t="str">
        <f>IFERROR(__xludf.DUMMYFUNCTION("GOOGLETRANSLATE($A1557,""en"",""it"")"),"Santa Ana")</f>
        <v>Santa Ana</v>
      </c>
      <c r="G1557" s="9" t="str">
        <f>IFERROR(__xludf.DUMMYFUNCTION("GOOGLETRANSLATE($A1557,""en"",""zh-cn"")"),"圣安娜")</f>
        <v>圣安娜</v>
      </c>
      <c r="H1557" s="9" t="str">
        <f>IFERROR(__xludf.DUMMYFUNCTION("GOOGLETRANSLATE($A1557,""en"",""ja"")"),"サンタアナ")</f>
        <v>サンタアナ</v>
      </c>
      <c r="I1557" s="9" t="str">
        <f>IFERROR(__xludf.DUMMYFUNCTION("GOOGLETRANSLATE($A1557,""en"",""ko"")"),"산타아나")</f>
        <v>산타아나</v>
      </c>
      <c r="J1557" s="9" t="str">
        <f>IFERROR(__xludf.DUMMYFUNCTION("GOOGLETRANSLATE($A1557,""en"",""pt-BR"")"),"Santa Ana")</f>
        <v>Santa Ana</v>
      </c>
    </row>
    <row r="1558">
      <c r="A1558" s="9" t="str">
        <f>IFERROR(__xludf.DUMMYFUNCTION("""COMPUTED_VALUE"""),"Annobón")</f>
        <v>Annobón</v>
      </c>
      <c r="B1558" s="9" t="str">
        <f>IFERROR(__xludf.DUMMYFUNCTION("""COMPUTED_VALUE"""),"gq-an")</f>
        <v>gq-an</v>
      </c>
      <c r="C1558" s="9" t="str">
        <f>IFERROR(__xludf.DUMMYFUNCTION("GOOGLETRANSLATE($A1558,""en"",""de"")"),"Annobón")</f>
        <v>Annobón</v>
      </c>
      <c r="D1558" s="9" t="str">
        <f>IFERROR(__xludf.DUMMYFUNCTION("GOOGLETRANSLATE($A1558,""en"",""fr"")"),"Annobón")</f>
        <v>Annobón</v>
      </c>
      <c r="E1558" s="9" t="str">
        <f>IFERROR(__xludf.DUMMYFUNCTION("GOOGLETRANSLATE($A1558,""en"",""es"")"),"Annobón")</f>
        <v>Annobón</v>
      </c>
      <c r="F1558" s="9" t="str">
        <f>IFERROR(__xludf.DUMMYFUNCTION("GOOGLETRANSLATE($A1558,""en"",""it"")"),"Annobon")</f>
        <v>Annobon</v>
      </c>
      <c r="G1558" s="9" t="str">
        <f>IFERROR(__xludf.DUMMYFUNCTION("GOOGLETRANSLATE($A1558,""en"",""zh-cn"")"),"安诺本")</f>
        <v>安诺本</v>
      </c>
      <c r="H1558" s="9" t="str">
        <f>IFERROR(__xludf.DUMMYFUNCTION("GOOGLETRANSLATE($A1558,""en"",""ja"")"),"アンノボン")</f>
        <v>アンノボン</v>
      </c>
      <c r="I1558" s="9" t="str">
        <f>IFERROR(__xludf.DUMMYFUNCTION("GOOGLETRANSLATE($A1558,""en"",""ko"")"),"아노본")</f>
        <v>아노본</v>
      </c>
      <c r="J1558" s="9" t="str">
        <f>IFERROR(__xludf.DUMMYFUNCTION("GOOGLETRANSLATE($A1558,""en"",""pt-BR"")"),"Anobón")</f>
        <v>Anobón</v>
      </c>
    </row>
    <row r="1559">
      <c r="A1559" s="9" t="str">
        <f>IFERROR(__xludf.DUMMYFUNCTION("""COMPUTED_VALUE"""),"Bioko Norte")</f>
        <v>Bioko Norte</v>
      </c>
      <c r="B1559" s="9" t="str">
        <f>IFERROR(__xludf.DUMMYFUNCTION("""COMPUTED_VALUE"""),"gq-bn")</f>
        <v>gq-bn</v>
      </c>
      <c r="C1559" s="9" t="str">
        <f>IFERROR(__xludf.DUMMYFUNCTION("GOOGLETRANSLATE($A1559,""en"",""de"")"),"Bioko Norte")</f>
        <v>Bioko Norte</v>
      </c>
      <c r="D1559" s="9" t="str">
        <f>IFERROR(__xludf.DUMMYFUNCTION("GOOGLETRANSLATE($A1559,""en"",""fr"")"),"Bioko Nord")</f>
        <v>Bioko Nord</v>
      </c>
      <c r="E1559" s="9" t="str">
        <f>IFERROR(__xludf.DUMMYFUNCTION("GOOGLETRANSLATE($A1559,""en"",""es"")"),"Bioko Norte")</f>
        <v>Bioko Norte</v>
      </c>
      <c r="F1559" s="9" t="str">
        <f>IFERROR(__xludf.DUMMYFUNCTION("GOOGLETRANSLATE($A1559,""en"",""it"")"),"Bioko Norte")</f>
        <v>Bioko Norte</v>
      </c>
      <c r="G1559" s="9" t="str">
        <f>IFERROR(__xludf.DUMMYFUNCTION("GOOGLETRANSLATE($A1559,""en"",""zh-cn"")"),"北比奥科")</f>
        <v>北比奥科</v>
      </c>
      <c r="H1559" s="9" t="str">
        <f>IFERROR(__xludf.DUMMYFUNCTION("GOOGLETRANSLATE($A1559,""en"",""ja"")"),"ビオコ ノルテ")</f>
        <v>ビオコ ノルテ</v>
      </c>
      <c r="I1559" s="9" t="str">
        <f>IFERROR(__xludf.DUMMYFUNCTION("GOOGLETRANSLATE($A1559,""en"",""ko"")"),"비오코 노르테")</f>
        <v>비오코 노르테</v>
      </c>
      <c r="J1559" s="9" t="str">
        <f>IFERROR(__xludf.DUMMYFUNCTION("GOOGLETRANSLATE($A1559,""en"",""pt-BR"")"),"Bioko Norte")</f>
        <v>Bioko Norte</v>
      </c>
    </row>
    <row r="1560">
      <c r="A1560" s="9" t="str">
        <f>IFERROR(__xludf.DUMMYFUNCTION("""COMPUTED_VALUE"""),"Litorale")</f>
        <v>Litorale</v>
      </c>
      <c r="B1560" s="9" t="str">
        <f>IFERROR(__xludf.DUMMYFUNCTION("""COMPUTED_VALUE"""),"gq-li")</f>
        <v>gq-li</v>
      </c>
      <c r="C1560" s="9" t="str">
        <f>IFERROR(__xludf.DUMMYFUNCTION("GOOGLETRANSLATE($A1560,""en"",""de"")"),"Litorale")</f>
        <v>Litorale</v>
      </c>
      <c r="D1560" s="9" t="str">
        <f>IFERROR(__xludf.DUMMYFUNCTION("GOOGLETRANSLATE($A1560,""en"",""fr"")"),"Litorale")</f>
        <v>Litorale</v>
      </c>
      <c r="E1560" s="9" t="str">
        <f>IFERROR(__xludf.DUMMYFUNCTION("GOOGLETRANSLATE($A1560,""en"",""es"")"),"Litoral")</f>
        <v>Litoral</v>
      </c>
      <c r="F1560" s="9" t="str">
        <f>IFERROR(__xludf.DUMMYFUNCTION("GOOGLETRANSLATE($A1560,""en"",""it"")"),"Litorale")</f>
        <v>Litorale</v>
      </c>
      <c r="G1560" s="9" t="str">
        <f>IFERROR(__xludf.DUMMYFUNCTION("GOOGLETRANSLATE($A1560,""en"",""zh-cn"")"),"滨海省")</f>
        <v>滨海省</v>
      </c>
      <c r="H1560" s="9" t="str">
        <f>IFERROR(__xludf.DUMMYFUNCTION("GOOGLETRANSLATE($A1560,""en"",""ja"")"),"リトラール")</f>
        <v>リトラール</v>
      </c>
      <c r="I1560" s="9" t="str">
        <f>IFERROR(__xludf.DUMMYFUNCTION("GOOGLETRANSLATE($A1560,""en"",""ko"")"),"리토랄레")</f>
        <v>리토랄레</v>
      </c>
      <c r="J1560" s="9" t="str">
        <f>IFERROR(__xludf.DUMMYFUNCTION("GOOGLETRANSLATE($A1560,""en"",""pt-BR"")"),"Litoral")</f>
        <v>Litoral</v>
      </c>
    </row>
    <row r="1561">
      <c r="A1561" s="9" t="str">
        <f>IFERROR(__xludf.DUMMYFUNCTION("""COMPUTED_VALUE"""),"Región Continental")</f>
        <v>Región Continental</v>
      </c>
      <c r="B1561" s="9" t="str">
        <f>IFERROR(__xludf.DUMMYFUNCTION("""COMPUTED_VALUE"""),"gq-c")</f>
        <v>gq-c</v>
      </c>
      <c r="C1561" s="9" t="str">
        <f>IFERROR(__xludf.DUMMYFUNCTION("GOOGLETRANSLATE($A1561,""en"",""de"")"),"Kontinentale Region")</f>
        <v>Kontinentale Region</v>
      </c>
      <c r="D1561" s="9" t="str">
        <f>IFERROR(__xludf.DUMMYFUNCTION("GOOGLETRANSLATE($A1561,""en"",""fr"")"),"Région Continentale")</f>
        <v>Région Continentale</v>
      </c>
      <c r="E1561" s="9" t="str">
        <f>IFERROR(__xludf.DUMMYFUNCTION("GOOGLETRANSLATE($A1561,""en"",""es"")"),"Región continental")</f>
        <v>Región continental</v>
      </c>
      <c r="F1561" s="9" t="str">
        <f>IFERROR(__xludf.DUMMYFUNCTION("GOOGLETRANSLATE($A1561,""en"",""it"")"),"Regione continentale")</f>
        <v>Regione continentale</v>
      </c>
      <c r="G1561" s="9" t="str">
        <f>IFERROR(__xludf.DUMMYFUNCTION("GOOGLETRANSLATE($A1561,""en"",""zh-cn"")"),"大陆地区")</f>
        <v>大陆地区</v>
      </c>
      <c r="H1561" s="9" t="str">
        <f>IFERROR(__xludf.DUMMYFUNCTION("GOOGLETRANSLATE($A1561,""en"",""ja"")"),"地域 大陸")</f>
        <v>地域 大陸</v>
      </c>
      <c r="I1561" s="9" t="str">
        <f>IFERROR(__xludf.DUMMYFUNCTION("GOOGLETRANSLATE($A1561,""en"",""ko"")"),"콘티넨털 지역")</f>
        <v>콘티넨털 지역</v>
      </c>
      <c r="J1561" s="9" t="str">
        <f>IFERROR(__xludf.DUMMYFUNCTION("GOOGLETRANSLATE($A1561,""en"",""pt-BR"")"),"Região Continental")</f>
        <v>Região Continental</v>
      </c>
    </row>
    <row r="1562">
      <c r="A1562" s="9" t="str">
        <f>IFERROR(__xludf.DUMMYFUNCTION("""COMPUTED_VALUE"""),"Bioko Sur")</f>
        <v>Bioko Sur</v>
      </c>
      <c r="B1562" s="9" t="str">
        <f>IFERROR(__xludf.DUMMYFUNCTION("""COMPUTED_VALUE"""),"gq-bs")</f>
        <v>gq-bs</v>
      </c>
      <c r="C1562" s="9" t="str">
        <f>IFERROR(__xludf.DUMMYFUNCTION("GOOGLETRANSLATE($A1562,""en"",""de"")"),"Bioko Sur")</f>
        <v>Bioko Sur</v>
      </c>
      <c r="D1562" s="9" t="str">
        <f>IFERROR(__xludf.DUMMYFUNCTION("GOOGLETRANSLATE($A1562,""en"",""fr"")"),"Bioko-Sud")</f>
        <v>Bioko-Sud</v>
      </c>
      <c r="E1562" s="9" t="str">
        <f>IFERROR(__xludf.DUMMYFUNCTION("GOOGLETRANSLATE($A1562,""en"",""es"")"),"Bioko Sur")</f>
        <v>Bioko Sur</v>
      </c>
      <c r="F1562" s="9" t="str">
        <f>IFERROR(__xludf.DUMMYFUNCTION("GOOGLETRANSLATE($A1562,""en"",""it"")"),"Bioko Sur")</f>
        <v>Bioko Sur</v>
      </c>
      <c r="G1562" s="9" t="str">
        <f>IFERROR(__xludf.DUMMYFUNCTION("GOOGLETRANSLATE($A1562,""en"",""zh-cn"")"),"南比奥科")</f>
        <v>南比奥科</v>
      </c>
      <c r="H1562" s="9" t="str">
        <f>IFERROR(__xludf.DUMMYFUNCTION("GOOGLETRANSLATE($A1562,""en"",""ja"")"),"ビオコ スール")</f>
        <v>ビオコ スール</v>
      </c>
      <c r="I1562" s="9" t="str">
        <f>IFERROR(__xludf.DUMMYFUNCTION("GOOGLETRANSLATE($A1562,""en"",""ko"")"),"비오코 수르")</f>
        <v>비오코 수르</v>
      </c>
      <c r="J1562" s="9" t="str">
        <f>IFERROR(__xludf.DUMMYFUNCTION("GOOGLETRANSLATE($A1562,""en"",""pt-BR"")"),"Bioko Sul")</f>
        <v>Bioko Sul</v>
      </c>
    </row>
    <row r="1563">
      <c r="A1563" s="9" t="str">
        <f>IFERROR(__xludf.DUMMYFUNCTION("""COMPUTED_VALUE"""),"Centro Sur")</f>
        <v>Centro Sur</v>
      </c>
      <c r="B1563" s="9" t="str">
        <f>IFERROR(__xludf.DUMMYFUNCTION("""COMPUTED_VALUE"""),"gq-cs")</f>
        <v>gq-cs</v>
      </c>
      <c r="C1563" s="9" t="str">
        <f>IFERROR(__xludf.DUMMYFUNCTION("GOOGLETRANSLATE($A1563,""en"",""de"")"),"Centro Sur")</f>
        <v>Centro Sur</v>
      </c>
      <c r="D1563" s="9" t="str">
        <f>IFERROR(__xludf.DUMMYFUNCTION("GOOGLETRANSLATE($A1563,""en"",""fr"")"),"Centre Sud")</f>
        <v>Centre Sud</v>
      </c>
      <c r="E1563" s="9" t="str">
        <f>IFERROR(__xludf.DUMMYFUNCTION("GOOGLETRANSLATE($A1563,""en"",""es"")"),"Centro Sur")</f>
        <v>Centro Sur</v>
      </c>
      <c r="F1563" s="9" t="str">
        <f>IFERROR(__xludf.DUMMYFUNCTION("GOOGLETRANSLATE($A1563,""en"",""it"")"),"Centro Sud")</f>
        <v>Centro Sud</v>
      </c>
      <c r="G1563" s="9" t="str">
        <f>IFERROR(__xludf.DUMMYFUNCTION("GOOGLETRANSLATE($A1563,""en"",""zh-cn"")"),"南中心")</f>
        <v>南中心</v>
      </c>
      <c r="H1563" s="9" t="str">
        <f>IFERROR(__xludf.DUMMYFUNCTION("GOOGLETRANSLATE($A1563,""en"",""ja"")"),"セントロ スール")</f>
        <v>セントロ スール</v>
      </c>
      <c r="I1563" s="9" t="str">
        <f>IFERROR(__xludf.DUMMYFUNCTION("GOOGLETRANSLATE($A1563,""en"",""ko"")"),"센트로 수르")</f>
        <v>센트로 수르</v>
      </c>
      <c r="J1563" s="9" t="str">
        <f>IFERROR(__xludf.DUMMYFUNCTION("GOOGLETRANSLATE($A1563,""en"",""pt-BR"")"),"Centro Sul")</f>
        <v>Centro Sul</v>
      </c>
    </row>
    <row r="1564">
      <c r="A1564" s="9" t="str">
        <f>IFERROR(__xludf.DUMMYFUNCTION("""COMPUTED_VALUE"""),"Wele-Nzas")</f>
        <v>Wele-Nzas</v>
      </c>
      <c r="B1564" s="9" t="str">
        <f>IFERROR(__xludf.DUMMYFUNCTION("""COMPUTED_VALUE"""),"gq-wn")</f>
        <v>gq-wn</v>
      </c>
      <c r="C1564" s="9" t="str">
        <f>IFERROR(__xludf.DUMMYFUNCTION("GOOGLETRANSLATE($A1564,""en"",""de"")"),"Wele-Nzas")</f>
        <v>Wele-Nzas</v>
      </c>
      <c r="D1564" s="9" t="str">
        <f>IFERROR(__xludf.DUMMYFUNCTION("GOOGLETRANSLATE($A1564,""en"",""fr"")"),"Wele-Nzas")</f>
        <v>Wele-Nzas</v>
      </c>
      <c r="E1564" s="9" t="str">
        <f>IFERROR(__xludf.DUMMYFUNCTION("GOOGLETRANSLATE($A1564,""en"",""es"")"),"Wele-Nzas")</f>
        <v>Wele-Nzas</v>
      </c>
      <c r="F1564" s="9" t="str">
        <f>IFERROR(__xludf.DUMMYFUNCTION("GOOGLETRANSLATE($A1564,""en"",""it"")"),"Wele-Nzas")</f>
        <v>Wele-Nzas</v>
      </c>
      <c r="G1564" s="9" t="str">
        <f>IFERROR(__xludf.DUMMYFUNCTION("GOOGLETRANSLATE($A1564,""en"",""zh-cn"")"),"韦勒-恩扎斯")</f>
        <v>韦勒-恩扎斯</v>
      </c>
      <c r="H1564" s="9" t="str">
        <f>IFERROR(__xludf.DUMMYFUNCTION("GOOGLETRANSLATE($A1564,""en"",""ja"")"),"ウェレンザス")</f>
        <v>ウェレンザス</v>
      </c>
      <c r="I1564" s="9" t="str">
        <f>IFERROR(__xludf.DUMMYFUNCTION("GOOGLETRANSLATE($A1564,""en"",""ko"")"),"벨레은자스")</f>
        <v>벨레은자스</v>
      </c>
      <c r="J1564" s="9" t="str">
        <f>IFERROR(__xludf.DUMMYFUNCTION("GOOGLETRANSLATE($A1564,""en"",""pt-BR"")"),"Wele-Nzas")</f>
        <v>Wele-Nzas</v>
      </c>
    </row>
    <row r="1565">
      <c r="A1565" s="9" t="str">
        <f>IFERROR(__xludf.DUMMYFUNCTION("""COMPUTED_VALUE"""),"Región Insular")</f>
        <v>Región Insular</v>
      </c>
      <c r="B1565" s="9" t="str">
        <f>IFERROR(__xludf.DUMMYFUNCTION("""COMPUTED_VALUE"""),"gq-i")</f>
        <v>gq-i</v>
      </c>
      <c r="C1565" s="9" t="str">
        <f>IFERROR(__xludf.DUMMYFUNCTION("GOOGLETRANSLATE($A1565,""en"",""de"")"),"Inselregion")</f>
        <v>Inselregion</v>
      </c>
      <c r="D1565" s="9" t="str">
        <f>IFERROR(__xludf.DUMMYFUNCTION("GOOGLETRANSLATE($A1565,""en"",""fr"")"),"Région Insulaire")</f>
        <v>Région Insulaire</v>
      </c>
      <c r="E1565" s="9" t="str">
        <f>IFERROR(__xludf.DUMMYFUNCTION("GOOGLETRANSLATE($A1565,""en"",""es"")"),"Región Insular")</f>
        <v>Región Insular</v>
      </c>
      <c r="F1565" s="9" t="str">
        <f>IFERROR(__xludf.DUMMYFUNCTION("GOOGLETRANSLATE($A1565,""en"",""it"")"),"Regione Insulare")</f>
        <v>Regione Insulare</v>
      </c>
      <c r="G1565" s="9" t="str">
        <f>IFERROR(__xludf.DUMMYFUNCTION("GOOGLETRANSLATE($A1565,""en"",""zh-cn"")"),"岛屿地区")</f>
        <v>岛屿地区</v>
      </c>
      <c r="H1565" s="9" t="str">
        <f>IFERROR(__xludf.DUMMYFUNCTION("GOOGLETRANSLATE($A1565,""en"",""ja"")"),"島嶼地域")</f>
        <v>島嶼地域</v>
      </c>
      <c r="I1565" s="9" t="str">
        <f>IFERROR(__xludf.DUMMYFUNCTION("GOOGLETRANSLATE($A1565,""en"",""ko"")"),"지역 섬")</f>
        <v>지역 섬</v>
      </c>
      <c r="J1565" s="9" t="str">
        <f>IFERROR(__xludf.DUMMYFUNCTION("GOOGLETRANSLATE($A1565,""en"",""pt-BR"")"),"Região Insular")</f>
        <v>Região Insular</v>
      </c>
    </row>
    <row r="1566">
      <c r="A1566" s="9" t="str">
        <f>IFERROR(__xludf.DUMMYFUNCTION("""COMPUTED_VALUE"""),"Kié-Ntem")</f>
        <v>Kié-Ntem</v>
      </c>
      <c r="B1566" s="9" t="str">
        <f>IFERROR(__xludf.DUMMYFUNCTION("""COMPUTED_VALUE"""),"gq-kn")</f>
        <v>gq-kn</v>
      </c>
      <c r="C1566" s="9" t="str">
        <f>IFERROR(__xludf.DUMMYFUNCTION("GOOGLETRANSLATE($A1566,""en"",""de"")"),"Kié-Ntem")</f>
        <v>Kié-Ntem</v>
      </c>
      <c r="D1566" s="9" t="str">
        <f>IFERROR(__xludf.DUMMYFUNCTION("GOOGLETRANSLATE($A1566,""en"",""fr"")"),"Kié-Ntem")</f>
        <v>Kié-Ntem</v>
      </c>
      <c r="E1566" s="9" t="str">
        <f>IFERROR(__xludf.DUMMYFUNCTION("GOOGLETRANSLATE($A1566,""en"",""es"")"),"Kié Ntem")</f>
        <v>Kié Ntem</v>
      </c>
      <c r="F1566" s="9" t="str">
        <f>IFERROR(__xludf.DUMMYFUNCTION("GOOGLETRANSLATE($A1566,""en"",""it"")"),"Kié-Ntem")</f>
        <v>Kié-Ntem</v>
      </c>
      <c r="G1566" s="9" t="str">
        <f>IFERROR(__xludf.DUMMYFUNCTION("GOOGLETRANSLATE($A1566,""en"",""zh-cn"")"),"基恩特姆")</f>
        <v>基恩特姆</v>
      </c>
      <c r="H1566" s="9" t="str">
        <f>IFERROR(__xludf.DUMMYFUNCTION("GOOGLETRANSLATE($A1566,""en"",""ja"")"),"キーンテム")</f>
        <v>キーンテム</v>
      </c>
      <c r="I1566" s="9" t="str">
        <f>IFERROR(__xludf.DUMMYFUNCTION("GOOGLETRANSLATE($A1566,""en"",""ko"")"),"Kié-Ntem")</f>
        <v>Kié-Ntem</v>
      </c>
      <c r="J1566" s="9" t="str">
        <f>IFERROR(__xludf.DUMMYFUNCTION("GOOGLETRANSLATE($A1566,""en"",""pt-BR"")"),"Kié-Ntem")</f>
        <v>Kié-Ntem</v>
      </c>
    </row>
    <row r="1567">
      <c r="A1567" s="9" t="str">
        <f>IFERROR(__xludf.DUMMYFUNCTION("""COMPUTED_VALUE"""),"Shimālī al Baḩrī al Aḩmar")</f>
        <v>Shimālī al Baḩrī al Aḩmar</v>
      </c>
      <c r="B1567" s="9" t="str">
        <f>IFERROR(__xludf.DUMMYFUNCTION("""COMPUTED_VALUE"""),"er-sk")</f>
        <v>er-sk</v>
      </c>
      <c r="C1567" s="9" t="str">
        <f>IFERROR(__xludf.DUMMYFUNCTION("GOOGLETRANSLATE($A1567,""en"",""de"")"),"Shimālī al Baḩrī al Aḩmar")</f>
        <v>Shimālī al Baḩrī al Aḩmar</v>
      </c>
      <c r="D1567" s="9" t="str">
        <f>IFERROR(__xludf.DUMMYFUNCTION("GOOGLETRANSLATE($A1567,""en"",""fr"")"),"Shimālī al Baḩrī al Aḩmar")</f>
        <v>Shimālī al Baḩrī al Aḩmar</v>
      </c>
      <c r="E1567" s="9" t="str">
        <f>IFERROR(__xludf.DUMMYFUNCTION("GOOGLETRANSLATE($A1567,""en"",""es"")"),"Shimālī al Baḩrī al Aḩmar")</f>
        <v>Shimālī al Baḩrī al Aḩmar</v>
      </c>
      <c r="F1567" s="9" t="str">
        <f>IFERROR(__xludf.DUMMYFUNCTION("GOOGLETRANSLATE($A1567,""en"",""it"")"),"Shimālī al Baḩrī al Aḩmar")</f>
        <v>Shimālī al Baḩrī al Aḩmar</v>
      </c>
      <c r="G1567" s="9" t="str">
        <f>IFERROR(__xludf.DUMMYFUNCTION("GOOGLETRANSLATE($A1567,""en"",""zh-cn"")"),"希玛利·巴里·阿马尔")</f>
        <v>希玛利·巴里·阿马尔</v>
      </c>
      <c r="H1567" s="9" t="str">
        <f>IFERROR(__xludf.DUMMYFUNCTION("GOOGLETRANSLATE($A1567,""en"",""ja"")"),"シマーリー・アル・バフリー・アル・アフマル")</f>
        <v>シマーリー・アル・バフリー・アル・アフマル</v>
      </c>
      <c r="I1567" s="9" t="str">
        <f>IFERROR(__xludf.DUMMYFUNCTION("GOOGLETRANSLATE($A1567,""en"",""ko"")"),"Shimālī al Baḩrī al Aḩmar")</f>
        <v>Shimālī al Baḩrī al Aḩmar</v>
      </c>
      <c r="J1567" s="9" t="str">
        <f>IFERROR(__xludf.DUMMYFUNCTION("GOOGLETRANSLATE($A1567,""en"",""pt-BR"")"),"Shimālī al Bahrī al Aḩmar")</f>
        <v>Shimālī al Bahrī al Aḩmar</v>
      </c>
    </row>
    <row r="1568">
      <c r="A1568" s="9" t="str">
        <f>IFERROR(__xludf.DUMMYFUNCTION("""COMPUTED_VALUE"""),"Qāsh-Barkah")</f>
        <v>Qāsh-Barkah</v>
      </c>
      <c r="B1568" s="9" t="str">
        <f>IFERROR(__xludf.DUMMYFUNCTION("""COMPUTED_VALUE"""),"er-gb")</f>
        <v>er-gb</v>
      </c>
      <c r="C1568" s="9" t="str">
        <f>IFERROR(__xludf.DUMMYFUNCTION("GOOGLETRANSLATE($A1568,""en"",""de"")"),"Qāsh-Barkah")</f>
        <v>Qāsh-Barkah</v>
      </c>
      <c r="D1568" s="9" t="str">
        <f>IFERROR(__xludf.DUMMYFUNCTION("GOOGLETRANSLATE($A1568,""en"",""fr"")"),"Qash-Barkah")</f>
        <v>Qash-Barkah</v>
      </c>
      <c r="E1568" s="9" t="str">
        <f>IFERROR(__xludf.DUMMYFUNCTION("GOOGLETRANSLATE($A1568,""en"",""es"")"),"Qāsh-Barkah")</f>
        <v>Qāsh-Barkah</v>
      </c>
      <c r="F1568" s="9" t="str">
        <f>IFERROR(__xludf.DUMMYFUNCTION("GOOGLETRANSLATE($A1568,""en"",""it"")"),"Qāsh-Barkah")</f>
        <v>Qāsh-Barkah</v>
      </c>
      <c r="G1568" s="9" t="str">
        <f>IFERROR(__xludf.DUMMYFUNCTION("GOOGLETRANSLATE($A1568,""en"",""zh-cn"")"),"卡什巴尔卡")</f>
        <v>卡什巴尔卡</v>
      </c>
      <c r="H1568" s="9" t="str">
        <f>IFERROR(__xludf.DUMMYFUNCTION("GOOGLETRANSLATE($A1568,""en"",""ja"")"),"カシュ・バルカ")</f>
        <v>カシュ・バルカ</v>
      </c>
      <c r="I1568" s="9" t="str">
        <f>IFERROR(__xludf.DUMMYFUNCTION("GOOGLETRANSLATE($A1568,""en"",""ko"")"),"카쉬-바르카")</f>
        <v>카쉬-바르카</v>
      </c>
      <c r="J1568" s="9" t="str">
        <f>IFERROR(__xludf.DUMMYFUNCTION("GOOGLETRANSLATE($A1568,""en"",""pt-BR"")"),"Qāsh-Barkah")</f>
        <v>Qāsh-Barkah</v>
      </c>
    </row>
    <row r="1569">
      <c r="A1569" s="9" t="str">
        <f>IFERROR(__xludf.DUMMYFUNCTION("""COMPUTED_VALUE"""),"Ansabā")</f>
        <v>Ansabā</v>
      </c>
      <c r="B1569" s="9" t="str">
        <f>IFERROR(__xludf.DUMMYFUNCTION("""COMPUTED_VALUE"""),"er-an")</f>
        <v>er-an</v>
      </c>
      <c r="C1569" s="9" t="str">
        <f>IFERROR(__xludf.DUMMYFUNCTION("GOOGLETRANSLATE($A1569,""en"",""de"")"),"Ansaba")</f>
        <v>Ansaba</v>
      </c>
      <c r="D1569" s="9" t="str">
        <f>IFERROR(__xludf.DUMMYFUNCTION("GOOGLETRANSLATE($A1569,""en"",""fr"")"),"Ansaba")</f>
        <v>Ansaba</v>
      </c>
      <c r="E1569" s="9" t="str">
        <f>IFERROR(__xludf.DUMMYFUNCTION("GOOGLETRANSLATE($A1569,""en"",""es"")"),"Ansaba")</f>
        <v>Ansaba</v>
      </c>
      <c r="F1569" s="9" t="str">
        <f>IFERROR(__xludf.DUMMYFUNCTION("GOOGLETRANSLATE($A1569,""en"",""it"")"),"Ansaba")</f>
        <v>Ansaba</v>
      </c>
      <c r="G1569" s="9" t="str">
        <f>IFERROR(__xludf.DUMMYFUNCTION("GOOGLETRANSLATE($A1569,""en"",""zh-cn"")"),"安萨巴")</f>
        <v>安萨巴</v>
      </c>
      <c r="H1569" s="9" t="str">
        <f>IFERROR(__xludf.DUMMYFUNCTION("GOOGLETRANSLATE($A1569,""en"",""ja"")"),"アンサバ")</f>
        <v>アンサバ</v>
      </c>
      <c r="I1569" s="9" t="str">
        <f>IFERROR(__xludf.DUMMYFUNCTION("GOOGLETRANSLATE($A1569,""en"",""ko"")"),"안사바")</f>
        <v>안사바</v>
      </c>
      <c r="J1569" s="9" t="str">
        <f>IFERROR(__xludf.DUMMYFUNCTION("GOOGLETRANSLATE($A1569,""en"",""pt-BR"")"),"Ansaba")</f>
        <v>Ansaba</v>
      </c>
    </row>
    <row r="1570">
      <c r="A1570" s="9" t="str">
        <f>IFERROR(__xludf.DUMMYFUNCTION("""COMPUTED_VALUE"""),"Al Janūbĩ")</f>
        <v>Al Janūbĩ</v>
      </c>
      <c r="B1570" s="9" t="str">
        <f>IFERROR(__xludf.DUMMYFUNCTION("""COMPUTED_VALUE"""),"er-du")</f>
        <v>er-du</v>
      </c>
      <c r="C1570" s="9" t="str">
        <f>IFERROR(__xludf.DUMMYFUNCTION("GOOGLETRANSLATE($A1570,""en"",""de"")"),"Al Janūbĩ")</f>
        <v>Al Janūbĩ</v>
      </c>
      <c r="D1570" s="9" t="str">
        <f>IFERROR(__xludf.DUMMYFUNCTION("GOOGLETRANSLATE($A1570,""en"",""fr"")"),"Al Janūbĩ")</f>
        <v>Al Janūbĩ</v>
      </c>
      <c r="E1570" s="9" t="str">
        <f>IFERROR(__xludf.DUMMYFUNCTION("GOOGLETRANSLATE($A1570,""en"",""es"")"),"Al Janūbĩ")</f>
        <v>Al Janūbĩ</v>
      </c>
      <c r="F1570" s="9" t="str">
        <f>IFERROR(__xludf.DUMMYFUNCTION("GOOGLETRANSLATE($A1570,""en"",""it"")"),"Al Janūbĩ")</f>
        <v>Al Janūbĩ</v>
      </c>
      <c r="G1570" s="9" t="str">
        <f>IFERROR(__xludf.DUMMYFUNCTION("GOOGLETRANSLATE($A1570,""en"",""zh-cn"")"),"贾努布")</f>
        <v>贾努布</v>
      </c>
      <c r="H1570" s="9" t="str">
        <f>IFERROR(__xludf.DUMMYFUNCTION("GOOGLETRANSLATE($A1570,""en"",""ja"")"),"アル・ジャヌービ")</f>
        <v>アル・ジャヌービ</v>
      </c>
      <c r="I1570" s="9" t="str">
        <f>IFERROR(__xludf.DUMMYFUNCTION("GOOGLETRANSLATE($A1570,""en"",""ko"")"),"알 자누비")</f>
        <v>알 자누비</v>
      </c>
      <c r="J1570" s="9" t="str">
        <f>IFERROR(__xludf.DUMMYFUNCTION("GOOGLETRANSLATE($A1570,""en"",""pt-BR"")"),"Al Janūbĩ")</f>
        <v>Al Janūbĩ</v>
      </c>
    </row>
    <row r="1571">
      <c r="A1571" s="9" t="str">
        <f>IFERROR(__xludf.DUMMYFUNCTION("""COMPUTED_VALUE"""),"Al Awsaţ")</f>
        <v>Al Awsaţ</v>
      </c>
      <c r="B1571" s="9" t="str">
        <f>IFERROR(__xludf.DUMMYFUNCTION("""COMPUTED_VALUE"""),"er-ma")</f>
        <v>er-ma</v>
      </c>
      <c r="C1571" s="9" t="str">
        <f>IFERROR(__xludf.DUMMYFUNCTION("GOOGLETRANSLATE($A1571,""en"",""de"")"),"Al Awsaţ")</f>
        <v>Al Awsaţ</v>
      </c>
      <c r="D1571" s="9" t="str">
        <f>IFERROR(__xludf.DUMMYFUNCTION("GOOGLETRANSLATE($A1571,""en"",""fr"")"),"Al Awsat")</f>
        <v>Al Awsat</v>
      </c>
      <c r="E1571" s="9" t="str">
        <f>IFERROR(__xludf.DUMMYFUNCTION("GOOGLETRANSLATE($A1571,""en"",""es"")"),"Al Awsaţ")</f>
        <v>Al Awsaţ</v>
      </c>
      <c r="F1571" s="9" t="str">
        <f>IFERROR(__xludf.DUMMYFUNCTION("GOOGLETRANSLATE($A1571,""en"",""it"")"),"Al Awsaţ")</f>
        <v>Al Awsaţ</v>
      </c>
      <c r="G1571" s="9" t="str">
        <f>IFERROR(__xludf.DUMMYFUNCTION("GOOGLETRANSLATE($A1571,""en"",""zh-cn"")"),"奥萨特")</f>
        <v>奥萨特</v>
      </c>
      <c r="H1571" s="9" t="str">
        <f>IFERROR(__xludf.DUMMYFUNCTION("GOOGLETRANSLATE($A1571,""en"",""ja"")"),"アル・アウサシュ")</f>
        <v>アル・アウサシュ</v>
      </c>
      <c r="I1571" s="9" t="str">
        <f>IFERROR(__xludf.DUMMYFUNCTION("GOOGLETRANSLATE($A1571,""en"",""ko"")"),"알 아우사츠")</f>
        <v>알 아우사츠</v>
      </c>
      <c r="J1571" s="9" t="str">
        <f>IFERROR(__xludf.DUMMYFUNCTION("GOOGLETRANSLATE($A1571,""en"",""pt-BR"")"),"Al Awsaţ")</f>
        <v>Al Awsaţ</v>
      </c>
    </row>
    <row r="1572">
      <c r="A1572" s="9" t="str">
        <f>IFERROR(__xludf.DUMMYFUNCTION("""COMPUTED_VALUE"""),"Janūbī al Baḩrī al Aḩmar")</f>
        <v>Janūbī al Baḩrī al Aḩmar</v>
      </c>
      <c r="B1572" s="9" t="str">
        <f>IFERROR(__xludf.DUMMYFUNCTION("""COMPUTED_VALUE"""),"er-dk")</f>
        <v>er-dk</v>
      </c>
      <c r="C1572" s="9" t="str">
        <f>IFERROR(__xludf.DUMMYFUNCTION("GOOGLETRANSLATE($A1572,""en"",""de"")"),"Janūbī al Baḩrī al Aḩmar")</f>
        <v>Janūbī al Baḩrī al Aḩmar</v>
      </c>
      <c r="D1572" s="9" t="str">
        <f>IFERROR(__xludf.DUMMYFUNCTION("GOOGLETRANSLATE($A1572,""en"",""fr"")"),"Janūbi al Baḩrī al Aḩmar")</f>
        <v>Janūbi al Baḩrī al Aḩmar</v>
      </c>
      <c r="E1572" s="9" t="str">
        <f>IFERROR(__xludf.DUMMYFUNCTION("GOOGLETRANSLATE($A1572,""en"",""es"")"),"Janūbī al Baḩrī al Aḩmar")</f>
        <v>Janūbī al Baḩrī al Aḩmar</v>
      </c>
      <c r="F1572" s="9" t="str">
        <f>IFERROR(__xludf.DUMMYFUNCTION("GOOGLETRANSLATE($A1572,""en"",""it"")"),"Janūbī al Baḩrī al Aḩmar")</f>
        <v>Janūbī al Baḩrī al Aḩmar</v>
      </c>
      <c r="G1572" s="9" t="str">
        <f>IFERROR(__xludf.DUMMYFUNCTION("GOOGLETRANSLATE($A1572,""en"",""zh-cn"")"),"贾努比·巴赫里·阿马尔")</f>
        <v>贾努比·巴赫里·阿马尔</v>
      </c>
      <c r="H1572" s="9" t="str">
        <f>IFERROR(__xludf.DUMMYFUNCTION("GOOGLETRANSLATE($A1572,""en"",""ja"")"),"ジャヌビー・アル・バフリー・アル・アマル")</f>
        <v>ジャヌビー・アル・バフリー・アル・アマル</v>
      </c>
      <c r="I1572" s="9" t="str">
        <f>IFERROR(__xludf.DUMMYFUNCTION("GOOGLETRANSLATE($A1572,""en"",""ko"")"),"Janūbī al Baḩrī al Aḩmar")</f>
        <v>Janūbī al Baḩrī al Aḩmar</v>
      </c>
      <c r="J1572" s="9" t="str">
        <f>IFERROR(__xludf.DUMMYFUNCTION("GOOGLETRANSLATE($A1572,""en"",""pt-BR"")"),"Janūbī al Bahrī al Aḩmar")</f>
        <v>Janūbī al Bahrī al Aḩmar</v>
      </c>
    </row>
    <row r="1573">
      <c r="A1573" s="9" t="str">
        <f>IFERROR(__xludf.DUMMYFUNCTION("""COMPUTED_VALUE"""),"Hiiumaa")</f>
        <v>Hiiumaa</v>
      </c>
      <c r="B1573" s="9" t="str">
        <f>IFERROR(__xludf.DUMMYFUNCTION("""COMPUTED_VALUE"""),"ee-39")</f>
        <v>ee-39</v>
      </c>
      <c r="C1573" s="9" t="str">
        <f>IFERROR(__xludf.DUMMYFUNCTION("GOOGLETRANSLATE($A1573,""en"",""de"")"),"Hiiumaa")</f>
        <v>Hiiumaa</v>
      </c>
      <c r="D1573" s="9" t="str">
        <f>IFERROR(__xludf.DUMMYFUNCTION("GOOGLETRANSLATE($A1573,""en"",""fr"")"),"Hiiumaa")</f>
        <v>Hiiumaa</v>
      </c>
      <c r="E1573" s="9" t="str">
        <f>IFERROR(__xludf.DUMMYFUNCTION("GOOGLETRANSLATE($A1573,""en"",""es"")"),"Hiiumaa")</f>
        <v>Hiiumaa</v>
      </c>
      <c r="F1573" s="9" t="str">
        <f>IFERROR(__xludf.DUMMYFUNCTION("GOOGLETRANSLATE($A1573,""en"",""it"")"),"Hiiumaa")</f>
        <v>Hiiumaa</v>
      </c>
      <c r="G1573" s="9" t="str">
        <f>IFERROR(__xludf.DUMMYFUNCTION("GOOGLETRANSLATE($A1573,""en"",""zh-cn"")"),"希乌马")</f>
        <v>希乌马</v>
      </c>
      <c r="H1573" s="9" t="str">
        <f>IFERROR(__xludf.DUMMYFUNCTION("GOOGLETRANSLATE($A1573,""en"",""ja"")"),"ひぃうまー")</f>
        <v>ひぃうまー</v>
      </c>
      <c r="I1573" s="9" t="str">
        <f>IFERROR(__xludf.DUMMYFUNCTION("GOOGLETRANSLATE($A1573,""en"",""ko"")"),"히우마")</f>
        <v>히우마</v>
      </c>
      <c r="J1573" s="9" t="str">
        <f>IFERROR(__xludf.DUMMYFUNCTION("GOOGLETRANSLATE($A1573,""en"",""pt-BR"")"),"Hiiumaa")</f>
        <v>Hiiumaa</v>
      </c>
    </row>
    <row r="1574">
      <c r="A1574" s="9" t="str">
        <f>IFERROR(__xludf.DUMMYFUNCTION("""COMPUTED_VALUE"""),"Harjumaa")</f>
        <v>Harjumaa</v>
      </c>
      <c r="B1574" s="9" t="str">
        <f>IFERROR(__xludf.DUMMYFUNCTION("""COMPUTED_VALUE"""),"ee-37")</f>
        <v>ee-37</v>
      </c>
      <c r="C1574" s="9" t="str">
        <f>IFERROR(__xludf.DUMMYFUNCTION("GOOGLETRANSLATE($A1574,""en"",""de"")"),"Harjumaa")</f>
        <v>Harjumaa</v>
      </c>
      <c r="D1574" s="9" t="str">
        <f>IFERROR(__xludf.DUMMYFUNCTION("GOOGLETRANSLATE($A1574,""en"",""fr"")"),"Harjumaa")</f>
        <v>Harjumaa</v>
      </c>
      <c r="E1574" s="9" t="str">
        <f>IFERROR(__xludf.DUMMYFUNCTION("GOOGLETRANSLATE($A1574,""en"",""es"")"),"harjumaa")</f>
        <v>harjumaa</v>
      </c>
      <c r="F1574" s="9" t="str">
        <f>IFERROR(__xludf.DUMMYFUNCTION("GOOGLETRANSLATE($A1574,""en"",""it"")"),"Harjumaa")</f>
        <v>Harjumaa</v>
      </c>
      <c r="G1574" s="9" t="str">
        <f>IFERROR(__xludf.DUMMYFUNCTION("GOOGLETRANSLATE($A1574,""en"",""zh-cn"")"),"哈尔朱马")</f>
        <v>哈尔朱马</v>
      </c>
      <c r="H1574" s="9" t="str">
        <f>IFERROR(__xludf.DUMMYFUNCTION("GOOGLETRANSLATE($A1574,""en"",""ja"")"),"ハルジュマー")</f>
        <v>ハルジュマー</v>
      </c>
      <c r="I1574" s="9" t="str">
        <f>IFERROR(__xludf.DUMMYFUNCTION("GOOGLETRANSLATE($A1574,""en"",""ko"")"),"하르주마")</f>
        <v>하르주마</v>
      </c>
      <c r="J1574" s="9" t="str">
        <f>IFERROR(__xludf.DUMMYFUNCTION("GOOGLETRANSLATE($A1574,""en"",""pt-BR"")"),"Harjumaa")</f>
        <v>Harjumaa</v>
      </c>
    </row>
    <row r="1575">
      <c r="A1575" s="9" t="str">
        <f>IFERROR(__xludf.DUMMYFUNCTION("""COMPUTED_VALUE"""),"Järvamaa")</f>
        <v>Järvamaa</v>
      </c>
      <c r="B1575" s="9" t="str">
        <f>IFERROR(__xludf.DUMMYFUNCTION("""COMPUTED_VALUE"""),"ee-51")</f>
        <v>ee-51</v>
      </c>
      <c r="C1575" s="9" t="str">
        <f>IFERROR(__xludf.DUMMYFUNCTION("GOOGLETRANSLATE($A1575,""en"",""de"")"),"Järvamaa")</f>
        <v>Järvamaa</v>
      </c>
      <c r="D1575" s="9" t="str">
        <f>IFERROR(__xludf.DUMMYFUNCTION("GOOGLETRANSLATE($A1575,""en"",""fr"")"),"Järvamaa")</f>
        <v>Järvamaa</v>
      </c>
      <c r="E1575" s="9" t="str">
        <f>IFERROR(__xludf.DUMMYFUNCTION("GOOGLETRANSLATE($A1575,""en"",""es"")"),"Järvamaa")</f>
        <v>Järvamaa</v>
      </c>
      <c r="F1575" s="9" t="str">
        <f>IFERROR(__xludf.DUMMYFUNCTION("GOOGLETRANSLATE($A1575,""en"",""it"")"),"Järvamaa")</f>
        <v>Järvamaa</v>
      </c>
      <c r="G1575" s="9" t="str">
        <f>IFERROR(__xludf.DUMMYFUNCTION("GOOGLETRANSLATE($A1575,""en"",""zh-cn"")"),"耶尔瓦玛")</f>
        <v>耶尔瓦玛</v>
      </c>
      <c r="H1575" s="9" t="str">
        <f>IFERROR(__xludf.DUMMYFUNCTION("GOOGLETRANSLATE($A1575,""en"",""ja"")"),"ヤルバマー")</f>
        <v>ヤルバマー</v>
      </c>
      <c r="I1575" s="9" t="str">
        <f>IFERROR(__xludf.DUMMYFUNCTION("GOOGLETRANSLATE($A1575,""en"",""ko"")"),"야르바마")</f>
        <v>야르바마</v>
      </c>
      <c r="J1575" s="9" t="str">
        <f>IFERROR(__xludf.DUMMYFUNCTION("GOOGLETRANSLATE($A1575,""en"",""pt-BR"")"),"Järvama")</f>
        <v>Järvama</v>
      </c>
    </row>
    <row r="1576">
      <c r="A1576" s="9" t="str">
        <f>IFERROR(__xludf.DUMMYFUNCTION("""COMPUTED_VALUE"""),"Põlvamaa")</f>
        <v>Põlvamaa</v>
      </c>
      <c r="B1576" s="9" t="str">
        <f>IFERROR(__xludf.DUMMYFUNCTION("""COMPUTED_VALUE"""),"ee-65")</f>
        <v>ee-65</v>
      </c>
      <c r="C1576" s="9" t="str">
        <f>IFERROR(__xludf.DUMMYFUNCTION("GOOGLETRANSLATE($A1576,""en"",""de"")"),"Põlvamaa")</f>
        <v>Põlvamaa</v>
      </c>
      <c r="D1576" s="9" t="str">
        <f>IFERROR(__xludf.DUMMYFUNCTION("GOOGLETRANSLATE($A1576,""en"",""fr"")"),"Põlvamaa")</f>
        <v>Põlvamaa</v>
      </c>
      <c r="E1576" s="9" t="str">
        <f>IFERROR(__xludf.DUMMYFUNCTION("GOOGLETRANSLATE($A1576,""en"",""es"")"),"Põlvamaa")</f>
        <v>Põlvamaa</v>
      </c>
      <c r="F1576" s="9" t="str">
        <f>IFERROR(__xludf.DUMMYFUNCTION("GOOGLETRANSLATE($A1576,""en"",""it"")"),"Põlvamaa")</f>
        <v>Põlvamaa</v>
      </c>
      <c r="G1576" s="9" t="str">
        <f>IFERROR(__xludf.DUMMYFUNCTION("GOOGLETRANSLATE($A1576,""en"",""zh-cn"")"),"波瓦玛")</f>
        <v>波瓦玛</v>
      </c>
      <c r="H1576" s="9" t="str">
        <f>IFERROR(__xludf.DUMMYFUNCTION("GOOGLETRANSLATE($A1576,""en"",""ja"")"),"ポルバマー")</f>
        <v>ポルバマー</v>
      </c>
      <c r="I1576" s="9" t="str">
        <f>IFERROR(__xludf.DUMMYFUNCTION("GOOGLETRANSLATE($A1576,""en"",""ko"")"),"폴바마")</f>
        <v>폴바마</v>
      </c>
      <c r="J1576" s="9" t="str">
        <f>IFERROR(__xludf.DUMMYFUNCTION("GOOGLETRANSLATE($A1576,""en"",""pt-BR"")"),"Põlvamaa")</f>
        <v>Põlvamaa</v>
      </c>
    </row>
    <row r="1577">
      <c r="A1577" s="9" t="str">
        <f>IFERROR(__xludf.DUMMYFUNCTION("""COMPUTED_VALUE"""),"Lääne-Virumaa")</f>
        <v>Lääne-Virumaa</v>
      </c>
      <c r="B1577" s="9" t="str">
        <f>IFERROR(__xludf.DUMMYFUNCTION("""COMPUTED_VALUE"""),"ee-59")</f>
        <v>ee-59</v>
      </c>
      <c r="C1577" s="9" t="str">
        <f>IFERROR(__xludf.DUMMYFUNCTION("GOOGLETRANSLATE($A1577,""en"",""de"")"),"Lääne-Virumaa")</f>
        <v>Lääne-Virumaa</v>
      </c>
      <c r="D1577" s="9" t="str">
        <f>IFERROR(__xludf.DUMMYFUNCTION("GOOGLETRANSLATE($A1577,""en"",""fr"")"),"Lääne-Virumaa")</f>
        <v>Lääne-Virumaa</v>
      </c>
      <c r="E1577" s="9" t="str">
        <f>IFERROR(__xludf.DUMMYFUNCTION("GOOGLETRANSLATE($A1577,""en"",""es"")"),"Lääne-Virumaa")</f>
        <v>Lääne-Virumaa</v>
      </c>
      <c r="F1577" s="9" t="str">
        <f>IFERROR(__xludf.DUMMYFUNCTION("GOOGLETRANSLATE($A1577,""en"",""it"")"),"Lääne-Virumaa")</f>
        <v>Lääne-Virumaa</v>
      </c>
      <c r="G1577" s="9" t="str">
        <f>IFERROR(__xludf.DUMMYFUNCTION("GOOGLETRANSLATE($A1577,""en"",""zh-cn"")"),"拉纳-维鲁玛")</f>
        <v>拉纳-维鲁玛</v>
      </c>
      <c r="H1577" s="9" t="str">
        <f>IFERROR(__xludf.DUMMYFUNCTION("GOOGLETRANSLATE($A1577,""en"",""ja"")"),"レーネ・ヴィルマー")</f>
        <v>レーネ・ヴィルマー</v>
      </c>
      <c r="I1577" s="9" t="str">
        <f>IFERROR(__xludf.DUMMYFUNCTION("GOOGLETRANSLATE($A1577,""en"",""ko"")"),"레인-비루마")</f>
        <v>레인-비루마</v>
      </c>
      <c r="J1577" s="9" t="str">
        <f>IFERROR(__xludf.DUMMYFUNCTION("GOOGLETRANSLATE($A1577,""en"",""pt-BR"")"),"Lääne-Virumaa")</f>
        <v>Lääne-Virumaa</v>
      </c>
    </row>
    <row r="1578">
      <c r="A1578" s="9" t="str">
        <f>IFERROR(__xludf.DUMMYFUNCTION("""COMPUTED_VALUE"""),"Saaremaa")</f>
        <v>Saaremaa</v>
      </c>
      <c r="B1578" s="9" t="str">
        <f>IFERROR(__xludf.DUMMYFUNCTION("""COMPUTED_VALUE"""),"ee-74")</f>
        <v>ee-74</v>
      </c>
      <c r="C1578" s="9" t="str">
        <f>IFERROR(__xludf.DUMMYFUNCTION("GOOGLETRANSLATE($A1578,""en"",""de"")"),"Saaremaa")</f>
        <v>Saaremaa</v>
      </c>
      <c r="D1578" s="9" t="str">
        <f>IFERROR(__xludf.DUMMYFUNCTION("GOOGLETRANSLATE($A1578,""en"",""fr"")"),"Saaremaa")</f>
        <v>Saaremaa</v>
      </c>
      <c r="E1578" s="9" t="str">
        <f>IFERROR(__xludf.DUMMYFUNCTION("GOOGLETRANSLATE($A1578,""en"",""es"")"),"Saaremaa")</f>
        <v>Saaremaa</v>
      </c>
      <c r="F1578" s="9" t="str">
        <f>IFERROR(__xludf.DUMMYFUNCTION("GOOGLETRANSLATE($A1578,""en"",""it"")"),"Saaremaa")</f>
        <v>Saaremaa</v>
      </c>
      <c r="G1578" s="9" t="str">
        <f>IFERROR(__xludf.DUMMYFUNCTION("GOOGLETRANSLATE($A1578,""en"",""zh-cn"")"),"萨列马")</f>
        <v>萨列马</v>
      </c>
      <c r="H1578" s="9" t="str">
        <f>IFERROR(__xludf.DUMMYFUNCTION("GOOGLETRANSLATE($A1578,""en"",""ja"")"),"サーレマー")</f>
        <v>サーレマー</v>
      </c>
      <c r="I1578" s="9" t="str">
        <f>IFERROR(__xludf.DUMMYFUNCTION("GOOGLETRANSLATE($A1578,""en"",""ko"")"),"사레마")</f>
        <v>사레마</v>
      </c>
      <c r="J1578" s="9" t="str">
        <f>IFERROR(__xludf.DUMMYFUNCTION("GOOGLETRANSLATE($A1578,""en"",""pt-BR"")"),"Saaremaa")</f>
        <v>Saaremaa</v>
      </c>
    </row>
    <row r="1579">
      <c r="A1579" s="9" t="str">
        <f>IFERROR(__xludf.DUMMYFUNCTION("""COMPUTED_VALUE"""),"Raplamaa")</f>
        <v>Raplamaa</v>
      </c>
      <c r="B1579" s="9" t="str">
        <f>IFERROR(__xludf.DUMMYFUNCTION("""COMPUTED_VALUE"""),"ee-70")</f>
        <v>ee-70</v>
      </c>
      <c r="C1579" s="9" t="str">
        <f>IFERROR(__xludf.DUMMYFUNCTION("GOOGLETRANSLATE($A1579,""en"",""de"")"),"Raplamaa")</f>
        <v>Raplamaa</v>
      </c>
      <c r="D1579" s="9" t="str">
        <f>IFERROR(__xludf.DUMMYFUNCTION("GOOGLETRANSLATE($A1579,""en"",""fr"")"),"Raplamaa")</f>
        <v>Raplamaa</v>
      </c>
      <c r="E1579" s="9" t="str">
        <f>IFERROR(__xludf.DUMMYFUNCTION("GOOGLETRANSLATE($A1579,""en"",""es"")"),"raplamaa")</f>
        <v>raplamaa</v>
      </c>
      <c r="F1579" s="9" t="str">
        <f>IFERROR(__xludf.DUMMYFUNCTION("GOOGLETRANSLATE($A1579,""en"",""it"")"),"Raplamaa")</f>
        <v>Raplamaa</v>
      </c>
      <c r="G1579" s="9" t="str">
        <f>IFERROR(__xludf.DUMMYFUNCTION("GOOGLETRANSLATE($A1579,""en"",""zh-cn"")"),"拉普拉玛")</f>
        <v>拉普拉玛</v>
      </c>
      <c r="H1579" s="9" t="str">
        <f>IFERROR(__xludf.DUMMYFUNCTION("GOOGLETRANSLATE($A1579,""en"",""ja"")"),"ラプラマー")</f>
        <v>ラプラマー</v>
      </c>
      <c r="I1579" s="9" t="str">
        <f>IFERROR(__xludf.DUMMYFUNCTION("GOOGLETRANSLATE($A1579,""en"",""ko"")"),"라플라마")</f>
        <v>라플라마</v>
      </c>
      <c r="J1579" s="9" t="str">
        <f>IFERROR(__xludf.DUMMYFUNCTION("GOOGLETRANSLATE($A1579,""en"",""pt-BR"")"),"Raplama")</f>
        <v>Raplama</v>
      </c>
    </row>
    <row r="1580">
      <c r="A1580" s="9" t="str">
        <f>IFERROR(__xludf.DUMMYFUNCTION("""COMPUTED_VALUE"""),"Võrumaa")</f>
        <v>Võrumaa</v>
      </c>
      <c r="B1580" s="9" t="str">
        <f>IFERROR(__xludf.DUMMYFUNCTION("""COMPUTED_VALUE"""),"ee-86")</f>
        <v>ee-86</v>
      </c>
      <c r="C1580" s="9" t="str">
        <f>IFERROR(__xludf.DUMMYFUNCTION("GOOGLETRANSLATE($A1580,""en"",""de"")"),"Võrumaa")</f>
        <v>Võrumaa</v>
      </c>
      <c r="D1580" s="9" t="str">
        <f>IFERROR(__xludf.DUMMYFUNCTION("GOOGLETRANSLATE($A1580,""en"",""fr"")"),"Võrumaa")</f>
        <v>Võrumaa</v>
      </c>
      <c r="E1580" s="9" t="str">
        <f>IFERROR(__xludf.DUMMYFUNCTION("GOOGLETRANSLATE($A1580,""en"",""es"")"),"Võrumaa")</f>
        <v>Võrumaa</v>
      </c>
      <c r="F1580" s="9" t="str">
        <f>IFERROR(__xludf.DUMMYFUNCTION("GOOGLETRANSLATE($A1580,""en"",""it"")"),"Võrumaa")</f>
        <v>Võrumaa</v>
      </c>
      <c r="G1580" s="9" t="str">
        <f>IFERROR(__xludf.DUMMYFUNCTION("GOOGLETRANSLATE($A1580,""en"",""zh-cn"")"),"沃鲁马")</f>
        <v>沃鲁马</v>
      </c>
      <c r="H1580" s="9" t="str">
        <f>IFERROR(__xludf.DUMMYFUNCTION("GOOGLETRANSLATE($A1580,""en"",""ja"")"),"ヴォルマー")</f>
        <v>ヴォルマー</v>
      </c>
      <c r="I1580" s="9" t="str">
        <f>IFERROR(__xludf.DUMMYFUNCTION("GOOGLETRANSLATE($A1580,""en"",""ko"")"),"보루마")</f>
        <v>보루마</v>
      </c>
      <c r="J1580" s="9" t="str">
        <f>IFERROR(__xludf.DUMMYFUNCTION("GOOGLETRANSLATE($A1580,""en"",""pt-BR"")"),"Võrumaa")</f>
        <v>Võrumaa</v>
      </c>
    </row>
    <row r="1581">
      <c r="A1581" s="9" t="str">
        <f>IFERROR(__xludf.DUMMYFUNCTION("""COMPUTED_VALUE"""),"Jõgevamaa")</f>
        <v>Jõgevamaa</v>
      </c>
      <c r="B1581" s="9" t="str">
        <f>IFERROR(__xludf.DUMMYFUNCTION("""COMPUTED_VALUE"""),"ee-49")</f>
        <v>ee-49</v>
      </c>
      <c r="C1581" s="9" t="str">
        <f>IFERROR(__xludf.DUMMYFUNCTION("GOOGLETRANSLATE($A1581,""en"",""de"")"),"Jõgevamaa")</f>
        <v>Jõgevamaa</v>
      </c>
      <c r="D1581" s="9" t="str">
        <f>IFERROR(__xludf.DUMMYFUNCTION("GOOGLETRANSLATE($A1581,""en"",""fr"")"),"Jõgevamaa")</f>
        <v>Jõgevamaa</v>
      </c>
      <c r="E1581" s="9" t="str">
        <f>IFERROR(__xludf.DUMMYFUNCTION("GOOGLETRANSLATE($A1581,""en"",""es"")"),"Jõgevamaa")</f>
        <v>Jõgevamaa</v>
      </c>
      <c r="F1581" s="9" t="str">
        <f>IFERROR(__xludf.DUMMYFUNCTION("GOOGLETRANSLATE($A1581,""en"",""it"")"),"Jõgevamaa")</f>
        <v>Jõgevamaa</v>
      </c>
      <c r="G1581" s="9" t="str">
        <f>IFERROR(__xludf.DUMMYFUNCTION("GOOGLETRANSLATE($A1581,""en"",""zh-cn"")"),"约格瓦玛")</f>
        <v>约格瓦玛</v>
      </c>
      <c r="H1581" s="9" t="str">
        <f>IFERROR(__xludf.DUMMYFUNCTION("GOOGLETRANSLATE($A1581,""en"",""ja"")"),"ヨーゲヴァマー")</f>
        <v>ヨーゲヴァマー</v>
      </c>
      <c r="I1581" s="9" t="str">
        <f>IFERROR(__xludf.DUMMYFUNCTION("GOOGLETRANSLATE($A1581,""en"",""ko"")"),"Jõgevamaa")</f>
        <v>Jõgevamaa</v>
      </c>
      <c r="J1581" s="9" t="str">
        <f>IFERROR(__xludf.DUMMYFUNCTION("GOOGLETRANSLATE($A1581,""en"",""pt-BR"")"),"Jõgevama")</f>
        <v>Jõgevama</v>
      </c>
    </row>
    <row r="1582">
      <c r="A1582" s="9" t="str">
        <f>IFERROR(__xludf.DUMMYFUNCTION("""COMPUTED_VALUE"""),"Tartumaa")</f>
        <v>Tartumaa</v>
      </c>
      <c r="B1582" s="9" t="str">
        <f>IFERROR(__xludf.DUMMYFUNCTION("""COMPUTED_VALUE"""),"ee-78")</f>
        <v>ee-78</v>
      </c>
      <c r="C1582" s="9" t="str">
        <f>IFERROR(__xludf.DUMMYFUNCTION("GOOGLETRANSLATE($A1582,""en"",""de"")"),"Tartumaa")</f>
        <v>Tartumaa</v>
      </c>
      <c r="D1582" s="9" t="str">
        <f>IFERROR(__xludf.DUMMYFUNCTION("GOOGLETRANSLATE($A1582,""en"",""fr"")"),"Tartumaa")</f>
        <v>Tartumaa</v>
      </c>
      <c r="E1582" s="9" t="str">
        <f>IFERROR(__xludf.DUMMYFUNCTION("GOOGLETRANSLATE($A1582,""en"",""es"")"),"Tartumaa")</f>
        <v>Tartumaa</v>
      </c>
      <c r="F1582" s="9" t="str">
        <f>IFERROR(__xludf.DUMMYFUNCTION("GOOGLETRANSLATE($A1582,""en"",""it"")"),"Tartumaa")</f>
        <v>Tartumaa</v>
      </c>
      <c r="G1582" s="9" t="str">
        <f>IFERROR(__xludf.DUMMYFUNCTION("GOOGLETRANSLATE($A1582,""en"",""zh-cn"")"),"塔尔图马")</f>
        <v>塔尔图马</v>
      </c>
      <c r="H1582" s="9" t="str">
        <f>IFERROR(__xludf.DUMMYFUNCTION("GOOGLETRANSLATE($A1582,""en"",""ja"")"),"タルトゥマー")</f>
        <v>タルトゥマー</v>
      </c>
      <c r="I1582" s="9" t="str">
        <f>IFERROR(__xludf.DUMMYFUNCTION("GOOGLETRANSLATE($A1582,""en"",""ko"")"),"타르투마")</f>
        <v>타르투마</v>
      </c>
      <c r="J1582" s="9" t="str">
        <f>IFERROR(__xludf.DUMMYFUNCTION("GOOGLETRANSLATE($A1582,""en"",""pt-BR"")"),"Tartumaa")</f>
        <v>Tartumaa</v>
      </c>
    </row>
    <row r="1583">
      <c r="A1583" s="9" t="str">
        <f>IFERROR(__xludf.DUMMYFUNCTION("""COMPUTED_VALUE"""),"Ida-Virumaa")</f>
        <v>Ida-Virumaa</v>
      </c>
      <c r="B1583" s="9" t="str">
        <f>IFERROR(__xludf.DUMMYFUNCTION("""COMPUTED_VALUE"""),"ee-44")</f>
        <v>ee-44</v>
      </c>
      <c r="C1583" s="9" t="str">
        <f>IFERROR(__xludf.DUMMYFUNCTION("GOOGLETRANSLATE($A1583,""en"",""de"")"),"Ida-Virumaa")</f>
        <v>Ida-Virumaa</v>
      </c>
      <c r="D1583" s="9" t="str">
        <f>IFERROR(__xludf.DUMMYFUNCTION("GOOGLETRANSLATE($A1583,""en"",""fr"")"),"Ida-Virumaa")</f>
        <v>Ida-Virumaa</v>
      </c>
      <c r="E1583" s="9" t="str">
        <f>IFERROR(__xludf.DUMMYFUNCTION("GOOGLETRANSLATE($A1583,""en"",""es"")"),"Ida-Virumaa")</f>
        <v>Ida-Virumaa</v>
      </c>
      <c r="F1583" s="9" t="str">
        <f>IFERROR(__xludf.DUMMYFUNCTION("GOOGLETRANSLATE($A1583,""en"",""it"")"),"Ida-Virumaa")</f>
        <v>Ida-Virumaa</v>
      </c>
      <c r="G1583" s="9" t="str">
        <f>IFERROR(__xludf.DUMMYFUNCTION("GOOGLETRANSLATE($A1583,""en"",""zh-cn"")"),"艾达-维鲁玛")</f>
        <v>艾达-维鲁玛</v>
      </c>
      <c r="H1583" s="9" t="str">
        <f>IFERROR(__xludf.DUMMYFUNCTION("GOOGLETRANSLATE($A1583,""en"",""ja"")"),"アイダ・ヴィルマー")</f>
        <v>アイダ・ヴィルマー</v>
      </c>
      <c r="I1583" s="9" t="str">
        <f>IFERROR(__xludf.DUMMYFUNCTION("GOOGLETRANSLATE($A1583,""en"",""ko"")"),"이다비루마")</f>
        <v>이다비루마</v>
      </c>
      <c r="J1583" s="9" t="str">
        <f>IFERROR(__xludf.DUMMYFUNCTION("GOOGLETRANSLATE($A1583,""en"",""pt-BR"")"),"Ida-Virumaa")</f>
        <v>Ida-Virumaa</v>
      </c>
    </row>
    <row r="1584">
      <c r="A1584" s="9" t="str">
        <f>IFERROR(__xludf.DUMMYFUNCTION("""COMPUTED_VALUE"""),"Pärnumaa")</f>
        <v>Pärnumaa</v>
      </c>
      <c r="B1584" s="9" t="str">
        <f>IFERROR(__xludf.DUMMYFUNCTION("""COMPUTED_VALUE"""),"ee-67")</f>
        <v>ee-67</v>
      </c>
      <c r="C1584" s="9" t="str">
        <f>IFERROR(__xludf.DUMMYFUNCTION("GOOGLETRANSLATE($A1584,""en"",""de"")"),"Pärnumaa")</f>
        <v>Pärnumaa</v>
      </c>
      <c r="D1584" s="9" t="str">
        <f>IFERROR(__xludf.DUMMYFUNCTION("GOOGLETRANSLATE($A1584,""en"",""fr"")"),"Parnumaa")</f>
        <v>Parnumaa</v>
      </c>
      <c r="E1584" s="9" t="str">
        <f>IFERROR(__xludf.DUMMYFUNCTION("GOOGLETRANSLATE($A1584,""en"",""es"")"),"Pärnumaa")</f>
        <v>Pärnumaa</v>
      </c>
      <c r="F1584" s="9" t="str">
        <f>IFERROR(__xludf.DUMMYFUNCTION("GOOGLETRANSLATE($A1584,""en"",""it"")"),"Pärnumaa")</f>
        <v>Pärnumaa</v>
      </c>
      <c r="G1584" s="9" t="str">
        <f>IFERROR(__xludf.DUMMYFUNCTION("GOOGLETRANSLATE($A1584,""en"",""zh-cn"")"),"帕努玛")</f>
        <v>帕努玛</v>
      </c>
      <c r="H1584" s="9" t="str">
        <f>IFERROR(__xludf.DUMMYFUNCTION("GOOGLETRANSLATE($A1584,""en"",""ja"")"),"ペルヌア")</f>
        <v>ペルヌア</v>
      </c>
      <c r="I1584" s="9" t="str">
        <f>IFERROR(__xludf.DUMMYFUNCTION("GOOGLETRANSLATE($A1584,""en"",""ko"")"),"페르누마")</f>
        <v>페르누마</v>
      </c>
      <c r="J1584" s="9" t="str">
        <f>IFERROR(__xludf.DUMMYFUNCTION("GOOGLETRANSLATE($A1584,""en"",""pt-BR"")"),"Pärnumaa")</f>
        <v>Pärnumaa</v>
      </c>
    </row>
    <row r="1585">
      <c r="A1585" s="9" t="str">
        <f>IFERROR(__xludf.DUMMYFUNCTION("""COMPUTED_VALUE"""),"Viljandimaa")</f>
        <v>Viljandimaa</v>
      </c>
      <c r="B1585" s="9" t="str">
        <f>IFERROR(__xludf.DUMMYFUNCTION("""COMPUTED_VALUE"""),"ee-84")</f>
        <v>ee-84</v>
      </c>
      <c r="C1585" s="9" t="str">
        <f>IFERROR(__xludf.DUMMYFUNCTION("GOOGLETRANSLATE($A1585,""en"",""de"")"),"Viljandimaa")</f>
        <v>Viljandimaa</v>
      </c>
      <c r="D1585" s="9" t="str">
        <f>IFERROR(__xludf.DUMMYFUNCTION("GOOGLETRANSLATE($A1585,""en"",""fr"")"),"Viljandimaa")</f>
        <v>Viljandimaa</v>
      </c>
      <c r="E1585" s="9" t="str">
        <f>IFERROR(__xludf.DUMMYFUNCTION("GOOGLETRANSLATE($A1585,""en"",""es"")"),"Viljandimaa")</f>
        <v>Viljandimaa</v>
      </c>
      <c r="F1585" s="9" t="str">
        <f>IFERROR(__xludf.DUMMYFUNCTION("GOOGLETRANSLATE($A1585,""en"",""it"")"),"Viljandimaa")</f>
        <v>Viljandimaa</v>
      </c>
      <c r="G1585" s="9" t="str">
        <f>IFERROR(__xludf.DUMMYFUNCTION("GOOGLETRANSLATE($A1585,""en"",""zh-cn"")"),"维尔扬迪马")</f>
        <v>维尔扬迪马</v>
      </c>
      <c r="H1585" s="9" t="str">
        <f>IFERROR(__xludf.DUMMYFUNCTION("GOOGLETRANSLATE($A1585,""en"",""ja"")"),"ヴィリャンディマー")</f>
        <v>ヴィリャンディマー</v>
      </c>
      <c r="I1585" s="9" t="str">
        <f>IFERROR(__xludf.DUMMYFUNCTION("GOOGLETRANSLATE($A1585,""en"",""ko"")"),"빌얀디마")</f>
        <v>빌얀디마</v>
      </c>
      <c r="J1585" s="9" t="str">
        <f>IFERROR(__xludf.DUMMYFUNCTION("GOOGLETRANSLATE($A1585,""en"",""pt-BR"")"),"Viljandimaa")</f>
        <v>Viljandimaa</v>
      </c>
    </row>
    <row r="1586">
      <c r="A1586" s="9" t="str">
        <f>IFERROR(__xludf.DUMMYFUNCTION("""COMPUTED_VALUE"""),"Valgamaa")</f>
        <v>Valgamaa</v>
      </c>
      <c r="B1586" s="9" t="str">
        <f>IFERROR(__xludf.DUMMYFUNCTION("""COMPUTED_VALUE"""),"ee-82")</f>
        <v>ee-82</v>
      </c>
      <c r="C1586" s="9" t="str">
        <f>IFERROR(__xludf.DUMMYFUNCTION("GOOGLETRANSLATE($A1586,""en"",""de"")"),"Valgamaa")</f>
        <v>Valgamaa</v>
      </c>
      <c r="D1586" s="9" t="str">
        <f>IFERROR(__xludf.DUMMYFUNCTION("GOOGLETRANSLATE($A1586,""en"",""fr"")"),"Valgamaa")</f>
        <v>Valgamaa</v>
      </c>
      <c r="E1586" s="9" t="str">
        <f>IFERROR(__xludf.DUMMYFUNCTION("GOOGLETRANSLATE($A1586,""en"",""es"")"),"Valgamaa")</f>
        <v>Valgamaa</v>
      </c>
      <c r="F1586" s="9" t="str">
        <f>IFERROR(__xludf.DUMMYFUNCTION("GOOGLETRANSLATE($A1586,""en"",""it"")"),"Valgamaa")</f>
        <v>Valgamaa</v>
      </c>
      <c r="G1586" s="9" t="str">
        <f>IFERROR(__xludf.DUMMYFUNCTION("GOOGLETRANSLATE($A1586,""en"",""zh-cn"")"),"瓦尔加马")</f>
        <v>瓦尔加马</v>
      </c>
      <c r="H1586" s="9" t="str">
        <f>IFERROR(__xludf.DUMMYFUNCTION("GOOGLETRANSLATE($A1586,""en"",""ja"")"),"ヴァルガマー")</f>
        <v>ヴァルガマー</v>
      </c>
      <c r="I1586" s="9" t="str">
        <f>IFERROR(__xludf.DUMMYFUNCTION("GOOGLETRANSLATE($A1586,""en"",""ko"")"),"발가마")</f>
        <v>발가마</v>
      </c>
      <c r="J1586" s="9" t="str">
        <f>IFERROR(__xludf.DUMMYFUNCTION("GOOGLETRANSLATE($A1586,""en"",""pt-BR"")"),"Valgamaa")</f>
        <v>Valgamaa</v>
      </c>
    </row>
    <row r="1587">
      <c r="A1587" s="9" t="str">
        <f>IFERROR(__xludf.DUMMYFUNCTION("""COMPUTED_VALUE"""),"Läänemaa")</f>
        <v>Läänemaa</v>
      </c>
      <c r="B1587" s="9" t="str">
        <f>IFERROR(__xludf.DUMMYFUNCTION("""COMPUTED_VALUE"""),"ee-57")</f>
        <v>ee-57</v>
      </c>
      <c r="C1587" s="9" t="str">
        <f>IFERROR(__xludf.DUMMYFUNCTION("GOOGLETRANSLATE($A1587,""en"",""de"")"),"Läänemaa")</f>
        <v>Läänemaa</v>
      </c>
      <c r="D1587" s="9" t="str">
        <f>IFERROR(__xludf.DUMMYFUNCTION("GOOGLETRANSLATE($A1587,""en"",""fr"")"),"Läänemaa")</f>
        <v>Läänemaa</v>
      </c>
      <c r="E1587" s="9" t="str">
        <f>IFERROR(__xludf.DUMMYFUNCTION("GOOGLETRANSLATE($A1587,""en"",""es"")"),"Läänemaa")</f>
        <v>Läänemaa</v>
      </c>
      <c r="F1587" s="9" t="str">
        <f>IFERROR(__xludf.DUMMYFUNCTION("GOOGLETRANSLATE($A1587,""en"",""it"")"),"Läänemaa")</f>
        <v>Läänemaa</v>
      </c>
      <c r="G1587" s="9" t="str">
        <f>IFERROR(__xludf.DUMMYFUNCTION("GOOGLETRANSLATE($A1587,""en"",""zh-cn"")"),"拉纳马")</f>
        <v>拉纳马</v>
      </c>
      <c r="H1587" s="9" t="str">
        <f>IFERROR(__xludf.DUMMYFUNCTION("GOOGLETRANSLATE($A1587,""en"",""ja"")"),"レーネマー")</f>
        <v>レーネマー</v>
      </c>
      <c r="I1587" s="9" t="str">
        <f>IFERROR(__xludf.DUMMYFUNCTION("GOOGLETRANSLATE($A1587,""en"",""ko"")"),"래네마")</f>
        <v>래네마</v>
      </c>
      <c r="J1587" s="9" t="str">
        <f>IFERROR(__xludf.DUMMYFUNCTION("GOOGLETRANSLATE($A1587,""en"",""pt-BR"")"),"Läänemaa")</f>
        <v>Läänemaa</v>
      </c>
    </row>
    <row r="1588">
      <c r="A1588" s="9" t="str">
        <f>IFERROR(__xludf.DUMMYFUNCTION("""COMPUTED_VALUE"""),"Oromia")</f>
        <v>Oromia</v>
      </c>
      <c r="B1588" s="9" t="str">
        <f>IFERROR(__xludf.DUMMYFUNCTION("""COMPUTED_VALUE"""),"et-or")</f>
        <v>et-or</v>
      </c>
      <c r="C1588" s="9" t="str">
        <f>IFERROR(__xludf.DUMMYFUNCTION("GOOGLETRANSLATE($A1588,""en"",""de"")"),"Oromia")</f>
        <v>Oromia</v>
      </c>
      <c r="D1588" s="9" t="str">
        <f>IFERROR(__xludf.DUMMYFUNCTION("GOOGLETRANSLATE($A1588,""en"",""fr"")"),"Oromia")</f>
        <v>Oromia</v>
      </c>
      <c r="E1588" s="9" t="str">
        <f>IFERROR(__xludf.DUMMYFUNCTION("GOOGLETRANSLATE($A1588,""en"",""es"")"),"Oromía")</f>
        <v>Oromía</v>
      </c>
      <c r="F1588" s="9" t="str">
        <f>IFERROR(__xludf.DUMMYFUNCTION("GOOGLETRANSLATE($A1588,""en"",""it"")"),"Oromia")</f>
        <v>Oromia</v>
      </c>
      <c r="G1588" s="9" t="str">
        <f>IFERROR(__xludf.DUMMYFUNCTION("GOOGLETRANSLATE($A1588,""en"",""zh-cn"")"),"奥罗米亚州")</f>
        <v>奥罗米亚州</v>
      </c>
      <c r="H1588" s="9" t="str">
        <f>IFERROR(__xludf.DUMMYFUNCTION("GOOGLETRANSLATE($A1588,""en"",""ja"")"),"オロミア")</f>
        <v>オロミア</v>
      </c>
      <c r="I1588" s="9" t="str">
        <f>IFERROR(__xludf.DUMMYFUNCTION("GOOGLETRANSLATE($A1588,""en"",""ko"")"),"오로미아")</f>
        <v>오로미아</v>
      </c>
      <c r="J1588" s="9" t="str">
        <f>IFERROR(__xludf.DUMMYFUNCTION("GOOGLETRANSLATE($A1588,""en"",""pt-BR"")"),"Oromia")</f>
        <v>Oromia</v>
      </c>
    </row>
    <row r="1589">
      <c r="A1589" s="9" t="str">
        <f>IFERROR(__xludf.DUMMYFUNCTION("""COMPUTED_VALUE"""),"Gambela Peoples")</f>
        <v>Gambela Peoples</v>
      </c>
      <c r="B1589" s="9" t="str">
        <f>IFERROR(__xludf.DUMMYFUNCTION("""COMPUTED_VALUE"""),"et-ga")</f>
        <v>et-ga</v>
      </c>
      <c r="C1589" s="9" t="str">
        <f>IFERROR(__xludf.DUMMYFUNCTION("GOOGLETRANSLATE($A1589,""en"",""de"")"),"Gambela-Völker")</f>
        <v>Gambela-Völker</v>
      </c>
      <c r="D1589" s="9" t="str">
        <f>IFERROR(__xludf.DUMMYFUNCTION("GOOGLETRANSLATE($A1589,""en"",""fr"")"),"Peuples Gambela")</f>
        <v>Peuples Gambela</v>
      </c>
      <c r="E1589" s="9" t="str">
        <f>IFERROR(__xludf.DUMMYFUNCTION("GOOGLETRANSLATE($A1589,""en"",""es"")"),"Pueblos Gambela")</f>
        <v>Pueblos Gambela</v>
      </c>
      <c r="F1589" s="9" t="str">
        <f>IFERROR(__xludf.DUMMYFUNCTION("GOOGLETRANSLATE($A1589,""en"",""it"")"),"Popoli di Gambela")</f>
        <v>Popoli di Gambela</v>
      </c>
      <c r="G1589" s="9" t="str">
        <f>IFERROR(__xludf.DUMMYFUNCTION("GOOGLETRANSLATE($A1589,""en"",""zh-cn"")"),"甘贝拉人民")</f>
        <v>甘贝拉人民</v>
      </c>
      <c r="H1589" s="9" t="str">
        <f>IFERROR(__xludf.DUMMYFUNCTION("GOOGLETRANSLATE($A1589,""en"",""ja"")"),"ガンベラ民族")</f>
        <v>ガンベラ民族</v>
      </c>
      <c r="I1589" s="9" t="str">
        <f>IFERROR(__xludf.DUMMYFUNCTION("GOOGLETRANSLATE($A1589,""en"",""ko"")"),"감벨라 민족")</f>
        <v>감벨라 민족</v>
      </c>
      <c r="J1589" s="9" t="str">
        <f>IFERROR(__xludf.DUMMYFUNCTION("GOOGLETRANSLATE($A1589,""en"",""pt-BR"")"),"Povos Gambela")</f>
        <v>Povos Gambela</v>
      </c>
    </row>
    <row r="1590">
      <c r="A1590" s="9" t="str">
        <f>IFERROR(__xludf.DUMMYFUNCTION("""COMPUTED_VALUE"""),"Somali")</f>
        <v>Somali</v>
      </c>
      <c r="B1590" s="9" t="str">
        <f>IFERROR(__xludf.DUMMYFUNCTION("""COMPUTED_VALUE"""),"et-so")</f>
        <v>et-so</v>
      </c>
      <c r="C1590" s="9" t="str">
        <f>IFERROR(__xludf.DUMMYFUNCTION("GOOGLETRANSLATE($A1590,""en"",""de"")"),"somali")</f>
        <v>somali</v>
      </c>
      <c r="D1590" s="9" t="str">
        <f>IFERROR(__xludf.DUMMYFUNCTION("GOOGLETRANSLATE($A1590,""en"",""fr"")"),"somali")</f>
        <v>somali</v>
      </c>
      <c r="E1590" s="9" t="str">
        <f>IFERROR(__xludf.DUMMYFUNCTION("GOOGLETRANSLATE($A1590,""en"",""es"")"),"somalí")</f>
        <v>somalí</v>
      </c>
      <c r="F1590" s="9" t="str">
        <f>IFERROR(__xludf.DUMMYFUNCTION("GOOGLETRANSLATE($A1590,""en"",""it"")"),"Somalo")</f>
        <v>Somalo</v>
      </c>
      <c r="G1590" s="9" t="str">
        <f>IFERROR(__xludf.DUMMYFUNCTION("GOOGLETRANSLATE($A1590,""en"",""zh-cn"")"),"索马里")</f>
        <v>索马里</v>
      </c>
      <c r="H1590" s="9" t="str">
        <f>IFERROR(__xludf.DUMMYFUNCTION("GOOGLETRANSLATE($A1590,""en"",""ja"")"),"ソマリ語")</f>
        <v>ソマリ語</v>
      </c>
      <c r="I1590" s="9" t="str">
        <f>IFERROR(__xludf.DUMMYFUNCTION("GOOGLETRANSLATE($A1590,""en"",""ko"")"),"소말리아어")</f>
        <v>소말리아어</v>
      </c>
      <c r="J1590" s="9" t="str">
        <f>IFERROR(__xludf.DUMMYFUNCTION("GOOGLETRANSLATE($A1590,""en"",""pt-BR"")"),"somali")</f>
        <v>somali</v>
      </c>
    </row>
    <row r="1591">
      <c r="A1591" s="9" t="str">
        <f>IFERROR(__xludf.DUMMYFUNCTION("""COMPUTED_VALUE"""),"Dire Dawa")</f>
        <v>Dire Dawa</v>
      </c>
      <c r="B1591" s="9" t="str">
        <f>IFERROR(__xludf.DUMMYFUNCTION("""COMPUTED_VALUE"""),"et-dd")</f>
        <v>et-dd</v>
      </c>
      <c r="C1591" s="9" t="str">
        <f>IFERROR(__xludf.DUMMYFUNCTION("GOOGLETRANSLATE($A1591,""en"",""de"")"),"Dire Dawa")</f>
        <v>Dire Dawa</v>
      </c>
      <c r="D1591" s="9" t="str">
        <f>IFERROR(__xludf.DUMMYFUNCTION("GOOGLETRANSLATE($A1591,""en"",""fr"")"),"Dire Dawa")</f>
        <v>Dire Dawa</v>
      </c>
      <c r="E1591" s="9" t="str">
        <f>IFERROR(__xludf.DUMMYFUNCTION("GOOGLETRANSLATE($A1591,""en"",""es"")"),"Dire Dawa")</f>
        <v>Dire Dawa</v>
      </c>
      <c r="F1591" s="9" t="str">
        <f>IFERROR(__xludf.DUMMYFUNCTION("GOOGLETRANSLATE($A1591,""en"",""it"")"),"Dire Daua")</f>
        <v>Dire Daua</v>
      </c>
      <c r="G1591" s="9" t="str">
        <f>IFERROR(__xludf.DUMMYFUNCTION("GOOGLETRANSLATE($A1591,""en"",""zh-cn"")"),"德雷达瓦")</f>
        <v>德雷达瓦</v>
      </c>
      <c r="H1591" s="9" t="str">
        <f>IFERROR(__xludf.DUMMYFUNCTION("GOOGLETRANSLATE($A1591,""en"",""ja"")"),"ディレ・ダワ")</f>
        <v>ディレ・ダワ</v>
      </c>
      <c r="I1591" s="9" t="str">
        <f>IFERROR(__xludf.DUMMYFUNCTION("GOOGLETRANSLATE($A1591,""en"",""ko"")"),"디레 다와")</f>
        <v>디레 다와</v>
      </c>
      <c r="J1591" s="9" t="str">
        <f>IFERROR(__xludf.DUMMYFUNCTION("GOOGLETRANSLATE($A1591,""en"",""pt-BR"")"),"Dire Dawa")</f>
        <v>Dire Dawa</v>
      </c>
    </row>
    <row r="1592">
      <c r="A1592" s="9" t="str">
        <f>IFERROR(__xludf.DUMMYFUNCTION("""COMPUTED_VALUE"""),"Sidama")</f>
        <v>Sidama</v>
      </c>
      <c r="B1592" s="9" t="str">
        <f>IFERROR(__xludf.DUMMYFUNCTION("""COMPUTED_VALUE"""),"et-si")</f>
        <v>et-si</v>
      </c>
      <c r="C1592" s="9" t="str">
        <f>IFERROR(__xludf.DUMMYFUNCTION("GOOGLETRANSLATE($A1592,""en"",""de"")"),"Sidama")</f>
        <v>Sidama</v>
      </c>
      <c r="D1592" s="9" t="str">
        <f>IFERROR(__xludf.DUMMYFUNCTION("GOOGLETRANSLATE($A1592,""en"",""fr"")"),"Sidama")</f>
        <v>Sidama</v>
      </c>
      <c r="E1592" s="9" t="str">
        <f>IFERROR(__xludf.DUMMYFUNCTION("GOOGLETRANSLATE($A1592,""en"",""es"")"),"Sidama")</f>
        <v>Sidama</v>
      </c>
      <c r="F1592" s="9" t="str">
        <f>IFERROR(__xludf.DUMMYFUNCTION("GOOGLETRANSLATE($A1592,""en"",""it"")"),"Sidama")</f>
        <v>Sidama</v>
      </c>
      <c r="G1592" s="9" t="str">
        <f>IFERROR(__xludf.DUMMYFUNCTION("GOOGLETRANSLATE($A1592,""en"",""zh-cn"")"),"西达玛")</f>
        <v>西达玛</v>
      </c>
      <c r="H1592" s="9" t="str">
        <f>IFERROR(__xludf.DUMMYFUNCTION("GOOGLETRANSLATE($A1592,""en"",""ja"")"),"シダマ")</f>
        <v>シダマ</v>
      </c>
      <c r="I1592" s="9" t="str">
        <f>IFERROR(__xludf.DUMMYFUNCTION("GOOGLETRANSLATE($A1592,""en"",""ko"")"),"시다마")</f>
        <v>시다마</v>
      </c>
      <c r="J1592" s="9" t="str">
        <f>IFERROR(__xludf.DUMMYFUNCTION("GOOGLETRANSLATE($A1592,""en"",""pt-BR"")"),"Sidama")</f>
        <v>Sidama</v>
      </c>
    </row>
    <row r="1593">
      <c r="A1593" s="9" t="str">
        <f>IFERROR(__xludf.DUMMYFUNCTION("""COMPUTED_VALUE"""),"Southwest Ethiopia Peoples")</f>
        <v>Southwest Ethiopia Peoples</v>
      </c>
      <c r="B1593" s="9" t="str">
        <f>IFERROR(__xludf.DUMMYFUNCTION("""COMPUTED_VALUE"""),"et-sw")</f>
        <v>et-sw</v>
      </c>
      <c r="C1593" s="9" t="str">
        <f>IFERROR(__xludf.DUMMYFUNCTION("GOOGLETRANSLATE($A1593,""en"",""de"")"),"Völker im Südwesten Äthiopiens")</f>
        <v>Völker im Südwesten Äthiopiens</v>
      </c>
      <c r="D1593" s="9" t="str">
        <f>IFERROR(__xludf.DUMMYFUNCTION("GOOGLETRANSLATE($A1593,""en"",""fr"")"),"Peuples du sud-ouest de l’Éthiopie")</f>
        <v>Peuples du sud-ouest de l’Éthiopie</v>
      </c>
      <c r="E1593" s="9" t="str">
        <f>IFERROR(__xludf.DUMMYFUNCTION("GOOGLETRANSLATE($A1593,""en"",""es"")"),"Pueblos del suroeste de Etiopía")</f>
        <v>Pueblos del suroeste de Etiopía</v>
      </c>
      <c r="F1593" s="9" t="str">
        <f>IFERROR(__xludf.DUMMYFUNCTION("GOOGLETRANSLATE($A1593,""en"",""it"")"),"Popoli dell'Etiopia sudoccidentale")</f>
        <v>Popoli dell'Etiopia sudoccidentale</v>
      </c>
      <c r="G1593" s="9" t="str">
        <f>IFERROR(__xludf.DUMMYFUNCTION("GOOGLETRANSLATE($A1593,""en"",""zh-cn"")"),"埃塞俄比亚西南部人民")</f>
        <v>埃塞俄比亚西南部人民</v>
      </c>
      <c r="H1593" s="9" t="str">
        <f>IFERROR(__xludf.DUMMYFUNCTION("GOOGLETRANSLATE($A1593,""en"",""ja"")"),"エチオピア南西部の人々")</f>
        <v>エチオピア南西部の人々</v>
      </c>
      <c r="I1593" s="9" t="str">
        <f>IFERROR(__xludf.DUMMYFUNCTION("GOOGLETRANSLATE($A1593,""en"",""ko"")"),"남서부 에티오피아 민족")</f>
        <v>남서부 에티오피아 민족</v>
      </c>
      <c r="J1593" s="9" t="str">
        <f>IFERROR(__xludf.DUMMYFUNCTION("GOOGLETRANSLATE($A1593,""en"",""pt-BR"")"),"Povos do Sudoeste da Etiópia")</f>
        <v>Povos do Sudoeste da Etiópia</v>
      </c>
    </row>
    <row r="1594">
      <c r="A1594" s="9" t="str">
        <f>IFERROR(__xludf.DUMMYFUNCTION("""COMPUTED_VALUE"""),"Addis Ababa")</f>
        <v>Addis Ababa</v>
      </c>
      <c r="B1594" s="9" t="str">
        <f>IFERROR(__xludf.DUMMYFUNCTION("""COMPUTED_VALUE"""),"et-aa")</f>
        <v>et-aa</v>
      </c>
      <c r="C1594" s="9" t="str">
        <f>IFERROR(__xludf.DUMMYFUNCTION("GOOGLETRANSLATE($A1594,""en"",""de"")"),"Addis Abeba")</f>
        <v>Addis Abeba</v>
      </c>
      <c r="D1594" s="9" t="str">
        <f>IFERROR(__xludf.DUMMYFUNCTION("GOOGLETRANSLATE($A1594,""en"",""fr"")"),"Addis-Abeba")</f>
        <v>Addis-Abeba</v>
      </c>
      <c r="E1594" s="9" t="str">
        <f>IFERROR(__xludf.DUMMYFUNCTION("GOOGLETRANSLATE($A1594,""en"",""es"")"),"Addis Abeba")</f>
        <v>Addis Abeba</v>
      </c>
      <c r="F1594" s="9" t="str">
        <f>IFERROR(__xludf.DUMMYFUNCTION("GOOGLETRANSLATE($A1594,""en"",""it"")"),"Addis Abeba")</f>
        <v>Addis Abeba</v>
      </c>
      <c r="G1594" s="9" t="str">
        <f>IFERROR(__xludf.DUMMYFUNCTION("GOOGLETRANSLATE($A1594,""en"",""zh-cn"")"),"亚的斯亚贝巴")</f>
        <v>亚的斯亚贝巴</v>
      </c>
      <c r="H1594" s="9" t="str">
        <f>IFERROR(__xludf.DUMMYFUNCTION("GOOGLETRANSLATE($A1594,""en"",""ja"")"),"アディスアベバ")</f>
        <v>アディスアベバ</v>
      </c>
      <c r="I1594" s="9" t="str">
        <f>IFERROR(__xludf.DUMMYFUNCTION("GOOGLETRANSLATE($A1594,""en"",""ko"")"),"아디스 아바바")</f>
        <v>아디스 아바바</v>
      </c>
      <c r="J1594" s="9" t="str">
        <f>IFERROR(__xludf.DUMMYFUNCTION("GOOGLETRANSLATE($A1594,""en"",""pt-BR"")"),"Adis Abeba")</f>
        <v>Adis Abeba</v>
      </c>
    </row>
    <row r="1595">
      <c r="A1595" s="9" t="str">
        <f>IFERROR(__xludf.DUMMYFUNCTION("""COMPUTED_VALUE"""),"Harari People")</f>
        <v>Harari People</v>
      </c>
      <c r="B1595" s="9" t="str">
        <f>IFERROR(__xludf.DUMMYFUNCTION("""COMPUTED_VALUE"""),"et-ha")</f>
        <v>et-ha</v>
      </c>
      <c r="C1595" s="9" t="str">
        <f>IFERROR(__xludf.DUMMYFUNCTION("GOOGLETRANSLATE($A1595,""en"",""de"")"),"Harari-Leute")</f>
        <v>Harari-Leute</v>
      </c>
      <c r="D1595" s="9" t="str">
        <f>IFERROR(__xludf.DUMMYFUNCTION("GOOGLETRANSLATE($A1595,""en"",""fr"")"),"Peuple Harari")</f>
        <v>Peuple Harari</v>
      </c>
      <c r="E1595" s="9" t="str">
        <f>IFERROR(__xludf.DUMMYFUNCTION("GOOGLETRANSLATE($A1595,""en"",""es"")"),"Pueblo Harari")</f>
        <v>Pueblo Harari</v>
      </c>
      <c r="F1595" s="9" t="str">
        <f>IFERROR(__xludf.DUMMYFUNCTION("GOOGLETRANSLATE($A1595,""en"",""it"")"),"Popolo di Harari")</f>
        <v>Popolo di Harari</v>
      </c>
      <c r="G1595" s="9" t="str">
        <f>IFERROR(__xludf.DUMMYFUNCTION("GOOGLETRANSLATE($A1595,""en"",""zh-cn"")"),"哈拉里人")</f>
        <v>哈拉里人</v>
      </c>
      <c r="H1595" s="9" t="str">
        <f>IFERROR(__xludf.DUMMYFUNCTION("GOOGLETRANSLATE($A1595,""en"",""ja"")"),"ハラリ人")</f>
        <v>ハラリ人</v>
      </c>
      <c r="I1595" s="9" t="str">
        <f>IFERROR(__xludf.DUMMYFUNCTION("GOOGLETRANSLATE($A1595,""en"",""ko"")"),"하라리 사람들")</f>
        <v>하라리 사람들</v>
      </c>
      <c r="J1595" s="9" t="str">
        <f>IFERROR(__xludf.DUMMYFUNCTION("GOOGLETRANSLATE($A1595,""en"",""pt-BR"")"),"Pessoas Harari")</f>
        <v>Pessoas Harari</v>
      </c>
    </row>
    <row r="1596">
      <c r="A1596" s="9" t="str">
        <f>IFERROR(__xludf.DUMMYFUNCTION("""COMPUTED_VALUE"""),"Afar")</f>
        <v>Afar</v>
      </c>
      <c r="B1596" s="9" t="str">
        <f>IFERROR(__xludf.DUMMYFUNCTION("""COMPUTED_VALUE"""),"et-af")</f>
        <v>et-af</v>
      </c>
      <c r="C1596" s="9" t="str">
        <f>IFERROR(__xludf.DUMMYFUNCTION("GOOGLETRANSLATE($A1596,""en"",""de"")"),"In der Ferne")</f>
        <v>In der Ferne</v>
      </c>
      <c r="D1596" s="9" t="str">
        <f>IFERROR(__xludf.DUMMYFUNCTION("GOOGLETRANSLATE($A1596,""en"",""fr"")"),"Au loin")</f>
        <v>Au loin</v>
      </c>
      <c r="E1596" s="9" t="str">
        <f>IFERROR(__xludf.DUMMYFUNCTION("GOOGLETRANSLATE($A1596,""en"",""es"")"),"Lejos")</f>
        <v>Lejos</v>
      </c>
      <c r="F1596" s="9" t="str">
        <f>IFERROR(__xludf.DUMMYFUNCTION("GOOGLETRANSLATE($A1596,""en"",""it"")"),"Lontano")</f>
        <v>Lontano</v>
      </c>
      <c r="G1596" s="9" t="str">
        <f>IFERROR(__xludf.DUMMYFUNCTION("GOOGLETRANSLATE($A1596,""en"",""zh-cn"")"),"阿法尔")</f>
        <v>阿法尔</v>
      </c>
      <c r="H1596" s="9" t="str">
        <f>IFERROR(__xludf.DUMMYFUNCTION("GOOGLETRANSLATE($A1596,""en"",""ja"")"),"遠くまで")</f>
        <v>遠くまで</v>
      </c>
      <c r="I1596" s="9" t="str">
        <f>IFERROR(__xludf.DUMMYFUNCTION("GOOGLETRANSLATE($A1596,""en"",""ko"")"),"멀리")</f>
        <v>멀리</v>
      </c>
      <c r="J1596" s="9" t="str">
        <f>IFERROR(__xludf.DUMMYFUNCTION("GOOGLETRANSLATE($A1596,""en"",""pt-BR"")"),"Longe")</f>
        <v>Longe</v>
      </c>
    </row>
    <row r="1597">
      <c r="A1597" s="9" t="str">
        <f>IFERROR(__xludf.DUMMYFUNCTION("""COMPUTED_VALUE"""),"Benshangul-Gumaz")</f>
        <v>Benshangul-Gumaz</v>
      </c>
      <c r="B1597" s="9" t="str">
        <f>IFERROR(__xludf.DUMMYFUNCTION("""COMPUTED_VALUE"""),"et-be")</f>
        <v>et-be</v>
      </c>
      <c r="C1597" s="9" t="str">
        <f>IFERROR(__xludf.DUMMYFUNCTION("GOOGLETRANSLATE($A1597,""en"",""de"")"),"Benshangul-Gumaz")</f>
        <v>Benshangul-Gumaz</v>
      </c>
      <c r="D1597" s="9" t="str">
        <f>IFERROR(__xludf.DUMMYFUNCTION("GOOGLETRANSLATE($A1597,""en"",""fr"")"),"Benshangul-Gumaz")</f>
        <v>Benshangul-Gumaz</v>
      </c>
      <c r="E1597" s="9" t="str">
        <f>IFERROR(__xludf.DUMMYFUNCTION("GOOGLETRANSLATE($A1597,""en"",""es"")"),"Benshangul-Gumaz")</f>
        <v>Benshangul-Gumaz</v>
      </c>
      <c r="F1597" s="9" t="str">
        <f>IFERROR(__xludf.DUMMYFUNCTION("GOOGLETRANSLATE($A1597,""en"",""it"")"),"Benshangul-Gumaz")</f>
        <v>Benshangul-Gumaz</v>
      </c>
      <c r="G1597" s="9" t="str">
        <f>IFERROR(__xludf.DUMMYFUNCTION("GOOGLETRANSLATE($A1597,""en"",""zh-cn"")"),"本尚古尔-古马兹")</f>
        <v>本尚古尔-古马兹</v>
      </c>
      <c r="H1597" s="9" t="str">
        <f>IFERROR(__xludf.DUMMYFUNCTION("GOOGLETRANSLATE($A1597,""en"",""ja"")"),"ベンシャングル・グマズ")</f>
        <v>ベンシャングル・グマズ</v>
      </c>
      <c r="I1597" s="9" t="str">
        <f>IFERROR(__xludf.DUMMYFUNCTION("GOOGLETRANSLATE($A1597,""en"",""ko"")"),"벤샹굴-구마즈")</f>
        <v>벤샹굴-구마즈</v>
      </c>
      <c r="J1597" s="9" t="str">
        <f>IFERROR(__xludf.DUMMYFUNCTION("GOOGLETRANSLATE($A1597,""en"",""pt-BR"")"),"Benshangul-Gumaz")</f>
        <v>Benshangul-Gumaz</v>
      </c>
    </row>
    <row r="1598">
      <c r="A1598" s="9" t="str">
        <f>IFERROR(__xludf.DUMMYFUNCTION("""COMPUTED_VALUE"""),"Amara")</f>
        <v>Amara</v>
      </c>
      <c r="B1598" s="9" t="str">
        <f>IFERROR(__xludf.DUMMYFUNCTION("""COMPUTED_VALUE"""),"et-am")</f>
        <v>et-am</v>
      </c>
      <c r="C1598" s="9" t="str">
        <f>IFERROR(__xludf.DUMMYFUNCTION("GOOGLETRANSLATE($A1598,""en"",""de"")"),"Amara")</f>
        <v>Amara</v>
      </c>
      <c r="D1598" s="9" t="str">
        <f>IFERROR(__xludf.DUMMYFUNCTION("GOOGLETRANSLATE($A1598,""en"",""fr"")"),"Amara")</f>
        <v>Amara</v>
      </c>
      <c r="E1598" s="9" t="str">
        <f>IFERROR(__xludf.DUMMYFUNCTION("GOOGLETRANSLATE($A1598,""en"",""es"")"),"amara")</f>
        <v>amara</v>
      </c>
      <c r="F1598" s="9" t="str">
        <f>IFERROR(__xludf.DUMMYFUNCTION("GOOGLETRANSLATE($A1598,""en"",""it"")"),"Amara")</f>
        <v>Amara</v>
      </c>
      <c r="G1598" s="9" t="str">
        <f>IFERROR(__xludf.DUMMYFUNCTION("GOOGLETRANSLATE($A1598,""en"",""zh-cn"")"),"阿马拉")</f>
        <v>阿马拉</v>
      </c>
      <c r="H1598" s="9" t="str">
        <f>IFERROR(__xludf.DUMMYFUNCTION("GOOGLETRANSLATE($A1598,""en"",""ja"")"),"アマラ")</f>
        <v>アマラ</v>
      </c>
      <c r="I1598" s="9" t="str">
        <f>IFERROR(__xludf.DUMMYFUNCTION("GOOGLETRANSLATE($A1598,""en"",""ko"")"),"아마라")</f>
        <v>아마라</v>
      </c>
      <c r="J1598" s="9" t="str">
        <f>IFERROR(__xludf.DUMMYFUNCTION("GOOGLETRANSLATE($A1598,""en"",""pt-BR"")"),"Amara")</f>
        <v>Amara</v>
      </c>
    </row>
    <row r="1599">
      <c r="A1599" s="9" t="str">
        <f>IFERROR(__xludf.DUMMYFUNCTION("""COMPUTED_VALUE"""),"Tigrai")</f>
        <v>Tigrai</v>
      </c>
      <c r="B1599" s="9" t="str">
        <f>IFERROR(__xludf.DUMMYFUNCTION("""COMPUTED_VALUE"""),"et-ti")</f>
        <v>et-ti</v>
      </c>
      <c r="C1599" s="9" t="str">
        <f>IFERROR(__xludf.DUMMYFUNCTION("GOOGLETRANSLATE($A1599,""en"",""de"")"),"Tigrai")</f>
        <v>Tigrai</v>
      </c>
      <c r="D1599" s="9" t="str">
        <f>IFERROR(__xludf.DUMMYFUNCTION("GOOGLETRANSLATE($A1599,""en"",""fr"")"),"Tigré")</f>
        <v>Tigré</v>
      </c>
      <c r="E1599" s="9" t="str">
        <f>IFERROR(__xludf.DUMMYFUNCTION("GOOGLETRANSLATE($A1599,""en"",""es"")"),"Tigrai")</f>
        <v>Tigrai</v>
      </c>
      <c r="F1599" s="9" t="str">
        <f>IFERROR(__xludf.DUMMYFUNCTION("GOOGLETRANSLATE($A1599,""en"",""it"")"),"Tigrai")</f>
        <v>Tigrai</v>
      </c>
      <c r="G1599" s="9" t="str">
        <f>IFERROR(__xludf.DUMMYFUNCTION("GOOGLETRANSLATE($A1599,""en"",""zh-cn"")"),"提格莱")</f>
        <v>提格莱</v>
      </c>
      <c r="H1599" s="9" t="str">
        <f>IFERROR(__xludf.DUMMYFUNCTION("GOOGLETRANSLATE($A1599,""en"",""ja"")"),"ティグライ")</f>
        <v>ティグライ</v>
      </c>
      <c r="I1599" s="9" t="str">
        <f>IFERROR(__xludf.DUMMYFUNCTION("GOOGLETRANSLATE($A1599,""en"",""ko"")"),"티그라이")</f>
        <v>티그라이</v>
      </c>
      <c r="J1599" s="9" t="str">
        <f>IFERROR(__xludf.DUMMYFUNCTION("GOOGLETRANSLATE($A1599,""en"",""pt-BR"")"),"Tigre")</f>
        <v>Tigre</v>
      </c>
    </row>
    <row r="1600">
      <c r="A1600" s="9" t="str">
        <f>IFERROR(__xludf.DUMMYFUNCTION("""COMPUTED_VALUE"""),"Southern Nations, Nationalities and Peoples")</f>
        <v>Southern Nations, Nationalities and Peoples</v>
      </c>
      <c r="B1600" s="9" t="str">
        <f>IFERROR(__xludf.DUMMYFUNCTION("""COMPUTED_VALUE"""),"et-sn")</f>
        <v>et-sn</v>
      </c>
      <c r="C1600" s="9" t="str">
        <f>IFERROR(__xludf.DUMMYFUNCTION("GOOGLETRANSLATE($A1600,""en"",""de"")"),"Südliche Nationen, Nationalitäten und Völker")</f>
        <v>Südliche Nationen, Nationalitäten und Völker</v>
      </c>
      <c r="D1600" s="9" t="str">
        <f>IFERROR(__xludf.DUMMYFUNCTION("GOOGLETRANSLATE($A1600,""en"",""fr"")"),"Nations, nationalités et peuples du Sud")</f>
        <v>Nations, nationalités et peuples du Sud</v>
      </c>
      <c r="E1600" s="9" t="str">
        <f>IFERROR(__xludf.DUMMYFUNCTION("GOOGLETRANSLATE($A1600,""en"",""es"")"),"Naciones, Nacionalidades y Pueblos del Sur")</f>
        <v>Naciones, Nacionalidades y Pueblos del Sur</v>
      </c>
      <c r="F1600" s="9" t="str">
        <f>IFERROR(__xludf.DUMMYFUNCTION("GOOGLETRANSLATE($A1600,""en"",""it"")"),"Nazioni, nazionalità e popoli del Sud")</f>
        <v>Nazioni, nazionalità e popoli del Sud</v>
      </c>
      <c r="G1600" s="9" t="str">
        <f>IFERROR(__xludf.DUMMYFUNCTION("GOOGLETRANSLATE($A1600,""en"",""zh-cn"")"),"南方国家、民族和人民")</f>
        <v>南方国家、民族和人民</v>
      </c>
      <c r="H1600" s="9" t="str">
        <f>IFERROR(__xludf.DUMMYFUNCTION("GOOGLETRANSLATE($A1600,""en"",""ja"")"),"南部の国々、国籍、民族")</f>
        <v>南部の国々、国籍、民族</v>
      </c>
      <c r="I1600" s="9" t="str">
        <f>IFERROR(__xludf.DUMMYFUNCTION("GOOGLETRANSLATE($A1600,""en"",""ko"")"),"남부 국가, 국적 및 민족")</f>
        <v>남부 국가, 국적 및 민족</v>
      </c>
      <c r="J1600" s="9" t="str">
        <f>IFERROR(__xludf.DUMMYFUNCTION("GOOGLETRANSLATE($A1600,""en"",""pt-BR"")"),"Nações, nacionalidades e povos do Sul")</f>
        <v>Nações, nacionalidades e povos do Sul</v>
      </c>
    </row>
    <row r="1601">
      <c r="A1601" s="9" t="str">
        <f>IFERROR(__xludf.DUMMYFUNCTION("""COMPUTED_VALUE"""),"Chuuk")</f>
        <v>Chuuk</v>
      </c>
      <c r="B1601" s="9" t="str">
        <f>IFERROR(__xludf.DUMMYFUNCTION("""COMPUTED_VALUE"""),"fm-trk")</f>
        <v>fm-trk</v>
      </c>
      <c r="C1601" s="9" t="str">
        <f>IFERROR(__xludf.DUMMYFUNCTION("GOOGLETRANSLATE($A1601,""en"",""de"")"),"Chuuk")</f>
        <v>Chuuk</v>
      </c>
      <c r="D1601" s="9" t="str">
        <f>IFERROR(__xludf.DUMMYFUNCTION("GOOGLETRANSLATE($A1601,""en"",""fr"")"),"Chuuk")</f>
        <v>Chuuk</v>
      </c>
      <c r="E1601" s="9" t="str">
        <f>IFERROR(__xludf.DUMMYFUNCTION("GOOGLETRANSLATE($A1601,""en"",""es"")"),"chuuk")</f>
        <v>chuuk</v>
      </c>
      <c r="F1601" s="9" t="str">
        <f>IFERROR(__xludf.DUMMYFUNCTION("GOOGLETRANSLATE($A1601,""en"",""it"")"),"Chuuk")</f>
        <v>Chuuk</v>
      </c>
      <c r="G1601" s="9" t="str">
        <f>IFERROR(__xludf.DUMMYFUNCTION("GOOGLETRANSLATE($A1601,""en"",""zh-cn"")"),"楚克")</f>
        <v>楚克</v>
      </c>
      <c r="H1601" s="9" t="str">
        <f>IFERROR(__xludf.DUMMYFUNCTION("GOOGLETRANSLATE($A1601,""en"",""ja"")"),"チューク州")</f>
        <v>チューク州</v>
      </c>
      <c r="I1601" s="9" t="str">
        <f>IFERROR(__xludf.DUMMYFUNCTION("GOOGLETRANSLATE($A1601,""en"",""ko"")"),"추크")</f>
        <v>추크</v>
      </c>
      <c r="J1601" s="9" t="str">
        <f>IFERROR(__xludf.DUMMYFUNCTION("GOOGLETRANSLATE($A1601,""en"",""pt-BR"")"),"Chuuk")</f>
        <v>Chuuk</v>
      </c>
    </row>
    <row r="1602">
      <c r="A1602" s="9" t="str">
        <f>IFERROR(__xludf.DUMMYFUNCTION("""COMPUTED_VALUE"""),"Pohnpei")</f>
        <v>Pohnpei</v>
      </c>
      <c r="B1602" s="9" t="str">
        <f>IFERROR(__xludf.DUMMYFUNCTION("""COMPUTED_VALUE"""),"fm-pni")</f>
        <v>fm-pni</v>
      </c>
      <c r="C1602" s="9" t="str">
        <f>IFERROR(__xludf.DUMMYFUNCTION("GOOGLETRANSLATE($A1602,""en"",""de"")"),"Pohnpei")</f>
        <v>Pohnpei</v>
      </c>
      <c r="D1602" s="9" t="str">
        <f>IFERROR(__xludf.DUMMYFUNCTION("GOOGLETRANSLATE($A1602,""en"",""fr"")"),"Pohnpei")</f>
        <v>Pohnpei</v>
      </c>
      <c r="E1602" s="9" t="str">
        <f>IFERROR(__xludf.DUMMYFUNCTION("GOOGLETRANSLATE($A1602,""en"",""es"")"),"Pohnpei")</f>
        <v>Pohnpei</v>
      </c>
      <c r="F1602" s="9" t="str">
        <f>IFERROR(__xludf.DUMMYFUNCTION("GOOGLETRANSLATE($A1602,""en"",""it"")"),"Pohnpei")</f>
        <v>Pohnpei</v>
      </c>
      <c r="G1602" s="9" t="str">
        <f>IFERROR(__xludf.DUMMYFUNCTION("GOOGLETRANSLATE($A1602,""en"",""zh-cn"")"),"波纳佩")</f>
        <v>波纳佩</v>
      </c>
      <c r="H1602" s="9" t="str">
        <f>IFERROR(__xludf.DUMMYFUNCTION("GOOGLETRANSLATE($A1602,""en"",""ja"")"),"ポンペイ")</f>
        <v>ポンペイ</v>
      </c>
      <c r="I1602" s="9" t="str">
        <f>IFERROR(__xludf.DUMMYFUNCTION("GOOGLETRANSLATE($A1602,""en"",""ko"")"),"폰페이")</f>
        <v>폰페이</v>
      </c>
      <c r="J1602" s="9" t="str">
        <f>IFERROR(__xludf.DUMMYFUNCTION("GOOGLETRANSLATE($A1602,""en"",""pt-BR"")"),"Pohnpei")</f>
        <v>Pohnpei</v>
      </c>
    </row>
    <row r="1603">
      <c r="A1603" s="9" t="str">
        <f>IFERROR(__xludf.DUMMYFUNCTION("""COMPUTED_VALUE"""),"Yap")</f>
        <v>Yap</v>
      </c>
      <c r="B1603" s="9" t="str">
        <f>IFERROR(__xludf.DUMMYFUNCTION("""COMPUTED_VALUE"""),"fm-yap")</f>
        <v>fm-yap</v>
      </c>
      <c r="C1603" s="9" t="str">
        <f>IFERROR(__xludf.DUMMYFUNCTION("GOOGLETRANSLATE($A1603,""en"",""de"")"),"Kläffen")</f>
        <v>Kläffen</v>
      </c>
      <c r="D1603" s="9" t="str">
        <f>IFERROR(__xludf.DUMMYFUNCTION("GOOGLETRANSLATE($A1603,""en"",""fr"")"),"Japper")</f>
        <v>Japper</v>
      </c>
      <c r="E1603" s="9" t="str">
        <f>IFERROR(__xludf.DUMMYFUNCTION("GOOGLETRANSLATE($A1603,""en"",""es"")"),"Ladrar")</f>
        <v>Ladrar</v>
      </c>
      <c r="F1603" s="9" t="str">
        <f>IFERROR(__xludf.DUMMYFUNCTION("GOOGLETRANSLATE($A1603,""en"",""it"")"),"Sì")</f>
        <v>Sì</v>
      </c>
      <c r="G1603" s="9" t="str">
        <f>IFERROR(__xludf.DUMMYFUNCTION("GOOGLETRANSLATE($A1603,""en"",""zh-cn"")"),"雅浦岛")</f>
        <v>雅浦岛</v>
      </c>
      <c r="H1603" s="9" t="str">
        <f>IFERROR(__xludf.DUMMYFUNCTION("GOOGLETRANSLATE($A1603,""en"",""ja"")"),"ヤップ島")</f>
        <v>ヤップ島</v>
      </c>
      <c r="I1603" s="9" t="str">
        <f>IFERROR(__xludf.DUMMYFUNCTION("GOOGLETRANSLATE($A1603,""en"",""ko"")"),"얍")</f>
        <v>얍</v>
      </c>
      <c r="J1603" s="9" t="str">
        <f>IFERROR(__xludf.DUMMYFUNCTION("GOOGLETRANSLATE($A1603,""en"",""pt-BR"")"),"Sim")</f>
        <v>Sim</v>
      </c>
    </row>
    <row r="1604">
      <c r="A1604" s="9" t="str">
        <f>IFERROR(__xludf.DUMMYFUNCTION("""COMPUTED_VALUE"""),"Kosrae")</f>
        <v>Kosrae</v>
      </c>
      <c r="B1604" s="9" t="str">
        <f>IFERROR(__xludf.DUMMYFUNCTION("""COMPUTED_VALUE"""),"fm-ksa")</f>
        <v>fm-ksa</v>
      </c>
      <c r="C1604" s="9" t="str">
        <f>IFERROR(__xludf.DUMMYFUNCTION("GOOGLETRANSLATE($A1604,""en"",""de"")"),"Kosrae")</f>
        <v>Kosrae</v>
      </c>
      <c r="D1604" s="9" t="str">
        <f>IFERROR(__xludf.DUMMYFUNCTION("GOOGLETRANSLATE($A1604,""en"",""fr"")"),"Kosrae")</f>
        <v>Kosrae</v>
      </c>
      <c r="E1604" s="9" t="str">
        <f>IFERROR(__xludf.DUMMYFUNCTION("GOOGLETRANSLATE($A1604,""en"",""es"")"),"kosrae")</f>
        <v>kosrae</v>
      </c>
      <c r="F1604" s="9" t="str">
        <f>IFERROR(__xludf.DUMMYFUNCTION("GOOGLETRANSLATE($A1604,""en"",""it"")"),"Kosrae")</f>
        <v>Kosrae</v>
      </c>
      <c r="G1604" s="9" t="str">
        <f>IFERROR(__xludf.DUMMYFUNCTION("GOOGLETRANSLATE($A1604,""en"",""zh-cn"")"),"科斯雷")</f>
        <v>科斯雷</v>
      </c>
      <c r="H1604" s="9" t="str">
        <f>IFERROR(__xludf.DUMMYFUNCTION("GOOGLETRANSLATE($A1604,""en"",""ja"")"),"コスラエ州")</f>
        <v>コスラエ州</v>
      </c>
      <c r="I1604" s="9" t="str">
        <f>IFERROR(__xludf.DUMMYFUNCTION("GOOGLETRANSLATE($A1604,""en"",""ko"")"),"코스라에")</f>
        <v>코스라에</v>
      </c>
      <c r="J1604" s="9" t="str">
        <f>IFERROR(__xludf.DUMMYFUNCTION("GOOGLETRANSLATE($A1604,""en"",""pt-BR"")"),"Kosrae")</f>
        <v>Kosrae</v>
      </c>
    </row>
    <row r="1605">
      <c r="A1605" s="9" t="str">
        <f>IFERROR(__xludf.DUMMYFUNCTION("""COMPUTED_VALUE"""),"Western (FJ)")</f>
        <v>Western (FJ)</v>
      </c>
      <c r="B1605" s="9" t="str">
        <f>IFERROR(__xludf.DUMMYFUNCTION("""COMPUTED_VALUE"""),"fj-w")</f>
        <v>fj-w</v>
      </c>
      <c r="C1605" s="9" t="str">
        <f>IFERROR(__xludf.DUMMYFUNCTION("GOOGLETRANSLATE($A1605,""en"",""de"")"),"Western (FJ)")</f>
        <v>Western (FJ)</v>
      </c>
      <c r="D1605" s="9" t="str">
        <f>IFERROR(__xludf.DUMMYFUNCTION("GOOGLETRANSLATE($A1605,""en"",""fr"")"),"Ouest (FJ)")</f>
        <v>Ouest (FJ)</v>
      </c>
      <c r="E1605" s="9" t="str">
        <f>IFERROR(__xludf.DUMMYFUNCTION("GOOGLETRANSLATE($A1605,""en"",""es"")"),"Oeste (FJ)")</f>
        <v>Oeste (FJ)</v>
      </c>
      <c r="F1605" s="9" t="str">
        <f>IFERROR(__xludf.DUMMYFUNCTION("GOOGLETRANSLATE($A1605,""en"",""it"")"),"Occidentale (FJ)")</f>
        <v>Occidentale (FJ)</v>
      </c>
      <c r="G1605" s="9" t="str">
        <f>IFERROR(__xludf.DUMMYFUNCTION("GOOGLETRANSLATE($A1605,""en"",""zh-cn"")"),"西部 (FJ)")</f>
        <v>西部 (FJ)</v>
      </c>
      <c r="H1605" s="9" t="str">
        <f>IFERROR(__xludf.DUMMYFUNCTION("GOOGLETRANSLATE($A1605,""en"",""ja"")"),"西部（FJ）")</f>
        <v>西部（FJ）</v>
      </c>
      <c r="I1605" s="9" t="str">
        <f>IFERROR(__xludf.DUMMYFUNCTION("GOOGLETRANSLATE($A1605,""en"",""ko"")"),"서부(FJ)")</f>
        <v>서부(FJ)</v>
      </c>
      <c r="J1605" s="9" t="str">
        <f>IFERROR(__xludf.DUMMYFUNCTION("GOOGLETRANSLATE($A1605,""en"",""pt-BR"")"),"Ocidental (FJ)")</f>
        <v>Ocidental (FJ)</v>
      </c>
    </row>
    <row r="1606">
      <c r="A1606" s="9" t="str">
        <f>IFERROR(__xludf.DUMMYFUNCTION("""COMPUTED_VALUE"""),"Northern (FJ)")</f>
        <v>Northern (FJ)</v>
      </c>
      <c r="B1606" s="9" t="str">
        <f>IFERROR(__xludf.DUMMYFUNCTION("""COMPUTED_VALUE"""),"fj-n")</f>
        <v>fj-n</v>
      </c>
      <c r="C1606" s="9" t="str">
        <f>IFERROR(__xludf.DUMMYFUNCTION("GOOGLETRANSLATE($A1606,""en"",""de"")"),"Nord (FJ)")</f>
        <v>Nord (FJ)</v>
      </c>
      <c r="D1606" s="9" t="str">
        <f>IFERROR(__xludf.DUMMYFUNCTION("GOOGLETRANSLATE($A1606,""en"",""fr"")"),"Nord (FJ)")</f>
        <v>Nord (FJ)</v>
      </c>
      <c r="E1606" s="9" t="str">
        <f>IFERROR(__xludf.DUMMYFUNCTION("GOOGLETRANSLATE($A1606,""en"",""es"")"),"Norte (FJ)")</f>
        <v>Norte (FJ)</v>
      </c>
      <c r="F1606" s="9" t="str">
        <f>IFERROR(__xludf.DUMMYFUNCTION("GOOGLETRANSLATE($A1606,""en"",""it"")"),"Nord (FJ)")</f>
        <v>Nord (FJ)</v>
      </c>
      <c r="G1606" s="9" t="str">
        <f>IFERROR(__xludf.DUMMYFUNCTION("GOOGLETRANSLATE($A1606,""en"",""zh-cn"")"),"北部 (FJ)")</f>
        <v>北部 (FJ)</v>
      </c>
      <c r="H1606" s="9" t="str">
        <f>IFERROR(__xludf.DUMMYFUNCTION("GOOGLETRANSLATE($A1606,""en"",""ja"")"),"ノーザン (FJ)")</f>
        <v>ノーザン (FJ)</v>
      </c>
      <c r="I1606" s="9" t="str">
        <f>IFERROR(__xludf.DUMMYFUNCTION("GOOGLETRANSLATE($A1606,""en"",""ko"")"),"노던(FJ)")</f>
        <v>노던(FJ)</v>
      </c>
      <c r="J1606" s="9" t="str">
        <f>IFERROR(__xludf.DUMMYFUNCTION("GOOGLETRANSLATE($A1606,""en"",""pt-BR"")"),"Norte (FJ)")</f>
        <v>Norte (FJ)</v>
      </c>
    </row>
    <row r="1607">
      <c r="A1607" s="9" t="str">
        <f>IFERROR(__xludf.DUMMYFUNCTION("""COMPUTED_VALUE"""),"Rotuma")</f>
        <v>Rotuma</v>
      </c>
      <c r="B1607" s="9" t="str">
        <f>IFERROR(__xludf.DUMMYFUNCTION("""COMPUTED_VALUE"""),"fj-r")</f>
        <v>fj-r</v>
      </c>
      <c r="C1607" s="9" t="str">
        <f>IFERROR(__xludf.DUMMYFUNCTION("GOOGLETRANSLATE($A1607,""en"",""de"")"),"Rotuma")</f>
        <v>Rotuma</v>
      </c>
      <c r="D1607" s="9" t="str">
        <f>IFERROR(__xludf.DUMMYFUNCTION("GOOGLETRANSLATE($A1607,""en"",""fr"")"),"Rotuma")</f>
        <v>Rotuma</v>
      </c>
      <c r="E1607" s="9" t="str">
        <f>IFERROR(__xludf.DUMMYFUNCTION("GOOGLETRANSLATE($A1607,""en"",""es"")"),"rotuma")</f>
        <v>rotuma</v>
      </c>
      <c r="F1607" s="9" t="str">
        <f>IFERROR(__xludf.DUMMYFUNCTION("GOOGLETRANSLATE($A1607,""en"",""it"")"),"Rotuma")</f>
        <v>Rotuma</v>
      </c>
      <c r="G1607" s="9" t="str">
        <f>IFERROR(__xludf.DUMMYFUNCTION("GOOGLETRANSLATE($A1607,""en"",""zh-cn"")"),"罗图马")</f>
        <v>罗图马</v>
      </c>
      <c r="H1607" s="9" t="str">
        <f>IFERROR(__xludf.DUMMYFUNCTION("GOOGLETRANSLATE($A1607,""en"",""ja"")"),"ロツマ")</f>
        <v>ロツマ</v>
      </c>
      <c r="I1607" s="9" t="str">
        <f>IFERROR(__xludf.DUMMYFUNCTION("GOOGLETRANSLATE($A1607,""en"",""ko"")"),"로투마")</f>
        <v>로투마</v>
      </c>
      <c r="J1607" s="9" t="str">
        <f>IFERROR(__xludf.DUMMYFUNCTION("GOOGLETRANSLATE($A1607,""en"",""pt-BR"")"),"Rotuma")</f>
        <v>Rotuma</v>
      </c>
    </row>
    <row r="1608">
      <c r="A1608" s="9" t="str">
        <f>IFERROR(__xludf.DUMMYFUNCTION("""COMPUTED_VALUE"""),"Central (FJ)")</f>
        <v>Central (FJ)</v>
      </c>
      <c r="B1608" s="9" t="str">
        <f>IFERROR(__xludf.DUMMYFUNCTION("""COMPUTED_VALUE"""),"fj-c")</f>
        <v>fj-c</v>
      </c>
      <c r="C1608" s="9" t="str">
        <f>IFERROR(__xludf.DUMMYFUNCTION("GOOGLETRANSLATE($A1608,""en"",""de"")"),"Zentral (FJ)")</f>
        <v>Zentral (FJ)</v>
      </c>
      <c r="D1608" s="9" t="str">
        <f>IFERROR(__xludf.DUMMYFUNCTION("GOOGLETRANSLATE($A1608,""en"",""fr"")"),"Centrale (FJ)")</f>
        <v>Centrale (FJ)</v>
      </c>
      <c r="E1608" s="9" t="str">
        <f>IFERROR(__xludf.DUMMYFUNCTION("GOOGLETRANSLATE($A1608,""en"",""es"")"),"Central (FJ)")</f>
        <v>Central (FJ)</v>
      </c>
      <c r="F1608" s="9" t="str">
        <f>IFERROR(__xludf.DUMMYFUNCTION("GOOGLETRANSLATE($A1608,""en"",""it"")"),"Centrale (FJ)")</f>
        <v>Centrale (FJ)</v>
      </c>
      <c r="G1608" s="9" t="str">
        <f>IFERROR(__xludf.DUMMYFUNCTION("GOOGLETRANSLATE($A1608,""en"",""zh-cn"")"),"中环 (FJ)")</f>
        <v>中环 (FJ)</v>
      </c>
      <c r="H1608" s="9" t="str">
        <f>IFERROR(__xludf.DUMMYFUNCTION("GOOGLETRANSLATE($A1608,""en"",""ja"")"),"セントラル (FJ)")</f>
        <v>セントラル (FJ)</v>
      </c>
      <c r="I1608" s="9" t="str">
        <f>IFERROR(__xludf.DUMMYFUNCTION("GOOGLETRANSLATE($A1608,""en"",""ko"")"),"센트럴(FJ)")</f>
        <v>센트럴(FJ)</v>
      </c>
      <c r="J1608" s="9" t="str">
        <f>IFERROR(__xludf.DUMMYFUNCTION("GOOGLETRANSLATE($A1608,""en"",""pt-BR"")"),"Central (FJ)")</f>
        <v>Central (FJ)</v>
      </c>
    </row>
    <row r="1609">
      <c r="A1609" s="9" t="str">
        <f>IFERROR(__xludf.DUMMYFUNCTION("""COMPUTED_VALUE"""),"Eastern (FJ)")</f>
        <v>Eastern (FJ)</v>
      </c>
      <c r="B1609" s="9" t="str">
        <f>IFERROR(__xludf.DUMMYFUNCTION("""COMPUTED_VALUE"""),"fj-e")</f>
        <v>fj-e</v>
      </c>
      <c r="C1609" s="9" t="str">
        <f>IFERROR(__xludf.DUMMYFUNCTION("GOOGLETRANSLATE($A1609,""en"",""de"")"),"Ost (FJ)")</f>
        <v>Ost (FJ)</v>
      </c>
      <c r="D1609" s="9" t="str">
        <f>IFERROR(__xludf.DUMMYFUNCTION("GOOGLETRANSLATE($A1609,""en"",""fr"")"),"Est (FJ)")</f>
        <v>Est (FJ)</v>
      </c>
      <c r="E1609" s="9" t="str">
        <f>IFERROR(__xludf.DUMMYFUNCTION("GOOGLETRANSLATE($A1609,""en"",""es"")"),"Este (FJ)")</f>
        <v>Este (FJ)</v>
      </c>
      <c r="F1609" s="9" t="str">
        <f>IFERROR(__xludf.DUMMYFUNCTION("GOOGLETRANSLATE($A1609,""en"",""it"")"),"Orientale (FJ)")</f>
        <v>Orientale (FJ)</v>
      </c>
      <c r="G1609" s="9" t="str">
        <f>IFERROR(__xludf.DUMMYFUNCTION("GOOGLETRANSLATE($A1609,""en"",""zh-cn"")"),"东部 (FJ)")</f>
        <v>东部 (FJ)</v>
      </c>
      <c r="H1609" s="9" t="str">
        <f>IFERROR(__xludf.DUMMYFUNCTION("GOOGLETRANSLATE($A1609,""en"",""ja"")"),"東部 (FJ)")</f>
        <v>東部 (FJ)</v>
      </c>
      <c r="I1609" s="9" t="str">
        <f>IFERROR(__xludf.DUMMYFUNCTION("GOOGLETRANSLATE($A1609,""en"",""ko"")"),"동부(FJ)")</f>
        <v>동부(FJ)</v>
      </c>
      <c r="J1609" s="9" t="str">
        <f>IFERROR(__xludf.DUMMYFUNCTION("GOOGLETRANSLATE($A1609,""en"",""pt-BR"")"),"Leste (FJ)")</f>
        <v>Leste (FJ)</v>
      </c>
    </row>
    <row r="1610">
      <c r="A1610" s="9" t="str">
        <f>IFERROR(__xludf.DUMMYFUNCTION("""COMPUTED_VALUE"""),"Lapplands län")</f>
        <v>Lapplands län</v>
      </c>
      <c r="B1610" s="9" t="str">
        <f>IFERROR(__xludf.DUMMYFUNCTION("""COMPUTED_VALUE"""),"fi-ll")</f>
        <v>fi-ll</v>
      </c>
      <c r="C1610" s="9" t="str">
        <f>IFERROR(__xludf.DUMMYFUNCTION("GOOGLETRANSLATE($A1610,""en"",""de"")"),"Lapplands län")</f>
        <v>Lapplands län</v>
      </c>
      <c r="D1610" s="9" t="str">
        <f>IFERROR(__xludf.DUMMYFUNCTION("GOOGLETRANSLATE($A1610,""en"",""fr"")"),"Län de Laponie")</f>
        <v>Län de Laponie</v>
      </c>
      <c r="E1610" s="9" t="str">
        <f>IFERROR(__xludf.DUMMYFUNCTION("GOOGLETRANSLATE($A1610,""en"",""es"")"),"Laponia län")</f>
        <v>Laponia län</v>
      </c>
      <c r="F1610" s="9" t="str">
        <f>IFERROR(__xludf.DUMMYFUNCTION("GOOGLETRANSLATE($A1610,""en"",""it"")"),"Lapponia län")</f>
        <v>Lapponia län</v>
      </c>
      <c r="G1610" s="9" t="str">
        <f>IFERROR(__xludf.DUMMYFUNCTION("GOOGLETRANSLATE($A1610,""en"",""zh-cn"")"),"拉普兰兰")</f>
        <v>拉普兰兰</v>
      </c>
      <c r="H1610" s="9" t="str">
        <f>IFERROR(__xludf.DUMMYFUNCTION("GOOGLETRANSLATE($A1610,""en"",""ja"")"),"ラップランド地方")</f>
        <v>ラップランド地方</v>
      </c>
      <c r="I1610" s="9" t="str">
        <f>IFERROR(__xludf.DUMMYFUNCTION("GOOGLETRANSLATE($A1610,""en"",""ko"")"),"라플란드 란")</f>
        <v>라플란드 란</v>
      </c>
      <c r="J1610" s="9" t="str">
        <f>IFERROR(__xludf.DUMMYFUNCTION("GOOGLETRANSLATE($A1610,""en"",""pt-BR"")"),"Lapónias län")</f>
        <v>Lapónias län</v>
      </c>
    </row>
    <row r="1611">
      <c r="A1611" s="9" t="str">
        <f>IFERROR(__xludf.DUMMYFUNCTION("""COMPUTED_VALUE"""),"Tavastia Proper")</f>
        <v>Tavastia Proper</v>
      </c>
      <c r="B1611" s="9" t="str">
        <f>IFERROR(__xludf.DUMMYFUNCTION("""COMPUTED_VALUE"""),"fi-06")</f>
        <v>fi-06</v>
      </c>
      <c r="C1611" s="9" t="str">
        <f>IFERROR(__xludf.DUMMYFUNCTION("GOOGLETRANSLATE($A1611,""en"",""de"")"),"Tavastia richtig")</f>
        <v>Tavastia richtig</v>
      </c>
      <c r="D1611" s="9" t="str">
        <f>IFERROR(__xludf.DUMMYFUNCTION("GOOGLETRANSLATE($A1611,""en"",""fr"")"),"Tavastia proprement dite")</f>
        <v>Tavastia proprement dite</v>
      </c>
      <c r="E1611" s="9" t="str">
        <f>IFERROR(__xludf.DUMMYFUNCTION("GOOGLETRANSLATE($A1611,""en"",""es"")"),"Tavastía propiamente dicha")</f>
        <v>Tavastía propiamente dicha</v>
      </c>
      <c r="F1611" s="9" t="str">
        <f>IFERROR(__xludf.DUMMYFUNCTION("GOOGLETRANSLATE($A1611,""en"",""it"")"),"Tavastia propriamente detta")</f>
        <v>Tavastia propriamente detta</v>
      </c>
      <c r="G1611" s="9" t="str">
        <f>IFERROR(__xludf.DUMMYFUNCTION("GOOGLETRANSLATE($A1611,""en"",""zh-cn"")"),"塔瓦斯蒂亚原产地")</f>
        <v>塔瓦斯蒂亚原产地</v>
      </c>
      <c r="H1611" s="9" t="str">
        <f>IFERROR(__xludf.DUMMYFUNCTION("GOOGLETRANSLATE($A1611,""en"",""ja"")"),"タバスティア・プロパー")</f>
        <v>タバスティア・プロパー</v>
      </c>
      <c r="I1611" s="9" t="str">
        <f>IFERROR(__xludf.DUMMYFUNCTION("GOOGLETRANSLATE($A1611,""en"",""ko"")"),"타바스티아 프로퍼")</f>
        <v>타바스티아 프로퍼</v>
      </c>
      <c r="J1611" s="9" t="str">
        <f>IFERROR(__xludf.DUMMYFUNCTION("GOOGLETRANSLATE($A1611,""en"",""pt-BR"")"),"Tavastia propriamente dita")</f>
        <v>Tavastia propriamente dita</v>
      </c>
    </row>
    <row r="1612">
      <c r="A1612" s="9" t="str">
        <f>IFERROR(__xludf.DUMMYFUNCTION("""COMPUTED_VALUE"""),"Central Ostrobothnia")</f>
        <v>Central Ostrobothnia</v>
      </c>
      <c r="B1612" s="9" t="str">
        <f>IFERROR(__xludf.DUMMYFUNCTION("""COMPUTED_VALUE"""),"fi-07")</f>
        <v>fi-07</v>
      </c>
      <c r="C1612" s="9" t="str">
        <f>IFERROR(__xludf.DUMMYFUNCTION("GOOGLETRANSLATE($A1612,""en"",""de"")"),"Zentralösterbotten")</f>
        <v>Zentralösterbotten</v>
      </c>
      <c r="D1612" s="9" t="str">
        <f>IFERROR(__xludf.DUMMYFUNCTION("GOOGLETRANSLATE($A1612,""en"",""fr"")"),"Ostrobotnie centrale")</f>
        <v>Ostrobotnie centrale</v>
      </c>
      <c r="E1612" s="9" t="str">
        <f>IFERROR(__xludf.DUMMYFUNCTION("GOOGLETRANSLATE($A1612,""en"",""es"")"),"Ostrobotnia Central")</f>
        <v>Ostrobotnia Central</v>
      </c>
      <c r="F1612" s="9" t="str">
        <f>IFERROR(__xludf.DUMMYFUNCTION("GOOGLETRANSLATE($A1612,""en"",""it"")"),"Ostrobotnia centrale")</f>
        <v>Ostrobotnia centrale</v>
      </c>
      <c r="G1612" s="9" t="str">
        <f>IFERROR(__xludf.DUMMYFUNCTION("GOOGLETRANSLATE($A1612,""en"",""zh-cn"")"),"博滕区中部")</f>
        <v>博滕区中部</v>
      </c>
      <c r="H1612" s="9" t="str">
        <f>IFERROR(__xludf.DUMMYFUNCTION("GOOGLETRANSLATE($A1612,""en"",""ja"")"),"中央オストロボスニア")</f>
        <v>中央オストロボスニア</v>
      </c>
      <c r="I1612" s="9" t="str">
        <f>IFERROR(__xludf.DUMMYFUNCTION("GOOGLETRANSLATE($A1612,""en"",""ko"")"),"중앙 오스트로보스니아")</f>
        <v>중앙 오스트로보스니아</v>
      </c>
      <c r="J1612" s="9" t="str">
        <f>IFERROR(__xludf.DUMMYFUNCTION("GOOGLETRANSLATE($A1612,""en"",""pt-BR"")"),"Ostrobótnia Central")</f>
        <v>Ostrobótnia Central</v>
      </c>
    </row>
    <row r="1613">
      <c r="A1613" s="9" t="str">
        <f>IFERROR(__xludf.DUMMYFUNCTION("""COMPUTED_VALUE"""),"Central Finland")</f>
        <v>Central Finland</v>
      </c>
      <c r="B1613" s="9" t="str">
        <f>IFERROR(__xludf.DUMMYFUNCTION("""COMPUTED_VALUE"""),"fi-08")</f>
        <v>fi-08</v>
      </c>
      <c r="C1613" s="9" t="str">
        <f>IFERROR(__xludf.DUMMYFUNCTION("GOOGLETRANSLATE($A1613,""en"",""de"")"),"Mittelfinnland")</f>
        <v>Mittelfinnland</v>
      </c>
      <c r="D1613" s="9" t="str">
        <f>IFERROR(__xludf.DUMMYFUNCTION("GOOGLETRANSLATE($A1613,""en"",""fr"")"),"Finlande centrale")</f>
        <v>Finlande centrale</v>
      </c>
      <c r="E1613" s="9" t="str">
        <f>IFERROR(__xludf.DUMMYFUNCTION("GOOGLETRANSLATE($A1613,""en"",""es"")"),"Finlandia central")</f>
        <v>Finlandia central</v>
      </c>
      <c r="F1613" s="9" t="str">
        <f>IFERROR(__xludf.DUMMYFUNCTION("GOOGLETRANSLATE($A1613,""en"",""it"")"),"Finlandia centrale")</f>
        <v>Finlandia centrale</v>
      </c>
      <c r="G1613" s="9" t="str">
        <f>IFERROR(__xludf.DUMMYFUNCTION("GOOGLETRANSLATE($A1613,""en"",""zh-cn"")"),"芬兰中部")</f>
        <v>芬兰中部</v>
      </c>
      <c r="H1613" s="9" t="str">
        <f>IFERROR(__xludf.DUMMYFUNCTION("GOOGLETRANSLATE($A1613,""en"",""ja"")"),"中央フィンランド")</f>
        <v>中央フィンランド</v>
      </c>
      <c r="I1613" s="9" t="str">
        <f>IFERROR(__xludf.DUMMYFUNCTION("GOOGLETRANSLATE($A1613,""en"",""ko"")"),"핀란드 중부")</f>
        <v>핀란드 중부</v>
      </c>
      <c r="J1613" s="9" t="str">
        <f>IFERROR(__xludf.DUMMYFUNCTION("GOOGLETRANSLATE($A1613,""en"",""pt-BR"")"),"Finlândia Central")</f>
        <v>Finlândia Central</v>
      </c>
    </row>
    <row r="1614">
      <c r="A1614" s="9" t="str">
        <f>IFERROR(__xludf.DUMMYFUNCTION("""COMPUTED_VALUE"""),"Kymenlaakso")</f>
        <v>Kymenlaakso</v>
      </c>
      <c r="B1614" s="9" t="str">
        <f>IFERROR(__xludf.DUMMYFUNCTION("""COMPUTED_VALUE"""),"fi-09")</f>
        <v>fi-09</v>
      </c>
      <c r="C1614" s="9" t="str">
        <f>IFERROR(__xludf.DUMMYFUNCTION("GOOGLETRANSLATE($A1614,""en"",""de"")"),"Kymenlaakso")</f>
        <v>Kymenlaakso</v>
      </c>
      <c r="D1614" s="9" t="str">
        <f>IFERROR(__xludf.DUMMYFUNCTION("GOOGLETRANSLATE($A1614,""en"",""fr"")"),"Kymenlaakso")</f>
        <v>Kymenlaakso</v>
      </c>
      <c r="E1614" s="9" t="str">
        <f>IFERROR(__xludf.DUMMYFUNCTION("GOOGLETRANSLATE($A1614,""en"",""es"")"),"Kymenlaakso")</f>
        <v>Kymenlaakso</v>
      </c>
      <c r="F1614" s="9" t="str">
        <f>IFERROR(__xludf.DUMMYFUNCTION("GOOGLETRANSLATE($A1614,""en"",""it"")"),"Kymenlaakso")</f>
        <v>Kymenlaakso</v>
      </c>
      <c r="G1614" s="9" t="str">
        <f>IFERROR(__xludf.DUMMYFUNCTION("GOOGLETRANSLATE($A1614,""en"",""zh-cn"")"),"吉门拉克索")</f>
        <v>吉门拉克索</v>
      </c>
      <c r="H1614" s="9" t="str">
        <f>IFERROR(__xludf.DUMMYFUNCTION("GOOGLETRANSLATE($A1614,""en"",""ja"")"),"カイメンラークソ")</f>
        <v>カイメンラークソ</v>
      </c>
      <c r="I1614" s="9" t="str">
        <f>IFERROR(__xludf.DUMMYFUNCTION("GOOGLETRANSLATE($A1614,""en"",""ko"")"),"키멘락소")</f>
        <v>키멘락소</v>
      </c>
      <c r="J1614" s="9" t="str">
        <f>IFERROR(__xludf.DUMMYFUNCTION("GOOGLETRANSLATE($A1614,""en"",""pt-BR"")"),"Kymenlaakso")</f>
        <v>Kymenlaakso</v>
      </c>
    </row>
    <row r="1615">
      <c r="A1615" s="9" t="str">
        <f>IFERROR(__xludf.DUMMYFUNCTION("""COMPUTED_VALUE"""),"South Karelia")</f>
        <v>South Karelia</v>
      </c>
      <c r="B1615" s="9" t="str">
        <f>IFERROR(__xludf.DUMMYFUNCTION("""COMPUTED_VALUE"""),"fi-02")</f>
        <v>fi-02</v>
      </c>
      <c r="C1615" s="9" t="str">
        <f>IFERROR(__xludf.DUMMYFUNCTION("GOOGLETRANSLATE($A1615,""en"",""de"")"),"Südkarelien")</f>
        <v>Südkarelien</v>
      </c>
      <c r="D1615" s="9" t="str">
        <f>IFERROR(__xludf.DUMMYFUNCTION("GOOGLETRANSLATE($A1615,""en"",""fr"")"),"Carélie du Sud")</f>
        <v>Carélie du Sud</v>
      </c>
      <c r="E1615" s="9" t="str">
        <f>IFERROR(__xludf.DUMMYFUNCTION("GOOGLETRANSLATE($A1615,""en"",""es"")"),"Karelia del Sur")</f>
        <v>Karelia del Sur</v>
      </c>
      <c r="F1615" s="9" t="str">
        <f>IFERROR(__xludf.DUMMYFUNCTION("GOOGLETRANSLATE($A1615,""en"",""it"")"),"Carelia meridionale")</f>
        <v>Carelia meridionale</v>
      </c>
      <c r="G1615" s="9" t="str">
        <f>IFERROR(__xludf.DUMMYFUNCTION("GOOGLETRANSLATE($A1615,""en"",""zh-cn"")"),"南卡累利阿")</f>
        <v>南卡累利阿</v>
      </c>
      <c r="H1615" s="9" t="str">
        <f>IFERROR(__xludf.DUMMYFUNCTION("GOOGLETRANSLATE($A1615,""en"",""ja"")"),"南カレリア")</f>
        <v>南カレリア</v>
      </c>
      <c r="I1615" s="9" t="str">
        <f>IFERROR(__xludf.DUMMYFUNCTION("GOOGLETRANSLATE($A1615,""en"",""ko"")"),"사우스 카렐리야")</f>
        <v>사우스 카렐리야</v>
      </c>
      <c r="J1615" s="9" t="str">
        <f>IFERROR(__xludf.DUMMYFUNCTION("GOOGLETRANSLATE($A1615,""en"",""pt-BR"")"),"Carélia do Sul")</f>
        <v>Carélia do Sul</v>
      </c>
    </row>
    <row r="1616">
      <c r="A1616" s="9" t="str">
        <f>IFERROR(__xludf.DUMMYFUNCTION("""COMPUTED_VALUE"""),"Southern Ostrobothnia")</f>
        <v>Southern Ostrobothnia</v>
      </c>
      <c r="B1616" s="9" t="str">
        <f>IFERROR(__xludf.DUMMYFUNCTION("""COMPUTED_VALUE"""),"fi-03")</f>
        <v>fi-03</v>
      </c>
      <c r="C1616" s="9" t="str">
        <f>IFERROR(__xludf.DUMMYFUNCTION("GOOGLETRANSLATE($A1616,""en"",""de"")"),"Südösterbotten")</f>
        <v>Südösterbotten</v>
      </c>
      <c r="D1616" s="9" t="str">
        <f>IFERROR(__xludf.DUMMYFUNCTION("GOOGLETRANSLATE($A1616,""en"",""fr"")"),"Ostrobotnie du Sud")</f>
        <v>Ostrobotnie du Sud</v>
      </c>
      <c r="E1616" s="9" t="str">
        <f>IFERROR(__xludf.DUMMYFUNCTION("GOOGLETRANSLATE($A1616,""en"",""es"")"),"Ostrobotnia del Sur")</f>
        <v>Ostrobotnia del Sur</v>
      </c>
      <c r="F1616" s="9" t="str">
        <f>IFERROR(__xludf.DUMMYFUNCTION("GOOGLETRANSLATE($A1616,""en"",""it"")"),"Ostrobotnia meridionale")</f>
        <v>Ostrobotnia meridionale</v>
      </c>
      <c r="G1616" s="9" t="str">
        <f>IFERROR(__xludf.DUMMYFUNCTION("GOOGLETRANSLATE($A1616,""en"",""zh-cn"")"),"南博滕区")</f>
        <v>南博滕区</v>
      </c>
      <c r="H1616" s="9" t="str">
        <f>IFERROR(__xludf.DUMMYFUNCTION("GOOGLETRANSLATE($A1616,""en"",""ja"")"),"南オストロボスニア")</f>
        <v>南オストロボスニア</v>
      </c>
      <c r="I1616" s="9" t="str">
        <f>IFERROR(__xludf.DUMMYFUNCTION("GOOGLETRANSLATE($A1616,""en"",""ko"")"),"남부 오스트로보스니아")</f>
        <v>남부 오스트로보스니아</v>
      </c>
      <c r="J1616" s="9" t="str">
        <f>IFERROR(__xludf.DUMMYFUNCTION("GOOGLETRANSLATE($A1616,""en"",""pt-BR"")"),"Ostrobótnia do Sul")</f>
        <v>Ostrobótnia do Sul</v>
      </c>
    </row>
    <row r="1617">
      <c r="A1617" s="9" t="str">
        <f>IFERROR(__xludf.DUMMYFUNCTION("""COMPUTED_VALUE"""),"Southern Savonia")</f>
        <v>Southern Savonia</v>
      </c>
      <c r="B1617" s="9" t="str">
        <f>IFERROR(__xludf.DUMMYFUNCTION("""COMPUTED_VALUE"""),"fi-04")</f>
        <v>fi-04</v>
      </c>
      <c r="C1617" s="9" t="str">
        <f>IFERROR(__xludf.DUMMYFUNCTION("GOOGLETRANSLATE($A1617,""en"",""de"")"),"Südsavo")</f>
        <v>Südsavo</v>
      </c>
      <c r="D1617" s="9" t="str">
        <f>IFERROR(__xludf.DUMMYFUNCTION("GOOGLETRANSLATE($A1617,""en"",""fr"")"),"Savonie du Sud")</f>
        <v>Savonie du Sud</v>
      </c>
      <c r="E1617" s="9" t="str">
        <f>IFERROR(__xludf.DUMMYFUNCTION("GOOGLETRANSLATE($A1617,""en"",""es"")"),"Savonia del Sur")</f>
        <v>Savonia del Sur</v>
      </c>
      <c r="F1617" s="9" t="str">
        <f>IFERROR(__xludf.DUMMYFUNCTION("GOOGLETRANSLATE($A1617,""en"",""it"")"),"Savo meridionale")</f>
        <v>Savo meridionale</v>
      </c>
      <c r="G1617" s="9" t="str">
        <f>IFERROR(__xludf.DUMMYFUNCTION("GOOGLETRANSLATE($A1617,""en"",""zh-cn"")"),"南萨沃尼亚")</f>
        <v>南萨沃尼亚</v>
      </c>
      <c r="H1617" s="9" t="str">
        <f>IFERROR(__xludf.DUMMYFUNCTION("GOOGLETRANSLATE($A1617,""en"",""ja"")"),"サボニア南部")</f>
        <v>サボニア南部</v>
      </c>
      <c r="I1617" s="9" t="str">
        <f>IFERROR(__xludf.DUMMYFUNCTION("GOOGLETRANSLATE($A1617,""en"",""ko"")"),"남부 사보니아")</f>
        <v>남부 사보니아</v>
      </c>
      <c r="J1617" s="9" t="str">
        <f>IFERROR(__xludf.DUMMYFUNCTION("GOOGLETRANSLATE($A1617,""en"",""pt-BR"")"),"Sul da Savônia")</f>
        <v>Sul da Savônia</v>
      </c>
    </row>
    <row r="1618">
      <c r="A1618" s="9" t="str">
        <f>IFERROR(__xludf.DUMMYFUNCTION("""COMPUTED_VALUE"""),"Kainuu")</f>
        <v>Kainuu</v>
      </c>
      <c r="B1618" s="9" t="str">
        <f>IFERROR(__xludf.DUMMYFUNCTION("""COMPUTED_VALUE"""),"fi-05")</f>
        <v>fi-05</v>
      </c>
      <c r="C1618" s="9" t="str">
        <f>IFERROR(__xludf.DUMMYFUNCTION("GOOGLETRANSLATE($A1618,""en"",""de"")"),"Kainuu")</f>
        <v>Kainuu</v>
      </c>
      <c r="D1618" s="9" t="str">
        <f>IFERROR(__xludf.DUMMYFUNCTION("GOOGLETRANSLATE($A1618,""en"",""fr"")"),"Kainuu")</f>
        <v>Kainuu</v>
      </c>
      <c r="E1618" s="9" t="str">
        <f>IFERROR(__xludf.DUMMYFUNCTION("GOOGLETRANSLATE($A1618,""en"",""es"")"),"Kainuu")</f>
        <v>Kainuu</v>
      </c>
      <c r="F1618" s="9" t="str">
        <f>IFERROR(__xludf.DUMMYFUNCTION("GOOGLETRANSLATE($A1618,""en"",""it"")"),"Kainuu")</f>
        <v>Kainuu</v>
      </c>
      <c r="G1618" s="9" t="str">
        <f>IFERROR(__xludf.DUMMYFUNCTION("GOOGLETRANSLATE($A1618,""en"",""zh-cn"")"),"凯努")</f>
        <v>凯努</v>
      </c>
      <c r="H1618" s="9" t="str">
        <f>IFERROR(__xludf.DUMMYFUNCTION("GOOGLETRANSLATE($A1618,""en"",""ja"")"),"カイヌウ")</f>
        <v>カイヌウ</v>
      </c>
      <c r="I1618" s="9" t="str">
        <f>IFERROR(__xludf.DUMMYFUNCTION("GOOGLETRANSLATE($A1618,""en"",""ko"")"),"카이누")</f>
        <v>카이누</v>
      </c>
      <c r="J1618" s="9" t="str">
        <f>IFERROR(__xludf.DUMMYFUNCTION("GOOGLETRANSLATE($A1618,""en"",""pt-BR"")"),"Kainuu")</f>
        <v>Kainuu</v>
      </c>
    </row>
    <row r="1619">
      <c r="A1619" s="9" t="str">
        <f>IFERROR(__xludf.DUMMYFUNCTION("""COMPUTED_VALUE"""),"Åland")</f>
        <v>Åland</v>
      </c>
      <c r="B1619" s="9" t="str">
        <f>IFERROR(__xludf.DUMMYFUNCTION("""COMPUTED_VALUE"""),"fi-01")</f>
        <v>fi-01</v>
      </c>
      <c r="C1619" s="9" t="str">
        <f>IFERROR(__xludf.DUMMYFUNCTION("GOOGLETRANSLATE($A1619,""en"",""de"")"),"Åland")</f>
        <v>Åland</v>
      </c>
      <c r="D1619" s="9" t="str">
        <f>IFERROR(__xludf.DUMMYFUNCTION("GOOGLETRANSLATE($A1619,""en"",""fr"")"),"Île d'Åland")</f>
        <v>Île d'Åland</v>
      </c>
      <c r="E1619" s="9" t="str">
        <f>IFERROR(__xludf.DUMMYFUNCTION("GOOGLETRANSLATE($A1619,""en"",""es"")"),"Åland")</f>
        <v>Åland</v>
      </c>
      <c r="F1619" s="9" t="str">
        <f>IFERROR(__xludf.DUMMYFUNCTION("GOOGLETRANSLATE($A1619,""en"",""it"")"),"Åland")</f>
        <v>Åland</v>
      </c>
      <c r="G1619" s="9" t="str">
        <f>IFERROR(__xludf.DUMMYFUNCTION("GOOGLETRANSLATE($A1619,""en"",""zh-cn"")"),"奥兰群岛")</f>
        <v>奥兰群岛</v>
      </c>
      <c r="H1619" s="9" t="str">
        <f>IFERROR(__xludf.DUMMYFUNCTION("GOOGLETRANSLATE($A1619,""en"",""ja"")"),"オーランド島")</f>
        <v>オーランド島</v>
      </c>
      <c r="I1619" s="9" t="str">
        <f>IFERROR(__xludf.DUMMYFUNCTION("GOOGLETRANSLATE($A1619,""en"",""ko"")"),"올란드")</f>
        <v>올란드</v>
      </c>
      <c r="J1619" s="9" t="str">
        <f>IFERROR(__xludf.DUMMYFUNCTION("GOOGLETRANSLATE($A1619,""en"",""pt-BR"")"),"Ilhas Aland")</f>
        <v>Ilhas Aland</v>
      </c>
    </row>
    <row r="1620">
      <c r="A1620" s="9" t="str">
        <f>IFERROR(__xludf.DUMMYFUNCTION("""COMPUTED_VALUE"""),"Uusimaa")</f>
        <v>Uusimaa</v>
      </c>
      <c r="B1620" s="9" t="str">
        <f>IFERROR(__xludf.DUMMYFUNCTION("""COMPUTED_VALUE"""),"fi-18")</f>
        <v>fi-18</v>
      </c>
      <c r="C1620" s="9" t="str">
        <f>IFERROR(__xludf.DUMMYFUNCTION("GOOGLETRANSLATE($A1620,""en"",""de"")"),"Uusimaa")</f>
        <v>Uusimaa</v>
      </c>
      <c r="D1620" s="9" t="str">
        <f>IFERROR(__xludf.DUMMYFUNCTION("GOOGLETRANSLATE($A1620,""en"",""fr"")"),"Uusimaa")</f>
        <v>Uusimaa</v>
      </c>
      <c r="E1620" s="9" t="str">
        <f>IFERROR(__xludf.DUMMYFUNCTION("GOOGLETRANSLATE($A1620,""en"",""es"")"),"Uusimaa")</f>
        <v>Uusimaa</v>
      </c>
      <c r="F1620" s="9" t="str">
        <f>IFERROR(__xludf.DUMMYFUNCTION("GOOGLETRANSLATE($A1620,""en"",""it"")"),"Uusimaa")</f>
        <v>Uusimaa</v>
      </c>
      <c r="G1620" s="9" t="str">
        <f>IFERROR(__xludf.DUMMYFUNCTION("GOOGLETRANSLATE($A1620,""en"",""zh-cn"")"),"新马")</f>
        <v>新马</v>
      </c>
      <c r="H1620" s="9" t="str">
        <f>IFERROR(__xludf.DUMMYFUNCTION("GOOGLETRANSLATE($A1620,""en"",""ja"")"),"ウーシマー")</f>
        <v>ウーシマー</v>
      </c>
      <c r="I1620" s="9" t="str">
        <f>IFERROR(__xludf.DUMMYFUNCTION("GOOGLETRANSLATE($A1620,""en"",""ko"")"),"우시마")</f>
        <v>우시마</v>
      </c>
      <c r="J1620" s="9" t="str">
        <f>IFERROR(__xludf.DUMMYFUNCTION("GOOGLETRANSLATE($A1620,""en"",""pt-BR"")"),"Uusimaa")</f>
        <v>Uusimaa</v>
      </c>
    </row>
    <row r="1621">
      <c r="A1621" s="9" t="str">
        <f>IFERROR(__xludf.DUMMYFUNCTION("""COMPUTED_VALUE"""),"Finland Proper")</f>
        <v>Finland Proper</v>
      </c>
      <c r="B1621" s="9" t="str">
        <f>IFERROR(__xludf.DUMMYFUNCTION("""COMPUTED_VALUE"""),"fi-19")</f>
        <v>fi-19</v>
      </c>
      <c r="C1621" s="9" t="str">
        <f>IFERROR(__xludf.DUMMYFUNCTION("GOOGLETRANSLATE($A1621,""en"",""de"")"),"Finnland")</f>
        <v>Finnland</v>
      </c>
      <c r="D1621" s="9" t="str">
        <f>IFERROR(__xludf.DUMMYFUNCTION("GOOGLETRANSLATE($A1621,""en"",""fr"")"),"Finlande proprement dite")</f>
        <v>Finlande proprement dite</v>
      </c>
      <c r="E1621" s="9" t="str">
        <f>IFERROR(__xludf.DUMMYFUNCTION("GOOGLETRANSLATE($A1621,""en"",""es"")"),"Finlandia propiamente dicha")</f>
        <v>Finlandia propiamente dicha</v>
      </c>
      <c r="F1621" s="9" t="str">
        <f>IFERROR(__xludf.DUMMYFUNCTION("GOOGLETRANSLATE($A1621,""en"",""it"")"),"Finlandia propriamente detta")</f>
        <v>Finlandia propriamente detta</v>
      </c>
      <c r="G1621" s="9" t="str">
        <f>IFERROR(__xludf.DUMMYFUNCTION("GOOGLETRANSLATE($A1621,""en"",""zh-cn"")"),"芬兰本土")</f>
        <v>芬兰本土</v>
      </c>
      <c r="H1621" s="9" t="str">
        <f>IFERROR(__xludf.DUMMYFUNCTION("GOOGLETRANSLATE($A1621,""en"",""ja"")"),"フィンランド・プロパー")</f>
        <v>フィンランド・プロパー</v>
      </c>
      <c r="I1621" s="9" t="str">
        <f>IFERROR(__xludf.DUMMYFUNCTION("GOOGLETRANSLATE($A1621,""en"",""ko"")"),"핀란드 프로퍼")</f>
        <v>핀란드 프로퍼</v>
      </c>
      <c r="J1621" s="9" t="str">
        <f>IFERROR(__xludf.DUMMYFUNCTION("GOOGLETRANSLATE($A1621,""en"",""pt-BR"")"),"Finlândia propriamente dita")</f>
        <v>Finlândia propriamente dita</v>
      </c>
    </row>
    <row r="1622">
      <c r="A1622" s="9" t="str">
        <f>IFERROR(__xludf.DUMMYFUNCTION("""COMPUTED_VALUE"""),"Northern Ostrobothnia")</f>
        <v>Northern Ostrobothnia</v>
      </c>
      <c r="B1622" s="9" t="str">
        <f>IFERROR(__xludf.DUMMYFUNCTION("""COMPUTED_VALUE"""),"fi-14")</f>
        <v>fi-14</v>
      </c>
      <c r="C1622" s="9" t="str">
        <f>IFERROR(__xludf.DUMMYFUNCTION("GOOGLETRANSLATE($A1622,""en"",""de"")"),"Nordösterbotten")</f>
        <v>Nordösterbotten</v>
      </c>
      <c r="D1622" s="9" t="str">
        <f>IFERROR(__xludf.DUMMYFUNCTION("GOOGLETRANSLATE($A1622,""en"",""fr"")"),"Ostrobotnie du Nord")</f>
        <v>Ostrobotnie du Nord</v>
      </c>
      <c r="E1622" s="9" t="str">
        <f>IFERROR(__xludf.DUMMYFUNCTION("GOOGLETRANSLATE($A1622,""en"",""es"")"),"Ostrobotnia del Norte")</f>
        <v>Ostrobotnia del Norte</v>
      </c>
      <c r="F1622" s="9" t="str">
        <f>IFERROR(__xludf.DUMMYFUNCTION("GOOGLETRANSLATE($A1622,""en"",""it"")"),"Ostrobotnia settentrionale")</f>
        <v>Ostrobotnia settentrionale</v>
      </c>
      <c r="G1622" s="9" t="str">
        <f>IFERROR(__xludf.DUMMYFUNCTION("GOOGLETRANSLATE($A1622,""en"",""zh-cn"")"),"北博滕区")</f>
        <v>北博滕区</v>
      </c>
      <c r="H1622" s="9" t="str">
        <f>IFERROR(__xludf.DUMMYFUNCTION("GOOGLETRANSLATE($A1622,""en"",""ja"")"),"北オストロボスニア")</f>
        <v>北オストロボスニア</v>
      </c>
      <c r="I1622" s="9" t="str">
        <f>IFERROR(__xludf.DUMMYFUNCTION("GOOGLETRANSLATE($A1622,""en"",""ko"")"),"북부 오스트로보스니아")</f>
        <v>북부 오스트로보스니아</v>
      </c>
      <c r="J1622" s="9" t="str">
        <f>IFERROR(__xludf.DUMMYFUNCTION("GOOGLETRANSLATE($A1622,""en"",""pt-BR"")"),"Ostrobótnia do Norte")</f>
        <v>Ostrobótnia do Norte</v>
      </c>
    </row>
    <row r="1623">
      <c r="A1623" s="9" t="str">
        <f>IFERROR(__xludf.DUMMYFUNCTION("""COMPUTED_VALUE"""),"Northern Savonia")</f>
        <v>Northern Savonia</v>
      </c>
      <c r="B1623" s="9" t="str">
        <f>IFERROR(__xludf.DUMMYFUNCTION("""COMPUTED_VALUE"""),"fi-15")</f>
        <v>fi-15</v>
      </c>
      <c r="C1623" s="9" t="str">
        <f>IFERROR(__xludf.DUMMYFUNCTION("GOOGLETRANSLATE($A1623,""en"",""de"")"),"Nordsavo")</f>
        <v>Nordsavo</v>
      </c>
      <c r="D1623" s="9" t="str">
        <f>IFERROR(__xludf.DUMMYFUNCTION("GOOGLETRANSLATE($A1623,""en"",""fr"")"),"Savonie du Nord")</f>
        <v>Savonie du Nord</v>
      </c>
      <c r="E1623" s="9" t="str">
        <f>IFERROR(__xludf.DUMMYFUNCTION("GOOGLETRANSLATE($A1623,""en"",""es"")"),"Savonia del Norte")</f>
        <v>Savonia del Norte</v>
      </c>
      <c r="F1623" s="9" t="str">
        <f>IFERROR(__xludf.DUMMYFUNCTION("GOOGLETRANSLATE($A1623,""en"",""it"")"),"Savo settentrionale")</f>
        <v>Savo settentrionale</v>
      </c>
      <c r="G1623" s="9" t="str">
        <f>IFERROR(__xludf.DUMMYFUNCTION("GOOGLETRANSLATE($A1623,""en"",""zh-cn"")"),"北萨沃尼亚")</f>
        <v>北萨沃尼亚</v>
      </c>
      <c r="H1623" s="9" t="str">
        <f>IFERROR(__xludf.DUMMYFUNCTION("GOOGLETRANSLATE($A1623,""en"",""ja"")"),"北サボニア")</f>
        <v>北サボニア</v>
      </c>
      <c r="I1623" s="9" t="str">
        <f>IFERROR(__xludf.DUMMYFUNCTION("GOOGLETRANSLATE($A1623,""en"",""ko"")"),"북부 사보니아")</f>
        <v>북부 사보니아</v>
      </c>
      <c r="J1623" s="9" t="str">
        <f>IFERROR(__xludf.DUMMYFUNCTION("GOOGLETRANSLATE($A1623,""en"",""pt-BR"")"),"Savônia do Norte")</f>
        <v>Savônia do Norte</v>
      </c>
    </row>
    <row r="1624">
      <c r="A1624" s="9" t="str">
        <f>IFERROR(__xludf.DUMMYFUNCTION("""COMPUTED_VALUE"""),"Päijänne Tavastia")</f>
        <v>Päijänne Tavastia</v>
      </c>
      <c r="B1624" s="9" t="str">
        <f>IFERROR(__xludf.DUMMYFUNCTION("""COMPUTED_VALUE"""),"fi-16")</f>
        <v>fi-16</v>
      </c>
      <c r="C1624" s="9" t="str">
        <f>IFERROR(__xludf.DUMMYFUNCTION("GOOGLETRANSLATE($A1624,""en"",""de"")"),"Päijänne Tavastia")</f>
        <v>Päijänne Tavastia</v>
      </c>
      <c r="D1624" s="9" t="str">
        <f>IFERROR(__xludf.DUMMYFUNCTION("GOOGLETRANSLATE($A1624,""en"",""fr"")"),"Paijänne Tavastia")</f>
        <v>Paijänne Tavastia</v>
      </c>
      <c r="E1624" s="9" t="str">
        <f>IFERROR(__xludf.DUMMYFUNCTION("GOOGLETRANSLATE($A1624,""en"",""es"")"),"Päijänne Tavastia")</f>
        <v>Päijänne Tavastia</v>
      </c>
      <c r="F1624" s="9" t="str">
        <f>IFERROR(__xludf.DUMMYFUNCTION("GOOGLETRANSLATE($A1624,""en"",""it"")"),"Päijänne Tavastia")</f>
        <v>Päijänne Tavastia</v>
      </c>
      <c r="G1624" s="9" t="str">
        <f>IFERROR(__xludf.DUMMYFUNCTION("GOOGLETRANSLATE($A1624,""en"",""zh-cn"")"),"派雅尼·塔瓦斯蒂亚")</f>
        <v>派雅尼·塔瓦斯蒂亚</v>
      </c>
      <c r="H1624" s="9" t="str">
        <f>IFERROR(__xludf.DUMMYFUNCTION("GOOGLETRANSLATE($A1624,""en"",""ja"")"),"パイヤンネ・タバスティア")</f>
        <v>パイヤンネ・タバスティア</v>
      </c>
      <c r="I1624" s="9" t="str">
        <f>IFERROR(__xludf.DUMMYFUNCTION("GOOGLETRANSLATE($A1624,""en"",""ko"")"),"페이옌네 타바스티아")</f>
        <v>페이옌네 타바스티아</v>
      </c>
      <c r="J1624" s="9" t="str">
        <f>IFERROR(__xludf.DUMMYFUNCTION("GOOGLETRANSLATE($A1624,""en"",""pt-BR"")"),"Päijänne Tavastia")</f>
        <v>Päijänne Tavastia</v>
      </c>
    </row>
    <row r="1625">
      <c r="A1625" s="9" t="str">
        <f>IFERROR(__xludf.DUMMYFUNCTION("""COMPUTED_VALUE"""),"Satakunta")</f>
        <v>Satakunta</v>
      </c>
      <c r="B1625" s="9" t="str">
        <f>IFERROR(__xludf.DUMMYFUNCTION("""COMPUTED_VALUE"""),"fi-17")</f>
        <v>fi-17</v>
      </c>
      <c r="C1625" s="9" t="str">
        <f>IFERROR(__xludf.DUMMYFUNCTION("GOOGLETRANSLATE($A1625,""en"",""de"")"),"Satakunta")</f>
        <v>Satakunta</v>
      </c>
      <c r="D1625" s="9" t="str">
        <f>IFERROR(__xludf.DUMMYFUNCTION("GOOGLETRANSLATE($A1625,""en"",""fr"")"),"Satakunta")</f>
        <v>Satakunta</v>
      </c>
      <c r="E1625" s="9" t="str">
        <f>IFERROR(__xludf.DUMMYFUNCTION("GOOGLETRANSLATE($A1625,""en"",""es"")"),"Satakunta")</f>
        <v>Satakunta</v>
      </c>
      <c r="F1625" s="9" t="str">
        <f>IFERROR(__xludf.DUMMYFUNCTION("GOOGLETRANSLATE($A1625,""en"",""it"")"),"Satakunta")</f>
        <v>Satakunta</v>
      </c>
      <c r="G1625" s="9" t="str">
        <f>IFERROR(__xludf.DUMMYFUNCTION("GOOGLETRANSLATE($A1625,""en"",""zh-cn"")"),"萨塔昆塔")</f>
        <v>萨塔昆塔</v>
      </c>
      <c r="H1625" s="9" t="str">
        <f>IFERROR(__xludf.DUMMYFUNCTION("GOOGLETRANSLATE($A1625,""en"",""ja"")"),"サタクンタ")</f>
        <v>サタクンタ</v>
      </c>
      <c r="I1625" s="9" t="str">
        <f>IFERROR(__xludf.DUMMYFUNCTION("GOOGLETRANSLATE($A1625,""en"",""ko"")"),"사타쿤타")</f>
        <v>사타쿤타</v>
      </c>
      <c r="J1625" s="9" t="str">
        <f>IFERROR(__xludf.DUMMYFUNCTION("GOOGLETRANSLATE($A1625,""en"",""pt-BR"")"),"Satakunta")</f>
        <v>Satakunta</v>
      </c>
    </row>
    <row r="1626">
      <c r="A1626" s="9" t="str">
        <f>IFERROR(__xludf.DUMMYFUNCTION("""COMPUTED_VALUE"""),"Lapland")</f>
        <v>Lapland</v>
      </c>
      <c r="B1626" s="9" t="str">
        <f>IFERROR(__xludf.DUMMYFUNCTION("""COMPUTED_VALUE"""),"fi-10")</f>
        <v>fi-10</v>
      </c>
      <c r="C1626" s="9" t="str">
        <f>IFERROR(__xludf.DUMMYFUNCTION("GOOGLETRANSLATE($A1626,""en"",""de"")"),"Lappland")</f>
        <v>Lappland</v>
      </c>
      <c r="D1626" s="9" t="str">
        <f>IFERROR(__xludf.DUMMYFUNCTION("GOOGLETRANSLATE($A1626,""en"",""fr"")"),"Laponie")</f>
        <v>Laponie</v>
      </c>
      <c r="E1626" s="9" t="str">
        <f>IFERROR(__xludf.DUMMYFUNCTION("GOOGLETRANSLATE($A1626,""en"",""es"")"),"Laponia")</f>
        <v>Laponia</v>
      </c>
      <c r="F1626" s="9" t="str">
        <f>IFERROR(__xludf.DUMMYFUNCTION("GOOGLETRANSLATE($A1626,""en"",""it"")"),"Lapponia")</f>
        <v>Lapponia</v>
      </c>
      <c r="G1626" s="9" t="str">
        <f>IFERROR(__xludf.DUMMYFUNCTION("GOOGLETRANSLATE($A1626,""en"",""zh-cn"")"),"拉普兰")</f>
        <v>拉普兰</v>
      </c>
      <c r="H1626" s="9" t="str">
        <f>IFERROR(__xludf.DUMMYFUNCTION("GOOGLETRANSLATE($A1626,""en"",""ja"")"),"ラップランド")</f>
        <v>ラップランド</v>
      </c>
      <c r="I1626" s="9" t="str">
        <f>IFERROR(__xludf.DUMMYFUNCTION("GOOGLETRANSLATE($A1626,""en"",""ko"")"),"라플란드")</f>
        <v>라플란드</v>
      </c>
      <c r="J1626" s="9" t="str">
        <f>IFERROR(__xludf.DUMMYFUNCTION("GOOGLETRANSLATE($A1626,""en"",""pt-BR"")"),"Lapônia")</f>
        <v>Lapônia</v>
      </c>
    </row>
    <row r="1627">
      <c r="A1627" s="9" t="str">
        <f>IFERROR(__xludf.DUMMYFUNCTION("""COMPUTED_VALUE"""),"Pirkanmaa")</f>
        <v>Pirkanmaa</v>
      </c>
      <c r="B1627" s="9" t="str">
        <f>IFERROR(__xludf.DUMMYFUNCTION("""COMPUTED_VALUE"""),"fi-11")</f>
        <v>fi-11</v>
      </c>
      <c r="C1627" s="9" t="str">
        <f>IFERROR(__xludf.DUMMYFUNCTION("GOOGLETRANSLATE($A1627,""en"",""de"")"),"Pirkanmaa")</f>
        <v>Pirkanmaa</v>
      </c>
      <c r="D1627" s="9" t="str">
        <f>IFERROR(__xludf.DUMMYFUNCTION("GOOGLETRANSLATE($A1627,""en"",""fr"")"),"Pirkanmaa")</f>
        <v>Pirkanmaa</v>
      </c>
      <c r="E1627" s="9" t="str">
        <f>IFERROR(__xludf.DUMMYFUNCTION("GOOGLETRANSLATE($A1627,""en"",""es"")"),"Pirkanmaa")</f>
        <v>Pirkanmaa</v>
      </c>
      <c r="F1627" s="9" t="str">
        <f>IFERROR(__xludf.DUMMYFUNCTION("GOOGLETRANSLATE($A1627,""en"",""it"")"),"Pirkanmaa")</f>
        <v>Pirkanmaa</v>
      </c>
      <c r="G1627" s="9" t="str">
        <f>IFERROR(__xludf.DUMMYFUNCTION("GOOGLETRANSLATE($A1627,""en"",""zh-cn"")"),"皮尔坎马")</f>
        <v>皮尔坎马</v>
      </c>
      <c r="H1627" s="9" t="str">
        <f>IFERROR(__xludf.DUMMYFUNCTION("GOOGLETRANSLATE($A1627,""en"",""ja"")"),"ピルカンマー")</f>
        <v>ピルカンマー</v>
      </c>
      <c r="I1627" s="9" t="str">
        <f>IFERROR(__xludf.DUMMYFUNCTION("GOOGLETRANSLATE($A1627,""en"",""ko"")"),"피르칸마")</f>
        <v>피르칸마</v>
      </c>
      <c r="J1627" s="9" t="str">
        <f>IFERROR(__xludf.DUMMYFUNCTION("GOOGLETRANSLATE($A1627,""en"",""pt-BR"")"),"Pirkanmaa")</f>
        <v>Pirkanmaa</v>
      </c>
    </row>
    <row r="1628">
      <c r="A1628" s="9" t="str">
        <f>IFERROR(__xludf.DUMMYFUNCTION("""COMPUTED_VALUE"""),"Ostrobothnia")</f>
        <v>Ostrobothnia</v>
      </c>
      <c r="B1628" s="9" t="str">
        <f>IFERROR(__xludf.DUMMYFUNCTION("""COMPUTED_VALUE"""),"fi-12")</f>
        <v>fi-12</v>
      </c>
      <c r="C1628" s="9" t="str">
        <f>IFERROR(__xludf.DUMMYFUNCTION("GOOGLETRANSLATE($A1628,""en"",""de"")"),"Österbotten")</f>
        <v>Österbotten</v>
      </c>
      <c r="D1628" s="9" t="str">
        <f>IFERROR(__xludf.DUMMYFUNCTION("GOOGLETRANSLATE($A1628,""en"",""fr"")"),"Ostrobotnie")</f>
        <v>Ostrobotnie</v>
      </c>
      <c r="E1628" s="9" t="str">
        <f>IFERROR(__xludf.DUMMYFUNCTION("GOOGLETRANSLATE($A1628,""en"",""es"")"),"Ostrobotnia")</f>
        <v>Ostrobotnia</v>
      </c>
      <c r="F1628" s="9" t="str">
        <f>IFERROR(__xludf.DUMMYFUNCTION("GOOGLETRANSLATE($A1628,""en"",""it"")"),"Ostrobotnia")</f>
        <v>Ostrobotnia</v>
      </c>
      <c r="G1628" s="9" t="str">
        <f>IFERROR(__xludf.DUMMYFUNCTION("GOOGLETRANSLATE($A1628,""en"",""zh-cn"")"),"博滕区")</f>
        <v>博滕区</v>
      </c>
      <c r="H1628" s="9" t="str">
        <f>IFERROR(__xludf.DUMMYFUNCTION("GOOGLETRANSLATE($A1628,""en"",""ja"")"),"オストロボスニア")</f>
        <v>オストロボスニア</v>
      </c>
      <c r="I1628" s="9" t="str">
        <f>IFERROR(__xludf.DUMMYFUNCTION("GOOGLETRANSLATE($A1628,""en"",""ko"")"),"오스트로보스니아")</f>
        <v>오스트로보스니아</v>
      </c>
      <c r="J1628" s="9" t="str">
        <f>IFERROR(__xludf.DUMMYFUNCTION("GOOGLETRANSLATE($A1628,""en"",""pt-BR"")"),"Ostrobótnia")</f>
        <v>Ostrobótnia</v>
      </c>
    </row>
    <row r="1629">
      <c r="A1629" s="9" t="str">
        <f>IFERROR(__xludf.DUMMYFUNCTION("""COMPUTED_VALUE"""),"North Karelia")</f>
        <v>North Karelia</v>
      </c>
      <c r="B1629" s="9" t="str">
        <f>IFERROR(__xludf.DUMMYFUNCTION("""COMPUTED_VALUE"""),"fi-13")</f>
        <v>fi-13</v>
      </c>
      <c r="C1629" s="9" t="str">
        <f>IFERROR(__xludf.DUMMYFUNCTION("GOOGLETRANSLATE($A1629,""en"",""de"")"),"Nordkarelien")</f>
        <v>Nordkarelien</v>
      </c>
      <c r="D1629" s="9" t="str">
        <f>IFERROR(__xludf.DUMMYFUNCTION("GOOGLETRANSLATE($A1629,""en"",""fr"")"),"Carélie du Nord")</f>
        <v>Carélie du Nord</v>
      </c>
      <c r="E1629" s="9" t="str">
        <f>IFERROR(__xludf.DUMMYFUNCTION("GOOGLETRANSLATE($A1629,""en"",""es"")"),"Karelia del Norte")</f>
        <v>Karelia del Norte</v>
      </c>
      <c r="F1629" s="9" t="str">
        <f>IFERROR(__xludf.DUMMYFUNCTION("GOOGLETRANSLATE($A1629,""en"",""it"")"),"Carelia settentrionale")</f>
        <v>Carelia settentrionale</v>
      </c>
      <c r="G1629" s="9" t="str">
        <f>IFERROR(__xludf.DUMMYFUNCTION("GOOGLETRANSLATE($A1629,""en"",""zh-cn"")"),"北卡累利阿")</f>
        <v>北卡累利阿</v>
      </c>
      <c r="H1629" s="9" t="str">
        <f>IFERROR(__xludf.DUMMYFUNCTION("GOOGLETRANSLATE($A1629,""en"",""ja"")"),"北カレリア")</f>
        <v>北カレリア</v>
      </c>
      <c r="I1629" s="9" t="str">
        <f>IFERROR(__xludf.DUMMYFUNCTION("GOOGLETRANSLATE($A1629,""en"",""ko"")"),"북카렐리야")</f>
        <v>북카렐리야</v>
      </c>
      <c r="J1629" s="9" t="str">
        <f>IFERROR(__xludf.DUMMYFUNCTION("GOOGLETRANSLATE($A1629,""en"",""pt-BR"")"),"Carélia do Norte")</f>
        <v>Carélia do Norte</v>
      </c>
    </row>
    <row r="1630">
      <c r="A1630" s="9" t="str">
        <f>IFERROR(__xludf.DUMMYFUNCTION("""COMPUTED_VALUE"""),"Uleåborgs län")</f>
        <v>Uleåborgs län</v>
      </c>
      <c r="B1630" s="9" t="str">
        <f>IFERROR(__xludf.DUMMYFUNCTION("""COMPUTED_VALUE"""),"fi-ol")</f>
        <v>fi-ol</v>
      </c>
      <c r="C1630" s="9" t="str">
        <f>IFERROR(__xludf.DUMMYFUNCTION("GOOGLETRANSLATE($A1630,""en"",""de"")"),"Uleåborgs län")</f>
        <v>Uleåborgs län</v>
      </c>
      <c r="D1630" s="9" t="str">
        <f>IFERROR(__xludf.DUMMYFUNCTION("GOOGLETRANSLATE($A1630,""en"",""fr"")"),"Région d'Uleåborg")</f>
        <v>Région d'Uleåborg</v>
      </c>
      <c r="E1630" s="9" t="str">
        <f>IFERROR(__xludf.DUMMYFUNCTION("GOOGLETRANSLATE($A1630,""en"",""es"")"),"Condado de Uleåborgs")</f>
        <v>Condado de Uleåborgs</v>
      </c>
      <c r="F1630" s="9" t="str">
        <f>IFERROR(__xludf.DUMMYFUNCTION("GOOGLETRANSLATE($A1630,""en"",""it"")"),"Uleåborgs län")</f>
        <v>Uleåborgs län</v>
      </c>
      <c r="G1630" s="9" t="str">
        <f>IFERROR(__xludf.DUMMYFUNCTION("GOOGLETRANSLATE($A1630,""en"",""zh-cn"")"),"于勒堡兰")</f>
        <v>于勒堡兰</v>
      </c>
      <c r="H1630" s="9" t="str">
        <f>IFERROR(__xludf.DUMMYFUNCTION("GOOGLETRANSLATE($A1630,""en"",""ja"")"),"ウレオボルグスレーン")</f>
        <v>ウレオボルグスレーン</v>
      </c>
      <c r="I1630" s="9" t="str">
        <f>IFERROR(__xludf.DUMMYFUNCTION("GOOGLETRANSLATE($A1630,""en"",""ko"")"),"울레오보르그스 란")</f>
        <v>울레오보르그스 란</v>
      </c>
      <c r="J1630" s="9" t="str">
        <f>IFERROR(__xludf.DUMMYFUNCTION("GOOGLETRANSLATE($A1630,""en"",""pt-BR"")"),"Uleåborgs län")</f>
        <v>Uleåborgs län</v>
      </c>
    </row>
    <row r="1631">
      <c r="A1631" s="9" t="str">
        <f>IFERROR(__xludf.DUMMYFUNCTION("""COMPUTED_VALUE"""),"Västra Finlands län")</f>
        <v>Västra Finlands län</v>
      </c>
      <c r="B1631" s="9" t="str">
        <f>IFERROR(__xludf.DUMMYFUNCTION("""COMPUTED_VALUE"""),"fi-ls")</f>
        <v>fi-ls</v>
      </c>
      <c r="C1631" s="9" t="str">
        <f>IFERROR(__xludf.DUMMYFUNCTION("GOOGLETRANSLATE($A1631,""en"",""de"")"),"Västra Finnlands län")</f>
        <v>Västra Finnlands län</v>
      </c>
      <c r="D1631" s="9" t="str">
        <f>IFERROR(__xludf.DUMMYFUNCTION("GOOGLETRANSLATE($A1631,""en"",""fr"")"),"Västra Finlande län")</f>
        <v>Västra Finlande län</v>
      </c>
      <c r="E1631" s="9" t="str">
        <f>IFERROR(__xludf.DUMMYFUNCTION("GOOGLETRANSLATE($A1631,""en"",""es"")"),"Västra Finlands län")</f>
        <v>Västra Finlands län</v>
      </c>
      <c r="F1631" s="9" t="str">
        <f>IFERROR(__xludf.DUMMYFUNCTION("GOOGLETRANSLATE($A1631,""en"",""it"")"),"Västra Finlands län")</f>
        <v>Västra Finlands län</v>
      </c>
      <c r="G1631" s="9" t="str">
        <f>IFERROR(__xludf.DUMMYFUNCTION("GOOGLETRANSLATE($A1631,""en"",""zh-cn"")"),"西芬兰兰")</f>
        <v>西芬兰兰</v>
      </c>
      <c r="H1631" s="9" t="str">
        <f>IFERROR(__xludf.DUMMYFUNCTION("GOOGLETRANSLATE($A1631,""en"",""ja"")"),"ヴェストラ フィンランドレーン")</f>
        <v>ヴェストラ フィンランドレーン</v>
      </c>
      <c r="I1631" s="9" t="str">
        <f>IFERROR(__xludf.DUMMYFUNCTION("GOOGLETRANSLATE($A1631,""en"",""ko"")"),"베스트라 핀란드스 란")</f>
        <v>베스트라 핀란드스 란</v>
      </c>
      <c r="J1631" s="9" t="str">
        <f>IFERROR(__xludf.DUMMYFUNCTION("GOOGLETRANSLATE($A1631,""en"",""pt-BR"")"),"Västra Finlândia län")</f>
        <v>Västra Finlândia län</v>
      </c>
    </row>
    <row r="1632">
      <c r="A1632" s="9" t="str">
        <f>IFERROR(__xludf.DUMMYFUNCTION("""COMPUTED_VALUE"""),"Östra Finlands län")</f>
        <v>Östra Finlands län</v>
      </c>
      <c r="B1632" s="9" t="str">
        <f>IFERROR(__xludf.DUMMYFUNCTION("""COMPUTED_VALUE"""),"fi-is")</f>
        <v>fi-is</v>
      </c>
      <c r="C1632" s="9" t="str">
        <f>IFERROR(__xludf.DUMMYFUNCTION("GOOGLETRANSLATE($A1632,""en"",""de"")"),"Östra Finnlands län")</f>
        <v>Östra Finnlands län</v>
      </c>
      <c r="D1632" s="9" t="str">
        <f>IFERROR(__xludf.DUMMYFUNCTION("GOOGLETRANSLATE($A1632,""en"",""fr"")"),"Län d'Östra Finlande")</f>
        <v>Län d'Östra Finlande</v>
      </c>
      <c r="E1632" s="9" t="str">
        <f>IFERROR(__xludf.DUMMYFUNCTION("GOOGLETRANSLATE($A1632,""en"",""es"")"),"Östra Finlandia län")</f>
        <v>Östra Finlandia län</v>
      </c>
      <c r="F1632" s="9" t="str">
        <f>IFERROR(__xludf.DUMMYFUNCTION("GOOGLETRANSLATE($A1632,""en"",""it"")"),"Östra Finlands län")</f>
        <v>Östra Finlands län</v>
      </c>
      <c r="G1632" s="9" t="str">
        <f>IFERROR(__xludf.DUMMYFUNCTION("GOOGLETRANSLATE($A1632,""en"",""zh-cn"")"),"芬兰东部 län")</f>
        <v>芬兰东部 län</v>
      </c>
      <c r="H1632" s="9" t="str">
        <f>IFERROR(__xludf.DUMMYFUNCTION("GOOGLETRANSLATE($A1632,""en"",""ja"")"),"エストラ フィンランドレーン")</f>
        <v>エストラ フィンランドレーン</v>
      </c>
      <c r="I1632" s="9" t="str">
        <f>IFERROR(__xludf.DUMMYFUNCTION("GOOGLETRANSLATE($A1632,""en"",""ko"")"),"외스트라 핀란드 란")</f>
        <v>외스트라 핀란드 란</v>
      </c>
      <c r="J1632" s="9" t="str">
        <f>IFERROR(__xludf.DUMMYFUNCTION("GOOGLETRANSLATE($A1632,""en"",""pt-BR"")"),"Östra Finlândia län")</f>
        <v>Östra Finlândia län</v>
      </c>
    </row>
    <row r="1633">
      <c r="A1633" s="9" t="str">
        <f>IFERROR(__xludf.DUMMYFUNCTION("""COMPUTED_VALUE"""),"Södra Finlands län")</f>
        <v>Södra Finlands län</v>
      </c>
      <c r="B1633" s="9" t="str">
        <f>IFERROR(__xludf.DUMMYFUNCTION("""COMPUTED_VALUE"""),"fi-es")</f>
        <v>fi-es</v>
      </c>
      <c r="C1633" s="9" t="str">
        <f>IFERROR(__xludf.DUMMYFUNCTION("GOOGLETRANSLATE($A1633,""en"",""de"")"),"Södra Finlands län")</f>
        <v>Södra Finlands län</v>
      </c>
      <c r="D1633" s="9" t="str">
        <f>IFERROR(__xludf.DUMMYFUNCTION("GOOGLETRANSLATE($A1633,""en"",""fr"")"),"Södra Finlands län")</f>
        <v>Södra Finlands län</v>
      </c>
      <c r="E1633" s="9" t="str">
        <f>IFERROR(__xludf.DUMMYFUNCTION("GOOGLETRANSLATE($A1633,""en"",""es"")"),"Södra Finlands län")</f>
        <v>Södra Finlands län</v>
      </c>
      <c r="F1633" s="9" t="str">
        <f>IFERROR(__xludf.DUMMYFUNCTION("GOOGLETRANSLATE($A1633,""en"",""it"")"),"Södra Finlandias län")</f>
        <v>Södra Finlandias län</v>
      </c>
      <c r="G1633" s="9" t="str">
        <f>IFERROR(__xludf.DUMMYFUNCTION("GOOGLETRANSLATE($A1633,""en"",""zh-cn"")"),"Södra 芬兰兰")</f>
        <v>Södra 芬兰兰</v>
      </c>
      <c r="H1633" s="9" t="str">
        <f>IFERROR(__xludf.DUMMYFUNCTION("GOOGLETRANSLATE($A1633,""en"",""ja"")"),"ソドラ フィンランドレーン")</f>
        <v>ソドラ フィンランドレーン</v>
      </c>
      <c r="I1633" s="9" t="str">
        <f>IFERROR(__xludf.DUMMYFUNCTION("GOOGLETRANSLATE($A1633,""en"",""ko"")"),"Södra Finlands 란")</f>
        <v>Södra Finlands 란</v>
      </c>
      <c r="J1633" s="9" t="str">
        <f>IFERROR(__xludf.DUMMYFUNCTION("GOOGLETRANSLATE($A1633,""en"",""pt-BR"")"),"Södra Finlândia län")</f>
        <v>Södra Finlândia län</v>
      </c>
    </row>
    <row r="1634">
      <c r="A1634" s="9" t="str">
        <f>IFERROR(__xludf.DUMMYFUNCTION("""COMPUTED_VALUE"""),"Ålands län")</f>
        <v>Ålands län</v>
      </c>
      <c r="B1634" s="9" t="str">
        <f>IFERROR(__xludf.DUMMYFUNCTION("""COMPUTED_VALUE"""),"fi-al")</f>
        <v>fi-al</v>
      </c>
      <c r="C1634" s="9" t="str">
        <f>IFERROR(__xludf.DUMMYFUNCTION("GOOGLETRANSLATE($A1634,""en"",""de"")"),"Ålands län")</f>
        <v>Ålands län</v>
      </c>
      <c r="D1634" s="9" t="str">
        <f>IFERROR(__xludf.DUMMYFUNCTION("GOOGLETRANSLATE($A1634,""en"",""fr"")"),"Îles Ålands")</f>
        <v>Îles Ålands</v>
      </c>
      <c r="E1634" s="9" t="str">
        <f>IFERROR(__xludf.DUMMYFUNCTION("GOOGLETRANSLATE($A1634,""en"",""es"")"),"Islas Åland")</f>
        <v>Islas Åland</v>
      </c>
      <c r="F1634" s="9" t="str">
        <f>IFERROR(__xludf.DUMMYFUNCTION("GOOGLETRANSLATE($A1634,""en"",""it"")"),"Ålands län")</f>
        <v>Ålands län</v>
      </c>
      <c r="G1634" s="9" t="str">
        <f>IFERROR(__xludf.DUMMYFUNCTION("GOOGLETRANSLATE($A1634,""en"",""zh-cn"")"),"奥兰群岛")</f>
        <v>奥兰群岛</v>
      </c>
      <c r="H1634" s="9" t="str">
        <f>IFERROR(__xludf.DUMMYFUNCTION("GOOGLETRANSLATE($A1634,""en"",""ja"")"),"オーランド諸島")</f>
        <v>オーランド諸島</v>
      </c>
      <c r="I1634" s="9" t="str">
        <f>IFERROR(__xludf.DUMMYFUNCTION("GOOGLETRANSLATE($A1634,""en"",""ko"")"),"올란드 란")</f>
        <v>올란드 란</v>
      </c>
      <c r="J1634" s="9" t="str">
        <f>IFERROR(__xludf.DUMMYFUNCTION("GOOGLETRANSLATE($A1634,""en"",""pt-BR"")"),"Ålands län")</f>
        <v>Ålands län</v>
      </c>
    </row>
    <row r="1635">
      <c r="A1635" s="9" t="str">
        <f>IFERROR(__xludf.DUMMYFUNCTION("""COMPUTED_VALUE"""),"Vosges")</f>
        <v>Vosges</v>
      </c>
      <c r="B1635" s="9" t="str">
        <f>IFERROR(__xludf.DUMMYFUNCTION("""COMPUTED_VALUE"""),"fr-88")</f>
        <v>fr-88</v>
      </c>
      <c r="C1635" s="9" t="str">
        <f>IFERROR(__xludf.DUMMYFUNCTION("GOOGLETRANSLATE($A1635,""en"",""de"")"),"Vogesen")</f>
        <v>Vogesen</v>
      </c>
      <c r="D1635" s="9" t="str">
        <f>IFERROR(__xludf.DUMMYFUNCTION("GOOGLETRANSLATE($A1635,""en"",""fr"")"),"Vosges")</f>
        <v>Vosges</v>
      </c>
      <c r="E1635" s="9" t="str">
        <f>IFERROR(__xludf.DUMMYFUNCTION("GOOGLETRANSLATE($A1635,""en"",""es"")"),"Vosgos")</f>
        <v>Vosgos</v>
      </c>
      <c r="F1635" s="9" t="str">
        <f>IFERROR(__xludf.DUMMYFUNCTION("GOOGLETRANSLATE($A1635,""en"",""it"")"),"Vosgi")</f>
        <v>Vosgi</v>
      </c>
      <c r="G1635" s="9" t="str">
        <f>IFERROR(__xludf.DUMMYFUNCTION("GOOGLETRANSLATE($A1635,""en"",""zh-cn"")"),"孚日")</f>
        <v>孚日</v>
      </c>
      <c r="H1635" s="9" t="str">
        <f>IFERROR(__xludf.DUMMYFUNCTION("GOOGLETRANSLATE($A1635,""en"",""ja"")"),"ヴォージュ")</f>
        <v>ヴォージュ</v>
      </c>
      <c r="I1635" s="9" t="str">
        <f>IFERROR(__xludf.DUMMYFUNCTION("GOOGLETRANSLATE($A1635,""en"",""ko"")"),"보주")</f>
        <v>보주</v>
      </c>
      <c r="J1635" s="9" t="str">
        <f>IFERROR(__xludf.DUMMYFUNCTION("GOOGLETRANSLATE($A1635,""en"",""pt-BR"")"),"Vosgos")</f>
        <v>Vosgos</v>
      </c>
    </row>
    <row r="1636">
      <c r="A1636" s="9" t="str">
        <f>IFERROR(__xludf.DUMMYFUNCTION("""COMPUTED_VALUE"""),"Yonne")</f>
        <v>Yonne</v>
      </c>
      <c r="B1636" s="9" t="str">
        <f>IFERROR(__xludf.DUMMYFUNCTION("""COMPUTED_VALUE"""),"fr-89")</f>
        <v>fr-89</v>
      </c>
      <c r="C1636" s="9" t="str">
        <f>IFERROR(__xludf.DUMMYFUNCTION("GOOGLETRANSLATE($A1636,""en"",""de"")"),"Yonne")</f>
        <v>Yonne</v>
      </c>
      <c r="D1636" s="9" t="str">
        <f>IFERROR(__xludf.DUMMYFUNCTION("GOOGLETRANSLATE($A1636,""en"",""fr"")"),"Yonne")</f>
        <v>Yonne</v>
      </c>
      <c r="E1636" s="9" t="str">
        <f>IFERROR(__xludf.DUMMYFUNCTION("GOOGLETRANSLATE($A1636,""en"",""es"")"),"yonne")</f>
        <v>yonne</v>
      </c>
      <c r="F1636" s="9" t="str">
        <f>IFERROR(__xludf.DUMMYFUNCTION("GOOGLETRANSLATE($A1636,""en"",""it"")"),"Yonne")</f>
        <v>Yonne</v>
      </c>
      <c r="G1636" s="9" t="str">
        <f>IFERROR(__xludf.DUMMYFUNCTION("GOOGLETRANSLATE($A1636,""en"",""zh-cn"")"),"约讷")</f>
        <v>约讷</v>
      </c>
      <c r="H1636" s="9" t="str">
        <f>IFERROR(__xludf.DUMMYFUNCTION("GOOGLETRANSLATE($A1636,""en"",""ja"")"),"ヨンヌ")</f>
        <v>ヨンヌ</v>
      </c>
      <c r="I1636" s="9" t="str">
        <f>IFERROR(__xludf.DUMMYFUNCTION("GOOGLETRANSLATE($A1636,""en"",""ko"")"),"욘")</f>
        <v>욘</v>
      </c>
      <c r="J1636" s="9" t="str">
        <f>IFERROR(__xludf.DUMMYFUNCTION("GOOGLETRANSLATE($A1636,""en"",""pt-BR"")"),"Yonne")</f>
        <v>Yonne</v>
      </c>
    </row>
    <row r="1637">
      <c r="A1637" s="9" t="str">
        <f>IFERROR(__xludf.DUMMYFUNCTION("""COMPUTED_VALUE"""),"Yvelines")</f>
        <v>Yvelines</v>
      </c>
      <c r="B1637" s="9" t="str">
        <f>IFERROR(__xludf.DUMMYFUNCTION("""COMPUTED_VALUE"""),"fr-78")</f>
        <v>fr-78</v>
      </c>
      <c r="C1637" s="9" t="str">
        <f>IFERROR(__xludf.DUMMYFUNCTION("GOOGLETRANSLATE($A1637,""en"",""de"")"),"Yvelines")</f>
        <v>Yvelines</v>
      </c>
      <c r="D1637" s="9" t="str">
        <f>IFERROR(__xludf.DUMMYFUNCTION("GOOGLETRANSLATE($A1637,""en"",""fr"")"),"Yvelines")</f>
        <v>Yvelines</v>
      </c>
      <c r="E1637" s="9" t="str">
        <f>IFERROR(__xludf.DUMMYFUNCTION("GOOGLETRANSLATE($A1637,""en"",""es"")"),"Yvelines")</f>
        <v>Yvelines</v>
      </c>
      <c r="F1637" s="9" t="str">
        <f>IFERROR(__xludf.DUMMYFUNCTION("GOOGLETRANSLATE($A1637,""en"",""it"")"),"Yvelines")</f>
        <v>Yvelines</v>
      </c>
      <c r="G1637" s="9" t="str">
        <f>IFERROR(__xludf.DUMMYFUNCTION("GOOGLETRANSLATE($A1637,""en"",""zh-cn"")"),"伊夫林省")</f>
        <v>伊夫林省</v>
      </c>
      <c r="H1637" s="9" t="str">
        <f>IFERROR(__xludf.DUMMYFUNCTION("GOOGLETRANSLATE($A1637,""en"",""ja"")"),"イヴリーヌ")</f>
        <v>イヴリーヌ</v>
      </c>
      <c r="I1637" s="9" t="str">
        <f>IFERROR(__xludf.DUMMYFUNCTION("GOOGLETRANSLATE($A1637,""en"",""ko"")"),"이블린")</f>
        <v>이블린</v>
      </c>
      <c r="J1637" s="9" t="str">
        <f>IFERROR(__xludf.DUMMYFUNCTION("GOOGLETRANSLATE($A1637,""en"",""pt-BR"")"),"Yvelines")</f>
        <v>Yvelines</v>
      </c>
    </row>
    <row r="1638">
      <c r="A1638" s="9" t="str">
        <f>IFERROR(__xludf.DUMMYFUNCTION("""COMPUTED_VALUE"""),"Clipperton")</f>
        <v>Clipperton</v>
      </c>
      <c r="B1638" s="9" t="str">
        <f>IFERROR(__xludf.DUMMYFUNCTION("""COMPUTED_VALUE"""),"fr-cp")</f>
        <v>fr-cp</v>
      </c>
      <c r="C1638" s="9" t="str">
        <f>IFERROR(__xludf.DUMMYFUNCTION("GOOGLETRANSLATE($A1638,""en"",""de"")"),"Clipperton")</f>
        <v>Clipperton</v>
      </c>
      <c r="D1638" s="9" t="str">
        <f>IFERROR(__xludf.DUMMYFUNCTION("GOOGLETRANSLATE($A1638,""en"",""fr"")"),"Clipperton")</f>
        <v>Clipperton</v>
      </c>
      <c r="E1638" s="9" t="str">
        <f>IFERROR(__xludf.DUMMYFUNCTION("GOOGLETRANSLATE($A1638,""en"",""es"")"),"clíperton")</f>
        <v>clíperton</v>
      </c>
      <c r="F1638" s="9" t="str">
        <f>IFERROR(__xludf.DUMMYFUNCTION("GOOGLETRANSLATE($A1638,""en"",""it"")"),"Clipperton")</f>
        <v>Clipperton</v>
      </c>
      <c r="G1638" s="9" t="str">
        <f>IFERROR(__xludf.DUMMYFUNCTION("GOOGLETRANSLATE($A1638,""en"",""zh-cn"")"),"克利珀顿")</f>
        <v>克利珀顿</v>
      </c>
      <c r="H1638" s="9" t="str">
        <f>IFERROR(__xludf.DUMMYFUNCTION("GOOGLETRANSLATE($A1638,""en"",""ja"")"),"クリッパートン")</f>
        <v>クリッパートン</v>
      </c>
      <c r="I1638" s="9" t="str">
        <f>IFERROR(__xludf.DUMMYFUNCTION("GOOGLETRANSLATE($A1638,""en"",""ko"")"),"클리퍼튼")</f>
        <v>클리퍼튼</v>
      </c>
      <c r="J1638" s="9" t="str">
        <f>IFERROR(__xludf.DUMMYFUNCTION("GOOGLETRANSLATE($A1638,""en"",""pt-BR"")"),"Clipperton")</f>
        <v>Clipperton</v>
      </c>
    </row>
    <row r="1639">
      <c r="A1639" s="9" t="str">
        <f>IFERROR(__xludf.DUMMYFUNCTION("""COMPUTED_VALUE"""),"Var")</f>
        <v>Var</v>
      </c>
      <c r="B1639" s="9" t="str">
        <f>IFERROR(__xludf.DUMMYFUNCTION("""COMPUTED_VALUE"""),"fr-83")</f>
        <v>fr-83</v>
      </c>
      <c r="C1639" s="9" t="str">
        <f>IFERROR(__xludf.DUMMYFUNCTION("GOOGLETRANSLATE($A1639,""en"",""de"")"),"Var")</f>
        <v>Var</v>
      </c>
      <c r="D1639" s="9" t="str">
        <f>IFERROR(__xludf.DUMMYFUNCTION("GOOGLETRANSLATE($A1639,""en"",""fr"")"),"Var")</f>
        <v>Var</v>
      </c>
      <c r="E1639" s="9" t="str">
        <f>IFERROR(__xludf.DUMMYFUNCTION("GOOGLETRANSLATE($A1639,""en"",""es"")"),"var")</f>
        <v>var</v>
      </c>
      <c r="F1639" s="9" t="str">
        <f>IFERROR(__xludf.DUMMYFUNCTION("GOOGLETRANSLATE($A1639,""en"",""it"")"),"Var")</f>
        <v>Var</v>
      </c>
      <c r="G1639" s="9" t="str">
        <f>IFERROR(__xludf.DUMMYFUNCTION("GOOGLETRANSLATE($A1639,""en"",""zh-cn"")"),"瓦尔")</f>
        <v>瓦尔</v>
      </c>
      <c r="H1639" s="9" t="str">
        <f>IFERROR(__xludf.DUMMYFUNCTION("GOOGLETRANSLATE($A1639,""en"",""ja"")"),"ヴァール")</f>
        <v>ヴァール</v>
      </c>
      <c r="I1639" s="9" t="str">
        <f>IFERROR(__xludf.DUMMYFUNCTION("GOOGLETRANSLATE($A1639,""en"",""ko"")"),"바르")</f>
        <v>바르</v>
      </c>
      <c r="J1639" s="9" t="str">
        <f>IFERROR(__xludf.DUMMYFUNCTION("GOOGLETRANSLATE($A1639,""en"",""pt-BR"")"),"Var")</f>
        <v>Var</v>
      </c>
    </row>
    <row r="1640">
      <c r="A1640" s="9" t="str">
        <f>IFERROR(__xludf.DUMMYFUNCTION("""COMPUTED_VALUE"""),"Vaucluse")</f>
        <v>Vaucluse</v>
      </c>
      <c r="B1640" s="9" t="str">
        <f>IFERROR(__xludf.DUMMYFUNCTION("""COMPUTED_VALUE"""),"fr-84")</f>
        <v>fr-84</v>
      </c>
      <c r="C1640" s="9" t="str">
        <f>IFERROR(__xludf.DUMMYFUNCTION("GOOGLETRANSLATE($A1640,""en"",""de"")"),"Vaucluse")</f>
        <v>Vaucluse</v>
      </c>
      <c r="D1640" s="9" t="str">
        <f>IFERROR(__xludf.DUMMYFUNCTION("GOOGLETRANSLATE($A1640,""en"",""fr"")"),"Vaucluse")</f>
        <v>Vaucluse</v>
      </c>
      <c r="E1640" s="9" t="str">
        <f>IFERROR(__xludf.DUMMYFUNCTION("GOOGLETRANSLATE($A1640,""en"",""es"")"),"Vaucluse")</f>
        <v>Vaucluse</v>
      </c>
      <c r="F1640" s="9" t="str">
        <f>IFERROR(__xludf.DUMMYFUNCTION("GOOGLETRANSLATE($A1640,""en"",""it"")"),"Valchiusa")</f>
        <v>Valchiusa</v>
      </c>
      <c r="G1640" s="9" t="str">
        <f>IFERROR(__xludf.DUMMYFUNCTION("GOOGLETRANSLATE($A1640,""en"",""zh-cn"")"),"沃克吕兹")</f>
        <v>沃克吕兹</v>
      </c>
      <c r="H1640" s="9" t="str">
        <f>IFERROR(__xludf.DUMMYFUNCTION("GOOGLETRANSLATE($A1640,""en"",""ja"")"),"ボークルーズ")</f>
        <v>ボークルーズ</v>
      </c>
      <c r="I1640" s="9" t="str">
        <f>IFERROR(__xludf.DUMMYFUNCTION("GOOGLETRANSLATE($A1640,""en"",""ko"")"),"보클뤼즈")</f>
        <v>보클뤼즈</v>
      </c>
      <c r="J1640" s="9" t="str">
        <f>IFERROR(__xludf.DUMMYFUNCTION("GOOGLETRANSLATE($A1640,""en"",""pt-BR"")"),"Vaucluse")</f>
        <v>Vaucluse</v>
      </c>
    </row>
    <row r="1641">
      <c r="A1641" s="9" t="str">
        <f>IFERROR(__xludf.DUMMYFUNCTION("""COMPUTED_VALUE"""),"Vendée")</f>
        <v>Vendée</v>
      </c>
      <c r="B1641" s="9" t="str">
        <f>IFERROR(__xludf.DUMMYFUNCTION("""COMPUTED_VALUE"""),"fr-85")</f>
        <v>fr-85</v>
      </c>
      <c r="C1641" s="9" t="str">
        <f>IFERROR(__xludf.DUMMYFUNCTION("GOOGLETRANSLATE($A1641,""en"",""de"")"),"Vendée")</f>
        <v>Vendée</v>
      </c>
      <c r="D1641" s="9" t="str">
        <f>IFERROR(__xludf.DUMMYFUNCTION("GOOGLETRANSLATE($A1641,""en"",""fr"")"),"Vendée")</f>
        <v>Vendée</v>
      </c>
      <c r="E1641" s="9" t="str">
        <f>IFERROR(__xludf.DUMMYFUNCTION("GOOGLETRANSLATE($A1641,""en"",""es"")"),"Vendea")</f>
        <v>Vendea</v>
      </c>
      <c r="F1641" s="9" t="str">
        <f>IFERROR(__xludf.DUMMYFUNCTION("GOOGLETRANSLATE($A1641,""en"",""it"")"),"Vandea")</f>
        <v>Vandea</v>
      </c>
      <c r="G1641" s="9" t="str">
        <f>IFERROR(__xludf.DUMMYFUNCTION("GOOGLETRANSLATE($A1641,""en"",""zh-cn"")"),"旺代")</f>
        <v>旺代</v>
      </c>
      <c r="H1641" s="9" t="str">
        <f>IFERROR(__xludf.DUMMYFUNCTION("GOOGLETRANSLATE($A1641,""en"",""ja"")"),"ヴァンデ")</f>
        <v>ヴァンデ</v>
      </c>
      <c r="I1641" s="9" t="str">
        <f>IFERROR(__xludf.DUMMYFUNCTION("GOOGLETRANSLATE($A1641,""en"",""ko"")"),"사는 사람")</f>
        <v>사는 사람</v>
      </c>
      <c r="J1641" s="9" t="str">
        <f>IFERROR(__xludf.DUMMYFUNCTION("GOOGLETRANSLATE($A1641,""en"",""pt-BR"")"),"Vendéia")</f>
        <v>Vendéia</v>
      </c>
    </row>
    <row r="1642">
      <c r="A1642" s="9" t="str">
        <f>IFERROR(__xludf.DUMMYFUNCTION("""COMPUTED_VALUE"""),"Vienne")</f>
        <v>Vienne</v>
      </c>
      <c r="B1642" s="9" t="str">
        <f>IFERROR(__xludf.DUMMYFUNCTION("""COMPUTED_VALUE"""),"fr-86")</f>
        <v>fr-86</v>
      </c>
      <c r="C1642" s="9" t="str">
        <f>IFERROR(__xludf.DUMMYFUNCTION("GOOGLETRANSLATE($A1642,""en"",""de"")"),"Vienne")</f>
        <v>Vienne</v>
      </c>
      <c r="D1642" s="9" t="str">
        <f>IFERROR(__xludf.DUMMYFUNCTION("GOOGLETRANSLATE($A1642,""en"",""fr"")"),"Vienne")</f>
        <v>Vienne</v>
      </c>
      <c r="E1642" s="9" t="str">
        <f>IFERROR(__xludf.DUMMYFUNCTION("GOOGLETRANSLATE($A1642,""en"",""es"")"),"Viena")</f>
        <v>Viena</v>
      </c>
      <c r="F1642" s="9" t="str">
        <f>IFERROR(__xludf.DUMMYFUNCTION("GOOGLETRANSLATE($A1642,""en"",""it"")"),"Vienna")</f>
        <v>Vienna</v>
      </c>
      <c r="G1642" s="9" t="str">
        <f>IFERROR(__xludf.DUMMYFUNCTION("GOOGLETRANSLATE($A1642,""en"",""zh-cn"")"),"维埃纳省")</f>
        <v>维埃纳省</v>
      </c>
      <c r="H1642" s="9" t="str">
        <f>IFERROR(__xludf.DUMMYFUNCTION("GOOGLETRANSLATE($A1642,""en"",""ja"")"),"ヴィエンヌ")</f>
        <v>ヴィエンヌ</v>
      </c>
      <c r="I1642" s="9" t="str">
        <f>IFERROR(__xludf.DUMMYFUNCTION("GOOGLETRANSLATE($A1642,""en"",""ko"")"),"비엔")</f>
        <v>비엔</v>
      </c>
      <c r="J1642" s="9" t="str">
        <f>IFERROR(__xludf.DUMMYFUNCTION("GOOGLETRANSLATE($A1642,""en"",""pt-BR"")"),"Viena")</f>
        <v>Viena</v>
      </c>
    </row>
    <row r="1643">
      <c r="A1643" s="9" t="str">
        <f>IFERROR(__xludf.DUMMYFUNCTION("""COMPUTED_VALUE"""),"Tarn-et-Garonne")</f>
        <v>Tarn-et-Garonne</v>
      </c>
      <c r="B1643" s="9" t="str">
        <f>IFERROR(__xludf.DUMMYFUNCTION("""COMPUTED_VALUE"""),"fr-82")</f>
        <v>fr-82</v>
      </c>
      <c r="C1643" s="9" t="str">
        <f>IFERROR(__xludf.DUMMYFUNCTION("GOOGLETRANSLATE($A1643,""en"",""de"")"),"Tarn-et-Garonne")</f>
        <v>Tarn-et-Garonne</v>
      </c>
      <c r="D1643" s="9" t="str">
        <f>IFERROR(__xludf.DUMMYFUNCTION("GOOGLETRANSLATE($A1643,""en"",""fr"")"),"Tarn et Garonne")</f>
        <v>Tarn et Garonne</v>
      </c>
      <c r="E1643" s="9" t="str">
        <f>IFERROR(__xludf.DUMMYFUNCTION("GOOGLETRANSLATE($A1643,""en"",""es"")"),"Tarn y Garona")</f>
        <v>Tarn y Garona</v>
      </c>
      <c r="F1643" s="9" t="str">
        <f>IFERROR(__xludf.DUMMYFUNCTION("GOOGLETRANSLATE($A1643,""en"",""it"")"),"Tarn-et-Garonne")</f>
        <v>Tarn-et-Garonne</v>
      </c>
      <c r="G1643" s="9" t="str">
        <f>IFERROR(__xludf.DUMMYFUNCTION("GOOGLETRANSLATE($A1643,""en"",""zh-cn"")"),"塔恩-加龙省")</f>
        <v>塔恩-加龙省</v>
      </c>
      <c r="H1643" s="9" t="str">
        <f>IFERROR(__xludf.DUMMYFUNCTION("GOOGLETRANSLATE($A1643,""en"",""ja"")"),"タルヌ＝エ＝ガロンヌ")</f>
        <v>タルヌ＝エ＝ガロンヌ</v>
      </c>
      <c r="I1643" s="9" t="str">
        <f>IFERROR(__xludf.DUMMYFUNCTION("GOOGLETRANSLATE($A1643,""en"",""ko"")"),"타른에가론")</f>
        <v>타른에가론</v>
      </c>
      <c r="J1643" s="9" t="str">
        <f>IFERROR(__xludf.DUMMYFUNCTION("GOOGLETRANSLATE($A1643,""en"",""pt-BR"")"),"Tarn-et-Garonne")</f>
        <v>Tarn-et-Garonne</v>
      </c>
    </row>
    <row r="1644">
      <c r="A1644" s="9" t="str">
        <f>IFERROR(__xludf.DUMMYFUNCTION("""COMPUTED_VALUE"""),"Territoire de Belfort")</f>
        <v>Territoire de Belfort</v>
      </c>
      <c r="B1644" s="9" t="str">
        <f>IFERROR(__xludf.DUMMYFUNCTION("""COMPUTED_VALUE"""),"fr-90")</f>
        <v>fr-90</v>
      </c>
      <c r="C1644" s="9" t="str">
        <f>IFERROR(__xludf.DUMMYFUNCTION("GOOGLETRANSLATE($A1644,""en"",""de"")"),"Territoire de Belfort")</f>
        <v>Territoire de Belfort</v>
      </c>
      <c r="D1644" s="9" t="str">
        <f>IFERROR(__xludf.DUMMYFUNCTION("GOOGLETRANSLATE($A1644,""en"",""fr"")"),"Territoire de Belfort")</f>
        <v>Territoire de Belfort</v>
      </c>
      <c r="E1644" s="9" t="str">
        <f>IFERROR(__xludf.DUMMYFUNCTION("GOOGLETRANSLATE($A1644,""en"",""es"")"),"Territorio de Belfort")</f>
        <v>Territorio de Belfort</v>
      </c>
      <c r="F1644" s="9" t="str">
        <f>IFERROR(__xludf.DUMMYFUNCTION("GOOGLETRANSLATE($A1644,""en"",""it"")"),"Territorio di Belfort")</f>
        <v>Territorio di Belfort</v>
      </c>
      <c r="G1644" s="9" t="str">
        <f>IFERROR(__xludf.DUMMYFUNCTION("GOOGLETRANSLATE($A1644,""en"",""zh-cn"")"),"贝尔福地区")</f>
        <v>贝尔福地区</v>
      </c>
      <c r="H1644" s="9" t="str">
        <f>IFERROR(__xludf.DUMMYFUNCTION("GOOGLETRANSLATE($A1644,""en"",""ja"")"),"テリトワール ドゥ ベルフォール")</f>
        <v>テリトワール ドゥ ベルフォール</v>
      </c>
      <c r="I1644" s="9" t="str">
        <f>IFERROR(__xludf.DUMMYFUNCTION("GOOGLETRANSLATE($A1644,""en"",""ko"")"),"테리투아르 드 벨포르")</f>
        <v>테리투아르 드 벨포르</v>
      </c>
      <c r="J1644" s="9" t="str">
        <f>IFERROR(__xludf.DUMMYFUNCTION("GOOGLETRANSLATE($A1644,""en"",""pt-BR"")"),"Território de Belfort")</f>
        <v>Território de Belfort</v>
      </c>
    </row>
    <row r="1645">
      <c r="A1645" s="9" t="str">
        <f>IFERROR(__xludf.DUMMYFUNCTION("""COMPUTED_VALUE"""),"Val-de-Marne")</f>
        <v>Val-de-Marne</v>
      </c>
      <c r="B1645" s="9" t="str">
        <f>IFERROR(__xludf.DUMMYFUNCTION("""COMPUTED_VALUE"""),"fr-94")</f>
        <v>fr-94</v>
      </c>
      <c r="C1645" s="9" t="str">
        <f>IFERROR(__xludf.DUMMYFUNCTION("GOOGLETRANSLATE($A1645,""en"",""de"")"),"Val-de-Marne")</f>
        <v>Val-de-Marne</v>
      </c>
      <c r="D1645" s="9" t="str">
        <f>IFERROR(__xludf.DUMMYFUNCTION("GOOGLETRANSLATE($A1645,""en"",""fr"")"),"Val-de-Marne")</f>
        <v>Val-de-Marne</v>
      </c>
      <c r="E1645" s="9" t="str">
        <f>IFERROR(__xludf.DUMMYFUNCTION("GOOGLETRANSLATE($A1645,""en"",""es"")"),"Valle del Marne")</f>
        <v>Valle del Marne</v>
      </c>
      <c r="F1645" s="9" t="str">
        <f>IFERROR(__xludf.DUMMYFUNCTION("GOOGLETRANSLATE($A1645,""en"",""it"")"),"Valle della Marna")</f>
        <v>Valle della Marna</v>
      </c>
      <c r="G1645" s="9" t="str">
        <f>IFERROR(__xludf.DUMMYFUNCTION("GOOGLETRANSLATE($A1645,""en"",""zh-cn"")"),"马恩河谷")</f>
        <v>马恩河谷</v>
      </c>
      <c r="H1645" s="9" t="str">
        <f>IFERROR(__xludf.DUMMYFUNCTION("GOOGLETRANSLATE($A1645,""en"",""ja"")"),"ヴァル・ド・マルヌ")</f>
        <v>ヴァル・ド・マルヌ</v>
      </c>
      <c r="I1645" s="9" t="str">
        <f>IFERROR(__xludf.DUMMYFUNCTION("GOOGLETRANSLATE($A1645,""en"",""ko"")"),"발드마른")</f>
        <v>발드마른</v>
      </c>
      <c r="J1645" s="9" t="str">
        <f>IFERROR(__xludf.DUMMYFUNCTION("GOOGLETRANSLATE($A1645,""en"",""pt-BR"")"),"Vale do Marne")</f>
        <v>Vale do Marne</v>
      </c>
    </row>
    <row r="1646">
      <c r="A1646" s="9" t="str">
        <f>IFERROR(__xludf.DUMMYFUNCTION("""COMPUTED_VALUE"""),"Val-d'Oise")</f>
        <v>Val-d'Oise</v>
      </c>
      <c r="B1646" s="9" t="str">
        <f>IFERROR(__xludf.DUMMYFUNCTION("""COMPUTED_VALUE"""),"fr-95")</f>
        <v>fr-95</v>
      </c>
      <c r="C1646" s="9" t="str">
        <f>IFERROR(__xludf.DUMMYFUNCTION("GOOGLETRANSLATE($A1646,""en"",""de"")"),"Val-d'Oise")</f>
        <v>Val-d'Oise</v>
      </c>
      <c r="D1646" s="9" t="str">
        <f>IFERROR(__xludf.DUMMYFUNCTION("GOOGLETRANSLATE($A1646,""en"",""fr"")"),"Val d'Oise")</f>
        <v>Val d'Oise</v>
      </c>
      <c r="E1646" s="9" t="str">
        <f>IFERROR(__xludf.DUMMYFUNCTION("GOOGLETRANSLATE($A1646,""en"",""es"")"),"Valle del Oise")</f>
        <v>Valle del Oise</v>
      </c>
      <c r="F1646" s="9" t="str">
        <f>IFERROR(__xludf.DUMMYFUNCTION("GOOGLETRANSLATE($A1646,""en"",""it"")"),"Val-d'Oise")</f>
        <v>Val-d'Oise</v>
      </c>
      <c r="G1646" s="9" t="str">
        <f>IFERROR(__xludf.DUMMYFUNCTION("GOOGLETRANSLATE($A1646,""en"",""zh-cn"")"),"瓦兹省")</f>
        <v>瓦兹省</v>
      </c>
      <c r="H1646" s="9" t="str">
        <f>IFERROR(__xludf.DUMMYFUNCTION("GOOGLETRANSLATE($A1646,""en"",""ja"")"),"ヴァル＝ドワーズ")</f>
        <v>ヴァル＝ドワーズ</v>
      </c>
      <c r="I1646" s="9" t="str">
        <f>IFERROR(__xludf.DUMMYFUNCTION("GOOGLETRANSLATE($A1646,""en"",""ko"")"),"발두아즈")</f>
        <v>발두아즈</v>
      </c>
      <c r="J1646" s="9" t="str">
        <f>IFERROR(__xludf.DUMMYFUNCTION("GOOGLETRANSLATE($A1646,""en"",""pt-BR"")"),"Val-d'Oise")</f>
        <v>Val-d'Oise</v>
      </c>
    </row>
    <row r="1647">
      <c r="A1647" s="9" t="str">
        <f>IFERROR(__xludf.DUMMYFUNCTION("""COMPUTED_VALUE"""),"Seine-Maritime")</f>
        <v>Seine-Maritime</v>
      </c>
      <c r="B1647" s="9" t="str">
        <f>IFERROR(__xludf.DUMMYFUNCTION("""COMPUTED_VALUE"""),"fr-76")</f>
        <v>fr-76</v>
      </c>
      <c r="C1647" s="9" t="str">
        <f>IFERROR(__xludf.DUMMYFUNCTION("GOOGLETRANSLATE($A1647,""en"",""de"")"),"Seine-Maritime")</f>
        <v>Seine-Maritime</v>
      </c>
      <c r="D1647" s="9" t="str">
        <f>IFERROR(__xludf.DUMMYFUNCTION("GOOGLETRANSLATE($A1647,""en"",""fr"")"),"Seine-Maritime")</f>
        <v>Seine-Maritime</v>
      </c>
      <c r="E1647" s="9" t="str">
        <f>IFERROR(__xludf.DUMMYFUNCTION("GOOGLETRANSLATE($A1647,""en"",""es"")"),"Sena Marítimo")</f>
        <v>Sena Marítimo</v>
      </c>
      <c r="F1647" s="9" t="str">
        <f>IFERROR(__xludf.DUMMYFUNCTION("GOOGLETRANSLATE($A1647,""en"",""it"")"),"Senna Marittima")</f>
        <v>Senna Marittima</v>
      </c>
      <c r="G1647" s="9" t="str">
        <f>IFERROR(__xludf.DUMMYFUNCTION("GOOGLETRANSLATE($A1647,""en"",""zh-cn"")"),"滨海塞纳省")</f>
        <v>滨海塞纳省</v>
      </c>
      <c r="H1647" s="9" t="str">
        <f>IFERROR(__xludf.DUMMYFUNCTION("GOOGLETRANSLATE($A1647,""en"",""ja"")"),"セーヌマリティーム")</f>
        <v>セーヌマリティーム</v>
      </c>
      <c r="I1647" s="9" t="str">
        <f>IFERROR(__xludf.DUMMYFUNCTION("GOOGLETRANSLATE($A1647,""en"",""ko"")"),"센마리팀")</f>
        <v>센마리팀</v>
      </c>
      <c r="J1647" s="9" t="str">
        <f>IFERROR(__xludf.DUMMYFUNCTION("GOOGLETRANSLATE($A1647,""en"",""pt-BR"")"),"Sena-Marítimo")</f>
        <v>Sena-Marítimo</v>
      </c>
    </row>
    <row r="1648">
      <c r="A1648" s="9" t="str">
        <f>IFERROR(__xludf.DUMMYFUNCTION("""COMPUTED_VALUE"""),"Seine-Saint-Denis")</f>
        <v>Seine-Saint-Denis</v>
      </c>
      <c r="B1648" s="9" t="str">
        <f>IFERROR(__xludf.DUMMYFUNCTION("""COMPUTED_VALUE"""),"fr-93")</f>
        <v>fr-93</v>
      </c>
      <c r="C1648" s="9" t="str">
        <f>IFERROR(__xludf.DUMMYFUNCTION("GOOGLETRANSLATE($A1648,""en"",""de"")"),"Seine-Saint-Denis")</f>
        <v>Seine-Saint-Denis</v>
      </c>
      <c r="D1648" s="9" t="str">
        <f>IFERROR(__xludf.DUMMYFUNCTION("GOOGLETRANSLATE($A1648,""en"",""fr"")"),"Seine-Saint-Denis")</f>
        <v>Seine-Saint-Denis</v>
      </c>
      <c r="E1648" s="9" t="str">
        <f>IFERROR(__xludf.DUMMYFUNCTION("GOOGLETRANSLATE($A1648,""en"",""es"")"),"Sena-San Denis")</f>
        <v>Sena-San Denis</v>
      </c>
      <c r="F1648" s="9" t="str">
        <f>IFERROR(__xludf.DUMMYFUNCTION("GOOGLETRANSLATE($A1648,""en"",""it"")"),"Seine-Saint-Denis")</f>
        <v>Seine-Saint-Denis</v>
      </c>
      <c r="G1648" s="9" t="str">
        <f>IFERROR(__xludf.DUMMYFUNCTION("GOOGLETRANSLATE($A1648,""en"",""zh-cn"")"),"塞纳-圣但尼省")</f>
        <v>塞纳-圣但尼省</v>
      </c>
      <c r="H1648" s="9" t="str">
        <f>IFERROR(__xludf.DUMMYFUNCTION("GOOGLETRANSLATE($A1648,""en"",""ja"")"),"セーヌサンドニ")</f>
        <v>セーヌサンドニ</v>
      </c>
      <c r="I1648" s="9" t="str">
        <f>IFERROR(__xludf.DUMMYFUNCTION("GOOGLETRANSLATE($A1648,""en"",""ko"")"),"센생드니")</f>
        <v>센생드니</v>
      </c>
      <c r="J1648" s="9" t="str">
        <f>IFERROR(__xludf.DUMMYFUNCTION("GOOGLETRANSLATE($A1648,""en"",""pt-BR"")"),"Sena-Saint-Denis")</f>
        <v>Sena-Saint-Denis</v>
      </c>
    </row>
    <row r="1649">
      <c r="A1649" s="9" t="str">
        <f>IFERROR(__xludf.DUMMYFUNCTION("""COMPUTED_VALUE"""),"Somme")</f>
        <v>Somme</v>
      </c>
      <c r="B1649" s="9" t="str">
        <f>IFERROR(__xludf.DUMMYFUNCTION("""COMPUTED_VALUE"""),"fr-80")</f>
        <v>fr-80</v>
      </c>
      <c r="C1649" s="9" t="str">
        <f>IFERROR(__xludf.DUMMYFUNCTION("GOOGLETRANSLATE($A1649,""en"",""de"")"),"Somme")</f>
        <v>Somme</v>
      </c>
      <c r="D1649" s="9" t="str">
        <f>IFERROR(__xludf.DUMMYFUNCTION("GOOGLETRANSLATE($A1649,""en"",""fr"")"),"Somme")</f>
        <v>Somme</v>
      </c>
      <c r="E1649" s="9" t="str">
        <f>IFERROR(__xludf.DUMMYFUNCTION("GOOGLETRANSLATE($A1649,""en"",""es"")"),"Somme")</f>
        <v>Somme</v>
      </c>
      <c r="F1649" s="9" t="str">
        <f>IFERROR(__xludf.DUMMYFUNCTION("GOOGLETRANSLATE($A1649,""en"",""it"")"),"Somme")</f>
        <v>Somme</v>
      </c>
      <c r="G1649" s="9" t="str">
        <f>IFERROR(__xludf.DUMMYFUNCTION("GOOGLETRANSLATE($A1649,""en"",""zh-cn"")"),"索姆河")</f>
        <v>索姆河</v>
      </c>
      <c r="H1649" s="9" t="str">
        <f>IFERROR(__xludf.DUMMYFUNCTION("GOOGLETRANSLATE($A1649,""en"",""ja"")"),"ソンム")</f>
        <v>ソンム</v>
      </c>
      <c r="I1649" s="9" t="str">
        <f>IFERROR(__xludf.DUMMYFUNCTION("GOOGLETRANSLATE($A1649,""en"",""ko"")"),"솜")</f>
        <v>솜</v>
      </c>
      <c r="J1649" s="9" t="str">
        <f>IFERROR(__xludf.DUMMYFUNCTION("GOOGLETRANSLATE($A1649,""en"",""pt-BR"")"),"Somme")</f>
        <v>Somme</v>
      </c>
    </row>
    <row r="1650">
      <c r="A1650" s="9" t="str">
        <f>IFERROR(__xludf.DUMMYFUNCTION("""COMPUTED_VALUE"""),"Tarn")</f>
        <v>Tarn</v>
      </c>
      <c r="B1650" s="9" t="str">
        <f>IFERROR(__xludf.DUMMYFUNCTION("""COMPUTED_VALUE"""),"fr-81")</f>
        <v>fr-81</v>
      </c>
      <c r="C1650" s="9" t="str">
        <f>IFERROR(__xludf.DUMMYFUNCTION("GOOGLETRANSLATE($A1650,""en"",""de"")"),"Tarn")</f>
        <v>Tarn</v>
      </c>
      <c r="D1650" s="9" t="str">
        <f>IFERROR(__xludf.DUMMYFUNCTION("GOOGLETRANSLATE($A1650,""en"",""fr"")"),"Tarn")</f>
        <v>Tarn</v>
      </c>
      <c r="E1650" s="9" t="str">
        <f>IFERROR(__xludf.DUMMYFUNCTION("GOOGLETRANSLATE($A1650,""en"",""es"")"),"Tarn")</f>
        <v>Tarn</v>
      </c>
      <c r="F1650" s="9" t="str">
        <f>IFERROR(__xludf.DUMMYFUNCTION("GOOGLETRANSLATE($A1650,""en"",""it"")"),"Tarn")</f>
        <v>Tarn</v>
      </c>
      <c r="G1650" s="9" t="str">
        <f>IFERROR(__xludf.DUMMYFUNCTION("GOOGLETRANSLATE($A1650,""en"",""zh-cn"")"),"塔恩岛")</f>
        <v>塔恩岛</v>
      </c>
      <c r="H1650" s="9" t="str">
        <f>IFERROR(__xludf.DUMMYFUNCTION("GOOGLETRANSLATE($A1650,""en"",""ja"")"),"タルン")</f>
        <v>タルン</v>
      </c>
      <c r="I1650" s="9" t="str">
        <f>IFERROR(__xludf.DUMMYFUNCTION("GOOGLETRANSLATE($A1650,""en"",""ko"")"),"작은 호수")</f>
        <v>작은 호수</v>
      </c>
      <c r="J1650" s="9" t="str">
        <f>IFERROR(__xludf.DUMMYFUNCTION("GOOGLETRANSLATE($A1650,""en"",""pt-BR"")"),"Tarn")</f>
        <v>Tarn</v>
      </c>
    </row>
    <row r="1651">
      <c r="A1651" s="9" t="str">
        <f>IFERROR(__xludf.DUMMYFUNCTION("""COMPUTED_VALUE"""),"Saint-Pierre-et-Miquelon")</f>
        <v>Saint-Pierre-et-Miquelon</v>
      </c>
      <c r="B1651" s="9" t="str">
        <f>IFERROR(__xludf.DUMMYFUNCTION("""COMPUTED_VALUE"""),"fr-pm")</f>
        <v>fr-pm</v>
      </c>
      <c r="C1651" s="9" t="str">
        <f>IFERROR(__xludf.DUMMYFUNCTION("GOOGLETRANSLATE($A1651,""en"",""de"")"),"Saint-Pierre-et-Miquelon")</f>
        <v>Saint-Pierre-et-Miquelon</v>
      </c>
      <c r="D1651" s="9" t="str">
        <f>IFERROR(__xludf.DUMMYFUNCTION("GOOGLETRANSLATE($A1651,""en"",""fr"")"),"Saint-Pierre-et-Miquelon")</f>
        <v>Saint-Pierre-et-Miquelon</v>
      </c>
      <c r="E1651" s="9" t="str">
        <f>IFERROR(__xludf.DUMMYFUNCTION("GOOGLETRANSLATE($A1651,""en"",""es"")"),"San Pedro y Miquelón")</f>
        <v>San Pedro y Miquelón</v>
      </c>
      <c r="F1651" s="9" t="str">
        <f>IFERROR(__xludf.DUMMYFUNCTION("GOOGLETRANSLATE($A1651,""en"",""it"")"),"Saint-Pierre-et-Miquelon")</f>
        <v>Saint-Pierre-et-Miquelon</v>
      </c>
      <c r="G1651" s="9" t="str">
        <f>IFERROR(__xludf.DUMMYFUNCTION("GOOGLETRANSLATE($A1651,""en"",""zh-cn"")"),"圣皮埃尔和密克隆群岛")</f>
        <v>圣皮埃尔和密克隆群岛</v>
      </c>
      <c r="H1651" s="9" t="str">
        <f>IFERROR(__xludf.DUMMYFUNCTION("GOOGLETRANSLATE($A1651,""en"",""ja"")"),"サンピエール・エ・ミクロン")</f>
        <v>サンピエール・エ・ミクロン</v>
      </c>
      <c r="I1651" s="9" t="str">
        <f>IFERROR(__xludf.DUMMYFUNCTION("GOOGLETRANSLATE($A1651,""en"",""ko"")"),"생피에르에미클롱")</f>
        <v>생피에르에미클롱</v>
      </c>
      <c r="J1651" s="9" t="str">
        <f>IFERROR(__xludf.DUMMYFUNCTION("GOOGLETRANSLATE($A1651,""en"",""pt-BR"")"),"São Pedro e Miquelon")</f>
        <v>São Pedro e Miquelon</v>
      </c>
    </row>
    <row r="1652">
      <c r="A1652" s="9" t="str">
        <f>IFERROR(__xludf.DUMMYFUNCTION("""COMPUTED_VALUE"""),"Terres australes françaises")</f>
        <v>Terres australes françaises</v>
      </c>
      <c r="B1652" s="9" t="str">
        <f>IFERROR(__xludf.DUMMYFUNCTION("""COMPUTED_VALUE"""),"fr-tf")</f>
        <v>fr-tf</v>
      </c>
      <c r="C1652" s="9" t="str">
        <f>IFERROR(__xludf.DUMMYFUNCTION("GOOGLETRANSLATE($A1652,""en"",""de"")"),"Terres Australes Françaises")</f>
        <v>Terres Australes Françaises</v>
      </c>
      <c r="D1652" s="9" t="str">
        <f>IFERROR(__xludf.DUMMYFUNCTION("GOOGLETRANSLATE($A1652,""en"",""fr"")"),"Terres australes françaises")</f>
        <v>Terres australes françaises</v>
      </c>
      <c r="E1652" s="9" t="str">
        <f>IFERROR(__xludf.DUMMYFUNCTION("GOOGLETRANSLATE($A1652,""en"",""es"")"),"Terres Australes Francesas")</f>
        <v>Terres Australes Francesas</v>
      </c>
      <c r="F1652" s="9" t="str">
        <f>IFERROR(__xludf.DUMMYFUNCTION("GOOGLETRANSLATE($A1652,""en"",""it"")"),"Terres australes françaises")</f>
        <v>Terres australes françaises</v>
      </c>
      <c r="G1652" s="9" t="str">
        <f>IFERROR(__xludf.DUMMYFUNCTION("GOOGLETRANSLATE($A1652,""en"",""zh-cn"")"),"法国南大地")</f>
        <v>法国南大地</v>
      </c>
      <c r="H1652" s="9" t="str">
        <f>IFERROR(__xludf.DUMMYFUNCTION("GOOGLETRANSLATE($A1652,""en"",""ja"")"),"オーストラリア・フランセーズ")</f>
        <v>オーストラリア・フランセーズ</v>
      </c>
      <c r="I1652" s="9" t="str">
        <f>IFERROR(__xludf.DUMMYFUNCTION("GOOGLETRANSLATE($A1652,""en"",""ko"")"),"Terres australes françaises")</f>
        <v>Terres australes françaises</v>
      </c>
      <c r="J1652" s="9" t="str">
        <f>IFERROR(__xludf.DUMMYFUNCTION("GOOGLETRANSLATE($A1652,""en"",""pt-BR"")"),"Terras Austrais Francesas")</f>
        <v>Terras Austrais Francesas</v>
      </c>
    </row>
    <row r="1653">
      <c r="A1653" s="9" t="str">
        <f>IFERROR(__xludf.DUMMYFUNCTION("""COMPUTED_VALUE"""),"Wallis-et-Futuna")</f>
        <v>Wallis-et-Futuna</v>
      </c>
      <c r="B1653" s="9" t="str">
        <f>IFERROR(__xludf.DUMMYFUNCTION("""COMPUTED_VALUE"""),"fr-wf")</f>
        <v>fr-wf</v>
      </c>
      <c r="C1653" s="9" t="str">
        <f>IFERROR(__xludf.DUMMYFUNCTION("GOOGLETRANSLATE($A1653,""en"",""de"")"),"Wallis-et-Futuna")</f>
        <v>Wallis-et-Futuna</v>
      </c>
      <c r="D1653" s="9" t="str">
        <f>IFERROR(__xludf.DUMMYFUNCTION("GOOGLETRANSLATE($A1653,""en"",""fr"")"),"Wallis-et-Futuna")</f>
        <v>Wallis-et-Futuna</v>
      </c>
      <c r="E1653" s="9" t="str">
        <f>IFERROR(__xludf.DUMMYFUNCTION("GOOGLETRANSLATE($A1653,""en"",""es"")"),"Wallis y Futuna")</f>
        <v>Wallis y Futuna</v>
      </c>
      <c r="F1653" s="9" t="str">
        <f>IFERROR(__xludf.DUMMYFUNCTION("GOOGLETRANSLATE($A1653,""en"",""it"")"),"Wallis-et-Futuna")</f>
        <v>Wallis-et-Futuna</v>
      </c>
      <c r="G1653" s="9" t="str">
        <f>IFERROR(__xludf.DUMMYFUNCTION("GOOGLETRANSLATE($A1653,""en"",""zh-cn"")"),"瓦利斯和富图纳群岛")</f>
        <v>瓦利斯和富图纳群岛</v>
      </c>
      <c r="H1653" s="9" t="str">
        <f>IFERROR(__xludf.DUMMYFUNCTION("GOOGLETRANSLATE($A1653,""en"",""ja"")"),"ウォリ エ フツナ")</f>
        <v>ウォリ エ フツナ</v>
      </c>
      <c r="I1653" s="9" t="str">
        <f>IFERROR(__xludf.DUMMYFUNCTION("GOOGLETRANSLATE($A1653,""en"",""ko"")"),"월리스에푸투나")</f>
        <v>월리스에푸투나</v>
      </c>
      <c r="J1653" s="9" t="str">
        <f>IFERROR(__xludf.DUMMYFUNCTION("GOOGLETRANSLATE($A1653,""en"",""pt-BR"")"),"Wallis e Futuna")</f>
        <v>Wallis e Futuna</v>
      </c>
    </row>
    <row r="1654">
      <c r="A1654" s="9" t="str">
        <f>IFERROR(__xludf.DUMMYFUNCTION("""COMPUTED_VALUE"""),"Nouvelle-Calédonie")</f>
        <v>Nouvelle-Calédonie</v>
      </c>
      <c r="B1654" s="9" t="str">
        <f>IFERROR(__xludf.DUMMYFUNCTION("""COMPUTED_VALUE"""),"fr-nc")</f>
        <v>fr-nc</v>
      </c>
      <c r="C1654" s="9" t="str">
        <f>IFERROR(__xludf.DUMMYFUNCTION("GOOGLETRANSLATE($A1654,""en"",""de"")"),"Nouvelle-Calédonie")</f>
        <v>Nouvelle-Calédonie</v>
      </c>
      <c r="D1654" s="9" t="str">
        <f>IFERROR(__xludf.DUMMYFUNCTION("GOOGLETRANSLATE($A1654,""en"",""fr"")"),"Nouvelle-Calédonie")</f>
        <v>Nouvelle-Calédonie</v>
      </c>
      <c r="E1654" s="9" t="str">
        <f>IFERROR(__xludf.DUMMYFUNCTION("GOOGLETRANSLATE($A1654,""en"",""es"")"),"Nueva Caledonia")</f>
        <v>Nueva Caledonia</v>
      </c>
      <c r="F1654" s="9" t="str">
        <f>IFERROR(__xludf.DUMMYFUNCTION("GOOGLETRANSLATE($A1654,""en"",""it"")"),"Nuova Caledonia")</f>
        <v>Nuova Caledonia</v>
      </c>
      <c r="G1654" s="9" t="str">
        <f>IFERROR(__xludf.DUMMYFUNCTION("GOOGLETRANSLATE($A1654,""en"",""zh-cn"")"),"新喀里多尼亚")</f>
        <v>新喀里多尼亚</v>
      </c>
      <c r="H1654" s="9" t="str">
        <f>IFERROR(__xludf.DUMMYFUNCTION("GOOGLETRANSLATE($A1654,""en"",""ja"")"),"ヌーベルカレドニ")</f>
        <v>ヌーベルカレドニ</v>
      </c>
      <c r="I1654" s="9" t="str">
        <f>IFERROR(__xludf.DUMMYFUNCTION("GOOGLETRANSLATE($A1654,""en"",""ko"")"),"누벨 칼레도니")</f>
        <v>누벨 칼레도니</v>
      </c>
      <c r="J1654" s="9" t="str">
        <f>IFERROR(__xludf.DUMMYFUNCTION("GOOGLETRANSLATE($A1654,""en"",""pt-BR"")"),"Nova Caledônia")</f>
        <v>Nova Caledônia</v>
      </c>
    </row>
    <row r="1655">
      <c r="A1655" s="9" t="str">
        <f>IFERROR(__xludf.DUMMYFUNCTION("""COMPUTED_VALUE"""),"Polynésie française")</f>
        <v>Polynésie française</v>
      </c>
      <c r="B1655" s="9" t="str">
        <f>IFERROR(__xludf.DUMMYFUNCTION("""COMPUTED_VALUE"""),"fr-pf")</f>
        <v>fr-pf</v>
      </c>
      <c r="C1655" s="9" t="str">
        <f>IFERROR(__xludf.DUMMYFUNCTION("GOOGLETRANSLATE($A1655,""en"",""de"")"),"Französische Polynesie")</f>
        <v>Französische Polynesie</v>
      </c>
      <c r="D1655" s="9" t="str">
        <f>IFERROR(__xludf.DUMMYFUNCTION("GOOGLETRANSLATE($A1655,""en"",""fr"")"),"Polynésie française")</f>
        <v>Polynésie française</v>
      </c>
      <c r="E1655" s="9" t="str">
        <f>IFERROR(__xludf.DUMMYFUNCTION("GOOGLETRANSLATE($A1655,""en"",""es"")"),"polinesia francesa")</f>
        <v>polinesia francesa</v>
      </c>
      <c r="F1655" s="9" t="str">
        <f>IFERROR(__xludf.DUMMYFUNCTION("GOOGLETRANSLATE($A1655,""en"",""it"")"),"Polinesia francese")</f>
        <v>Polinesia francese</v>
      </c>
      <c r="G1655" s="9" t="str">
        <f>IFERROR(__xludf.DUMMYFUNCTION("GOOGLETRANSLATE($A1655,""en"",""zh-cn"")"),"法国波利尼西亚")</f>
        <v>法国波利尼西亚</v>
      </c>
      <c r="H1655" s="9" t="str">
        <f>IFERROR(__xludf.DUMMYFUNCTION("GOOGLETRANSLATE($A1655,""en"",""ja"")"),"ポリネシー・フランセーズ")</f>
        <v>ポリネシー・フランセーズ</v>
      </c>
      <c r="I1655" s="9" t="str">
        <f>IFERROR(__xludf.DUMMYFUNCTION("GOOGLETRANSLATE($A1655,""en"",""ko"")"),"폴리네시 프랑세즈")</f>
        <v>폴리네시 프랑세즈</v>
      </c>
      <c r="J1655" s="9" t="str">
        <f>IFERROR(__xludf.DUMMYFUNCTION("GOOGLETRANSLATE($A1655,""en"",""pt-BR"")"),"Polinésia Francesa")</f>
        <v>Polinésia Francesa</v>
      </c>
    </row>
    <row r="1656">
      <c r="A1656" s="9" t="str">
        <f>IFERROR(__xludf.DUMMYFUNCTION("""COMPUTED_VALUE"""),"Saint-Barthélemy")</f>
        <v>Saint-Barthélemy</v>
      </c>
      <c r="B1656" s="9" t="str">
        <f>IFERROR(__xludf.DUMMYFUNCTION("""COMPUTED_VALUE"""),"fr-bl")</f>
        <v>fr-bl</v>
      </c>
      <c r="C1656" s="9" t="str">
        <f>IFERROR(__xludf.DUMMYFUNCTION("GOOGLETRANSLATE($A1656,""en"",""de"")"),"Saint-Barthélemy")</f>
        <v>Saint-Barthélemy</v>
      </c>
      <c r="D1656" s="9" t="str">
        <f>IFERROR(__xludf.DUMMYFUNCTION("GOOGLETRANSLATE($A1656,""en"",""fr"")"),"Saint-Barthélemy")</f>
        <v>Saint-Barthélemy</v>
      </c>
      <c r="E1656" s="9" t="str">
        <f>IFERROR(__xludf.DUMMYFUNCTION("GOOGLETRANSLATE($A1656,""en"",""es"")"),"San Bartolomé")</f>
        <v>San Bartolomé</v>
      </c>
      <c r="F1656" s="9" t="str">
        <f>IFERROR(__xludf.DUMMYFUNCTION("GOOGLETRANSLATE($A1656,""en"",""it"")"),"Saint-Barthélemy")</f>
        <v>Saint-Barthélemy</v>
      </c>
      <c r="G1656" s="9" t="str">
        <f>IFERROR(__xludf.DUMMYFUNCTION("GOOGLETRANSLATE($A1656,""en"",""zh-cn"")"),"圣巴泰勒米")</f>
        <v>圣巴泰勒米</v>
      </c>
      <c r="H1656" s="9" t="str">
        <f>IFERROR(__xludf.DUMMYFUNCTION("GOOGLETRANSLATE($A1656,""en"",""ja"")"),"サン・バルテルミー島")</f>
        <v>サン・バルテルミー島</v>
      </c>
      <c r="I1656" s="9" t="str">
        <f>IFERROR(__xludf.DUMMYFUNCTION("GOOGLETRANSLATE($A1656,""en"",""ko"")"),"생바르텔레미")</f>
        <v>생바르텔레미</v>
      </c>
      <c r="J1656" s="9" t="str">
        <f>IFERROR(__xludf.DUMMYFUNCTION("GOOGLETRANSLATE($A1656,""en"",""pt-BR"")"),"São Bartolomeu")</f>
        <v>São Bartolomeu</v>
      </c>
    </row>
    <row r="1657">
      <c r="A1657" s="9" t="str">
        <f>IFERROR(__xludf.DUMMYFUNCTION("""COMPUTED_VALUE"""),"Saint-Martin")</f>
        <v>Saint-Martin</v>
      </c>
      <c r="B1657" s="9" t="str">
        <f>IFERROR(__xludf.DUMMYFUNCTION("""COMPUTED_VALUE"""),"fr-mf")</f>
        <v>fr-mf</v>
      </c>
      <c r="C1657" s="9" t="str">
        <f>IFERROR(__xludf.DUMMYFUNCTION("GOOGLETRANSLATE($A1657,""en"",""de"")"),"Saint-Martin")</f>
        <v>Saint-Martin</v>
      </c>
      <c r="D1657" s="9" t="str">
        <f>IFERROR(__xludf.DUMMYFUNCTION("GOOGLETRANSLATE($A1657,""en"",""fr"")"),"Saint Martin")</f>
        <v>Saint Martin</v>
      </c>
      <c r="E1657" s="9" t="str">
        <f>IFERROR(__xludf.DUMMYFUNCTION("GOOGLETRANSLATE($A1657,""en"",""es"")"),"San Martín")</f>
        <v>San Martín</v>
      </c>
      <c r="F1657" s="9" t="str">
        <f>IFERROR(__xludf.DUMMYFUNCTION("GOOGLETRANSLATE($A1657,""en"",""it"")"),"San Martino")</f>
        <v>San Martino</v>
      </c>
      <c r="G1657" s="9" t="str">
        <f>IFERROR(__xludf.DUMMYFUNCTION("GOOGLETRANSLATE($A1657,""en"",""zh-cn"")"),"圣马丁")</f>
        <v>圣马丁</v>
      </c>
      <c r="H1657" s="9" t="str">
        <f>IFERROR(__xludf.DUMMYFUNCTION("GOOGLETRANSLATE($A1657,""en"",""ja"")"),"サン・マルタン島")</f>
        <v>サン・マルタン島</v>
      </c>
      <c r="I1657" s="9" t="str">
        <f>IFERROR(__xludf.DUMMYFUNCTION("GOOGLETRANSLATE($A1657,""en"",""ko"")"),"세인트마틴")</f>
        <v>세인트마틴</v>
      </c>
      <c r="J1657" s="9" t="str">
        <f>IFERROR(__xludf.DUMMYFUNCTION("GOOGLETRANSLATE($A1657,""en"",""pt-BR"")"),"São Martinho")</f>
        <v>São Martinho</v>
      </c>
    </row>
    <row r="1658">
      <c r="A1658" s="9" t="str">
        <f>IFERROR(__xludf.DUMMYFUNCTION("""COMPUTED_VALUE"""),"Maine-et-Loire")</f>
        <v>Maine-et-Loire</v>
      </c>
      <c r="B1658" s="9" t="str">
        <f>IFERROR(__xludf.DUMMYFUNCTION("""COMPUTED_VALUE"""),"fr-49")</f>
        <v>fr-49</v>
      </c>
      <c r="C1658" s="9" t="str">
        <f>IFERROR(__xludf.DUMMYFUNCTION("GOOGLETRANSLATE($A1658,""en"",""de"")"),"Maine-et-Loire")</f>
        <v>Maine-et-Loire</v>
      </c>
      <c r="D1658" s="9" t="str">
        <f>IFERROR(__xludf.DUMMYFUNCTION("GOOGLETRANSLATE($A1658,""en"",""fr"")"),"Maine-et-Loire")</f>
        <v>Maine-et-Loire</v>
      </c>
      <c r="E1658" s="9" t="str">
        <f>IFERROR(__xludf.DUMMYFUNCTION("GOOGLETRANSLATE($A1658,""en"",""es"")"),"Maine y Loira")</f>
        <v>Maine y Loira</v>
      </c>
      <c r="F1658" s="9" t="str">
        <f>IFERROR(__xludf.DUMMYFUNCTION("GOOGLETRANSLATE($A1658,""en"",""it"")"),"Maine-et-Loire")</f>
        <v>Maine-et-Loire</v>
      </c>
      <c r="G1658" s="9" t="str">
        <f>IFERROR(__xludf.DUMMYFUNCTION("GOOGLETRANSLATE($A1658,""en"",""zh-cn"")"),"缅因-卢瓦尔省")</f>
        <v>缅因-卢瓦尔省</v>
      </c>
      <c r="H1658" s="9" t="str">
        <f>IFERROR(__xludf.DUMMYFUNCTION("GOOGLETRANSLATE($A1658,""en"",""ja"")"),"メーヌ・エ・ロワール")</f>
        <v>メーヌ・エ・ロワール</v>
      </c>
      <c r="I1658" s="9" t="str">
        <f>IFERROR(__xludf.DUMMYFUNCTION("GOOGLETRANSLATE($A1658,""en"",""ko"")"),"메인에루아르")</f>
        <v>메인에루아르</v>
      </c>
      <c r="J1658" s="9" t="str">
        <f>IFERROR(__xludf.DUMMYFUNCTION("GOOGLETRANSLATE($A1658,""en"",""pt-BR"")"),"Maine e Loire")</f>
        <v>Maine e Loire</v>
      </c>
    </row>
    <row r="1659">
      <c r="A1659" s="9" t="str">
        <f>IFERROR(__xludf.DUMMYFUNCTION("""COMPUTED_VALUE"""),"Manche")</f>
        <v>Manche</v>
      </c>
      <c r="B1659" s="9" t="str">
        <f>IFERROR(__xludf.DUMMYFUNCTION("""COMPUTED_VALUE"""),"fr-50")</f>
        <v>fr-50</v>
      </c>
      <c r="C1659" s="9" t="str">
        <f>IFERROR(__xludf.DUMMYFUNCTION("GOOGLETRANSLATE($A1659,""en"",""de"")"),"Manche")</f>
        <v>Manche</v>
      </c>
      <c r="D1659" s="9" t="str">
        <f>IFERROR(__xludf.DUMMYFUNCTION("GOOGLETRANSLATE($A1659,""en"",""fr"")"),"Manche")</f>
        <v>Manche</v>
      </c>
      <c r="E1659" s="9" t="str">
        <f>IFERROR(__xludf.DUMMYFUNCTION("GOOGLETRANSLATE($A1659,""en"",""es"")"),"Mancha")</f>
        <v>Mancha</v>
      </c>
      <c r="F1659" s="9" t="str">
        <f>IFERROR(__xludf.DUMMYFUNCTION("GOOGLETRANSLATE($A1659,""en"",""it"")"),"Manica")</f>
        <v>Manica</v>
      </c>
      <c r="G1659" s="9" t="str">
        <f>IFERROR(__xludf.DUMMYFUNCTION("GOOGLETRANSLATE($A1659,""en"",""zh-cn"")"),"芒什")</f>
        <v>芒什</v>
      </c>
      <c r="H1659" s="9" t="str">
        <f>IFERROR(__xludf.DUMMYFUNCTION("GOOGLETRANSLATE($A1659,""en"",""ja"")"),"マンシュ")</f>
        <v>マンシュ</v>
      </c>
      <c r="I1659" s="9" t="str">
        <f>IFERROR(__xludf.DUMMYFUNCTION("GOOGLETRANSLATE($A1659,""en"",""ko"")"),"만체")</f>
        <v>만체</v>
      </c>
      <c r="J1659" s="9" t="str">
        <f>IFERROR(__xludf.DUMMYFUNCTION("GOOGLETRANSLATE($A1659,""en"",""pt-BR"")"),"Mancha")</f>
        <v>Mancha</v>
      </c>
    </row>
    <row r="1660">
      <c r="A1660" s="9" t="str">
        <f>IFERROR(__xludf.DUMMYFUNCTION("""COMPUTED_VALUE"""),"Marne")</f>
        <v>Marne</v>
      </c>
      <c r="B1660" s="9" t="str">
        <f>IFERROR(__xludf.DUMMYFUNCTION("""COMPUTED_VALUE"""),"fr-51")</f>
        <v>fr-51</v>
      </c>
      <c r="C1660" s="9" t="str">
        <f>IFERROR(__xludf.DUMMYFUNCTION("GOOGLETRANSLATE($A1660,""en"",""de"")"),"Marne")</f>
        <v>Marne</v>
      </c>
      <c r="D1660" s="9" t="str">
        <f>IFERROR(__xludf.DUMMYFUNCTION("GOOGLETRANSLATE($A1660,""en"",""fr"")"),"Marnes")</f>
        <v>Marnes</v>
      </c>
      <c r="E1660" s="9" t="str">
        <f>IFERROR(__xludf.DUMMYFUNCTION("GOOGLETRANSLATE($A1660,""en"",""es"")"),"Marne")</f>
        <v>Marne</v>
      </c>
      <c r="F1660" s="9" t="str">
        <f>IFERROR(__xludf.DUMMYFUNCTION("GOOGLETRANSLATE($A1660,""en"",""it"")"),"Marna")</f>
        <v>Marna</v>
      </c>
      <c r="G1660" s="9" t="str">
        <f>IFERROR(__xludf.DUMMYFUNCTION("GOOGLETRANSLATE($A1660,""en"",""zh-cn"")"),"马恩河")</f>
        <v>马恩河</v>
      </c>
      <c r="H1660" s="9" t="str">
        <f>IFERROR(__xludf.DUMMYFUNCTION("GOOGLETRANSLATE($A1660,""en"",""ja"")"),"マルヌ")</f>
        <v>マルヌ</v>
      </c>
      <c r="I1660" s="9" t="str">
        <f>IFERROR(__xludf.DUMMYFUNCTION("GOOGLETRANSLATE($A1660,""en"",""ko"")"),"마른")</f>
        <v>마른</v>
      </c>
      <c r="J1660" s="9" t="str">
        <f>IFERROR(__xludf.DUMMYFUNCTION("GOOGLETRANSLATE($A1660,""en"",""pt-BR"")"),"Marne")</f>
        <v>Marne</v>
      </c>
    </row>
    <row r="1661">
      <c r="A1661" s="9" t="str">
        <f>IFERROR(__xludf.DUMMYFUNCTION("""COMPUTED_VALUE"""),"Mayenne")</f>
        <v>Mayenne</v>
      </c>
      <c r="B1661" s="9" t="str">
        <f>IFERROR(__xludf.DUMMYFUNCTION("""COMPUTED_VALUE"""),"fr-53")</f>
        <v>fr-53</v>
      </c>
      <c r="C1661" s="9" t="str">
        <f>IFERROR(__xludf.DUMMYFUNCTION("GOOGLETRANSLATE($A1661,""en"",""de"")"),"Mayenne")</f>
        <v>Mayenne</v>
      </c>
      <c r="D1661" s="9" t="str">
        <f>IFERROR(__xludf.DUMMYFUNCTION("GOOGLETRANSLATE($A1661,""en"",""fr"")"),"Mayenne")</f>
        <v>Mayenne</v>
      </c>
      <c r="E1661" s="9" t="str">
        <f>IFERROR(__xludf.DUMMYFUNCTION("GOOGLETRANSLATE($A1661,""en"",""es"")"),"mayenne")</f>
        <v>mayenne</v>
      </c>
      <c r="F1661" s="9" t="str">
        <f>IFERROR(__xludf.DUMMYFUNCTION("GOOGLETRANSLATE($A1661,""en"",""it"")"),"Mayenne")</f>
        <v>Mayenne</v>
      </c>
      <c r="G1661" s="9" t="str">
        <f>IFERROR(__xludf.DUMMYFUNCTION("GOOGLETRANSLATE($A1661,""en"",""zh-cn"")"),"马耶讷")</f>
        <v>马耶讷</v>
      </c>
      <c r="H1661" s="9" t="str">
        <f>IFERROR(__xludf.DUMMYFUNCTION("GOOGLETRANSLATE($A1661,""en"",""ja"")"),"マイエンヌ")</f>
        <v>マイエンヌ</v>
      </c>
      <c r="I1661" s="9" t="str">
        <f>IFERROR(__xludf.DUMMYFUNCTION("GOOGLETRANSLATE($A1661,""en"",""ko"")"),"마옌")</f>
        <v>마옌</v>
      </c>
      <c r="J1661" s="9" t="str">
        <f>IFERROR(__xludf.DUMMYFUNCTION("GOOGLETRANSLATE($A1661,""en"",""pt-BR"")"),"Mayenne")</f>
        <v>Mayenne</v>
      </c>
    </row>
    <row r="1662">
      <c r="A1662" s="9" t="str">
        <f>IFERROR(__xludf.DUMMYFUNCTION("""COMPUTED_VALUE"""),"Loir-et-Cher")</f>
        <v>Loir-et-Cher</v>
      </c>
      <c r="B1662" s="9" t="str">
        <f>IFERROR(__xludf.DUMMYFUNCTION("""COMPUTED_VALUE"""),"fr-41")</f>
        <v>fr-41</v>
      </c>
      <c r="C1662" s="9" t="str">
        <f>IFERROR(__xludf.DUMMYFUNCTION("GOOGLETRANSLATE($A1662,""en"",""de"")"),"Loir-et-Cher")</f>
        <v>Loir-et-Cher</v>
      </c>
      <c r="D1662" s="9" t="str">
        <f>IFERROR(__xludf.DUMMYFUNCTION("GOOGLETRANSLATE($A1662,""en"",""fr"")"),"Loir-et-Cher")</f>
        <v>Loir-et-Cher</v>
      </c>
      <c r="E1662" s="9" t="str">
        <f>IFERROR(__xludf.DUMMYFUNCTION("GOOGLETRANSLATE($A1662,""en"",""es"")"),"Loir y Cher")</f>
        <v>Loir y Cher</v>
      </c>
      <c r="F1662" s="9" t="str">
        <f>IFERROR(__xludf.DUMMYFUNCTION("GOOGLETRANSLATE($A1662,""en"",""it"")"),"Loir-et-Cher")</f>
        <v>Loir-et-Cher</v>
      </c>
      <c r="G1662" s="9" t="str">
        <f>IFERROR(__xludf.DUMMYFUNCTION("GOOGLETRANSLATE($A1662,""en"",""zh-cn"")"),"卢瓦-谢尔省")</f>
        <v>卢瓦-谢尔省</v>
      </c>
      <c r="H1662" s="9" t="str">
        <f>IFERROR(__xludf.DUMMYFUNCTION("GOOGLETRANSLATE($A1662,""en"",""ja"")"),"ロワールエシェール")</f>
        <v>ロワールエシェール</v>
      </c>
      <c r="I1662" s="9" t="str">
        <f>IFERROR(__xludf.DUMMYFUNCTION("GOOGLETRANSLATE($A1662,""en"",""ko"")"),"루아르에셰르")</f>
        <v>루아르에셰르</v>
      </c>
      <c r="J1662" s="9" t="str">
        <f>IFERROR(__xludf.DUMMYFUNCTION("GOOGLETRANSLATE($A1662,""en"",""pt-BR"")"),"Loir-et-Cher")</f>
        <v>Loir-et-Cher</v>
      </c>
    </row>
    <row r="1663">
      <c r="A1663" s="9" t="str">
        <f>IFERROR(__xludf.DUMMYFUNCTION("""COMPUTED_VALUE"""),"Lot")</f>
        <v>Lot</v>
      </c>
      <c r="B1663" s="9" t="str">
        <f>IFERROR(__xludf.DUMMYFUNCTION("""COMPUTED_VALUE"""),"fr-46")</f>
        <v>fr-46</v>
      </c>
      <c r="C1663" s="9" t="str">
        <f>IFERROR(__xludf.DUMMYFUNCTION("GOOGLETRANSLATE($A1663,""en"",""de"")"),"Viel")</f>
        <v>Viel</v>
      </c>
      <c r="D1663" s="9" t="str">
        <f>IFERROR(__xludf.DUMMYFUNCTION("GOOGLETRANSLATE($A1663,""en"",""fr"")"),"Parcelle")</f>
        <v>Parcelle</v>
      </c>
      <c r="E1663" s="9" t="str">
        <f>IFERROR(__xludf.DUMMYFUNCTION("GOOGLETRANSLATE($A1663,""en"",""es"")"),"Lote")</f>
        <v>Lote</v>
      </c>
      <c r="F1663" s="9" t="str">
        <f>IFERROR(__xludf.DUMMYFUNCTION("GOOGLETRANSLATE($A1663,""en"",""it"")"),"Quantità")</f>
        <v>Quantità</v>
      </c>
      <c r="G1663" s="9" t="str">
        <f>IFERROR(__xludf.DUMMYFUNCTION("GOOGLETRANSLATE($A1663,""en"",""zh-cn"")"),"很多")</f>
        <v>很多</v>
      </c>
      <c r="H1663" s="9" t="str">
        <f>IFERROR(__xludf.DUMMYFUNCTION("GOOGLETRANSLATE($A1663,""en"",""ja"")"),"多く")</f>
        <v>多く</v>
      </c>
      <c r="I1663" s="9" t="str">
        <f>IFERROR(__xludf.DUMMYFUNCTION("GOOGLETRANSLATE($A1663,""en"",""ko"")"),"많은")</f>
        <v>많은</v>
      </c>
      <c r="J1663" s="9" t="str">
        <f>IFERROR(__xludf.DUMMYFUNCTION("GOOGLETRANSLATE($A1663,""en"",""pt-BR"")"),"Muito")</f>
        <v>Muito</v>
      </c>
    </row>
    <row r="1664">
      <c r="A1664" s="9" t="str">
        <f>IFERROR(__xludf.DUMMYFUNCTION("""COMPUTED_VALUE"""),"Lot-et-Garonne")</f>
        <v>Lot-et-Garonne</v>
      </c>
      <c r="B1664" s="9" t="str">
        <f>IFERROR(__xludf.DUMMYFUNCTION("""COMPUTED_VALUE"""),"fr-47")</f>
        <v>fr-47</v>
      </c>
      <c r="C1664" s="9" t="str">
        <f>IFERROR(__xludf.DUMMYFUNCTION("GOOGLETRANSLATE($A1664,""en"",""de"")"),"Lot-et-Garonne")</f>
        <v>Lot-et-Garonne</v>
      </c>
      <c r="D1664" s="9" t="str">
        <f>IFERROR(__xludf.DUMMYFUNCTION("GOOGLETRANSLATE($A1664,""en"",""fr"")"),"Lot-et-Garonne")</f>
        <v>Lot-et-Garonne</v>
      </c>
      <c r="E1664" s="9" t="str">
        <f>IFERROR(__xludf.DUMMYFUNCTION("GOOGLETRANSLATE($A1664,""en"",""es"")"),"Lot y Garona")</f>
        <v>Lot y Garona</v>
      </c>
      <c r="F1664" s="9" t="str">
        <f>IFERROR(__xludf.DUMMYFUNCTION("GOOGLETRANSLATE($A1664,""en"",""it"")"),"Lot-et-Garonne")</f>
        <v>Lot-et-Garonne</v>
      </c>
      <c r="G1664" s="9" t="str">
        <f>IFERROR(__xludf.DUMMYFUNCTION("GOOGLETRANSLATE($A1664,""en"",""zh-cn"")"),"洛特加龙省")</f>
        <v>洛特加龙省</v>
      </c>
      <c r="H1664" s="9" t="str">
        <f>IFERROR(__xludf.DUMMYFUNCTION("GOOGLETRANSLATE($A1664,""en"",""ja"")"),"ロット＝エ＝ガロンヌ")</f>
        <v>ロット＝エ＝ガロンヌ</v>
      </c>
      <c r="I1664" s="9" t="str">
        <f>IFERROR(__xludf.DUMMYFUNCTION("GOOGLETRANSLATE($A1664,""en"",""ko"")"),"로에가론")</f>
        <v>로에가론</v>
      </c>
      <c r="J1664" s="9" t="str">
        <f>IFERROR(__xludf.DUMMYFUNCTION("GOOGLETRANSLATE($A1664,""en"",""pt-BR"")"),"Lot e Garona")</f>
        <v>Lot e Garona</v>
      </c>
    </row>
    <row r="1665">
      <c r="A1665" s="9" t="str">
        <f>IFERROR(__xludf.DUMMYFUNCTION("""COMPUTED_VALUE"""),"Lozère")</f>
        <v>Lozère</v>
      </c>
      <c r="B1665" s="9" t="str">
        <f>IFERROR(__xludf.DUMMYFUNCTION("""COMPUTED_VALUE"""),"fr-48")</f>
        <v>fr-48</v>
      </c>
      <c r="C1665" s="9" t="str">
        <f>IFERROR(__xludf.DUMMYFUNCTION("GOOGLETRANSLATE($A1665,""en"",""de"")"),"Lozère")</f>
        <v>Lozère</v>
      </c>
      <c r="D1665" s="9" t="str">
        <f>IFERROR(__xludf.DUMMYFUNCTION("GOOGLETRANSLATE($A1665,""en"",""fr"")"),"Lozère")</f>
        <v>Lozère</v>
      </c>
      <c r="E1665" s="9" t="str">
        <f>IFERROR(__xludf.DUMMYFUNCTION("GOOGLETRANSLATE($A1665,""en"",""es"")"),"Lozere")</f>
        <v>Lozere</v>
      </c>
      <c r="F1665" s="9" t="str">
        <f>IFERROR(__xludf.DUMMYFUNCTION("GOOGLETRANSLATE($A1665,""en"",""it"")"),"Lozère")</f>
        <v>Lozère</v>
      </c>
      <c r="G1665" s="9" t="str">
        <f>IFERROR(__xludf.DUMMYFUNCTION("GOOGLETRANSLATE($A1665,""en"",""zh-cn"")"),"洛泽尔省")</f>
        <v>洛泽尔省</v>
      </c>
      <c r="H1665" s="9" t="str">
        <f>IFERROR(__xludf.DUMMYFUNCTION("GOOGLETRANSLATE($A1665,""en"",""ja"")"),"ロゼール")</f>
        <v>ロゼール</v>
      </c>
      <c r="I1665" s="9" t="str">
        <f>IFERROR(__xludf.DUMMYFUNCTION("GOOGLETRANSLATE($A1665,""en"",""ko"")"),"로제르")</f>
        <v>로제르</v>
      </c>
      <c r="J1665" s="9" t="str">
        <f>IFERROR(__xludf.DUMMYFUNCTION("GOOGLETRANSLATE($A1665,""en"",""pt-BR"")"),"Lozère")</f>
        <v>Lozère</v>
      </c>
    </row>
    <row r="1666">
      <c r="A1666" s="9" t="str">
        <f>IFERROR(__xludf.DUMMYFUNCTION("""COMPUTED_VALUE"""),"Landes")</f>
        <v>Landes</v>
      </c>
      <c r="B1666" s="9" t="str">
        <f>IFERROR(__xludf.DUMMYFUNCTION("""COMPUTED_VALUE"""),"fr-40")</f>
        <v>fr-40</v>
      </c>
      <c r="C1666" s="9" t="str">
        <f>IFERROR(__xludf.DUMMYFUNCTION("GOOGLETRANSLATE($A1666,""en"",""de"")"),"Landes")</f>
        <v>Landes</v>
      </c>
      <c r="D1666" s="9" t="str">
        <f>IFERROR(__xludf.DUMMYFUNCTION("GOOGLETRANSLATE($A1666,""en"",""fr"")"),"Landes")</f>
        <v>Landes</v>
      </c>
      <c r="E1666" s="9" t="str">
        <f>IFERROR(__xludf.DUMMYFUNCTION("GOOGLETRANSLATE($A1666,""en"",""es"")"),"Landas")</f>
        <v>Landas</v>
      </c>
      <c r="F1666" s="9" t="str">
        <f>IFERROR(__xludf.DUMMYFUNCTION("GOOGLETRANSLATE($A1666,""en"",""it"")"),"Lande")</f>
        <v>Lande</v>
      </c>
      <c r="G1666" s="9" t="str">
        <f>IFERROR(__xludf.DUMMYFUNCTION("GOOGLETRANSLATE($A1666,""en"",""zh-cn"")"),"兰德斯")</f>
        <v>兰德斯</v>
      </c>
      <c r="H1666" s="9" t="str">
        <f>IFERROR(__xludf.DUMMYFUNCTION("GOOGLETRANSLATE($A1666,""en"",""ja"")"),"ランデス")</f>
        <v>ランデス</v>
      </c>
      <c r="I1666" s="9" t="str">
        <f>IFERROR(__xludf.DUMMYFUNCTION("GOOGLETRANSLATE($A1666,""en"",""ko"")"),"랜디스")</f>
        <v>랜디스</v>
      </c>
      <c r="J1666" s="9" t="str">
        <f>IFERROR(__xludf.DUMMYFUNCTION("GOOGLETRANSLATE($A1666,""en"",""pt-BR"")"),"Landes")</f>
        <v>Landes</v>
      </c>
    </row>
    <row r="1667">
      <c r="A1667" s="9" t="str">
        <f>IFERROR(__xludf.DUMMYFUNCTION("""COMPUTED_VALUE"""),"Loire")</f>
        <v>Loire</v>
      </c>
      <c r="B1667" s="9" t="str">
        <f>IFERROR(__xludf.DUMMYFUNCTION("""COMPUTED_VALUE"""),"fr-42")</f>
        <v>fr-42</v>
      </c>
      <c r="C1667" s="9" t="str">
        <f>IFERROR(__xludf.DUMMYFUNCTION("GOOGLETRANSLATE($A1667,""en"",""de"")"),"Loire")</f>
        <v>Loire</v>
      </c>
      <c r="D1667" s="9" t="str">
        <f>IFERROR(__xludf.DUMMYFUNCTION("GOOGLETRANSLATE($A1667,""en"",""fr"")"),"Loire")</f>
        <v>Loire</v>
      </c>
      <c r="E1667" s="9" t="str">
        <f>IFERROR(__xludf.DUMMYFUNCTION("GOOGLETRANSLATE($A1667,""en"",""es"")"),"Loira")</f>
        <v>Loira</v>
      </c>
      <c r="F1667" s="9" t="str">
        <f>IFERROR(__xludf.DUMMYFUNCTION("GOOGLETRANSLATE($A1667,""en"",""it"")"),"Loira")</f>
        <v>Loira</v>
      </c>
      <c r="G1667" s="9" t="str">
        <f>IFERROR(__xludf.DUMMYFUNCTION("GOOGLETRANSLATE($A1667,""en"",""zh-cn"")"),"卢瓦尔河")</f>
        <v>卢瓦尔河</v>
      </c>
      <c r="H1667" s="9" t="str">
        <f>IFERROR(__xludf.DUMMYFUNCTION("GOOGLETRANSLATE($A1667,""en"",""ja"")"),"ロワール")</f>
        <v>ロワール</v>
      </c>
      <c r="I1667" s="9" t="str">
        <f>IFERROR(__xludf.DUMMYFUNCTION("GOOGLETRANSLATE($A1667,""en"",""ko"")"),"루아르")</f>
        <v>루아르</v>
      </c>
      <c r="J1667" s="9" t="str">
        <f>IFERROR(__xludf.DUMMYFUNCTION("GOOGLETRANSLATE($A1667,""en"",""pt-BR"")"),"Loire")</f>
        <v>Loire</v>
      </c>
    </row>
    <row r="1668">
      <c r="A1668" s="9" t="str">
        <f>IFERROR(__xludf.DUMMYFUNCTION("""COMPUTED_VALUE"""),"Loire-Atlantique")</f>
        <v>Loire-Atlantique</v>
      </c>
      <c r="B1668" s="9" t="str">
        <f>IFERROR(__xludf.DUMMYFUNCTION("""COMPUTED_VALUE"""),"fr-44")</f>
        <v>fr-44</v>
      </c>
      <c r="C1668" s="9" t="str">
        <f>IFERROR(__xludf.DUMMYFUNCTION("GOOGLETRANSLATE($A1668,""en"",""de"")"),"Loire-Atlantique")</f>
        <v>Loire-Atlantique</v>
      </c>
      <c r="D1668" s="9" t="str">
        <f>IFERROR(__xludf.DUMMYFUNCTION("GOOGLETRANSLATE($A1668,""en"",""fr"")"),"Loire Atlantique")</f>
        <v>Loire Atlantique</v>
      </c>
      <c r="E1668" s="9" t="str">
        <f>IFERROR(__xludf.DUMMYFUNCTION("GOOGLETRANSLATE($A1668,""en"",""es"")"),"Loira Atlántico")</f>
        <v>Loira Atlántico</v>
      </c>
      <c r="F1668" s="9" t="str">
        <f>IFERROR(__xludf.DUMMYFUNCTION("GOOGLETRANSLATE($A1668,""en"",""it"")"),"Loira Atlantica")</f>
        <v>Loira Atlantica</v>
      </c>
      <c r="G1668" s="9" t="str">
        <f>IFERROR(__xludf.DUMMYFUNCTION("GOOGLETRANSLATE($A1668,""en"",""zh-cn"")"),"大西洋卢瓦尔省")</f>
        <v>大西洋卢瓦尔省</v>
      </c>
      <c r="H1668" s="9" t="str">
        <f>IFERROR(__xludf.DUMMYFUNCTION("GOOGLETRANSLATE($A1668,""en"",""ja"")"),"ロワール＝アトランティック")</f>
        <v>ロワール＝アトランティック</v>
      </c>
      <c r="I1668" s="9" t="str">
        <f>IFERROR(__xludf.DUMMYFUNCTION("GOOGLETRANSLATE($A1668,""en"",""ko"")"),"루아르 아틀랑티크")</f>
        <v>루아르 아틀랑티크</v>
      </c>
      <c r="J1668" s="9" t="str">
        <f>IFERROR(__xludf.DUMMYFUNCTION("GOOGLETRANSLATE($A1668,""en"",""pt-BR"")"),"Loire-Atlântico")</f>
        <v>Loire-Atlântico</v>
      </c>
    </row>
    <row r="1669">
      <c r="A1669" s="9" t="str">
        <f>IFERROR(__xludf.DUMMYFUNCTION("""COMPUTED_VALUE"""),"Loiret")</f>
        <v>Loiret</v>
      </c>
      <c r="B1669" s="9" t="str">
        <f>IFERROR(__xludf.DUMMYFUNCTION("""COMPUTED_VALUE"""),"fr-45")</f>
        <v>fr-45</v>
      </c>
      <c r="C1669" s="9" t="str">
        <f>IFERROR(__xludf.DUMMYFUNCTION("GOOGLETRANSLATE($A1669,""en"",""de"")"),"Loiret")</f>
        <v>Loiret</v>
      </c>
      <c r="D1669" s="9" t="str">
        <f>IFERROR(__xludf.DUMMYFUNCTION("GOOGLETRANSLATE($A1669,""en"",""fr"")"),"Loiret")</f>
        <v>Loiret</v>
      </c>
      <c r="E1669" s="9" t="str">
        <f>IFERROR(__xludf.DUMMYFUNCTION("GOOGLETRANSLATE($A1669,""en"",""es"")"),"Loiret")</f>
        <v>Loiret</v>
      </c>
      <c r="F1669" s="9" t="str">
        <f>IFERROR(__xludf.DUMMYFUNCTION("GOOGLETRANSLATE($A1669,""en"",""it"")"),"Loiret")</f>
        <v>Loiret</v>
      </c>
      <c r="G1669" s="9" t="str">
        <f>IFERROR(__xludf.DUMMYFUNCTION("GOOGLETRANSLATE($A1669,""en"",""zh-cn"")"),"卢瓦雷")</f>
        <v>卢瓦雷</v>
      </c>
      <c r="H1669" s="9" t="str">
        <f>IFERROR(__xludf.DUMMYFUNCTION("GOOGLETRANSLATE($A1669,""en"",""ja"")"),"ロワレ")</f>
        <v>ロワレ</v>
      </c>
      <c r="I1669" s="9" t="str">
        <f>IFERROR(__xludf.DUMMYFUNCTION("GOOGLETRANSLATE($A1669,""en"",""ko"")"),"루아르")</f>
        <v>루아르</v>
      </c>
      <c r="J1669" s="9" t="str">
        <f>IFERROR(__xludf.DUMMYFUNCTION("GOOGLETRANSLATE($A1669,""en"",""pt-BR"")"),"Loiret")</f>
        <v>Loiret</v>
      </c>
    </row>
    <row r="1670">
      <c r="A1670" s="9" t="str">
        <f>IFERROR(__xludf.DUMMYFUNCTION("""COMPUTED_VALUE"""),"Indre")</f>
        <v>Indre</v>
      </c>
      <c r="B1670" s="9" t="str">
        <f>IFERROR(__xludf.DUMMYFUNCTION("""COMPUTED_VALUE"""),"fr-36")</f>
        <v>fr-36</v>
      </c>
      <c r="C1670" s="9" t="str">
        <f>IFERROR(__xludf.DUMMYFUNCTION("GOOGLETRANSLATE($A1670,""en"",""de"")"),"Indre")</f>
        <v>Indre</v>
      </c>
      <c r="D1670" s="9" t="str">
        <f>IFERROR(__xludf.DUMMYFUNCTION("GOOGLETRANSLATE($A1670,""en"",""fr"")"),"Indre")</f>
        <v>Indre</v>
      </c>
      <c r="E1670" s="9" t="str">
        <f>IFERROR(__xludf.DUMMYFUNCTION("GOOGLETRANSLATE($A1670,""en"",""es"")"),"Indre")</f>
        <v>Indre</v>
      </c>
      <c r="F1670" s="9" t="str">
        <f>IFERROR(__xludf.DUMMYFUNCTION("GOOGLETRANSLATE($A1670,""en"",""it"")"),"Indre")</f>
        <v>Indre</v>
      </c>
      <c r="G1670" s="9" t="str">
        <f>IFERROR(__xludf.DUMMYFUNCTION("GOOGLETRANSLATE($A1670,""en"",""zh-cn"")"),"安德尔")</f>
        <v>安德尔</v>
      </c>
      <c r="H1670" s="9" t="str">
        <f>IFERROR(__xludf.DUMMYFUNCTION("GOOGLETRANSLATE($A1670,""en"",""ja"")"),"アンドル")</f>
        <v>アンドル</v>
      </c>
      <c r="I1670" s="9" t="str">
        <f>IFERROR(__xludf.DUMMYFUNCTION("GOOGLETRANSLATE($A1670,""en"",""ko"")"),"인드레")</f>
        <v>인드레</v>
      </c>
      <c r="J1670" s="9" t="str">
        <f>IFERROR(__xludf.DUMMYFUNCTION("GOOGLETRANSLATE($A1670,""en"",""pt-BR"")"),"Indré")</f>
        <v>Indré</v>
      </c>
    </row>
    <row r="1671">
      <c r="A1671" s="9" t="str">
        <f>IFERROR(__xludf.DUMMYFUNCTION("""COMPUTED_VALUE"""),"Indre-et-Loire")</f>
        <v>Indre-et-Loire</v>
      </c>
      <c r="B1671" s="9" t="str">
        <f>IFERROR(__xludf.DUMMYFUNCTION("""COMPUTED_VALUE"""),"fr-37")</f>
        <v>fr-37</v>
      </c>
      <c r="C1671" s="9" t="str">
        <f>IFERROR(__xludf.DUMMYFUNCTION("GOOGLETRANSLATE($A1671,""en"",""de"")"),"Indre-et-Loire")</f>
        <v>Indre-et-Loire</v>
      </c>
      <c r="D1671" s="9" t="str">
        <f>IFERROR(__xludf.DUMMYFUNCTION("GOOGLETRANSLATE($A1671,""en"",""fr"")"),"Indre-et-Loire")</f>
        <v>Indre-et-Loire</v>
      </c>
      <c r="E1671" s="9" t="str">
        <f>IFERROR(__xludf.DUMMYFUNCTION("GOOGLETRANSLATE($A1671,""en"",""es"")"),"Indre y Loira")</f>
        <v>Indre y Loira</v>
      </c>
      <c r="F1671" s="9" t="str">
        <f>IFERROR(__xludf.DUMMYFUNCTION("GOOGLETRANSLATE($A1671,""en"",""it"")"),"Indre-et-Loire")</f>
        <v>Indre-et-Loire</v>
      </c>
      <c r="G1671" s="9" t="str">
        <f>IFERROR(__xludf.DUMMYFUNCTION("GOOGLETRANSLATE($A1671,""en"",""zh-cn"")"),"安德尔-卢瓦尔省")</f>
        <v>安德尔-卢瓦尔省</v>
      </c>
      <c r="H1671" s="9" t="str">
        <f>IFERROR(__xludf.DUMMYFUNCTION("GOOGLETRANSLATE($A1671,""en"",""ja"")"),"アンドル エ ロワール")</f>
        <v>アンドル エ ロワール</v>
      </c>
      <c r="I1671" s="9" t="str">
        <f>IFERROR(__xludf.DUMMYFUNCTION("GOOGLETRANSLATE($A1671,""en"",""ko"")"),"인드르에루아르")</f>
        <v>인드르에루아르</v>
      </c>
      <c r="J1671" s="9" t="str">
        <f>IFERROR(__xludf.DUMMYFUNCTION("GOOGLETRANSLATE($A1671,""en"",""pt-BR"")"),"Indre e Loire")</f>
        <v>Indre e Loire</v>
      </c>
    </row>
    <row r="1672">
      <c r="A1672" s="9" t="str">
        <f>IFERROR(__xludf.DUMMYFUNCTION("""COMPUTED_VALUE"""),"Isère")</f>
        <v>Isère</v>
      </c>
      <c r="B1672" s="9" t="str">
        <f>IFERROR(__xludf.DUMMYFUNCTION("""COMPUTED_VALUE"""),"fr-38")</f>
        <v>fr-38</v>
      </c>
      <c r="C1672" s="9" t="str">
        <f>IFERROR(__xludf.DUMMYFUNCTION("GOOGLETRANSLATE($A1672,""en"",""de"")"),"Isère")</f>
        <v>Isère</v>
      </c>
      <c r="D1672" s="9" t="str">
        <f>IFERROR(__xludf.DUMMYFUNCTION("GOOGLETRANSLATE($A1672,""en"",""fr"")"),"Isère")</f>
        <v>Isère</v>
      </c>
      <c r="E1672" s="9" t="str">
        <f>IFERROR(__xludf.DUMMYFUNCTION("GOOGLETRANSLATE($A1672,""en"",""es"")"),"isere")</f>
        <v>isere</v>
      </c>
      <c r="F1672" s="9" t="str">
        <f>IFERROR(__xludf.DUMMYFUNCTION("GOOGLETRANSLATE($A1672,""en"",""it"")"),"Isère")</f>
        <v>Isère</v>
      </c>
      <c r="G1672" s="9" t="str">
        <f>IFERROR(__xludf.DUMMYFUNCTION("GOOGLETRANSLATE($A1672,""en"",""zh-cn"")"),"伊泽尔省")</f>
        <v>伊泽尔省</v>
      </c>
      <c r="H1672" s="9" t="str">
        <f>IFERROR(__xludf.DUMMYFUNCTION("GOOGLETRANSLATE($A1672,""en"",""ja"")"),"イゼール")</f>
        <v>イゼール</v>
      </c>
      <c r="I1672" s="9" t="str">
        <f>IFERROR(__xludf.DUMMYFUNCTION("GOOGLETRANSLATE($A1672,""en"",""ko"")"),"이제르")</f>
        <v>이제르</v>
      </c>
      <c r="J1672" s="9" t="str">
        <f>IFERROR(__xludf.DUMMYFUNCTION("GOOGLETRANSLATE($A1672,""en"",""pt-BR"")"),"Isère")</f>
        <v>Isère</v>
      </c>
    </row>
    <row r="1673">
      <c r="A1673" s="9" t="str">
        <f>IFERROR(__xludf.DUMMYFUNCTION("""COMPUTED_VALUE"""),"Jura")</f>
        <v>Jura</v>
      </c>
      <c r="B1673" s="9" t="str">
        <f>IFERROR(__xludf.DUMMYFUNCTION("""COMPUTED_VALUE"""),"fr-39")</f>
        <v>fr-39</v>
      </c>
      <c r="C1673" s="9" t="str">
        <f>IFERROR(__xludf.DUMMYFUNCTION("GOOGLETRANSLATE($A1673,""en"",""de"")"),"Jura")</f>
        <v>Jura</v>
      </c>
      <c r="D1673" s="9" t="str">
        <f>IFERROR(__xludf.DUMMYFUNCTION("GOOGLETRANSLATE($A1673,""en"",""fr"")"),"Jura")</f>
        <v>Jura</v>
      </c>
      <c r="E1673" s="9" t="str">
        <f>IFERROR(__xludf.DUMMYFUNCTION("GOOGLETRANSLATE($A1673,""en"",""es"")"),"jura")</f>
        <v>jura</v>
      </c>
      <c r="F1673" s="9" t="str">
        <f>IFERROR(__xludf.DUMMYFUNCTION("GOOGLETRANSLATE($A1673,""en"",""it"")"),"Giura")</f>
        <v>Giura</v>
      </c>
      <c r="G1673" s="9" t="str">
        <f>IFERROR(__xludf.DUMMYFUNCTION("GOOGLETRANSLATE($A1673,""en"",""zh-cn"")"),"汝拉")</f>
        <v>汝拉</v>
      </c>
      <c r="H1673" s="9" t="str">
        <f>IFERROR(__xludf.DUMMYFUNCTION("GOOGLETRANSLATE($A1673,""en"",""ja"")"),"ジュラ")</f>
        <v>ジュラ</v>
      </c>
      <c r="I1673" s="9" t="str">
        <f>IFERROR(__xludf.DUMMYFUNCTION("GOOGLETRANSLATE($A1673,""en"",""ko"")"),"쥐라")</f>
        <v>쥐라</v>
      </c>
      <c r="J1673" s="9" t="str">
        <f>IFERROR(__xludf.DUMMYFUNCTION("GOOGLETRANSLATE($A1673,""en"",""pt-BR"")"),"Jura")</f>
        <v>Jura</v>
      </c>
    </row>
    <row r="1674">
      <c r="A1674" s="9" t="str">
        <f>IFERROR(__xludf.DUMMYFUNCTION("""COMPUTED_VALUE"""),"Pyrénées-Orientales")</f>
        <v>Pyrénées-Orientales</v>
      </c>
      <c r="B1674" s="9" t="str">
        <f>IFERROR(__xludf.DUMMYFUNCTION("""COMPUTED_VALUE"""),"fr-66")</f>
        <v>fr-66</v>
      </c>
      <c r="C1674" s="9" t="str">
        <f>IFERROR(__xludf.DUMMYFUNCTION("GOOGLETRANSLATE($A1674,""en"",""de"")"),"Pyrénées-Orientales")</f>
        <v>Pyrénées-Orientales</v>
      </c>
      <c r="D1674" s="9" t="str">
        <f>IFERROR(__xludf.DUMMYFUNCTION("GOOGLETRANSLATE($A1674,""en"",""fr"")"),"Pyrénées-Orientales")</f>
        <v>Pyrénées-Orientales</v>
      </c>
      <c r="E1674" s="9" t="str">
        <f>IFERROR(__xludf.DUMMYFUNCTION("GOOGLETRANSLATE($A1674,""en"",""es"")"),"Pirineos Orientales")</f>
        <v>Pirineos Orientales</v>
      </c>
      <c r="F1674" s="9" t="str">
        <f>IFERROR(__xludf.DUMMYFUNCTION("GOOGLETRANSLATE($A1674,""en"",""it"")"),"Pirenei orientali")</f>
        <v>Pirenei orientali</v>
      </c>
      <c r="G1674" s="9" t="str">
        <f>IFERROR(__xludf.DUMMYFUNCTION("GOOGLETRANSLATE($A1674,""en"",""zh-cn"")"),"东比利牛斯山脉")</f>
        <v>东比利牛斯山脉</v>
      </c>
      <c r="H1674" s="9" t="str">
        <f>IFERROR(__xludf.DUMMYFUNCTION("GOOGLETRANSLATE($A1674,""en"",""ja"")"),"ピレネー オリアンタル")</f>
        <v>ピレネー オリアンタル</v>
      </c>
      <c r="I1674" s="9" t="str">
        <f>IFERROR(__xludf.DUMMYFUNCTION("GOOGLETRANSLATE($A1674,""en"",""ko"")"),"피레네-오리엔탈레스")</f>
        <v>피레네-오리엔탈레스</v>
      </c>
      <c r="J1674" s="9" t="str">
        <f>IFERROR(__xludf.DUMMYFUNCTION("GOOGLETRANSLATE($A1674,""en"",""pt-BR"")"),"Pirenéus Orientais")</f>
        <v>Pirenéus Orientais</v>
      </c>
    </row>
    <row r="1675">
      <c r="A1675" s="9" t="str">
        <f>IFERROR(__xludf.DUMMYFUNCTION("""COMPUTED_VALUE"""),"Rhône")</f>
        <v>Rhône</v>
      </c>
      <c r="B1675" s="9" t="str">
        <f>IFERROR(__xludf.DUMMYFUNCTION("""COMPUTED_VALUE"""),"fr-69")</f>
        <v>fr-69</v>
      </c>
      <c r="C1675" s="9" t="str">
        <f>IFERROR(__xludf.DUMMYFUNCTION("GOOGLETRANSLATE($A1675,""en"",""de"")"),"Rhone")</f>
        <v>Rhone</v>
      </c>
      <c r="D1675" s="9" t="str">
        <f>IFERROR(__xludf.DUMMYFUNCTION("GOOGLETRANSLATE($A1675,""en"",""fr"")"),"Rhône")</f>
        <v>Rhône</v>
      </c>
      <c r="E1675" s="9" t="str">
        <f>IFERROR(__xludf.DUMMYFUNCTION("GOOGLETRANSLATE($A1675,""en"",""es"")"),"Ródano")</f>
        <v>Ródano</v>
      </c>
      <c r="F1675" s="9" t="str">
        <f>IFERROR(__xludf.DUMMYFUNCTION("GOOGLETRANSLATE($A1675,""en"",""it"")"),"Rodano")</f>
        <v>Rodano</v>
      </c>
      <c r="G1675" s="9" t="str">
        <f>IFERROR(__xludf.DUMMYFUNCTION("GOOGLETRANSLATE($A1675,""en"",""zh-cn"")"),"罗讷河谷")</f>
        <v>罗讷河谷</v>
      </c>
      <c r="H1675" s="9" t="str">
        <f>IFERROR(__xludf.DUMMYFUNCTION("GOOGLETRANSLATE($A1675,""en"",""ja"")"),"ローヌ")</f>
        <v>ローヌ</v>
      </c>
      <c r="I1675" s="9" t="str">
        <f>IFERROR(__xludf.DUMMYFUNCTION("GOOGLETRANSLATE($A1675,""en"",""ko"")"),"론")</f>
        <v>론</v>
      </c>
      <c r="J1675" s="9" t="str">
        <f>IFERROR(__xludf.DUMMYFUNCTION("GOOGLETRANSLATE($A1675,""en"",""pt-BR"")"),"Ródano")</f>
        <v>Ródano</v>
      </c>
    </row>
    <row r="1676">
      <c r="A1676" s="9" t="str">
        <f>IFERROR(__xludf.DUMMYFUNCTION("""COMPUTED_VALUE"""),"Saône-et-Loire")</f>
        <v>Saône-et-Loire</v>
      </c>
      <c r="B1676" s="9" t="str">
        <f>IFERROR(__xludf.DUMMYFUNCTION("""COMPUTED_VALUE"""),"fr-71")</f>
        <v>fr-71</v>
      </c>
      <c r="C1676" s="9" t="str">
        <f>IFERROR(__xludf.DUMMYFUNCTION("GOOGLETRANSLATE($A1676,""en"",""de"")"),"Saône-et-Loire")</f>
        <v>Saône-et-Loire</v>
      </c>
      <c r="D1676" s="9" t="str">
        <f>IFERROR(__xludf.DUMMYFUNCTION("GOOGLETRANSLATE($A1676,""en"",""fr"")"),"Saône-et-Loire")</f>
        <v>Saône-et-Loire</v>
      </c>
      <c r="E1676" s="9" t="str">
        <f>IFERROR(__xludf.DUMMYFUNCTION("GOOGLETRANSLATE($A1676,""en"",""es"")"),"Saona y Loira")</f>
        <v>Saona y Loira</v>
      </c>
      <c r="F1676" s="9" t="str">
        <f>IFERROR(__xludf.DUMMYFUNCTION("GOOGLETRANSLATE($A1676,""en"",""it"")"),"Saône-et-Loire")</f>
        <v>Saône-et-Loire</v>
      </c>
      <c r="G1676" s="9" t="str">
        <f>IFERROR(__xludf.DUMMYFUNCTION("GOOGLETRANSLATE($A1676,""en"",""zh-cn"")"),"索恩-卢瓦尔省")</f>
        <v>索恩-卢瓦尔省</v>
      </c>
      <c r="H1676" s="9" t="str">
        <f>IFERROR(__xludf.DUMMYFUNCTION("GOOGLETRANSLATE($A1676,""en"",""ja"")"),"ソーヌ・エ・ロワール")</f>
        <v>ソーヌ・エ・ロワール</v>
      </c>
      <c r="I1676" s="9" t="str">
        <f>IFERROR(__xludf.DUMMYFUNCTION("GOOGLETRANSLATE($A1676,""en"",""ko"")"),"손에루아르")</f>
        <v>손에루아르</v>
      </c>
      <c r="J1676" s="9" t="str">
        <f>IFERROR(__xludf.DUMMYFUNCTION("GOOGLETRANSLATE($A1676,""en"",""pt-BR"")"),"Saône-et-Loire")</f>
        <v>Saône-et-Loire</v>
      </c>
    </row>
    <row r="1677">
      <c r="A1677" s="9" t="str">
        <f>IFERROR(__xludf.DUMMYFUNCTION("""COMPUTED_VALUE"""),"Sarthe")</f>
        <v>Sarthe</v>
      </c>
      <c r="B1677" s="9" t="str">
        <f>IFERROR(__xludf.DUMMYFUNCTION("""COMPUTED_VALUE"""),"fr-72")</f>
        <v>fr-72</v>
      </c>
      <c r="C1677" s="9" t="str">
        <f>IFERROR(__xludf.DUMMYFUNCTION("GOOGLETRANSLATE($A1677,""en"",""de"")"),"Sarthe")</f>
        <v>Sarthe</v>
      </c>
      <c r="D1677" s="9" t="str">
        <f>IFERROR(__xludf.DUMMYFUNCTION("GOOGLETRANSLATE($A1677,""en"",""fr"")"),"Sarthe")</f>
        <v>Sarthe</v>
      </c>
      <c r="E1677" s="9" t="str">
        <f>IFERROR(__xludf.DUMMYFUNCTION("GOOGLETRANSLATE($A1677,""en"",""es"")"),"Sarthe")</f>
        <v>Sarthe</v>
      </c>
      <c r="F1677" s="9" t="str">
        <f>IFERROR(__xludf.DUMMYFUNCTION("GOOGLETRANSLATE($A1677,""en"",""it"")"),"Sarthe")</f>
        <v>Sarthe</v>
      </c>
      <c r="G1677" s="9" t="str">
        <f>IFERROR(__xludf.DUMMYFUNCTION("GOOGLETRANSLATE($A1677,""en"",""zh-cn"")"),"萨尔特")</f>
        <v>萨尔特</v>
      </c>
      <c r="H1677" s="9" t="str">
        <f>IFERROR(__xludf.DUMMYFUNCTION("GOOGLETRANSLATE($A1677,""en"",""ja"")"),"サルト")</f>
        <v>サルト</v>
      </c>
      <c r="I1677" s="9" t="str">
        <f>IFERROR(__xludf.DUMMYFUNCTION("GOOGLETRANSLATE($A1677,""en"",""ko"")"),"사르트")</f>
        <v>사르트</v>
      </c>
      <c r="J1677" s="9" t="str">
        <f>IFERROR(__xludf.DUMMYFUNCTION("GOOGLETRANSLATE($A1677,""en"",""pt-BR"")"),"Sarthe")</f>
        <v>Sarthe</v>
      </c>
    </row>
    <row r="1678">
      <c r="A1678" s="9" t="str">
        <f>IFERROR(__xludf.DUMMYFUNCTION("""COMPUTED_VALUE"""),"Paris")</f>
        <v>Paris</v>
      </c>
      <c r="B1678" s="9" t="str">
        <f>IFERROR(__xludf.DUMMYFUNCTION("""COMPUTED_VALUE"""),"fr-75")</f>
        <v>fr-75</v>
      </c>
      <c r="C1678" s="9" t="str">
        <f>IFERROR(__xludf.DUMMYFUNCTION("GOOGLETRANSLATE($A1678,""en"",""de"")"),"Paris")</f>
        <v>Paris</v>
      </c>
      <c r="D1678" s="9" t="str">
        <f>IFERROR(__xludf.DUMMYFUNCTION("GOOGLETRANSLATE($A1678,""en"",""fr"")"),"Paris")</f>
        <v>Paris</v>
      </c>
      <c r="E1678" s="9" t="str">
        <f>IFERROR(__xludf.DUMMYFUNCTION("GOOGLETRANSLATE($A1678,""en"",""es"")"),"París")</f>
        <v>París</v>
      </c>
      <c r="F1678" s="9" t="str">
        <f>IFERROR(__xludf.DUMMYFUNCTION("GOOGLETRANSLATE($A1678,""en"",""it"")"),"Parigi")</f>
        <v>Parigi</v>
      </c>
      <c r="G1678" s="9" t="str">
        <f>IFERROR(__xludf.DUMMYFUNCTION("GOOGLETRANSLATE($A1678,""en"",""zh-cn"")"),"巴黎")</f>
        <v>巴黎</v>
      </c>
      <c r="H1678" s="9" t="str">
        <f>IFERROR(__xludf.DUMMYFUNCTION("GOOGLETRANSLATE($A1678,""en"",""ja"")"),"パリ")</f>
        <v>パリ</v>
      </c>
      <c r="I1678" s="9" t="str">
        <f>IFERROR(__xludf.DUMMYFUNCTION("GOOGLETRANSLATE($A1678,""en"",""ko"")"),"파리")</f>
        <v>파리</v>
      </c>
      <c r="J1678" s="9" t="str">
        <f>IFERROR(__xludf.DUMMYFUNCTION("GOOGLETRANSLATE($A1678,""en"",""pt-BR"")"),"Paris")</f>
        <v>Paris</v>
      </c>
    </row>
    <row r="1679">
      <c r="A1679" s="9" t="str">
        <f>IFERROR(__xludf.DUMMYFUNCTION("""COMPUTED_VALUE"""),"Pas-de-Calais")</f>
        <v>Pas-de-Calais</v>
      </c>
      <c r="B1679" s="9" t="str">
        <f>IFERROR(__xludf.DUMMYFUNCTION("""COMPUTED_VALUE"""),"fr-62")</f>
        <v>fr-62</v>
      </c>
      <c r="C1679" s="9" t="str">
        <f>IFERROR(__xludf.DUMMYFUNCTION("GOOGLETRANSLATE($A1679,""en"",""de"")"),"Pas-de-Calais")</f>
        <v>Pas-de-Calais</v>
      </c>
      <c r="D1679" s="9" t="str">
        <f>IFERROR(__xludf.DUMMYFUNCTION("GOOGLETRANSLATE($A1679,""en"",""fr"")"),"Pas de Calais")</f>
        <v>Pas de Calais</v>
      </c>
      <c r="E1679" s="9" t="str">
        <f>IFERROR(__xludf.DUMMYFUNCTION("GOOGLETRANSLATE($A1679,""en"",""es"")"),"Paso de Calais")</f>
        <v>Paso de Calais</v>
      </c>
      <c r="F1679" s="9" t="str">
        <f>IFERROR(__xludf.DUMMYFUNCTION("GOOGLETRANSLATE($A1679,""en"",""it"")"),"Passo di Calais")</f>
        <v>Passo di Calais</v>
      </c>
      <c r="G1679" s="9" t="str">
        <f>IFERROR(__xludf.DUMMYFUNCTION("GOOGLETRANSLATE($A1679,""en"",""zh-cn"")"),"加来海峡")</f>
        <v>加来海峡</v>
      </c>
      <c r="H1679" s="9" t="str">
        <f>IFERROR(__xludf.DUMMYFUNCTION("GOOGLETRANSLATE($A1679,""en"",""ja"")"),"パ・ド・カレー")</f>
        <v>パ・ド・カレー</v>
      </c>
      <c r="I1679" s="9" t="str">
        <f>IFERROR(__xludf.DUMMYFUNCTION("GOOGLETRANSLATE($A1679,""en"",""ko"")"),"파드칼레")</f>
        <v>파드칼레</v>
      </c>
      <c r="J1679" s="9" t="str">
        <f>IFERROR(__xludf.DUMMYFUNCTION("GOOGLETRANSLATE($A1679,""en"",""pt-BR"")"),"Pas-de-Calais")</f>
        <v>Pas-de-Calais</v>
      </c>
    </row>
    <row r="1680">
      <c r="A1680" s="9" t="str">
        <f>IFERROR(__xludf.DUMMYFUNCTION("""COMPUTED_VALUE"""),"Puy-de-Dôme")</f>
        <v>Puy-de-Dôme</v>
      </c>
      <c r="B1680" s="9" t="str">
        <f>IFERROR(__xludf.DUMMYFUNCTION("""COMPUTED_VALUE"""),"fr-63")</f>
        <v>fr-63</v>
      </c>
      <c r="C1680" s="9" t="str">
        <f>IFERROR(__xludf.DUMMYFUNCTION("GOOGLETRANSLATE($A1680,""en"",""de"")"),"Puy-de-Dôme")</f>
        <v>Puy-de-Dôme</v>
      </c>
      <c r="D1680" s="9" t="str">
        <f>IFERROR(__xludf.DUMMYFUNCTION("GOOGLETRANSLATE($A1680,""en"",""fr"")"),"Puy-de-Dôme")</f>
        <v>Puy-de-Dôme</v>
      </c>
      <c r="E1680" s="9" t="str">
        <f>IFERROR(__xludf.DUMMYFUNCTION("GOOGLETRANSLATE($A1680,""en"",""es"")"),"Puy de Dome")</f>
        <v>Puy de Dome</v>
      </c>
      <c r="F1680" s="9" t="str">
        <f>IFERROR(__xludf.DUMMYFUNCTION("GOOGLETRANSLATE($A1680,""en"",""it"")"),"Puy-de-Dôme")</f>
        <v>Puy-de-Dôme</v>
      </c>
      <c r="G1680" s="9" t="str">
        <f>IFERROR(__xludf.DUMMYFUNCTION("GOOGLETRANSLATE($A1680,""en"",""zh-cn"")"),"多姆山")</f>
        <v>多姆山</v>
      </c>
      <c r="H1680" s="9" t="str">
        <f>IFERROR(__xludf.DUMMYFUNCTION("GOOGLETRANSLATE($A1680,""en"",""ja"")"),"ピュイ・ド・ドーム")</f>
        <v>ピュイ・ド・ドーム</v>
      </c>
      <c r="I1680" s="9" t="str">
        <f>IFERROR(__xludf.DUMMYFUNCTION("GOOGLETRANSLATE($A1680,""en"",""ko"")"),"퓌드돔")</f>
        <v>퓌드돔</v>
      </c>
      <c r="J1680" s="9" t="str">
        <f>IFERROR(__xludf.DUMMYFUNCTION("GOOGLETRANSLATE($A1680,""en"",""pt-BR"")"),"Puy-de-Dôme")</f>
        <v>Puy-de-Dôme</v>
      </c>
    </row>
    <row r="1681">
      <c r="A1681" s="9" t="str">
        <f>IFERROR(__xludf.DUMMYFUNCTION("""COMPUTED_VALUE"""),"Pyrénées-Atlantiques")</f>
        <v>Pyrénées-Atlantiques</v>
      </c>
      <c r="B1681" s="9" t="str">
        <f>IFERROR(__xludf.DUMMYFUNCTION("""COMPUTED_VALUE"""),"fr-64")</f>
        <v>fr-64</v>
      </c>
      <c r="C1681" s="9" t="str">
        <f>IFERROR(__xludf.DUMMYFUNCTION("GOOGLETRANSLATE($A1681,""en"",""de"")"),"Pyrénées-Atlantiques")</f>
        <v>Pyrénées-Atlantiques</v>
      </c>
      <c r="D1681" s="9" t="str">
        <f>IFERROR(__xludf.DUMMYFUNCTION("GOOGLETRANSLATE($A1681,""en"",""fr"")"),"Pyrénées-Atlantiques")</f>
        <v>Pyrénées-Atlantiques</v>
      </c>
      <c r="E1681" s="9" t="str">
        <f>IFERROR(__xludf.DUMMYFUNCTION("GOOGLETRANSLATE($A1681,""en"",""es"")"),"Pirineos Atlánticos")</f>
        <v>Pirineos Atlánticos</v>
      </c>
      <c r="F1681" s="9" t="str">
        <f>IFERROR(__xludf.DUMMYFUNCTION("GOOGLETRANSLATE($A1681,""en"",""it"")"),"Pirenei Atlantici")</f>
        <v>Pirenei Atlantici</v>
      </c>
      <c r="G1681" s="9" t="str">
        <f>IFERROR(__xludf.DUMMYFUNCTION("GOOGLETRANSLATE($A1681,""en"",""zh-cn"")"),"比利牛斯-大西洋")</f>
        <v>比利牛斯-大西洋</v>
      </c>
      <c r="H1681" s="9" t="str">
        <f>IFERROR(__xludf.DUMMYFUNCTION("GOOGLETRANSLATE($A1681,""en"",""ja"")"),"ピレネー アトランティック")</f>
        <v>ピレネー アトランティック</v>
      </c>
      <c r="I1681" s="9" t="str">
        <f>IFERROR(__xludf.DUMMYFUNCTION("GOOGLETRANSLATE($A1681,""en"",""ko"")"),"피레네-아틀랑티크")</f>
        <v>피레네-아틀랑티크</v>
      </c>
      <c r="J1681" s="9" t="str">
        <f>IFERROR(__xludf.DUMMYFUNCTION("GOOGLETRANSLATE($A1681,""en"",""pt-BR"")"),"Pirenéus-Atlânticos")</f>
        <v>Pirenéus-Atlânticos</v>
      </c>
    </row>
    <row r="1682">
      <c r="A1682" s="9" t="str">
        <f>IFERROR(__xludf.DUMMYFUNCTION("""COMPUTED_VALUE"""),"Nièvre")</f>
        <v>Nièvre</v>
      </c>
      <c r="B1682" s="9" t="str">
        <f>IFERROR(__xludf.DUMMYFUNCTION("""COMPUTED_VALUE"""),"fr-58")</f>
        <v>fr-58</v>
      </c>
      <c r="C1682" s="9" t="str">
        <f>IFERROR(__xludf.DUMMYFUNCTION("GOOGLETRANSLATE($A1682,""en"",""de"")"),"Nièvre")</f>
        <v>Nièvre</v>
      </c>
      <c r="D1682" s="9" t="str">
        <f>IFERROR(__xludf.DUMMYFUNCTION("GOOGLETRANSLATE($A1682,""en"",""fr"")"),"Nièvre")</f>
        <v>Nièvre</v>
      </c>
      <c r="E1682" s="9" t="str">
        <f>IFERROR(__xludf.DUMMYFUNCTION("GOOGLETRANSLATE($A1682,""en"",""es"")"),"Nievre")</f>
        <v>Nievre</v>
      </c>
      <c r="F1682" s="9" t="str">
        <f>IFERROR(__xludf.DUMMYFUNCTION("GOOGLETRANSLATE($A1682,""en"",""it"")"),"Nièvre")</f>
        <v>Nièvre</v>
      </c>
      <c r="G1682" s="9" t="str">
        <f>IFERROR(__xludf.DUMMYFUNCTION("GOOGLETRANSLATE($A1682,""en"",""zh-cn"")"),"涅夫勒省")</f>
        <v>涅夫勒省</v>
      </c>
      <c r="H1682" s="9" t="str">
        <f>IFERROR(__xludf.DUMMYFUNCTION("GOOGLETRANSLATE($A1682,""en"",""ja"")"),"ニエーヴル")</f>
        <v>ニエーヴル</v>
      </c>
      <c r="I1682" s="9" t="str">
        <f>IFERROR(__xludf.DUMMYFUNCTION("GOOGLETRANSLATE($A1682,""en"",""ko"")"),"니에브르")</f>
        <v>니에브르</v>
      </c>
      <c r="J1682" s="9" t="str">
        <f>IFERROR(__xludf.DUMMYFUNCTION("GOOGLETRANSLATE($A1682,""en"",""pt-BR"")"),"Nièvre")</f>
        <v>Nièvre</v>
      </c>
    </row>
    <row r="1683">
      <c r="A1683" s="9" t="str">
        <f>IFERROR(__xludf.DUMMYFUNCTION("""COMPUTED_VALUE"""),"Nord (FR)")</f>
        <v>Nord (FR)</v>
      </c>
      <c r="B1683" s="9" t="str">
        <f>IFERROR(__xludf.DUMMYFUNCTION("""COMPUTED_VALUE"""),"fr-59")</f>
        <v>fr-59</v>
      </c>
      <c r="C1683" s="9" t="str">
        <f>IFERROR(__xludf.DUMMYFUNCTION("GOOGLETRANSLATE($A1683,""en"",""de"")"),"Nord (FR)")</f>
        <v>Nord (FR)</v>
      </c>
      <c r="D1683" s="9" t="str">
        <f>IFERROR(__xludf.DUMMYFUNCTION("GOOGLETRANSLATE($A1683,""en"",""fr"")"),"Nord (FR)")</f>
        <v>Nord (FR)</v>
      </c>
      <c r="E1683" s="9" t="str">
        <f>IFERROR(__xludf.DUMMYFUNCTION("GOOGLETRANSLATE($A1683,""en"",""es"")"),"Norte (FR)")</f>
        <v>Norte (FR)</v>
      </c>
      <c r="F1683" s="9" t="str">
        <f>IFERROR(__xludf.DUMMYFUNCTION("GOOGLETRANSLATE($A1683,""en"",""it"")"),"Nord (FR)")</f>
        <v>Nord (FR)</v>
      </c>
      <c r="G1683" s="9" t="str">
        <f>IFERROR(__xludf.DUMMYFUNCTION("GOOGLETRANSLATE($A1683,""en"",""zh-cn"")"),"北 (法国)")</f>
        <v>北 (法国)</v>
      </c>
      <c r="H1683" s="9" t="str">
        <f>IFERROR(__xludf.DUMMYFUNCTION("GOOGLETRANSLATE($A1683,""en"",""ja"")"),"ノルド（フランス）")</f>
        <v>ノルド（フランス）</v>
      </c>
      <c r="I1683" s="9" t="str">
        <f>IFERROR(__xludf.DUMMYFUNCTION("GOOGLETRANSLATE($A1683,""en"",""ko"")"),"노르드(프랑스)")</f>
        <v>노르드(프랑스)</v>
      </c>
      <c r="J1683" s="9" t="str">
        <f>IFERROR(__xludf.DUMMYFUNCTION("GOOGLETRANSLATE($A1683,""en"",""pt-BR"")"),"Norte (FR)")</f>
        <v>Norte (FR)</v>
      </c>
    </row>
    <row r="1684">
      <c r="A1684" s="9" t="str">
        <f>IFERROR(__xludf.DUMMYFUNCTION("""COMPUTED_VALUE"""),"Oise")</f>
        <v>Oise</v>
      </c>
      <c r="B1684" s="9" t="str">
        <f>IFERROR(__xludf.DUMMYFUNCTION("""COMPUTED_VALUE"""),"fr-60")</f>
        <v>fr-60</v>
      </c>
      <c r="C1684" s="9" t="str">
        <f>IFERROR(__xludf.DUMMYFUNCTION("GOOGLETRANSLATE($A1684,""en"",""de"")"),"Oise")</f>
        <v>Oise</v>
      </c>
      <c r="D1684" s="9" t="str">
        <f>IFERROR(__xludf.DUMMYFUNCTION("GOOGLETRANSLATE($A1684,""en"",""fr"")"),"Oise")</f>
        <v>Oise</v>
      </c>
      <c r="E1684" s="9" t="str">
        <f>IFERROR(__xludf.DUMMYFUNCTION("GOOGLETRANSLATE($A1684,""en"",""es"")"),"Oise")</f>
        <v>Oise</v>
      </c>
      <c r="F1684" s="9" t="str">
        <f>IFERROR(__xludf.DUMMYFUNCTION("GOOGLETRANSLATE($A1684,""en"",""it"")"),"Oise")</f>
        <v>Oise</v>
      </c>
      <c r="G1684" s="9" t="str">
        <f>IFERROR(__xludf.DUMMYFUNCTION("GOOGLETRANSLATE($A1684,""en"",""zh-cn"")"),"瓦兹")</f>
        <v>瓦兹</v>
      </c>
      <c r="H1684" s="9" t="str">
        <f>IFERROR(__xludf.DUMMYFUNCTION("GOOGLETRANSLATE($A1684,""en"",""ja"")"),"オワーズ")</f>
        <v>オワーズ</v>
      </c>
      <c r="I1684" s="9" t="str">
        <f>IFERROR(__xludf.DUMMYFUNCTION("GOOGLETRANSLATE($A1684,""en"",""ko"")"),"우아즈")</f>
        <v>우아즈</v>
      </c>
      <c r="J1684" s="9" t="str">
        <f>IFERROR(__xludf.DUMMYFUNCTION("GOOGLETRANSLATE($A1684,""en"",""pt-BR"")"),"Oise")</f>
        <v>Oise</v>
      </c>
    </row>
    <row r="1685">
      <c r="A1685" s="9" t="str">
        <f>IFERROR(__xludf.DUMMYFUNCTION("""COMPUTED_VALUE"""),"Orne")</f>
        <v>Orne</v>
      </c>
      <c r="B1685" s="9" t="str">
        <f>IFERROR(__xludf.DUMMYFUNCTION("""COMPUTED_VALUE"""),"fr-61")</f>
        <v>fr-61</v>
      </c>
      <c r="C1685" s="9" t="str">
        <f>IFERROR(__xludf.DUMMYFUNCTION("GOOGLETRANSLATE($A1685,""en"",""de"")"),"Orne")</f>
        <v>Orne</v>
      </c>
      <c r="D1685" s="9" t="str">
        <f>IFERROR(__xludf.DUMMYFUNCTION("GOOGLETRANSLATE($A1685,""en"",""fr"")"),"Orné")</f>
        <v>Orné</v>
      </c>
      <c r="E1685" s="9" t="str">
        <f>IFERROR(__xludf.DUMMYFUNCTION("GOOGLETRANSLATE($A1685,""en"",""es"")"),"Orne")</f>
        <v>Orne</v>
      </c>
      <c r="F1685" s="9" t="str">
        <f>IFERROR(__xludf.DUMMYFUNCTION("GOOGLETRANSLATE($A1685,""en"",""it"")"),"Orne")</f>
        <v>Orne</v>
      </c>
      <c r="G1685" s="9" t="str">
        <f>IFERROR(__xludf.DUMMYFUNCTION("GOOGLETRANSLATE($A1685,""en"",""zh-cn"")"),"奥恩省")</f>
        <v>奥恩省</v>
      </c>
      <c r="H1685" s="9" t="str">
        <f>IFERROR(__xludf.DUMMYFUNCTION("GOOGLETRANSLATE($A1685,""en"",""ja"")"),"オルヌ")</f>
        <v>オルヌ</v>
      </c>
      <c r="I1685" s="9" t="str">
        <f>IFERROR(__xludf.DUMMYFUNCTION("GOOGLETRANSLATE($A1685,""en"",""ko"")"),"오른")</f>
        <v>오른</v>
      </c>
      <c r="J1685" s="9" t="str">
        <f>IFERROR(__xludf.DUMMYFUNCTION("GOOGLETRANSLATE($A1685,""en"",""pt-BR"")"),"Orne")</f>
        <v>Orne</v>
      </c>
    </row>
    <row r="1686">
      <c r="A1686" s="9" t="str">
        <f>IFERROR(__xludf.DUMMYFUNCTION("""COMPUTED_VALUE"""),"Meurthe-et-Moselle")</f>
        <v>Meurthe-et-Moselle</v>
      </c>
      <c r="B1686" s="9" t="str">
        <f>IFERROR(__xludf.DUMMYFUNCTION("""COMPUTED_VALUE"""),"fr-54")</f>
        <v>fr-54</v>
      </c>
      <c r="C1686" s="9" t="str">
        <f>IFERROR(__xludf.DUMMYFUNCTION("GOOGLETRANSLATE($A1686,""en"",""de"")"),"Meurthe-et-Moselle")</f>
        <v>Meurthe-et-Moselle</v>
      </c>
      <c r="D1686" s="9" t="str">
        <f>IFERROR(__xludf.DUMMYFUNCTION("GOOGLETRANSLATE($A1686,""en"",""fr"")"),"Meurthe-et-Moselle")</f>
        <v>Meurthe-et-Moselle</v>
      </c>
      <c r="E1686" s="9" t="str">
        <f>IFERROR(__xludf.DUMMYFUNCTION("GOOGLETRANSLATE($A1686,""en"",""es"")"),"Meurthe y Mosela")</f>
        <v>Meurthe y Mosela</v>
      </c>
      <c r="F1686" s="9" t="str">
        <f>IFERROR(__xludf.DUMMYFUNCTION("GOOGLETRANSLATE($A1686,""en"",""it"")"),"Meurthe-et-Mosella")</f>
        <v>Meurthe-et-Mosella</v>
      </c>
      <c r="G1686" s="9" t="str">
        <f>IFERROR(__xludf.DUMMYFUNCTION("GOOGLETRANSLATE($A1686,""en"",""zh-cn"")"),"默尔特-摩泽尔省")</f>
        <v>默尔特-摩泽尔省</v>
      </c>
      <c r="H1686" s="9" t="str">
        <f>IFERROR(__xludf.DUMMYFUNCTION("GOOGLETRANSLATE($A1686,""en"",""ja"")"),"ムルト・エ・モーゼル")</f>
        <v>ムルト・エ・モーゼル</v>
      </c>
      <c r="I1686" s="9" t="str">
        <f>IFERROR(__xludf.DUMMYFUNCTION("GOOGLETRANSLATE($A1686,""en"",""ko"")"),"뫼르트에모젤")</f>
        <v>뫼르트에모젤</v>
      </c>
      <c r="J1686" s="9" t="str">
        <f>IFERROR(__xludf.DUMMYFUNCTION("GOOGLETRANSLATE($A1686,""en"",""pt-BR"")"),"Meurthe-et-Mosela")</f>
        <v>Meurthe-et-Mosela</v>
      </c>
    </row>
    <row r="1687">
      <c r="A1687" s="9" t="str">
        <f>IFERROR(__xludf.DUMMYFUNCTION("""COMPUTED_VALUE"""),"Meuse")</f>
        <v>Meuse</v>
      </c>
      <c r="B1687" s="9" t="str">
        <f>IFERROR(__xludf.DUMMYFUNCTION("""COMPUTED_VALUE"""),"fr-55")</f>
        <v>fr-55</v>
      </c>
      <c r="C1687" s="9" t="str">
        <f>IFERROR(__xludf.DUMMYFUNCTION("GOOGLETRANSLATE($A1687,""en"",""de"")"),"Maas")</f>
        <v>Maas</v>
      </c>
      <c r="D1687" s="9" t="str">
        <f>IFERROR(__xludf.DUMMYFUNCTION("GOOGLETRANSLATE($A1687,""en"",""fr"")"),"Meuse")</f>
        <v>Meuse</v>
      </c>
      <c r="E1687" s="9" t="str">
        <f>IFERROR(__xludf.DUMMYFUNCTION("GOOGLETRANSLATE($A1687,""en"",""es"")"),"Mosa")</f>
        <v>Mosa</v>
      </c>
      <c r="F1687" s="9" t="str">
        <f>IFERROR(__xludf.DUMMYFUNCTION("GOOGLETRANSLATE($A1687,""en"",""it"")"),"Mosa")</f>
        <v>Mosa</v>
      </c>
      <c r="G1687" s="9" t="str">
        <f>IFERROR(__xludf.DUMMYFUNCTION("GOOGLETRANSLATE($A1687,""en"",""zh-cn"")"),"默兹")</f>
        <v>默兹</v>
      </c>
      <c r="H1687" s="9" t="str">
        <f>IFERROR(__xludf.DUMMYFUNCTION("GOOGLETRANSLATE($A1687,""en"",""ja"")"),"ムーズ")</f>
        <v>ムーズ</v>
      </c>
      <c r="I1687" s="9" t="str">
        <f>IFERROR(__xludf.DUMMYFUNCTION("GOOGLETRANSLATE($A1687,""en"",""ko"")"),"뮤즈")</f>
        <v>뮤즈</v>
      </c>
      <c r="J1687" s="9" t="str">
        <f>IFERROR(__xludf.DUMMYFUNCTION("GOOGLETRANSLATE($A1687,""en"",""pt-BR"")"),"Mosa")</f>
        <v>Mosa</v>
      </c>
    </row>
    <row r="1688">
      <c r="A1688" s="9" t="str">
        <f>IFERROR(__xludf.DUMMYFUNCTION("""COMPUTED_VALUE"""),"Morbihan")</f>
        <v>Morbihan</v>
      </c>
      <c r="B1688" s="9" t="str">
        <f>IFERROR(__xludf.DUMMYFUNCTION("""COMPUTED_VALUE"""),"fr-56")</f>
        <v>fr-56</v>
      </c>
      <c r="C1688" s="9" t="str">
        <f>IFERROR(__xludf.DUMMYFUNCTION("GOOGLETRANSLATE($A1688,""en"",""de"")"),"Morbihan")</f>
        <v>Morbihan</v>
      </c>
      <c r="D1688" s="9" t="str">
        <f>IFERROR(__xludf.DUMMYFUNCTION("GOOGLETRANSLATE($A1688,""en"",""fr"")"),"Morbihan")</f>
        <v>Morbihan</v>
      </c>
      <c r="E1688" s="9" t="str">
        <f>IFERROR(__xludf.DUMMYFUNCTION("GOOGLETRANSLATE($A1688,""en"",""es"")"),"Morbihan")</f>
        <v>Morbihan</v>
      </c>
      <c r="F1688" s="9" t="str">
        <f>IFERROR(__xludf.DUMMYFUNCTION("GOOGLETRANSLATE($A1688,""en"",""it"")"),"Morbihan")</f>
        <v>Morbihan</v>
      </c>
      <c r="G1688" s="9" t="str">
        <f>IFERROR(__xludf.DUMMYFUNCTION("GOOGLETRANSLATE($A1688,""en"",""zh-cn"")"),"莫尔比昂")</f>
        <v>莫尔比昂</v>
      </c>
      <c r="H1688" s="9" t="str">
        <f>IFERROR(__xludf.DUMMYFUNCTION("GOOGLETRANSLATE($A1688,""en"",""ja"")"),"モルビアン")</f>
        <v>モルビアン</v>
      </c>
      <c r="I1688" s="9" t="str">
        <f>IFERROR(__xludf.DUMMYFUNCTION("GOOGLETRANSLATE($A1688,""en"",""ko"")"),"모르비앙")</f>
        <v>모르비앙</v>
      </c>
      <c r="J1688" s="9" t="str">
        <f>IFERROR(__xludf.DUMMYFUNCTION("GOOGLETRANSLATE($A1688,""en"",""pt-BR"")"),"Morbihan")</f>
        <v>Morbihan</v>
      </c>
    </row>
    <row r="1689">
      <c r="A1689" s="9" t="str">
        <f>IFERROR(__xludf.DUMMYFUNCTION("""COMPUTED_VALUE"""),"Moselle")</f>
        <v>Moselle</v>
      </c>
      <c r="B1689" s="9" t="str">
        <f>IFERROR(__xludf.DUMMYFUNCTION("""COMPUTED_VALUE"""),"fr-57")</f>
        <v>fr-57</v>
      </c>
      <c r="C1689" s="9" t="str">
        <f>IFERROR(__xludf.DUMMYFUNCTION("GOOGLETRANSLATE($A1689,""en"",""de"")"),"Mosel")</f>
        <v>Mosel</v>
      </c>
      <c r="D1689" s="9" t="str">
        <f>IFERROR(__xludf.DUMMYFUNCTION("GOOGLETRANSLATE($A1689,""en"",""fr"")"),"Moselle")</f>
        <v>Moselle</v>
      </c>
      <c r="E1689" s="9" t="str">
        <f>IFERROR(__xludf.DUMMYFUNCTION("GOOGLETRANSLATE($A1689,""en"",""es"")"),"Mosela")</f>
        <v>Mosela</v>
      </c>
      <c r="F1689" s="9" t="str">
        <f>IFERROR(__xludf.DUMMYFUNCTION("GOOGLETRANSLATE($A1689,""en"",""it"")"),"Mosella")</f>
        <v>Mosella</v>
      </c>
      <c r="G1689" s="9" t="str">
        <f>IFERROR(__xludf.DUMMYFUNCTION("GOOGLETRANSLATE($A1689,""en"",""zh-cn"")"),"摩泽尔")</f>
        <v>摩泽尔</v>
      </c>
      <c r="H1689" s="9" t="str">
        <f>IFERROR(__xludf.DUMMYFUNCTION("GOOGLETRANSLATE($A1689,""en"",""ja"")"),"モーゼル")</f>
        <v>モーゼル</v>
      </c>
      <c r="I1689" s="9" t="str">
        <f>IFERROR(__xludf.DUMMYFUNCTION("GOOGLETRANSLATE($A1689,""en"",""ko"")"),"모젤 강")</f>
        <v>모젤 강</v>
      </c>
      <c r="J1689" s="9" t="str">
        <f>IFERROR(__xludf.DUMMYFUNCTION("GOOGLETRANSLATE($A1689,""en"",""pt-BR"")"),"Mosela")</f>
        <v>Mosela</v>
      </c>
    </row>
    <row r="1690">
      <c r="A1690" s="9" t="str">
        <f>IFERROR(__xludf.DUMMYFUNCTION("""COMPUTED_VALUE"""),"Savoie")</f>
        <v>Savoie</v>
      </c>
      <c r="B1690" s="9" t="str">
        <f>IFERROR(__xludf.DUMMYFUNCTION("""COMPUTED_VALUE"""),"fr-73")</f>
        <v>fr-73</v>
      </c>
      <c r="C1690" s="9" t="str">
        <f>IFERROR(__xludf.DUMMYFUNCTION("GOOGLETRANSLATE($A1690,""en"",""de"")"),"Savoyen")</f>
        <v>Savoyen</v>
      </c>
      <c r="D1690" s="9" t="str">
        <f>IFERROR(__xludf.DUMMYFUNCTION("GOOGLETRANSLATE($A1690,""en"",""fr"")"),"Savoie")</f>
        <v>Savoie</v>
      </c>
      <c r="E1690" s="9" t="str">
        <f>IFERROR(__xludf.DUMMYFUNCTION("GOOGLETRANSLATE($A1690,""en"",""es"")"),"Saboya")</f>
        <v>Saboya</v>
      </c>
      <c r="F1690" s="9" t="str">
        <f>IFERROR(__xludf.DUMMYFUNCTION("GOOGLETRANSLATE($A1690,""en"",""it"")"),"Savoia")</f>
        <v>Savoia</v>
      </c>
      <c r="G1690" s="9" t="str">
        <f>IFERROR(__xludf.DUMMYFUNCTION("GOOGLETRANSLATE($A1690,""en"",""zh-cn"")"),"萨瓦省")</f>
        <v>萨瓦省</v>
      </c>
      <c r="H1690" s="9" t="str">
        <f>IFERROR(__xludf.DUMMYFUNCTION("GOOGLETRANSLATE($A1690,""en"",""ja"")"),"サヴォワ")</f>
        <v>サヴォワ</v>
      </c>
      <c r="I1690" s="9" t="str">
        <f>IFERROR(__xludf.DUMMYFUNCTION("GOOGLETRANSLATE($A1690,""en"",""ko"")"),"사부아")</f>
        <v>사부아</v>
      </c>
      <c r="J1690" s="9" t="str">
        <f>IFERROR(__xludf.DUMMYFUNCTION("GOOGLETRANSLATE($A1690,""en"",""pt-BR"")"),"Sabóia")</f>
        <v>Sabóia</v>
      </c>
    </row>
    <row r="1691">
      <c r="A1691" s="9" t="str">
        <f>IFERROR(__xludf.DUMMYFUNCTION("""COMPUTED_VALUE"""),"Seine-et-Marne")</f>
        <v>Seine-et-Marne</v>
      </c>
      <c r="B1691" s="9" t="str">
        <f>IFERROR(__xludf.DUMMYFUNCTION("""COMPUTED_VALUE"""),"fr-77")</f>
        <v>fr-77</v>
      </c>
      <c r="C1691" s="9" t="str">
        <f>IFERROR(__xludf.DUMMYFUNCTION("GOOGLETRANSLATE($A1691,""en"",""de"")"),"Seine-et-Marne")</f>
        <v>Seine-et-Marne</v>
      </c>
      <c r="D1691" s="9" t="str">
        <f>IFERROR(__xludf.DUMMYFUNCTION("GOOGLETRANSLATE($A1691,""en"",""fr"")"),"Seine-et-Marne")</f>
        <v>Seine-et-Marne</v>
      </c>
      <c r="E1691" s="9" t="str">
        <f>IFERROR(__xludf.DUMMYFUNCTION("GOOGLETRANSLATE($A1691,""en"",""es"")"),"Sena y Marne")</f>
        <v>Sena y Marne</v>
      </c>
      <c r="F1691" s="9" t="str">
        <f>IFERROR(__xludf.DUMMYFUNCTION("GOOGLETRANSLATE($A1691,""en"",""it"")"),"Senna e Marna")</f>
        <v>Senna e Marna</v>
      </c>
      <c r="G1691" s="9" t="str">
        <f>IFERROR(__xludf.DUMMYFUNCTION("GOOGLETRANSLATE($A1691,""en"",""zh-cn"")"),"塞纳-马恩省")</f>
        <v>塞纳-马恩省</v>
      </c>
      <c r="H1691" s="9" t="str">
        <f>IFERROR(__xludf.DUMMYFUNCTION("GOOGLETRANSLATE($A1691,""en"",""ja"")"),"セーヌ・エ・マルヌ県")</f>
        <v>セーヌ・エ・マルヌ県</v>
      </c>
      <c r="I1691" s="9" t="str">
        <f>IFERROR(__xludf.DUMMYFUNCTION("GOOGLETRANSLATE($A1691,""en"",""ko"")"),"센에마른")</f>
        <v>센에마른</v>
      </c>
      <c r="J1691" s="9" t="str">
        <f>IFERROR(__xludf.DUMMYFUNCTION("GOOGLETRANSLATE($A1691,""en"",""pt-BR"")"),"Sena e Marne")</f>
        <v>Sena e Marne</v>
      </c>
    </row>
    <row r="1692">
      <c r="A1692" s="9" t="str">
        <f>IFERROR(__xludf.DUMMYFUNCTION("""COMPUTED_VALUE"""),"Haut-Rhin")</f>
        <v>Haut-Rhin</v>
      </c>
      <c r="B1692" s="9" t="str">
        <f>IFERROR(__xludf.DUMMYFUNCTION("""COMPUTED_VALUE"""),"fr-68")</f>
        <v>fr-68</v>
      </c>
      <c r="C1692" s="9" t="str">
        <f>IFERROR(__xludf.DUMMYFUNCTION("GOOGLETRANSLATE($A1692,""en"",""de"")"),"Haut-Rhin")</f>
        <v>Haut-Rhin</v>
      </c>
      <c r="D1692" s="9" t="str">
        <f>IFERROR(__xludf.DUMMYFUNCTION("GOOGLETRANSLATE($A1692,""en"",""fr"")"),"Haut Rhin")</f>
        <v>Haut Rhin</v>
      </c>
      <c r="E1692" s="9" t="str">
        <f>IFERROR(__xludf.DUMMYFUNCTION("GOOGLETRANSLATE($A1692,""en"",""es"")"),"Alto Rin")</f>
        <v>Alto Rin</v>
      </c>
      <c r="F1692" s="9" t="str">
        <f>IFERROR(__xludf.DUMMYFUNCTION("GOOGLETRANSLATE($A1692,""en"",""it"")"),"Alto Reno")</f>
        <v>Alto Reno</v>
      </c>
      <c r="G1692" s="9" t="str">
        <f>IFERROR(__xludf.DUMMYFUNCTION("GOOGLETRANSLATE($A1692,""en"",""zh-cn"")"),"上莱茵省")</f>
        <v>上莱茵省</v>
      </c>
      <c r="H1692" s="9" t="str">
        <f>IFERROR(__xludf.DUMMYFUNCTION("GOOGLETRANSLATE($A1692,""en"",""ja"")"),"オーラン")</f>
        <v>オーラン</v>
      </c>
      <c r="I1692" s="9" t="str">
        <f>IFERROR(__xludf.DUMMYFUNCTION("GOOGLETRANSLATE($A1692,""en"",""ko"")"),"오랭")</f>
        <v>오랭</v>
      </c>
      <c r="J1692" s="9" t="str">
        <f>IFERROR(__xludf.DUMMYFUNCTION("GOOGLETRANSLATE($A1692,""en"",""pt-BR"")"),"Alto Reno")</f>
        <v>Alto Reno</v>
      </c>
    </row>
    <row r="1693">
      <c r="A1693" s="9" t="str">
        <f>IFERROR(__xludf.DUMMYFUNCTION("""COMPUTED_VALUE"""),"Hauts-de-Seine")</f>
        <v>Hauts-de-Seine</v>
      </c>
      <c r="B1693" s="9" t="str">
        <f>IFERROR(__xludf.DUMMYFUNCTION("""COMPUTED_VALUE"""),"fr-92")</f>
        <v>fr-92</v>
      </c>
      <c r="C1693" s="9" t="str">
        <f>IFERROR(__xludf.DUMMYFUNCTION("GOOGLETRANSLATE($A1693,""en"",""de"")"),"Hauts-de-Seine")</f>
        <v>Hauts-de-Seine</v>
      </c>
      <c r="D1693" s="9" t="str">
        <f>IFERROR(__xludf.DUMMYFUNCTION("GOOGLETRANSLATE($A1693,""en"",""fr"")"),"Hauts de Seine")</f>
        <v>Hauts de Seine</v>
      </c>
      <c r="E1693" s="9" t="str">
        <f>IFERROR(__xludf.DUMMYFUNCTION("GOOGLETRANSLATE($A1693,""en"",""es"")"),"Altos del Sena")</f>
        <v>Altos del Sena</v>
      </c>
      <c r="F1693" s="9" t="str">
        <f>IFERROR(__xludf.DUMMYFUNCTION("GOOGLETRANSLATE($A1693,""en"",""it"")"),"Hauts-de-Seine")</f>
        <v>Hauts-de-Seine</v>
      </c>
      <c r="G1693" s="9" t="str">
        <f>IFERROR(__xludf.DUMMYFUNCTION("GOOGLETRANSLATE($A1693,""en"",""zh-cn"")"),"上塞纳省")</f>
        <v>上塞纳省</v>
      </c>
      <c r="H1693" s="9" t="str">
        <f>IFERROR(__xludf.DUMMYFUNCTION("GOOGLETRANSLATE($A1693,""en"",""ja"")"),"オー ド セーヌ")</f>
        <v>オー ド セーヌ</v>
      </c>
      <c r="I1693" s="9" t="str">
        <f>IFERROR(__xludf.DUMMYFUNCTION("GOOGLETRANSLATE($A1693,""en"",""ko"")"),"오드센")</f>
        <v>오드센</v>
      </c>
      <c r="J1693" s="9" t="str">
        <f>IFERROR(__xludf.DUMMYFUNCTION("GOOGLETRANSLATE($A1693,""en"",""pt-BR"")"),"Altos do Sena")</f>
        <v>Altos do Sena</v>
      </c>
    </row>
    <row r="1694">
      <c r="A1694" s="9" t="str">
        <f>IFERROR(__xludf.DUMMYFUNCTION("""COMPUTED_VALUE"""),"Hérault")</f>
        <v>Hérault</v>
      </c>
      <c r="B1694" s="9" t="str">
        <f>IFERROR(__xludf.DUMMYFUNCTION("""COMPUTED_VALUE"""),"fr-34")</f>
        <v>fr-34</v>
      </c>
      <c r="C1694" s="9" t="str">
        <f>IFERROR(__xludf.DUMMYFUNCTION("GOOGLETRANSLATE($A1694,""en"",""de"")"),"Hérault")</f>
        <v>Hérault</v>
      </c>
      <c r="D1694" s="9" t="str">
        <f>IFERROR(__xludf.DUMMYFUNCTION("GOOGLETRANSLATE($A1694,""en"",""fr"")"),"Hérault")</f>
        <v>Hérault</v>
      </c>
      <c r="E1694" s="9" t="str">
        <f>IFERROR(__xludf.DUMMYFUNCTION("GOOGLETRANSLATE($A1694,""en"",""es"")"),"Herault")</f>
        <v>Herault</v>
      </c>
      <c r="F1694" s="9" t="str">
        <f>IFERROR(__xludf.DUMMYFUNCTION("GOOGLETRANSLATE($A1694,""en"",""it"")"),"Hérault")</f>
        <v>Hérault</v>
      </c>
      <c r="G1694" s="9" t="str">
        <f>IFERROR(__xludf.DUMMYFUNCTION("GOOGLETRANSLATE($A1694,""en"",""zh-cn"")"),"埃罗")</f>
        <v>埃罗</v>
      </c>
      <c r="H1694" s="9" t="str">
        <f>IFERROR(__xludf.DUMMYFUNCTION("GOOGLETRANSLATE($A1694,""en"",""ja"")"),"エロー")</f>
        <v>エロー</v>
      </c>
      <c r="I1694" s="9" t="str">
        <f>IFERROR(__xludf.DUMMYFUNCTION("GOOGLETRANSLATE($A1694,""en"",""ko"")"),"에로")</f>
        <v>에로</v>
      </c>
      <c r="J1694" s="9" t="str">
        <f>IFERROR(__xludf.DUMMYFUNCTION("GOOGLETRANSLATE($A1694,""en"",""pt-BR"")"),"Hérault")</f>
        <v>Hérault</v>
      </c>
    </row>
    <row r="1695">
      <c r="A1695" s="9" t="str">
        <f>IFERROR(__xludf.DUMMYFUNCTION("""COMPUTED_VALUE"""),"Ille-et-Vilaine")</f>
        <v>Ille-et-Vilaine</v>
      </c>
      <c r="B1695" s="9" t="str">
        <f>IFERROR(__xludf.DUMMYFUNCTION("""COMPUTED_VALUE"""),"fr-35")</f>
        <v>fr-35</v>
      </c>
      <c r="C1695" s="9" t="str">
        <f>IFERROR(__xludf.DUMMYFUNCTION("GOOGLETRANSLATE($A1695,""en"",""de"")"),"Ille-et-Vilaine")</f>
        <v>Ille-et-Vilaine</v>
      </c>
      <c r="D1695" s="9" t="str">
        <f>IFERROR(__xludf.DUMMYFUNCTION("GOOGLETRANSLATE($A1695,""en"",""fr"")"),"Ille-et-Vilaine")</f>
        <v>Ille-et-Vilaine</v>
      </c>
      <c r="E1695" s="9" t="str">
        <f>IFERROR(__xludf.DUMMYFUNCTION("GOOGLETRANSLATE($A1695,""en"",""es"")"),"Ille y Vilaine")</f>
        <v>Ille y Vilaine</v>
      </c>
      <c r="F1695" s="9" t="str">
        <f>IFERROR(__xludf.DUMMYFUNCTION("GOOGLETRANSLATE($A1695,""en"",""it"")"),"Ille-et-Vilaine")</f>
        <v>Ille-et-Vilaine</v>
      </c>
      <c r="G1695" s="9" t="str">
        <f>IFERROR(__xludf.DUMMYFUNCTION("GOOGLETRANSLATE($A1695,""en"",""zh-cn"")"),"伊勒-维莱讷省")</f>
        <v>伊勒-维莱讷省</v>
      </c>
      <c r="H1695" s="9" t="str">
        <f>IFERROR(__xludf.DUMMYFUNCTION("GOOGLETRANSLATE($A1695,""en"",""ja"")"),"イル エ ヴィレーヌ")</f>
        <v>イル エ ヴィレーヌ</v>
      </c>
      <c r="I1695" s="9" t="str">
        <f>IFERROR(__xludf.DUMMYFUNCTION("GOOGLETRANSLATE($A1695,""en"",""ko"")"),"일에빌렌")</f>
        <v>일에빌렌</v>
      </c>
      <c r="J1695" s="9" t="str">
        <f>IFERROR(__xludf.DUMMYFUNCTION("GOOGLETRANSLATE($A1695,""en"",""pt-BR"")"),"Ille-et-Vilaine")</f>
        <v>Ille-et-Vilaine</v>
      </c>
    </row>
    <row r="1696">
      <c r="A1696" s="9" t="str">
        <f>IFERROR(__xludf.DUMMYFUNCTION("""COMPUTED_VALUE"""),"Haute-Saône")</f>
        <v>Haute-Saône</v>
      </c>
      <c r="B1696" s="9" t="str">
        <f>IFERROR(__xludf.DUMMYFUNCTION("""COMPUTED_VALUE"""),"fr-70")</f>
        <v>fr-70</v>
      </c>
      <c r="C1696" s="9" t="str">
        <f>IFERROR(__xludf.DUMMYFUNCTION("GOOGLETRANSLATE($A1696,""en"",""de"")"),"Haute-Saône")</f>
        <v>Haute-Saône</v>
      </c>
      <c r="D1696" s="9" t="str">
        <f>IFERROR(__xludf.DUMMYFUNCTION("GOOGLETRANSLATE($A1696,""en"",""fr"")"),"Haute-Saône")</f>
        <v>Haute-Saône</v>
      </c>
      <c r="E1696" s="9" t="str">
        <f>IFERROR(__xludf.DUMMYFUNCTION("GOOGLETRANSLATE($A1696,""en"",""es"")"),"Alto Saona")</f>
        <v>Alto Saona</v>
      </c>
      <c r="F1696" s="9" t="str">
        <f>IFERROR(__xludf.DUMMYFUNCTION("GOOGLETRANSLATE($A1696,""en"",""it"")"),"Alta Saona")</f>
        <v>Alta Saona</v>
      </c>
      <c r="G1696" s="9" t="str">
        <f>IFERROR(__xludf.DUMMYFUNCTION("GOOGLETRANSLATE($A1696,""en"",""zh-cn"")"),"上索恩省")</f>
        <v>上索恩省</v>
      </c>
      <c r="H1696" s="9" t="str">
        <f>IFERROR(__xludf.DUMMYFUNCTION("GOOGLETRANSLATE($A1696,""en"",""ja"")"),"オートソーヌ")</f>
        <v>オートソーヌ</v>
      </c>
      <c r="I1696" s="9" t="str">
        <f>IFERROR(__xludf.DUMMYFUNCTION("GOOGLETRANSLATE($A1696,""en"",""ko"")"),"오트손")</f>
        <v>오트손</v>
      </c>
      <c r="J1696" s="9" t="str">
        <f>IFERROR(__xludf.DUMMYFUNCTION("GOOGLETRANSLATE($A1696,""en"",""pt-BR"")"),"Alto Saône")</f>
        <v>Alto Saône</v>
      </c>
    </row>
    <row r="1697">
      <c r="A1697" s="9" t="str">
        <f>IFERROR(__xludf.DUMMYFUNCTION("""COMPUTED_VALUE"""),"Haute-Savoie")</f>
        <v>Haute-Savoie</v>
      </c>
      <c r="B1697" s="9" t="str">
        <f>IFERROR(__xludf.DUMMYFUNCTION("""COMPUTED_VALUE"""),"fr-74")</f>
        <v>fr-74</v>
      </c>
      <c r="C1697" s="9" t="str">
        <f>IFERROR(__xludf.DUMMYFUNCTION("GOOGLETRANSLATE($A1697,""en"",""de"")"),"Haute-Savoie")</f>
        <v>Haute-Savoie</v>
      </c>
      <c r="D1697" s="9" t="str">
        <f>IFERROR(__xludf.DUMMYFUNCTION("GOOGLETRANSLATE($A1697,""en"",""fr"")"),"Haute Savoie")</f>
        <v>Haute Savoie</v>
      </c>
      <c r="E1697" s="9" t="str">
        <f>IFERROR(__xludf.DUMMYFUNCTION("GOOGLETRANSLATE($A1697,""en"",""es"")"),"Alta Saboya")</f>
        <v>Alta Saboya</v>
      </c>
      <c r="F1697" s="9" t="str">
        <f>IFERROR(__xludf.DUMMYFUNCTION("GOOGLETRANSLATE($A1697,""en"",""it"")"),"Alta Savoia")</f>
        <v>Alta Savoia</v>
      </c>
      <c r="G1697" s="9" t="str">
        <f>IFERROR(__xludf.DUMMYFUNCTION("GOOGLETRANSLATE($A1697,""en"",""zh-cn"")"),"上萨瓦省")</f>
        <v>上萨瓦省</v>
      </c>
      <c r="H1697" s="9" t="str">
        <f>IFERROR(__xludf.DUMMYFUNCTION("GOOGLETRANSLATE($A1697,""en"",""ja"")"),"オートサボア")</f>
        <v>オートサボア</v>
      </c>
      <c r="I1697" s="9" t="str">
        <f>IFERROR(__xludf.DUMMYFUNCTION("GOOGLETRANSLATE($A1697,""en"",""ko"")"),"오트사부아")</f>
        <v>오트사부아</v>
      </c>
      <c r="J1697" s="9" t="str">
        <f>IFERROR(__xludf.DUMMYFUNCTION("GOOGLETRANSLATE($A1697,""en"",""pt-BR"")"),"Alta Sabóia")</f>
        <v>Alta Sabóia</v>
      </c>
    </row>
    <row r="1698">
      <c r="A1698" s="9" t="str">
        <f>IFERROR(__xludf.DUMMYFUNCTION("""COMPUTED_VALUE"""),"Hautes-Pyrénées")</f>
        <v>Hautes-Pyrénées</v>
      </c>
      <c r="B1698" s="9" t="str">
        <f>IFERROR(__xludf.DUMMYFUNCTION("""COMPUTED_VALUE"""),"fr-65")</f>
        <v>fr-65</v>
      </c>
      <c r="C1698" s="9" t="str">
        <f>IFERROR(__xludf.DUMMYFUNCTION("GOOGLETRANSLATE($A1698,""en"",""de"")"),"Hautes-Pyrénées")</f>
        <v>Hautes-Pyrénées</v>
      </c>
      <c r="D1698" s="9" t="str">
        <f>IFERROR(__xludf.DUMMYFUNCTION("GOOGLETRANSLATE($A1698,""en"",""fr"")"),"Hautes-Pyrénées")</f>
        <v>Hautes-Pyrénées</v>
      </c>
      <c r="E1698" s="9" t="str">
        <f>IFERROR(__xludf.DUMMYFUNCTION("GOOGLETRANSLATE($A1698,""en"",""es"")"),"Altos Pirineos")</f>
        <v>Altos Pirineos</v>
      </c>
      <c r="F1698" s="9" t="str">
        <f>IFERROR(__xludf.DUMMYFUNCTION("GOOGLETRANSLATE($A1698,""en"",""it"")"),"Alti Pirenei")</f>
        <v>Alti Pirenei</v>
      </c>
      <c r="G1698" s="9" t="str">
        <f>IFERROR(__xludf.DUMMYFUNCTION("GOOGLETRANSLATE($A1698,""en"",""zh-cn"")"),"上比利牛斯省")</f>
        <v>上比利牛斯省</v>
      </c>
      <c r="H1698" s="9" t="str">
        <f>IFERROR(__xludf.DUMMYFUNCTION("GOOGLETRANSLATE($A1698,""en"",""ja"")"),"オートピレネー")</f>
        <v>オートピレネー</v>
      </c>
      <c r="I1698" s="9" t="str">
        <f>IFERROR(__xludf.DUMMYFUNCTION("GOOGLETRANSLATE($A1698,""en"",""ko"")"),"오트-피레네")</f>
        <v>오트-피레네</v>
      </c>
      <c r="J1698" s="9" t="str">
        <f>IFERROR(__xludf.DUMMYFUNCTION("GOOGLETRANSLATE($A1698,""en"",""pt-BR"")"),"Altos Pirenéus")</f>
        <v>Altos Pirenéus</v>
      </c>
    </row>
    <row r="1699">
      <c r="A1699" s="9" t="str">
        <f>IFERROR(__xludf.DUMMYFUNCTION("""COMPUTED_VALUE"""),"Haute-Vienne")</f>
        <v>Haute-Vienne</v>
      </c>
      <c r="B1699" s="9" t="str">
        <f>IFERROR(__xludf.DUMMYFUNCTION("""COMPUTED_VALUE"""),"fr-87")</f>
        <v>fr-87</v>
      </c>
      <c r="C1699" s="9" t="str">
        <f>IFERROR(__xludf.DUMMYFUNCTION("GOOGLETRANSLATE($A1699,""en"",""de"")"),"Haute-Vienne")</f>
        <v>Haute-Vienne</v>
      </c>
      <c r="D1699" s="9" t="str">
        <f>IFERROR(__xludf.DUMMYFUNCTION("GOOGLETRANSLATE($A1699,""en"",""fr"")"),"Haute-Vienne")</f>
        <v>Haute-Vienne</v>
      </c>
      <c r="E1699" s="9" t="str">
        <f>IFERROR(__xludf.DUMMYFUNCTION("GOOGLETRANSLATE($A1699,""en"",""es"")"),"Alto Viena")</f>
        <v>Alto Viena</v>
      </c>
      <c r="F1699" s="9" t="str">
        <f>IFERROR(__xludf.DUMMYFUNCTION("GOOGLETRANSLATE($A1699,""en"",""it"")"),"Alta Vienna")</f>
        <v>Alta Vienna</v>
      </c>
      <c r="G1699" s="9" t="str">
        <f>IFERROR(__xludf.DUMMYFUNCTION("GOOGLETRANSLATE($A1699,""en"",""zh-cn"")"),"上维埃纳省")</f>
        <v>上维埃纳省</v>
      </c>
      <c r="H1699" s="9" t="str">
        <f>IFERROR(__xludf.DUMMYFUNCTION("GOOGLETRANSLATE($A1699,""en"",""ja"")"),"オートヴィエンヌ")</f>
        <v>オートヴィエンヌ</v>
      </c>
      <c r="I1699" s="9" t="str">
        <f>IFERROR(__xludf.DUMMYFUNCTION("GOOGLETRANSLATE($A1699,""en"",""ko"")"),"오트비엔")</f>
        <v>오트비엔</v>
      </c>
      <c r="J1699" s="9" t="str">
        <f>IFERROR(__xludf.DUMMYFUNCTION("GOOGLETRANSLATE($A1699,""en"",""pt-BR"")"),"Alta Viena")</f>
        <v>Alta Viena</v>
      </c>
    </row>
    <row r="1700">
      <c r="A1700" s="9" t="str">
        <f>IFERROR(__xludf.DUMMYFUNCTION("""COMPUTED_VALUE"""),"Haute-Garonne")</f>
        <v>Haute-Garonne</v>
      </c>
      <c r="B1700" s="9" t="str">
        <f>IFERROR(__xludf.DUMMYFUNCTION("""COMPUTED_VALUE"""),"fr-31")</f>
        <v>fr-31</v>
      </c>
      <c r="C1700" s="9" t="str">
        <f>IFERROR(__xludf.DUMMYFUNCTION("GOOGLETRANSLATE($A1700,""en"",""de"")"),"Haute-Garonne")</f>
        <v>Haute-Garonne</v>
      </c>
      <c r="D1700" s="9" t="str">
        <f>IFERROR(__xludf.DUMMYFUNCTION("GOOGLETRANSLATE($A1700,""en"",""fr"")"),"Haute Garonne")</f>
        <v>Haute Garonne</v>
      </c>
      <c r="E1700" s="9" t="str">
        <f>IFERROR(__xludf.DUMMYFUNCTION("GOOGLETRANSLATE($A1700,""en"",""es"")"),"Alto Garona")</f>
        <v>Alto Garona</v>
      </c>
      <c r="F1700" s="9" t="str">
        <f>IFERROR(__xludf.DUMMYFUNCTION("GOOGLETRANSLATE($A1700,""en"",""it"")"),"Alta Garonna")</f>
        <v>Alta Garonna</v>
      </c>
      <c r="G1700" s="9" t="str">
        <f>IFERROR(__xludf.DUMMYFUNCTION("GOOGLETRANSLATE($A1700,""en"",""zh-cn"")"),"上加龙省")</f>
        <v>上加龙省</v>
      </c>
      <c r="H1700" s="9" t="str">
        <f>IFERROR(__xludf.DUMMYFUNCTION("GOOGLETRANSLATE($A1700,""en"",""ja"")"),"オートガロンヌ県")</f>
        <v>オートガロンヌ県</v>
      </c>
      <c r="I1700" s="9" t="str">
        <f>IFERROR(__xludf.DUMMYFUNCTION("GOOGLETRANSLATE($A1700,""en"",""ko"")"),"오트가론")</f>
        <v>오트가론</v>
      </c>
      <c r="J1700" s="9" t="str">
        <f>IFERROR(__xludf.DUMMYFUNCTION("GOOGLETRANSLATE($A1700,""en"",""pt-BR"")"),"Alta Garona")</f>
        <v>Alta Garona</v>
      </c>
    </row>
    <row r="1701">
      <c r="A1701" s="9" t="str">
        <f>IFERROR(__xludf.DUMMYFUNCTION("""COMPUTED_VALUE"""),"Haute-Loire")</f>
        <v>Haute-Loire</v>
      </c>
      <c r="B1701" s="9" t="str">
        <f>IFERROR(__xludf.DUMMYFUNCTION("""COMPUTED_VALUE"""),"fr-43")</f>
        <v>fr-43</v>
      </c>
      <c r="C1701" s="9" t="str">
        <f>IFERROR(__xludf.DUMMYFUNCTION("GOOGLETRANSLATE($A1701,""en"",""de"")"),"Haute-Loire")</f>
        <v>Haute-Loire</v>
      </c>
      <c r="D1701" s="9" t="str">
        <f>IFERROR(__xludf.DUMMYFUNCTION("GOOGLETRANSLATE($A1701,""en"",""fr"")"),"Haute-Loire")</f>
        <v>Haute-Loire</v>
      </c>
      <c r="E1701" s="9" t="str">
        <f>IFERROR(__xludf.DUMMYFUNCTION("GOOGLETRANSLATE($A1701,""en"",""es"")"),"Alto Loira")</f>
        <v>Alto Loira</v>
      </c>
      <c r="F1701" s="9" t="str">
        <f>IFERROR(__xludf.DUMMYFUNCTION("GOOGLETRANSLATE($A1701,""en"",""it"")"),"Alta Loira")</f>
        <v>Alta Loira</v>
      </c>
      <c r="G1701" s="9" t="str">
        <f>IFERROR(__xludf.DUMMYFUNCTION("GOOGLETRANSLATE($A1701,""en"",""zh-cn"")"),"上卢瓦尔省")</f>
        <v>上卢瓦尔省</v>
      </c>
      <c r="H1701" s="9" t="str">
        <f>IFERROR(__xludf.DUMMYFUNCTION("GOOGLETRANSLATE($A1701,""en"",""ja"")"),"オートロワール")</f>
        <v>オートロワール</v>
      </c>
      <c r="I1701" s="9" t="str">
        <f>IFERROR(__xludf.DUMMYFUNCTION("GOOGLETRANSLATE($A1701,""en"",""ko"")"),"오트루아르")</f>
        <v>오트루아르</v>
      </c>
      <c r="J1701" s="9" t="str">
        <f>IFERROR(__xludf.DUMMYFUNCTION("GOOGLETRANSLATE($A1701,""en"",""pt-BR"")"),"Alto Loire")</f>
        <v>Alto Loire</v>
      </c>
    </row>
    <row r="1702">
      <c r="A1702" s="9" t="str">
        <f>IFERROR(__xludf.DUMMYFUNCTION("""COMPUTED_VALUE"""),"Haute-Marne")</f>
        <v>Haute-Marne</v>
      </c>
      <c r="B1702" s="9" t="str">
        <f>IFERROR(__xludf.DUMMYFUNCTION("""COMPUTED_VALUE"""),"fr-52")</f>
        <v>fr-52</v>
      </c>
      <c r="C1702" s="9" t="str">
        <f>IFERROR(__xludf.DUMMYFUNCTION("GOOGLETRANSLATE($A1702,""en"",""de"")"),"Haute-Marne")</f>
        <v>Haute-Marne</v>
      </c>
      <c r="D1702" s="9" t="str">
        <f>IFERROR(__xludf.DUMMYFUNCTION("GOOGLETRANSLATE($A1702,""en"",""fr"")"),"Haute Marne")</f>
        <v>Haute Marne</v>
      </c>
      <c r="E1702" s="9" t="str">
        <f>IFERROR(__xludf.DUMMYFUNCTION("GOOGLETRANSLATE($A1702,""en"",""es"")"),"Alto Marne")</f>
        <v>Alto Marne</v>
      </c>
      <c r="F1702" s="9" t="str">
        <f>IFERROR(__xludf.DUMMYFUNCTION("GOOGLETRANSLATE($A1702,""en"",""it"")"),"Alta Marna")</f>
        <v>Alta Marna</v>
      </c>
      <c r="G1702" s="9" t="str">
        <f>IFERROR(__xludf.DUMMYFUNCTION("GOOGLETRANSLATE($A1702,""en"",""zh-cn"")"),"上马恩省")</f>
        <v>上马恩省</v>
      </c>
      <c r="H1702" s="9" t="str">
        <f>IFERROR(__xludf.DUMMYFUNCTION("GOOGLETRANSLATE($A1702,""en"",""ja"")"),"オートマルヌ")</f>
        <v>オートマルヌ</v>
      </c>
      <c r="I1702" s="9" t="str">
        <f>IFERROR(__xludf.DUMMYFUNCTION("GOOGLETRANSLATE($A1702,""en"",""ko"")"),"오트마른")</f>
        <v>오트마른</v>
      </c>
      <c r="J1702" s="9" t="str">
        <f>IFERROR(__xludf.DUMMYFUNCTION("GOOGLETRANSLATE($A1702,""en"",""pt-BR"")"),"Alto Marne")</f>
        <v>Alto Marne</v>
      </c>
    </row>
    <row r="1703">
      <c r="A1703" s="9" t="str">
        <f>IFERROR(__xludf.DUMMYFUNCTION("""COMPUTED_VALUE"""),"Hautes-Alpes")</f>
        <v>Hautes-Alpes</v>
      </c>
      <c r="B1703" s="9" t="str">
        <f>IFERROR(__xludf.DUMMYFUNCTION("""COMPUTED_VALUE"""),"fr-05")</f>
        <v>fr-05</v>
      </c>
      <c r="C1703" s="9" t="str">
        <f>IFERROR(__xludf.DUMMYFUNCTION("GOOGLETRANSLATE($A1703,""en"",""de"")"),"Hautes-Alpes")</f>
        <v>Hautes-Alpes</v>
      </c>
      <c r="D1703" s="9" t="str">
        <f>IFERROR(__xludf.DUMMYFUNCTION("GOOGLETRANSLATE($A1703,""en"",""fr"")"),"Hautes-Alpes")</f>
        <v>Hautes-Alpes</v>
      </c>
      <c r="E1703" s="9" t="str">
        <f>IFERROR(__xludf.DUMMYFUNCTION("GOOGLETRANSLATE($A1703,""en"",""es"")"),"Altos Alpes")</f>
        <v>Altos Alpes</v>
      </c>
      <c r="F1703" s="9" t="str">
        <f>IFERROR(__xludf.DUMMYFUNCTION("GOOGLETRANSLATE($A1703,""en"",""it"")"),"Alte Alpi")</f>
        <v>Alte Alpi</v>
      </c>
      <c r="G1703" s="9" t="str">
        <f>IFERROR(__xludf.DUMMYFUNCTION("GOOGLETRANSLATE($A1703,""en"",""zh-cn"")"),"上阿尔卑斯省")</f>
        <v>上阿尔卑斯省</v>
      </c>
      <c r="H1703" s="9" t="str">
        <f>IFERROR(__xludf.DUMMYFUNCTION("GOOGLETRANSLATE($A1703,""en"",""ja"")"),"オートアルプ")</f>
        <v>オートアルプ</v>
      </c>
      <c r="I1703" s="9" t="str">
        <f>IFERROR(__xludf.DUMMYFUNCTION("GOOGLETRANSLATE($A1703,""en"",""ko"")"),"오트알프")</f>
        <v>오트알프</v>
      </c>
      <c r="J1703" s="9" t="str">
        <f>IFERROR(__xludf.DUMMYFUNCTION("GOOGLETRANSLATE($A1703,""en"",""pt-BR"")"),"Altos Alpes")</f>
        <v>Altos Alpes</v>
      </c>
    </row>
    <row r="1704">
      <c r="A1704" s="9" t="str">
        <f>IFERROR(__xludf.DUMMYFUNCTION("""COMPUTED_VALUE"""),"Gard")</f>
        <v>Gard</v>
      </c>
      <c r="B1704" s="9" t="str">
        <f>IFERROR(__xludf.DUMMYFUNCTION("""COMPUTED_VALUE"""),"fr-30")</f>
        <v>fr-30</v>
      </c>
      <c r="C1704" s="9" t="str">
        <f>IFERROR(__xludf.DUMMYFUNCTION("GOOGLETRANSLATE($A1704,""en"",""de"")"),"Gard")</f>
        <v>Gard</v>
      </c>
      <c r="D1704" s="9" t="str">
        <f>IFERROR(__xludf.DUMMYFUNCTION("GOOGLETRANSLATE($A1704,""en"",""fr"")"),"Gardien")</f>
        <v>Gardien</v>
      </c>
      <c r="E1704" s="9" t="str">
        <f>IFERROR(__xludf.DUMMYFUNCTION("GOOGLETRANSLATE($A1704,""en"",""es"")"),"jardín")</f>
        <v>jardín</v>
      </c>
      <c r="F1704" s="9" t="str">
        <f>IFERROR(__xludf.DUMMYFUNCTION("GOOGLETRANSLATE($A1704,""en"",""it"")"),"Gard")</f>
        <v>Gard</v>
      </c>
      <c r="G1704" s="9" t="str">
        <f>IFERROR(__xludf.DUMMYFUNCTION("GOOGLETRANSLATE($A1704,""en"",""zh-cn"")"),"加尔")</f>
        <v>加尔</v>
      </c>
      <c r="H1704" s="9" t="str">
        <f>IFERROR(__xludf.DUMMYFUNCTION("GOOGLETRANSLATE($A1704,""en"",""ja"")"),"ガード")</f>
        <v>ガード</v>
      </c>
      <c r="I1704" s="9" t="str">
        <f>IFERROR(__xludf.DUMMYFUNCTION("GOOGLETRANSLATE($A1704,""en"",""ko"")"),"가드")</f>
        <v>가드</v>
      </c>
      <c r="J1704" s="9" t="str">
        <f>IFERROR(__xludf.DUMMYFUNCTION("GOOGLETRANSLATE($A1704,""en"",""pt-BR"")"),"Jardim")</f>
        <v>Jardim</v>
      </c>
    </row>
    <row r="1705">
      <c r="A1705" s="9" t="str">
        <f>IFERROR(__xludf.DUMMYFUNCTION("""COMPUTED_VALUE"""),"Gers")</f>
        <v>Gers</v>
      </c>
      <c r="B1705" s="9" t="str">
        <f>IFERROR(__xludf.DUMMYFUNCTION("""COMPUTED_VALUE"""),"fr-32")</f>
        <v>fr-32</v>
      </c>
      <c r="C1705" s="9" t="str">
        <f>IFERROR(__xludf.DUMMYFUNCTION("GOOGLETRANSLATE($A1705,""en"",""de"")"),"Gers")</f>
        <v>Gers</v>
      </c>
      <c r="D1705" s="9" t="str">
        <f>IFERROR(__xludf.DUMMYFUNCTION("GOOGLETRANSLATE($A1705,""en"",""fr"")"),"Gers")</f>
        <v>Gers</v>
      </c>
      <c r="E1705" s="9" t="str">
        <f>IFERROR(__xludf.DUMMYFUNCTION("GOOGLETRANSLATE($A1705,""en"",""es"")"),"Gers")</f>
        <v>Gers</v>
      </c>
      <c r="F1705" s="9" t="str">
        <f>IFERROR(__xludf.DUMMYFUNCTION("GOOGLETRANSLATE($A1705,""en"",""it"")"),"Gers")</f>
        <v>Gers</v>
      </c>
      <c r="G1705" s="9" t="str">
        <f>IFERROR(__xludf.DUMMYFUNCTION("GOOGLETRANSLATE($A1705,""en"",""zh-cn"")"),"热尔人")</f>
        <v>热尔人</v>
      </c>
      <c r="H1705" s="9" t="str">
        <f>IFERROR(__xludf.DUMMYFUNCTION("GOOGLETRANSLATE($A1705,""en"",""ja"")"),"ジェール")</f>
        <v>ジェール</v>
      </c>
      <c r="I1705" s="9" t="str">
        <f>IFERROR(__xludf.DUMMYFUNCTION("GOOGLETRANSLATE($A1705,""en"",""ko"")"),"게르")</f>
        <v>게르</v>
      </c>
      <c r="J1705" s="9" t="str">
        <f>IFERROR(__xludf.DUMMYFUNCTION("GOOGLETRANSLATE($A1705,""en"",""pt-BR"")"),"Gers")</f>
        <v>Gers</v>
      </c>
    </row>
    <row r="1706">
      <c r="A1706" s="9" t="str">
        <f>IFERROR(__xludf.DUMMYFUNCTION("""COMPUTED_VALUE"""),"Gironde")</f>
        <v>Gironde</v>
      </c>
      <c r="B1706" s="9" t="str">
        <f>IFERROR(__xludf.DUMMYFUNCTION("""COMPUTED_VALUE"""),"fr-33")</f>
        <v>fr-33</v>
      </c>
      <c r="C1706" s="9" t="str">
        <f>IFERROR(__xludf.DUMMYFUNCTION("GOOGLETRANSLATE($A1706,""en"",""de"")"),"Gironde")</f>
        <v>Gironde</v>
      </c>
      <c r="D1706" s="9" t="str">
        <f>IFERROR(__xludf.DUMMYFUNCTION("GOOGLETRANSLATE($A1706,""en"",""fr"")"),"Gironde")</f>
        <v>Gironde</v>
      </c>
      <c r="E1706" s="9" t="str">
        <f>IFERROR(__xludf.DUMMYFUNCTION("GOOGLETRANSLATE($A1706,""en"",""es"")"),"Gironda")</f>
        <v>Gironda</v>
      </c>
      <c r="F1706" s="9" t="str">
        <f>IFERROR(__xludf.DUMMYFUNCTION("GOOGLETRANSLATE($A1706,""en"",""it"")"),"Gironda")</f>
        <v>Gironda</v>
      </c>
      <c r="G1706" s="9" t="str">
        <f>IFERROR(__xludf.DUMMYFUNCTION("GOOGLETRANSLATE($A1706,""en"",""zh-cn"")"),"吉伦特省")</f>
        <v>吉伦特省</v>
      </c>
      <c r="H1706" s="9" t="str">
        <f>IFERROR(__xludf.DUMMYFUNCTION("GOOGLETRANSLATE($A1706,""en"",""ja"")"),"ジロンド")</f>
        <v>ジロンド</v>
      </c>
      <c r="I1706" s="9" t="str">
        <f>IFERROR(__xludf.DUMMYFUNCTION("GOOGLETRANSLATE($A1706,""en"",""ko"")"),"지롱드")</f>
        <v>지롱드</v>
      </c>
      <c r="J1706" s="9" t="str">
        <f>IFERROR(__xludf.DUMMYFUNCTION("GOOGLETRANSLATE($A1706,""en"",""pt-BR"")"),"Gironda")</f>
        <v>Gironda</v>
      </c>
    </row>
    <row r="1707">
      <c r="A1707" s="9" t="str">
        <f>IFERROR(__xludf.DUMMYFUNCTION("""COMPUTED_VALUE"""),"Haute-Corse")</f>
        <v>Haute-Corse</v>
      </c>
      <c r="B1707" s="9" t="str">
        <f>IFERROR(__xludf.DUMMYFUNCTION("""COMPUTED_VALUE"""),"fr-2b")</f>
        <v>fr-2b</v>
      </c>
      <c r="C1707" s="9" t="str">
        <f>IFERROR(__xludf.DUMMYFUNCTION("GOOGLETRANSLATE($A1707,""en"",""de"")"),"Haute-Corse")</f>
        <v>Haute-Corse</v>
      </c>
      <c r="D1707" s="9" t="str">
        <f>IFERROR(__xludf.DUMMYFUNCTION("GOOGLETRANSLATE($A1707,""en"",""fr"")"),"Haute Corse")</f>
        <v>Haute Corse</v>
      </c>
      <c r="E1707" s="9" t="str">
        <f>IFERROR(__xludf.DUMMYFUNCTION("GOOGLETRANSLATE($A1707,""en"",""es"")"),"Alta Córcega")</f>
        <v>Alta Córcega</v>
      </c>
      <c r="F1707" s="9" t="str">
        <f>IFERROR(__xludf.DUMMYFUNCTION("GOOGLETRANSLATE($A1707,""en"",""it"")"),"Alta Corsica")</f>
        <v>Alta Corsica</v>
      </c>
      <c r="G1707" s="9" t="str">
        <f>IFERROR(__xludf.DUMMYFUNCTION("GOOGLETRANSLATE($A1707,""en"",""zh-cn"")"),"上科西嘉省")</f>
        <v>上科西嘉省</v>
      </c>
      <c r="H1707" s="9" t="str">
        <f>IFERROR(__xludf.DUMMYFUNCTION("GOOGLETRANSLATE($A1707,""en"",""ja"")"),"オートコルス")</f>
        <v>オートコルス</v>
      </c>
      <c r="I1707" s="9" t="str">
        <f>IFERROR(__xludf.DUMMYFUNCTION("GOOGLETRANSLATE($A1707,""en"",""ko"")"),"오트 코르스")</f>
        <v>오트 코르스</v>
      </c>
      <c r="J1707" s="9" t="str">
        <f>IFERROR(__xludf.DUMMYFUNCTION("GOOGLETRANSLATE($A1707,""en"",""pt-BR"")"),"Alta Córsega")</f>
        <v>Alta Córsega</v>
      </c>
    </row>
    <row r="1708">
      <c r="A1708" s="9" t="str">
        <f>IFERROR(__xludf.DUMMYFUNCTION("""COMPUTED_VALUE"""),"Aveyron")</f>
        <v>Aveyron</v>
      </c>
      <c r="B1708" s="9" t="str">
        <f>IFERROR(__xludf.DUMMYFUNCTION("""COMPUTED_VALUE"""),"fr-12")</f>
        <v>fr-12</v>
      </c>
      <c r="C1708" s="9" t="str">
        <f>IFERROR(__xludf.DUMMYFUNCTION("GOOGLETRANSLATE($A1708,""en"",""de"")"),"Aveyron")</f>
        <v>Aveyron</v>
      </c>
      <c r="D1708" s="9" t="str">
        <f>IFERROR(__xludf.DUMMYFUNCTION("GOOGLETRANSLATE($A1708,""en"",""fr"")"),"Aveyron")</f>
        <v>Aveyron</v>
      </c>
      <c r="E1708" s="9" t="str">
        <f>IFERROR(__xludf.DUMMYFUNCTION("GOOGLETRANSLATE($A1708,""en"",""es"")"),"Aveyron")</f>
        <v>Aveyron</v>
      </c>
      <c r="F1708" s="9" t="str">
        <f>IFERROR(__xludf.DUMMYFUNCTION("GOOGLETRANSLATE($A1708,""en"",""it"")"),"Aveyron")</f>
        <v>Aveyron</v>
      </c>
      <c r="G1708" s="9" t="str">
        <f>IFERROR(__xludf.DUMMYFUNCTION("GOOGLETRANSLATE($A1708,""en"",""zh-cn"")"),"阿韦龙")</f>
        <v>阿韦龙</v>
      </c>
      <c r="H1708" s="9" t="str">
        <f>IFERROR(__xludf.DUMMYFUNCTION("GOOGLETRANSLATE($A1708,""en"",""ja"")"),"アヴェロン")</f>
        <v>アヴェロン</v>
      </c>
      <c r="I1708" s="9" t="str">
        <f>IFERROR(__xludf.DUMMYFUNCTION("GOOGLETRANSLATE($A1708,""en"",""ko"")"),"아베롱")</f>
        <v>아베롱</v>
      </c>
      <c r="J1708" s="9" t="str">
        <f>IFERROR(__xludf.DUMMYFUNCTION("GOOGLETRANSLATE($A1708,""en"",""pt-BR"")"),"Aveyron")</f>
        <v>Aveyron</v>
      </c>
    </row>
    <row r="1709">
      <c r="A1709" s="9" t="str">
        <f>IFERROR(__xludf.DUMMYFUNCTION("""COMPUTED_VALUE"""),"Bas-Rhin")</f>
        <v>Bas-Rhin</v>
      </c>
      <c r="B1709" s="9" t="str">
        <f>IFERROR(__xludf.DUMMYFUNCTION("""COMPUTED_VALUE"""),"fr-67")</f>
        <v>fr-67</v>
      </c>
      <c r="C1709" s="9" t="str">
        <f>IFERROR(__xludf.DUMMYFUNCTION("GOOGLETRANSLATE($A1709,""en"",""de"")"),"Bas-Rhin")</f>
        <v>Bas-Rhin</v>
      </c>
      <c r="D1709" s="9" t="str">
        <f>IFERROR(__xludf.DUMMYFUNCTION("GOOGLETRANSLATE($A1709,""en"",""fr"")"),"Bas-Rhin")</f>
        <v>Bas-Rhin</v>
      </c>
      <c r="E1709" s="9" t="str">
        <f>IFERROR(__xludf.DUMMYFUNCTION("GOOGLETRANSLATE($A1709,""en"",""es"")"),"Bajo Rin")</f>
        <v>Bajo Rin</v>
      </c>
      <c r="F1709" s="9" t="str">
        <f>IFERROR(__xludf.DUMMYFUNCTION("GOOGLETRANSLATE($A1709,""en"",""it"")"),"Basso Reno")</f>
        <v>Basso Reno</v>
      </c>
      <c r="G1709" s="9" t="str">
        <f>IFERROR(__xludf.DUMMYFUNCTION("GOOGLETRANSLATE($A1709,""en"",""zh-cn"")"),"下莱茵省")</f>
        <v>下莱茵省</v>
      </c>
      <c r="H1709" s="9" t="str">
        <f>IFERROR(__xludf.DUMMYFUNCTION("GOOGLETRANSLATE($A1709,""en"",""ja"")"),"バラン")</f>
        <v>バラン</v>
      </c>
      <c r="I1709" s="9" t="str">
        <f>IFERROR(__xludf.DUMMYFUNCTION("GOOGLETRANSLATE($A1709,""en"",""ko"")"),"바랭")</f>
        <v>바랭</v>
      </c>
      <c r="J1709" s="9" t="str">
        <f>IFERROR(__xludf.DUMMYFUNCTION("GOOGLETRANSLATE($A1709,""en"",""pt-BR"")"),"Baixo Reno")</f>
        <v>Baixo Reno</v>
      </c>
    </row>
    <row r="1710">
      <c r="A1710" s="9" t="str">
        <f>IFERROR(__xludf.DUMMYFUNCTION("""COMPUTED_VALUE"""),"Bouches-du-Rhône")</f>
        <v>Bouches-du-Rhône</v>
      </c>
      <c r="B1710" s="9" t="str">
        <f>IFERROR(__xludf.DUMMYFUNCTION("""COMPUTED_VALUE"""),"fr-13")</f>
        <v>fr-13</v>
      </c>
      <c r="C1710" s="9" t="str">
        <f>IFERROR(__xludf.DUMMYFUNCTION("GOOGLETRANSLATE($A1710,""en"",""de"")"),"Bouches-du-Rhône")</f>
        <v>Bouches-du-Rhône</v>
      </c>
      <c r="D1710" s="9" t="str">
        <f>IFERROR(__xludf.DUMMYFUNCTION("GOOGLETRANSLATE($A1710,""en"",""fr"")"),"Bouches-du-Rhône")</f>
        <v>Bouches-du-Rhône</v>
      </c>
      <c r="E1710" s="9" t="str">
        <f>IFERROR(__xludf.DUMMYFUNCTION("GOOGLETRANSLATE($A1710,""en"",""es"")"),"Bocas del Ródano")</f>
        <v>Bocas del Ródano</v>
      </c>
      <c r="F1710" s="9" t="str">
        <f>IFERROR(__xludf.DUMMYFUNCTION("GOOGLETRANSLATE($A1710,""en"",""it"")"),"Bocche del Rodano")</f>
        <v>Bocche del Rodano</v>
      </c>
      <c r="G1710" s="9" t="str">
        <f>IFERROR(__xludf.DUMMYFUNCTION("GOOGLETRANSLATE($A1710,""en"",""zh-cn"")"),"罗讷河口省")</f>
        <v>罗讷河口省</v>
      </c>
      <c r="H1710" s="9" t="str">
        <f>IFERROR(__xludf.DUMMYFUNCTION("GOOGLETRANSLATE($A1710,""en"",""ja"")"),"ブーシュ デュ ローヌ")</f>
        <v>ブーシュ デュ ローヌ</v>
      </c>
      <c r="I1710" s="9" t="str">
        <f>IFERROR(__xludf.DUMMYFUNCTION("GOOGLETRANSLATE($A1710,""en"",""ko"")"),"부슈뒤론")</f>
        <v>부슈뒤론</v>
      </c>
      <c r="J1710" s="9" t="str">
        <f>IFERROR(__xludf.DUMMYFUNCTION("GOOGLETRANSLATE($A1710,""en"",""pt-BR"")"),"Bocas do Ródano")</f>
        <v>Bocas do Ródano</v>
      </c>
    </row>
    <row r="1711">
      <c r="A1711" s="9" t="str">
        <f>IFERROR(__xludf.DUMMYFUNCTION("""COMPUTED_VALUE"""),"Calvados")</f>
        <v>Calvados</v>
      </c>
      <c r="B1711" s="9" t="str">
        <f>IFERROR(__xludf.DUMMYFUNCTION("""COMPUTED_VALUE"""),"fr-14")</f>
        <v>fr-14</v>
      </c>
      <c r="C1711" s="9" t="str">
        <f>IFERROR(__xludf.DUMMYFUNCTION("GOOGLETRANSLATE($A1711,""en"",""de"")"),"Calvados")</f>
        <v>Calvados</v>
      </c>
      <c r="D1711" s="9" t="str">
        <f>IFERROR(__xludf.DUMMYFUNCTION("GOOGLETRANSLATE($A1711,""en"",""fr"")"),"Calvados")</f>
        <v>Calvados</v>
      </c>
      <c r="E1711" s="9" t="str">
        <f>IFERROR(__xludf.DUMMYFUNCTION("GOOGLETRANSLATE($A1711,""en"",""es"")"),"Calvados")</f>
        <v>Calvados</v>
      </c>
      <c r="F1711" s="9" t="str">
        <f>IFERROR(__xludf.DUMMYFUNCTION("GOOGLETRANSLATE($A1711,""en"",""it"")"),"Calvados")</f>
        <v>Calvados</v>
      </c>
      <c r="G1711" s="9" t="str">
        <f>IFERROR(__xludf.DUMMYFUNCTION("GOOGLETRANSLATE($A1711,""en"",""zh-cn"")"),"卡尔瓦多斯")</f>
        <v>卡尔瓦多斯</v>
      </c>
      <c r="H1711" s="9" t="str">
        <f>IFERROR(__xludf.DUMMYFUNCTION("GOOGLETRANSLATE($A1711,""en"",""ja"")"),"カルバドス")</f>
        <v>カルバドス</v>
      </c>
      <c r="I1711" s="9" t="str">
        <f>IFERROR(__xludf.DUMMYFUNCTION("GOOGLETRANSLATE($A1711,""en"",""ko"")"),"칼바도스")</f>
        <v>칼바도스</v>
      </c>
      <c r="J1711" s="9" t="str">
        <f>IFERROR(__xludf.DUMMYFUNCTION("GOOGLETRANSLATE($A1711,""en"",""pt-BR"")"),"Calvados")</f>
        <v>Calvados</v>
      </c>
    </row>
    <row r="1712">
      <c r="A1712" s="9" t="str">
        <f>IFERROR(__xludf.DUMMYFUNCTION("""COMPUTED_VALUE"""),"Ardennes")</f>
        <v>Ardennes</v>
      </c>
      <c r="B1712" s="9" t="str">
        <f>IFERROR(__xludf.DUMMYFUNCTION("""COMPUTED_VALUE"""),"fr-08")</f>
        <v>fr-08</v>
      </c>
      <c r="C1712" s="9" t="str">
        <f>IFERROR(__xludf.DUMMYFUNCTION("GOOGLETRANSLATE($A1712,""en"",""de"")"),"Ardennen")</f>
        <v>Ardennen</v>
      </c>
      <c r="D1712" s="9" t="str">
        <f>IFERROR(__xludf.DUMMYFUNCTION("GOOGLETRANSLATE($A1712,""en"",""fr"")"),"Ardennes")</f>
        <v>Ardennes</v>
      </c>
      <c r="E1712" s="9" t="str">
        <f>IFERROR(__xludf.DUMMYFUNCTION("GOOGLETRANSLATE($A1712,""en"",""es"")"),"Ardenas")</f>
        <v>Ardenas</v>
      </c>
      <c r="F1712" s="9" t="str">
        <f>IFERROR(__xludf.DUMMYFUNCTION("GOOGLETRANSLATE($A1712,""en"",""it"")"),"Ardenne")</f>
        <v>Ardenne</v>
      </c>
      <c r="G1712" s="9" t="str">
        <f>IFERROR(__xludf.DUMMYFUNCTION("GOOGLETRANSLATE($A1712,""en"",""zh-cn"")"),"阿登地区")</f>
        <v>阿登地区</v>
      </c>
      <c r="H1712" s="9" t="str">
        <f>IFERROR(__xludf.DUMMYFUNCTION("GOOGLETRANSLATE($A1712,""en"",""ja"")"),"アルデンヌ")</f>
        <v>アルデンヌ</v>
      </c>
      <c r="I1712" s="9" t="str">
        <f>IFERROR(__xludf.DUMMYFUNCTION("GOOGLETRANSLATE($A1712,""en"",""ko"")"),"아르덴")</f>
        <v>아르덴</v>
      </c>
      <c r="J1712" s="9" t="str">
        <f>IFERROR(__xludf.DUMMYFUNCTION("GOOGLETRANSLATE($A1712,""en"",""pt-BR"")"),"Ardenas")</f>
        <v>Ardenas</v>
      </c>
    </row>
    <row r="1713">
      <c r="A1713" s="9" t="str">
        <f>IFERROR(__xludf.DUMMYFUNCTION("""COMPUTED_VALUE"""),"Ariège")</f>
        <v>Ariège</v>
      </c>
      <c r="B1713" s="9" t="str">
        <f>IFERROR(__xludf.DUMMYFUNCTION("""COMPUTED_VALUE"""),"fr-09")</f>
        <v>fr-09</v>
      </c>
      <c r="C1713" s="9" t="str">
        <f>IFERROR(__xludf.DUMMYFUNCTION("GOOGLETRANSLATE($A1713,""en"",""de"")"),"Ariège")</f>
        <v>Ariège</v>
      </c>
      <c r="D1713" s="9" t="str">
        <f>IFERROR(__xludf.DUMMYFUNCTION("GOOGLETRANSLATE($A1713,""en"",""fr"")"),"Ariège")</f>
        <v>Ariège</v>
      </c>
      <c r="E1713" s="9" t="str">
        <f>IFERROR(__xludf.DUMMYFUNCTION("GOOGLETRANSLATE($A1713,""en"",""es"")"),"Arieja")</f>
        <v>Arieja</v>
      </c>
      <c r="F1713" s="9" t="str">
        <f>IFERROR(__xludf.DUMMYFUNCTION("GOOGLETRANSLATE($A1713,""en"",""it"")"),"Ariège")</f>
        <v>Ariège</v>
      </c>
      <c r="G1713" s="9" t="str">
        <f>IFERROR(__xludf.DUMMYFUNCTION("GOOGLETRANSLATE($A1713,""en"",""zh-cn"")"),"阿列日")</f>
        <v>阿列日</v>
      </c>
      <c r="H1713" s="9" t="str">
        <f>IFERROR(__xludf.DUMMYFUNCTION("GOOGLETRANSLATE($A1713,""en"",""ja"")"),"アリエージュ")</f>
        <v>アリエージュ</v>
      </c>
      <c r="I1713" s="9" t="str">
        <f>IFERROR(__xludf.DUMMYFUNCTION("GOOGLETRANSLATE($A1713,""en"",""ko"")"),"아리에주")</f>
        <v>아리에주</v>
      </c>
      <c r="J1713" s="9" t="str">
        <f>IFERROR(__xludf.DUMMYFUNCTION("GOOGLETRANSLATE($A1713,""en"",""pt-BR"")"),"Ariège")</f>
        <v>Ariège</v>
      </c>
    </row>
    <row r="1714">
      <c r="A1714" s="9" t="str">
        <f>IFERROR(__xludf.DUMMYFUNCTION("""COMPUTED_VALUE"""),"Aube")</f>
        <v>Aube</v>
      </c>
      <c r="B1714" s="9" t="str">
        <f>IFERROR(__xludf.DUMMYFUNCTION("""COMPUTED_VALUE"""),"fr-10")</f>
        <v>fr-10</v>
      </c>
      <c r="C1714" s="9" t="str">
        <f>IFERROR(__xludf.DUMMYFUNCTION("GOOGLETRANSLATE($A1714,""en"",""de"")"),"Aube")</f>
        <v>Aube</v>
      </c>
      <c r="D1714" s="9" t="str">
        <f>IFERROR(__xludf.DUMMYFUNCTION("GOOGLETRANSLATE($A1714,""en"",""fr"")"),"Aubé")</f>
        <v>Aubé</v>
      </c>
      <c r="E1714" s="9" t="str">
        <f>IFERROR(__xludf.DUMMYFUNCTION("GOOGLETRANSLATE($A1714,""en"",""es"")"),"Aube")</f>
        <v>Aube</v>
      </c>
      <c r="F1714" s="9" t="str">
        <f>IFERROR(__xludf.DUMMYFUNCTION("GOOGLETRANSLATE($A1714,""en"",""it"")"),"Aube")</f>
        <v>Aube</v>
      </c>
      <c r="G1714" s="9" t="str">
        <f>IFERROR(__xludf.DUMMYFUNCTION("GOOGLETRANSLATE($A1714,""en"",""zh-cn"")"),"奥布")</f>
        <v>奥布</v>
      </c>
      <c r="H1714" s="9" t="str">
        <f>IFERROR(__xludf.DUMMYFUNCTION("GOOGLETRANSLATE($A1714,""en"",""ja"")"),"オーブ")</f>
        <v>オーブ</v>
      </c>
      <c r="I1714" s="9" t="str">
        <f>IFERROR(__xludf.DUMMYFUNCTION("GOOGLETRANSLATE($A1714,""en"",""ko"")"),"오브")</f>
        <v>오브</v>
      </c>
      <c r="J1714" s="9" t="str">
        <f>IFERROR(__xludf.DUMMYFUNCTION("GOOGLETRANSLATE($A1714,""en"",""pt-BR"")"),"Aube")</f>
        <v>Aube</v>
      </c>
    </row>
    <row r="1715">
      <c r="A1715" s="9" t="str">
        <f>IFERROR(__xludf.DUMMYFUNCTION("""COMPUTED_VALUE"""),"Aude")</f>
        <v>Aude</v>
      </c>
      <c r="B1715" s="9" t="str">
        <f>IFERROR(__xludf.DUMMYFUNCTION("""COMPUTED_VALUE"""),"fr-11")</f>
        <v>fr-11</v>
      </c>
      <c r="C1715" s="9" t="str">
        <f>IFERROR(__xludf.DUMMYFUNCTION("GOOGLETRANSLATE($A1715,""en"",""de"")"),"Aude")</f>
        <v>Aude</v>
      </c>
      <c r="D1715" s="9" t="str">
        <f>IFERROR(__xludf.DUMMYFUNCTION("GOOGLETRANSLATE($A1715,""en"",""fr"")"),"Aude")</f>
        <v>Aude</v>
      </c>
      <c r="E1715" s="9" t="str">
        <f>IFERROR(__xludf.DUMMYFUNCTION("GOOGLETRANSLATE($A1715,""en"",""es"")"),"aude")</f>
        <v>aude</v>
      </c>
      <c r="F1715" s="9" t="str">
        <f>IFERROR(__xludf.DUMMYFUNCTION("GOOGLETRANSLATE($A1715,""en"",""it"")"),"Aude")</f>
        <v>Aude</v>
      </c>
      <c r="G1715" s="9" t="str">
        <f>IFERROR(__xludf.DUMMYFUNCTION("GOOGLETRANSLATE($A1715,""en"",""zh-cn"")"),"奥德")</f>
        <v>奥德</v>
      </c>
      <c r="H1715" s="9" t="str">
        <f>IFERROR(__xludf.DUMMYFUNCTION("GOOGLETRANSLATE($A1715,""en"",""ja"")"),"オード")</f>
        <v>オード</v>
      </c>
      <c r="I1715" s="9" t="str">
        <f>IFERROR(__xludf.DUMMYFUNCTION("GOOGLETRANSLATE($A1715,""en"",""ko"")"),"오드")</f>
        <v>오드</v>
      </c>
      <c r="J1715" s="9" t="str">
        <f>IFERROR(__xludf.DUMMYFUNCTION("GOOGLETRANSLATE($A1715,""en"",""pt-BR"")"),"Aude")</f>
        <v>Aude</v>
      </c>
    </row>
    <row r="1716">
      <c r="A1716" s="9" t="str">
        <f>IFERROR(__xludf.DUMMYFUNCTION("""COMPUTED_VALUE"""),"Allier")</f>
        <v>Allier</v>
      </c>
      <c r="B1716" s="9" t="str">
        <f>IFERROR(__xludf.DUMMYFUNCTION("""COMPUTED_VALUE"""),"fr-03")</f>
        <v>fr-03</v>
      </c>
      <c r="C1716" s="9" t="str">
        <f>IFERROR(__xludf.DUMMYFUNCTION("GOOGLETRANSLATE($A1716,""en"",""de"")"),"Allier")</f>
        <v>Allier</v>
      </c>
      <c r="D1716" s="9" t="str">
        <f>IFERROR(__xludf.DUMMYFUNCTION("GOOGLETRANSLATE($A1716,""en"",""fr"")"),"Allier")</f>
        <v>Allier</v>
      </c>
      <c r="E1716" s="9" t="str">
        <f>IFERROR(__xludf.DUMMYFUNCTION("GOOGLETRANSLATE($A1716,""en"",""es"")"),"allier")</f>
        <v>allier</v>
      </c>
      <c r="F1716" s="9" t="str">
        <f>IFERROR(__xludf.DUMMYFUNCTION("GOOGLETRANSLATE($A1716,""en"",""it"")"),"Allier")</f>
        <v>Allier</v>
      </c>
      <c r="G1716" s="9" t="str">
        <f>IFERROR(__xludf.DUMMYFUNCTION("GOOGLETRANSLATE($A1716,""en"",""zh-cn"")"),"阿列")</f>
        <v>阿列</v>
      </c>
      <c r="H1716" s="9" t="str">
        <f>IFERROR(__xludf.DUMMYFUNCTION("GOOGLETRANSLATE($A1716,""en"",""ja"")"),"アリエ")</f>
        <v>アリエ</v>
      </c>
      <c r="I1716" s="9" t="str">
        <f>IFERROR(__xludf.DUMMYFUNCTION("GOOGLETRANSLATE($A1716,""en"",""ko"")"),"알리에")</f>
        <v>알리에</v>
      </c>
      <c r="J1716" s="9" t="str">
        <f>IFERROR(__xludf.DUMMYFUNCTION("GOOGLETRANSLATE($A1716,""en"",""pt-BR"")"),"Aliado")</f>
        <v>Aliado</v>
      </c>
    </row>
    <row r="1717">
      <c r="A1717" s="9" t="str">
        <f>IFERROR(__xludf.DUMMYFUNCTION("""COMPUTED_VALUE"""),"Alpes-de-Haute-Provence")</f>
        <v>Alpes-de-Haute-Provence</v>
      </c>
      <c r="B1717" s="9" t="str">
        <f>IFERROR(__xludf.DUMMYFUNCTION("""COMPUTED_VALUE"""),"fr-04")</f>
        <v>fr-04</v>
      </c>
      <c r="C1717" s="9" t="str">
        <f>IFERROR(__xludf.DUMMYFUNCTION("GOOGLETRANSLATE($A1717,""en"",""de"")"),"Alpes-de-Haute-Provence")</f>
        <v>Alpes-de-Haute-Provence</v>
      </c>
      <c r="D1717" s="9" t="str">
        <f>IFERROR(__xludf.DUMMYFUNCTION("GOOGLETRANSLATE($A1717,""en"",""fr"")"),"Alpes-de-Haute-Provence")</f>
        <v>Alpes-de-Haute-Provence</v>
      </c>
      <c r="E1717" s="9" t="str">
        <f>IFERROR(__xludf.DUMMYFUNCTION("GOOGLETRANSLATE($A1717,""en"",""es"")"),"Alpes de Alta Provenza")</f>
        <v>Alpes de Alta Provenza</v>
      </c>
      <c r="F1717" s="9" t="str">
        <f>IFERROR(__xludf.DUMMYFUNCTION("GOOGLETRANSLATE($A1717,""en"",""it"")"),"Alpi dell'Alta Provenza")</f>
        <v>Alpi dell'Alta Provenza</v>
      </c>
      <c r="G1717" s="9" t="str">
        <f>IFERROR(__xludf.DUMMYFUNCTION("GOOGLETRANSLATE($A1717,""en"",""zh-cn"")"),"上普罗旺斯阿尔卑斯省")</f>
        <v>上普罗旺斯阿尔卑斯省</v>
      </c>
      <c r="H1717" s="9" t="str">
        <f>IFERROR(__xludf.DUMMYFUNCTION("GOOGLETRANSLATE($A1717,""en"",""ja"")"),"アルプ ド オート プロヴァンス")</f>
        <v>アルプ ド オート プロヴァンス</v>
      </c>
      <c r="I1717" s="9" t="str">
        <f>IFERROR(__xludf.DUMMYFUNCTION("GOOGLETRANSLATE($A1717,""en"",""ko"")"),"알프드오트프로방스")</f>
        <v>알프드오트프로방스</v>
      </c>
      <c r="J1717" s="9" t="str">
        <f>IFERROR(__xludf.DUMMYFUNCTION("GOOGLETRANSLATE($A1717,""en"",""pt-BR"")"),"Alpes da Alta Provença")</f>
        <v>Alpes da Alta Provença</v>
      </c>
    </row>
    <row r="1718">
      <c r="A1718" s="9" t="str">
        <f>IFERROR(__xludf.DUMMYFUNCTION("""COMPUTED_VALUE"""),"Alpes-Maritimes")</f>
        <v>Alpes-Maritimes</v>
      </c>
      <c r="B1718" s="9" t="str">
        <f>IFERROR(__xludf.DUMMYFUNCTION("""COMPUTED_VALUE"""),"fr-06")</f>
        <v>fr-06</v>
      </c>
      <c r="C1718" s="9" t="str">
        <f>IFERROR(__xludf.DUMMYFUNCTION("GOOGLETRANSLATE($A1718,""en"",""de"")"),"Alpes-Maritimes")</f>
        <v>Alpes-Maritimes</v>
      </c>
      <c r="D1718" s="9" t="str">
        <f>IFERROR(__xludf.DUMMYFUNCTION("GOOGLETRANSLATE($A1718,""en"",""fr"")"),"Alpes-Maritimes")</f>
        <v>Alpes-Maritimes</v>
      </c>
      <c r="E1718" s="9" t="str">
        <f>IFERROR(__xludf.DUMMYFUNCTION("GOOGLETRANSLATE($A1718,""en"",""es"")"),"Alpes Marítimos")</f>
        <v>Alpes Marítimos</v>
      </c>
      <c r="F1718" s="9" t="str">
        <f>IFERROR(__xludf.DUMMYFUNCTION("GOOGLETRANSLATE($A1718,""en"",""it"")"),"Alpi Marittime")</f>
        <v>Alpi Marittime</v>
      </c>
      <c r="G1718" s="9" t="str">
        <f>IFERROR(__xludf.DUMMYFUNCTION("GOOGLETRANSLATE($A1718,""en"",""zh-cn"")"),"滨海阿尔卑斯省")</f>
        <v>滨海阿尔卑斯省</v>
      </c>
      <c r="H1718" s="9" t="str">
        <f>IFERROR(__xludf.DUMMYFUNCTION("GOOGLETRANSLATE($A1718,""en"",""ja"")"),"アルプ・マリティーム")</f>
        <v>アルプ・マリティーム</v>
      </c>
      <c r="I1718" s="9" t="str">
        <f>IFERROR(__xludf.DUMMYFUNCTION("GOOGLETRANSLATE($A1718,""en"",""ko"")"),"알프스-마리팀")</f>
        <v>알프스-마리팀</v>
      </c>
      <c r="J1718" s="9" t="str">
        <f>IFERROR(__xludf.DUMMYFUNCTION("GOOGLETRANSLATE($A1718,""en"",""pt-BR"")"),"Alpes-Marítimos")</f>
        <v>Alpes-Marítimos</v>
      </c>
    </row>
    <row r="1719">
      <c r="A1719" s="9" t="str">
        <f>IFERROR(__xludf.DUMMYFUNCTION("""COMPUTED_VALUE"""),"Ardèche")</f>
        <v>Ardèche</v>
      </c>
      <c r="B1719" s="9" t="str">
        <f>IFERROR(__xludf.DUMMYFUNCTION("""COMPUTED_VALUE"""),"fr-07")</f>
        <v>fr-07</v>
      </c>
      <c r="C1719" s="9" t="str">
        <f>IFERROR(__xludf.DUMMYFUNCTION("GOOGLETRANSLATE($A1719,""en"",""de"")"),"Ardèche")</f>
        <v>Ardèche</v>
      </c>
      <c r="D1719" s="9" t="str">
        <f>IFERROR(__xludf.DUMMYFUNCTION("GOOGLETRANSLATE($A1719,""en"",""fr"")"),"Ardèche")</f>
        <v>Ardèche</v>
      </c>
      <c r="E1719" s="9" t="str">
        <f>IFERROR(__xludf.DUMMYFUNCTION("GOOGLETRANSLATE($A1719,""en"",""es"")"),"Ardeche")</f>
        <v>Ardeche</v>
      </c>
      <c r="F1719" s="9" t="str">
        <f>IFERROR(__xludf.DUMMYFUNCTION("GOOGLETRANSLATE($A1719,""en"",""it"")"),"Ardèche")</f>
        <v>Ardèche</v>
      </c>
      <c r="G1719" s="9" t="str">
        <f>IFERROR(__xludf.DUMMYFUNCTION("GOOGLETRANSLATE($A1719,""en"",""zh-cn"")"),"阿尔代什")</f>
        <v>阿尔代什</v>
      </c>
      <c r="H1719" s="9" t="str">
        <f>IFERROR(__xludf.DUMMYFUNCTION("GOOGLETRANSLATE($A1719,""en"",""ja"")"),"アルデーシュ")</f>
        <v>アルデーシュ</v>
      </c>
      <c r="I1719" s="9" t="str">
        <f>IFERROR(__xludf.DUMMYFUNCTION("GOOGLETRANSLATE($A1719,""en"",""ko"")"),"아르데슈")</f>
        <v>아르데슈</v>
      </c>
      <c r="J1719" s="9" t="str">
        <f>IFERROR(__xludf.DUMMYFUNCTION("GOOGLETRANSLATE($A1719,""en"",""pt-BR"")"),"Ardèche")</f>
        <v>Ardèche</v>
      </c>
    </row>
    <row r="1720">
      <c r="A1720" s="9" t="str">
        <f>IFERROR(__xludf.DUMMYFUNCTION("""COMPUTED_VALUE"""),"Mayotte")</f>
        <v>Mayotte</v>
      </c>
      <c r="B1720" s="9" t="str">
        <f>IFERROR(__xludf.DUMMYFUNCTION("""COMPUTED_VALUE"""),"fr-yt")</f>
        <v>fr-yt</v>
      </c>
      <c r="C1720" s="9" t="str">
        <f>IFERROR(__xludf.DUMMYFUNCTION("GOOGLETRANSLATE($A1720,""en"",""de"")"),"Mayotte")</f>
        <v>Mayotte</v>
      </c>
      <c r="D1720" s="9" t="str">
        <f>IFERROR(__xludf.DUMMYFUNCTION("GOOGLETRANSLATE($A1720,""en"",""fr"")"),"Mayotte")</f>
        <v>Mayotte</v>
      </c>
      <c r="E1720" s="9" t="str">
        <f>IFERROR(__xludf.DUMMYFUNCTION("GOOGLETRANSLATE($A1720,""en"",""es"")"),"Mayotte")</f>
        <v>Mayotte</v>
      </c>
      <c r="F1720" s="9" t="str">
        <f>IFERROR(__xludf.DUMMYFUNCTION("GOOGLETRANSLATE($A1720,""en"",""it"")"),"Mayotte")</f>
        <v>Mayotte</v>
      </c>
      <c r="G1720" s="9" t="str">
        <f>IFERROR(__xludf.DUMMYFUNCTION("GOOGLETRANSLATE($A1720,""en"",""zh-cn"")"),"马约特岛")</f>
        <v>马约特岛</v>
      </c>
      <c r="H1720" s="9" t="str">
        <f>IFERROR(__xludf.DUMMYFUNCTION("GOOGLETRANSLATE($A1720,""en"",""ja"")"),"マヨット")</f>
        <v>マヨット</v>
      </c>
      <c r="I1720" s="9" t="str">
        <f>IFERROR(__xludf.DUMMYFUNCTION("GOOGLETRANSLATE($A1720,""en"",""ko"")"),"마요트")</f>
        <v>마요트</v>
      </c>
      <c r="J1720" s="9" t="str">
        <f>IFERROR(__xludf.DUMMYFUNCTION("GOOGLETRANSLATE($A1720,""en"",""pt-BR"")"),"Maiote")</f>
        <v>Maiote</v>
      </c>
    </row>
    <row r="1721">
      <c r="A1721" s="9" t="str">
        <f>IFERROR(__xludf.DUMMYFUNCTION("""COMPUTED_VALUE"""),"La Réunion")</f>
        <v>La Réunion</v>
      </c>
      <c r="B1721" s="9" t="str">
        <f>IFERROR(__xludf.DUMMYFUNCTION("""COMPUTED_VALUE"""),"fr-re")</f>
        <v>fr-re</v>
      </c>
      <c r="C1721" s="9" t="str">
        <f>IFERROR(__xludf.DUMMYFUNCTION("GOOGLETRANSLATE($A1721,""en"",""de"")"),"La Réunion")</f>
        <v>La Réunion</v>
      </c>
      <c r="D1721" s="9" t="str">
        <f>IFERROR(__xludf.DUMMYFUNCTION("GOOGLETRANSLATE($A1721,""en"",""fr"")"),"La Réunion")</f>
        <v>La Réunion</v>
      </c>
      <c r="E1721" s="9" t="str">
        <f>IFERROR(__xludf.DUMMYFUNCTION("GOOGLETRANSLATE($A1721,""en"",""es"")"),"La Reunión")</f>
        <v>La Reunión</v>
      </c>
      <c r="F1721" s="9" t="str">
        <f>IFERROR(__xludf.DUMMYFUNCTION("GOOGLETRANSLATE($A1721,""en"",""it"")"),"La Riunione")</f>
        <v>La Riunione</v>
      </c>
      <c r="G1721" s="9" t="str">
        <f>IFERROR(__xludf.DUMMYFUNCTION("GOOGLETRANSLATE($A1721,""en"",""zh-cn"")"),"留尼汪岛")</f>
        <v>留尼汪岛</v>
      </c>
      <c r="H1721" s="9" t="str">
        <f>IFERROR(__xludf.DUMMYFUNCTION("GOOGLETRANSLATE($A1721,""en"",""ja"")"),"ラ・レユニオン")</f>
        <v>ラ・レユニオン</v>
      </c>
      <c r="I1721" s="9" t="str">
        <f>IFERROR(__xludf.DUMMYFUNCTION("GOOGLETRANSLATE($A1721,""en"",""ko"")"),"라 레위니옹")</f>
        <v>라 레위니옹</v>
      </c>
      <c r="J1721" s="9" t="str">
        <f>IFERROR(__xludf.DUMMYFUNCTION("GOOGLETRANSLATE($A1721,""en"",""pt-BR"")"),"Reunião")</f>
        <v>Reunião</v>
      </c>
    </row>
    <row r="1722">
      <c r="A1722" s="9" t="str">
        <f>IFERROR(__xludf.DUMMYFUNCTION("""COMPUTED_VALUE"""),"Ain")</f>
        <v>Ain</v>
      </c>
      <c r="B1722" s="9" t="str">
        <f>IFERROR(__xludf.DUMMYFUNCTION("""COMPUTED_VALUE"""),"fr-01")</f>
        <v>fr-01</v>
      </c>
      <c r="C1722" s="9" t="str">
        <f>IFERROR(__xludf.DUMMYFUNCTION("GOOGLETRANSLATE($A1722,""en"",""de"")"),"Ain")</f>
        <v>Ain</v>
      </c>
      <c r="D1722" s="9" t="str">
        <f>IFERROR(__xludf.DUMMYFUNCTION("GOOGLETRANSLATE($A1722,""en"",""fr"")"),"Aïn")</f>
        <v>Aïn</v>
      </c>
      <c r="E1722" s="9" t="str">
        <f>IFERROR(__xludf.DUMMYFUNCTION("GOOGLETRANSLATE($A1722,""en"",""es"")"),"Aín")</f>
        <v>Aín</v>
      </c>
      <c r="F1722" s="9" t="str">
        <f>IFERROR(__xludf.DUMMYFUNCTION("GOOGLETRANSLATE($A1722,""en"",""it"")"),"Ain")</f>
        <v>Ain</v>
      </c>
      <c r="G1722" s="9" t="str">
        <f>IFERROR(__xludf.DUMMYFUNCTION("GOOGLETRANSLATE($A1722,""en"",""zh-cn"")"),"艾因")</f>
        <v>艾因</v>
      </c>
      <c r="H1722" s="9" t="str">
        <f>IFERROR(__xludf.DUMMYFUNCTION("GOOGLETRANSLATE($A1722,""en"",""ja"")"),"アイン")</f>
        <v>アイン</v>
      </c>
      <c r="I1722" s="9" t="str">
        <f>IFERROR(__xludf.DUMMYFUNCTION("GOOGLETRANSLATE($A1722,""en"",""ko"")"),"아인")</f>
        <v>아인</v>
      </c>
      <c r="J1722" s="9" t="str">
        <f>IFERROR(__xludf.DUMMYFUNCTION("GOOGLETRANSLATE($A1722,""en"",""pt-BR"")"),"Ain")</f>
        <v>Ain</v>
      </c>
    </row>
    <row r="1723">
      <c r="A1723" s="9" t="str">
        <f>IFERROR(__xludf.DUMMYFUNCTION("""COMPUTED_VALUE"""),"Aisne")</f>
        <v>Aisne</v>
      </c>
      <c r="B1723" s="9" t="str">
        <f>IFERROR(__xludf.DUMMYFUNCTION("""COMPUTED_VALUE"""),"fr-02")</f>
        <v>fr-02</v>
      </c>
      <c r="C1723" s="9" t="str">
        <f>IFERROR(__xludf.DUMMYFUNCTION("GOOGLETRANSLATE($A1723,""en"",""de"")"),"Aisne")</f>
        <v>Aisne</v>
      </c>
      <c r="D1723" s="9" t="str">
        <f>IFERROR(__xludf.DUMMYFUNCTION("GOOGLETRANSLATE($A1723,""en"",""fr"")"),"Aisne")</f>
        <v>Aisne</v>
      </c>
      <c r="E1723" s="9" t="str">
        <f>IFERROR(__xludf.DUMMYFUNCTION("GOOGLETRANSLATE($A1723,""en"",""es"")"),"Aisne")</f>
        <v>Aisne</v>
      </c>
      <c r="F1723" s="9" t="str">
        <f>IFERROR(__xludf.DUMMYFUNCTION("GOOGLETRANSLATE($A1723,""en"",""it"")"),"Aisne")</f>
        <v>Aisne</v>
      </c>
      <c r="G1723" s="9" t="str">
        <f>IFERROR(__xludf.DUMMYFUNCTION("GOOGLETRANSLATE($A1723,""en"",""zh-cn"")"),"埃纳")</f>
        <v>埃纳</v>
      </c>
      <c r="H1723" s="9" t="str">
        <f>IFERROR(__xludf.DUMMYFUNCTION("GOOGLETRANSLATE($A1723,""en"",""ja"")"),"エーヌヌ")</f>
        <v>エーヌヌ</v>
      </c>
      <c r="I1723" s="9" t="str">
        <f>IFERROR(__xludf.DUMMYFUNCTION("GOOGLETRANSLATE($A1723,""en"",""ko"")"),"에이즈네")</f>
        <v>에이즈네</v>
      </c>
      <c r="J1723" s="9" t="str">
        <f>IFERROR(__xludf.DUMMYFUNCTION("GOOGLETRANSLATE($A1723,""en"",""pt-BR"")"),"Aisne")</f>
        <v>Aisne</v>
      </c>
    </row>
    <row r="1724">
      <c r="A1724" s="9" t="str">
        <f>IFERROR(__xludf.DUMMYFUNCTION("""COMPUTED_VALUE"""),"Drôme")</f>
        <v>Drôme</v>
      </c>
      <c r="B1724" s="9" t="str">
        <f>IFERROR(__xludf.DUMMYFUNCTION("""COMPUTED_VALUE"""),"fr-26")</f>
        <v>fr-26</v>
      </c>
      <c r="C1724" s="9" t="str">
        <f>IFERROR(__xludf.DUMMYFUNCTION("GOOGLETRANSLATE($A1724,""en"",""de"")"),"Drôme")</f>
        <v>Drôme</v>
      </c>
      <c r="D1724" s="9" t="str">
        <f>IFERROR(__xludf.DUMMYFUNCTION("GOOGLETRANSLATE($A1724,""en"",""fr"")"),"Drôme")</f>
        <v>Drôme</v>
      </c>
      <c r="E1724" s="9" t="str">
        <f>IFERROR(__xludf.DUMMYFUNCTION("GOOGLETRANSLATE($A1724,""en"",""es"")"),"Drôme")</f>
        <v>Drôme</v>
      </c>
      <c r="F1724" s="9" t="str">
        <f>IFERROR(__xludf.DUMMYFUNCTION("GOOGLETRANSLATE($A1724,""en"",""it"")"),"Drôme")</f>
        <v>Drôme</v>
      </c>
      <c r="G1724" s="9" t="str">
        <f>IFERROR(__xludf.DUMMYFUNCTION("GOOGLETRANSLATE($A1724,""en"",""zh-cn"")"),"德龙省")</f>
        <v>德龙省</v>
      </c>
      <c r="H1724" s="9" t="str">
        <f>IFERROR(__xludf.DUMMYFUNCTION("GOOGLETRANSLATE($A1724,""en"",""ja"")"),"ドローム")</f>
        <v>ドローム</v>
      </c>
      <c r="I1724" s="9" t="str">
        <f>IFERROR(__xludf.DUMMYFUNCTION("GOOGLETRANSLATE($A1724,""en"",""ko"")"),"드롬")</f>
        <v>드롬</v>
      </c>
      <c r="J1724" s="9" t="str">
        <f>IFERROR(__xludf.DUMMYFUNCTION("GOOGLETRANSLATE($A1724,""en"",""pt-BR"")"),"Drôme")</f>
        <v>Drôme</v>
      </c>
    </row>
    <row r="1725">
      <c r="A1725" s="9" t="str">
        <f>IFERROR(__xludf.DUMMYFUNCTION("""COMPUTED_VALUE"""),"Essonne")</f>
        <v>Essonne</v>
      </c>
      <c r="B1725" s="9" t="str">
        <f>IFERROR(__xludf.DUMMYFUNCTION("""COMPUTED_VALUE"""),"fr-91")</f>
        <v>fr-91</v>
      </c>
      <c r="C1725" s="9" t="str">
        <f>IFERROR(__xludf.DUMMYFUNCTION("GOOGLETRANSLATE($A1725,""en"",""de"")"),"Essonne")</f>
        <v>Essonne</v>
      </c>
      <c r="D1725" s="9" t="str">
        <f>IFERROR(__xludf.DUMMYFUNCTION("GOOGLETRANSLATE($A1725,""en"",""fr"")"),"Essonne")</f>
        <v>Essonne</v>
      </c>
      <c r="E1725" s="9" t="str">
        <f>IFERROR(__xludf.DUMMYFUNCTION("GOOGLETRANSLATE($A1725,""en"",""es"")"),"Essona")</f>
        <v>Essona</v>
      </c>
      <c r="F1725" s="9" t="str">
        <f>IFERROR(__xludf.DUMMYFUNCTION("GOOGLETRANSLATE($A1725,""en"",""it"")"),"Essonne")</f>
        <v>Essonne</v>
      </c>
      <c r="G1725" s="9" t="str">
        <f>IFERROR(__xludf.DUMMYFUNCTION("GOOGLETRANSLATE($A1725,""en"",""zh-cn"")"),"埃松省")</f>
        <v>埃松省</v>
      </c>
      <c r="H1725" s="9" t="str">
        <f>IFERROR(__xludf.DUMMYFUNCTION("GOOGLETRANSLATE($A1725,""en"",""ja"")"),"エソンヌ")</f>
        <v>エソンヌ</v>
      </c>
      <c r="I1725" s="9" t="str">
        <f>IFERROR(__xludf.DUMMYFUNCTION("GOOGLETRANSLATE($A1725,""en"",""ko"")"),"에손")</f>
        <v>에손</v>
      </c>
      <c r="J1725" s="9" t="str">
        <f>IFERROR(__xludf.DUMMYFUNCTION("GOOGLETRANSLATE($A1725,""en"",""pt-BR"")"),"Essonne")</f>
        <v>Essonne</v>
      </c>
    </row>
    <row r="1726">
      <c r="A1726" s="9" t="str">
        <f>IFERROR(__xludf.DUMMYFUNCTION("""COMPUTED_VALUE"""),"Eure")</f>
        <v>Eure</v>
      </c>
      <c r="B1726" s="9" t="str">
        <f>IFERROR(__xludf.DUMMYFUNCTION("""COMPUTED_VALUE"""),"fr-27")</f>
        <v>fr-27</v>
      </c>
      <c r="C1726" s="9" t="str">
        <f>IFERROR(__xludf.DUMMYFUNCTION("GOOGLETRANSLATE($A1726,""en"",""de"")"),"Eure")</f>
        <v>Eure</v>
      </c>
      <c r="D1726" s="9" t="str">
        <f>IFERROR(__xludf.DUMMYFUNCTION("GOOGLETRANSLATE($A1726,""en"",""fr"")"),"Eure")</f>
        <v>Eure</v>
      </c>
      <c r="E1726" s="9" t="str">
        <f>IFERROR(__xludf.DUMMYFUNCTION("GOOGLETRANSLATE($A1726,""en"",""es"")"),"Eura")</f>
        <v>Eura</v>
      </c>
      <c r="F1726" s="9" t="str">
        <f>IFERROR(__xludf.DUMMYFUNCTION("GOOGLETRANSLATE($A1726,""en"",""it"")"),"Eure")</f>
        <v>Eure</v>
      </c>
      <c r="G1726" s="9" t="str">
        <f>IFERROR(__xludf.DUMMYFUNCTION("GOOGLETRANSLATE($A1726,""en"",""zh-cn"")"),"厄尔")</f>
        <v>厄尔</v>
      </c>
      <c r="H1726" s="9" t="str">
        <f>IFERROR(__xludf.DUMMYFUNCTION("GOOGLETRANSLATE($A1726,""en"",""ja"")"),"ウール")</f>
        <v>ウール</v>
      </c>
      <c r="I1726" s="9" t="str">
        <f>IFERROR(__xludf.DUMMYFUNCTION("GOOGLETRANSLATE($A1726,""en"",""ko"")"),"유레")</f>
        <v>유레</v>
      </c>
      <c r="J1726" s="9" t="str">
        <f>IFERROR(__xludf.DUMMYFUNCTION("GOOGLETRANSLATE($A1726,""en"",""pt-BR"")"),"Eure")</f>
        <v>Eure</v>
      </c>
    </row>
    <row r="1727">
      <c r="A1727" s="9" t="str">
        <f>IFERROR(__xludf.DUMMYFUNCTION("""COMPUTED_VALUE"""),"Eure-et-Loir")</f>
        <v>Eure-et-Loir</v>
      </c>
      <c r="B1727" s="9" t="str">
        <f>IFERROR(__xludf.DUMMYFUNCTION("""COMPUTED_VALUE"""),"fr-28")</f>
        <v>fr-28</v>
      </c>
      <c r="C1727" s="9" t="str">
        <f>IFERROR(__xludf.DUMMYFUNCTION("GOOGLETRANSLATE($A1727,""en"",""de"")"),"Eure-et-Loir")</f>
        <v>Eure-et-Loir</v>
      </c>
      <c r="D1727" s="9" t="str">
        <f>IFERROR(__xludf.DUMMYFUNCTION("GOOGLETRANSLATE($A1727,""en"",""fr"")"),"Eure-et-Loir")</f>
        <v>Eure-et-Loir</v>
      </c>
      <c r="E1727" s="9" t="str">
        <f>IFERROR(__xludf.DUMMYFUNCTION("GOOGLETRANSLATE($A1727,""en"",""es"")"),"Eure y Loir")</f>
        <v>Eure y Loir</v>
      </c>
      <c r="F1727" s="9" t="str">
        <f>IFERROR(__xludf.DUMMYFUNCTION("GOOGLETRANSLATE($A1727,""en"",""it"")"),"Eure-et-Loir")</f>
        <v>Eure-et-Loir</v>
      </c>
      <c r="G1727" s="9" t="str">
        <f>IFERROR(__xludf.DUMMYFUNCTION("GOOGLETRANSLATE($A1727,""en"",""zh-cn"")"),"厄尔-卢瓦尔省")</f>
        <v>厄尔-卢瓦尔省</v>
      </c>
      <c r="H1727" s="9" t="str">
        <f>IFERROR(__xludf.DUMMYFUNCTION("GOOGLETRANSLATE($A1727,""en"",""ja"")"),"ウール エ ロワール")</f>
        <v>ウール エ ロワール</v>
      </c>
      <c r="I1727" s="9" t="str">
        <f>IFERROR(__xludf.DUMMYFUNCTION("GOOGLETRANSLATE($A1727,""en"",""ko"")"),"외르에루아르")</f>
        <v>외르에루아르</v>
      </c>
      <c r="J1727" s="9" t="str">
        <f>IFERROR(__xludf.DUMMYFUNCTION("GOOGLETRANSLATE($A1727,""en"",""pt-BR"")"),"Eure-et-Loir")</f>
        <v>Eure-et-Loir</v>
      </c>
    </row>
    <row r="1728">
      <c r="A1728" s="9" t="str">
        <f>IFERROR(__xludf.DUMMYFUNCTION("""COMPUTED_VALUE"""),"Creuse")</f>
        <v>Creuse</v>
      </c>
      <c r="B1728" s="9" t="str">
        <f>IFERROR(__xludf.DUMMYFUNCTION("""COMPUTED_VALUE"""),"fr-23")</f>
        <v>fr-23</v>
      </c>
      <c r="C1728" s="9" t="str">
        <f>IFERROR(__xludf.DUMMYFUNCTION("GOOGLETRANSLATE($A1728,""en"",""de"")"),"Creuse")</f>
        <v>Creuse</v>
      </c>
      <c r="D1728" s="9" t="str">
        <f>IFERROR(__xludf.DUMMYFUNCTION("GOOGLETRANSLATE($A1728,""en"",""fr"")"),"Creuse")</f>
        <v>Creuse</v>
      </c>
      <c r="E1728" s="9" t="str">
        <f>IFERROR(__xludf.DUMMYFUNCTION("GOOGLETRANSLATE($A1728,""en"",""es"")"),"Creusa")</f>
        <v>Creusa</v>
      </c>
      <c r="F1728" s="9" t="str">
        <f>IFERROR(__xludf.DUMMYFUNCTION("GOOGLETRANSLATE($A1728,""en"",""it"")"),"Creusa")</f>
        <v>Creusa</v>
      </c>
      <c r="G1728" s="9" t="str">
        <f>IFERROR(__xludf.DUMMYFUNCTION("GOOGLETRANSLATE($A1728,""en"",""zh-cn"")"),"克勒兹")</f>
        <v>克勒兹</v>
      </c>
      <c r="H1728" s="9" t="str">
        <f>IFERROR(__xludf.DUMMYFUNCTION("GOOGLETRANSLATE($A1728,""en"",""ja"")"),"クルーズ")</f>
        <v>クルーズ</v>
      </c>
      <c r="I1728" s="9" t="str">
        <f>IFERROR(__xludf.DUMMYFUNCTION("GOOGLETRANSLATE($A1728,""en"",""ko"")"),"크뢰즈")</f>
        <v>크뢰즈</v>
      </c>
      <c r="J1728" s="9" t="str">
        <f>IFERROR(__xludf.DUMMYFUNCTION("GOOGLETRANSLATE($A1728,""en"",""pt-BR"")"),"Creuse")</f>
        <v>Creuse</v>
      </c>
    </row>
    <row r="1729">
      <c r="A1729" s="9" t="str">
        <f>IFERROR(__xludf.DUMMYFUNCTION("""COMPUTED_VALUE"""),"Deux-Sèvres")</f>
        <v>Deux-Sèvres</v>
      </c>
      <c r="B1729" s="9" t="str">
        <f>IFERROR(__xludf.DUMMYFUNCTION("""COMPUTED_VALUE"""),"fr-79")</f>
        <v>fr-79</v>
      </c>
      <c r="C1729" s="9" t="str">
        <f>IFERROR(__xludf.DUMMYFUNCTION("GOOGLETRANSLATE($A1729,""en"",""de"")"),"Deux-Sèvres")</f>
        <v>Deux-Sèvres</v>
      </c>
      <c r="D1729" s="9" t="str">
        <f>IFERROR(__xludf.DUMMYFUNCTION("GOOGLETRANSLATE($A1729,""en"",""fr"")"),"Deux Sèvres")</f>
        <v>Deux Sèvres</v>
      </c>
      <c r="E1729" s="9" t="str">
        <f>IFERROR(__xludf.DUMMYFUNCTION("GOOGLETRANSLATE($A1729,""en"",""es"")"),"Deux Sèvres")</f>
        <v>Deux Sèvres</v>
      </c>
      <c r="F1729" s="9" t="str">
        <f>IFERROR(__xludf.DUMMYFUNCTION("GOOGLETRANSLATE($A1729,""en"",""it"")"),"Deux-Sèvres")</f>
        <v>Deux-Sèvres</v>
      </c>
      <c r="G1729" s="9" t="str">
        <f>IFERROR(__xludf.DUMMYFUNCTION("GOOGLETRANSLATE($A1729,""en"",""zh-cn"")"),"德塞夫尔省")</f>
        <v>德塞夫尔省</v>
      </c>
      <c r="H1729" s="9" t="str">
        <f>IFERROR(__xludf.DUMMYFUNCTION("GOOGLETRANSLATE($A1729,""en"",""ja"")"),"ドゥーセーヴル")</f>
        <v>ドゥーセーヴル</v>
      </c>
      <c r="I1729" s="9" t="str">
        <f>IFERROR(__xludf.DUMMYFUNCTION("GOOGLETRANSLATE($A1729,""en"",""ko"")"),"듀세브르")</f>
        <v>듀세브르</v>
      </c>
      <c r="J1729" s="9" t="str">
        <f>IFERROR(__xludf.DUMMYFUNCTION("GOOGLETRANSLATE($A1729,""en"",""pt-BR"")"),"Deux-Sèvres")</f>
        <v>Deux-Sèvres</v>
      </c>
    </row>
    <row r="1730">
      <c r="A1730" s="9" t="str">
        <f>IFERROR(__xludf.DUMMYFUNCTION("""COMPUTED_VALUE"""),"Dordogne")</f>
        <v>Dordogne</v>
      </c>
      <c r="B1730" s="9" t="str">
        <f>IFERROR(__xludf.DUMMYFUNCTION("""COMPUTED_VALUE"""),"fr-24")</f>
        <v>fr-24</v>
      </c>
      <c r="C1730" s="9" t="str">
        <f>IFERROR(__xludf.DUMMYFUNCTION("GOOGLETRANSLATE($A1730,""en"",""de"")"),"Dordogne")</f>
        <v>Dordogne</v>
      </c>
      <c r="D1730" s="9" t="str">
        <f>IFERROR(__xludf.DUMMYFUNCTION("GOOGLETRANSLATE($A1730,""en"",""fr"")"),"Dordogne")</f>
        <v>Dordogne</v>
      </c>
      <c r="E1730" s="9" t="str">
        <f>IFERROR(__xludf.DUMMYFUNCTION("GOOGLETRANSLATE($A1730,""en"",""es"")"),"Dordoña")</f>
        <v>Dordoña</v>
      </c>
      <c r="F1730" s="9" t="str">
        <f>IFERROR(__xludf.DUMMYFUNCTION("GOOGLETRANSLATE($A1730,""en"",""it"")"),"Dordogna")</f>
        <v>Dordogna</v>
      </c>
      <c r="G1730" s="9" t="str">
        <f>IFERROR(__xludf.DUMMYFUNCTION("GOOGLETRANSLATE($A1730,""en"",""zh-cn"")"),"多尔多涅省")</f>
        <v>多尔多涅省</v>
      </c>
      <c r="H1730" s="9" t="str">
        <f>IFERROR(__xludf.DUMMYFUNCTION("GOOGLETRANSLATE($A1730,""en"",""ja"")"),"ドルドーニュ渓谷")</f>
        <v>ドルドーニュ渓谷</v>
      </c>
      <c r="I1730" s="9" t="str">
        <f>IFERROR(__xludf.DUMMYFUNCTION("GOOGLETRANSLATE($A1730,""en"",""ko"")"),"도르도뉴")</f>
        <v>도르도뉴</v>
      </c>
      <c r="J1730" s="9" t="str">
        <f>IFERROR(__xludf.DUMMYFUNCTION("GOOGLETRANSLATE($A1730,""en"",""pt-BR"")"),"Dordonha")</f>
        <v>Dordonha</v>
      </c>
    </row>
    <row r="1731">
      <c r="A1731" s="9" t="str">
        <f>IFERROR(__xludf.DUMMYFUNCTION("""COMPUTED_VALUE"""),"Doubs")</f>
        <v>Doubs</v>
      </c>
      <c r="B1731" s="9" t="str">
        <f>IFERROR(__xludf.DUMMYFUNCTION("""COMPUTED_VALUE"""),"fr-25")</f>
        <v>fr-25</v>
      </c>
      <c r="C1731" s="9" t="str">
        <f>IFERROR(__xludf.DUMMYFUNCTION("GOOGLETRANSLATE($A1731,""en"",""de"")"),"Zweifel")</f>
        <v>Zweifel</v>
      </c>
      <c r="D1731" s="9" t="str">
        <f>IFERROR(__xludf.DUMMYFUNCTION("GOOGLETRANSLATE($A1731,""en"",""fr"")"),"Doubs")</f>
        <v>Doubs</v>
      </c>
      <c r="E1731" s="9" t="str">
        <f>IFERROR(__xludf.DUMMYFUNCTION("GOOGLETRANSLATE($A1731,""en"",""es"")"),"dudas")</f>
        <v>dudas</v>
      </c>
      <c r="F1731" s="9" t="str">
        <f>IFERROR(__xludf.DUMMYFUNCTION("GOOGLETRANSLATE($A1731,""en"",""it"")"),"Dubbi")</f>
        <v>Dubbi</v>
      </c>
      <c r="G1731" s="9" t="str">
        <f>IFERROR(__xludf.DUMMYFUNCTION("GOOGLETRANSLATE($A1731,""en"",""zh-cn"")"),"杜布斯")</f>
        <v>杜布斯</v>
      </c>
      <c r="H1731" s="9" t="str">
        <f>IFERROR(__xludf.DUMMYFUNCTION("GOOGLETRANSLATE($A1731,""en"",""ja"")"),"ドゥー")</f>
        <v>ドゥー</v>
      </c>
      <c r="I1731" s="9" t="str">
        <f>IFERROR(__xludf.DUMMYFUNCTION("GOOGLETRANSLATE($A1731,""en"",""ko"")"),"더블스")</f>
        <v>더블스</v>
      </c>
      <c r="J1731" s="9" t="str">
        <f>IFERROR(__xludf.DUMMYFUNCTION("GOOGLETRANSLATE($A1731,""en"",""pt-BR"")"),"Dúvidas")</f>
        <v>Dúvidas</v>
      </c>
    </row>
    <row r="1732">
      <c r="A1732" s="9" t="str">
        <f>IFERROR(__xludf.DUMMYFUNCTION("""COMPUTED_VALUE"""),"Corrèze")</f>
        <v>Corrèze</v>
      </c>
      <c r="B1732" s="9" t="str">
        <f>IFERROR(__xludf.DUMMYFUNCTION("""COMPUTED_VALUE"""),"fr-19")</f>
        <v>fr-19</v>
      </c>
      <c r="C1732" s="9" t="str">
        <f>IFERROR(__xludf.DUMMYFUNCTION("GOOGLETRANSLATE($A1732,""en"",""de"")"),"Corrèze")</f>
        <v>Corrèze</v>
      </c>
      <c r="D1732" s="9" t="str">
        <f>IFERROR(__xludf.DUMMYFUNCTION("GOOGLETRANSLATE($A1732,""en"",""fr"")"),"Corrèze")</f>
        <v>Corrèze</v>
      </c>
      <c r="E1732" s="9" t="str">
        <f>IFERROR(__xludf.DUMMYFUNCTION("GOOGLETRANSLATE($A1732,""en"",""es"")"),"Corrèze")</f>
        <v>Corrèze</v>
      </c>
      <c r="F1732" s="9" t="str">
        <f>IFERROR(__xludf.DUMMYFUNCTION("GOOGLETRANSLATE($A1732,""en"",""it"")"),"Corrèze")</f>
        <v>Corrèze</v>
      </c>
      <c r="G1732" s="9" t="str">
        <f>IFERROR(__xludf.DUMMYFUNCTION("GOOGLETRANSLATE($A1732,""en"",""zh-cn"")"),"科雷兹")</f>
        <v>科雷兹</v>
      </c>
      <c r="H1732" s="9" t="str">
        <f>IFERROR(__xludf.DUMMYFUNCTION("GOOGLETRANSLATE($A1732,""en"",""ja"")"),"コレーズ")</f>
        <v>コレーズ</v>
      </c>
      <c r="I1732" s="9" t="str">
        <f>IFERROR(__xludf.DUMMYFUNCTION("GOOGLETRANSLATE($A1732,""en"",""ko"")"),"코레즈")</f>
        <v>코레즈</v>
      </c>
      <c r="J1732" s="9" t="str">
        <f>IFERROR(__xludf.DUMMYFUNCTION("GOOGLETRANSLATE($A1732,""en"",""pt-BR"")"),"Corrèze")</f>
        <v>Corrèze</v>
      </c>
    </row>
    <row r="1733">
      <c r="A1733" s="9" t="str">
        <f>IFERROR(__xludf.DUMMYFUNCTION("""COMPUTED_VALUE"""),"Corse-du-Sud")</f>
        <v>Corse-du-Sud</v>
      </c>
      <c r="B1733" s="9" t="str">
        <f>IFERROR(__xludf.DUMMYFUNCTION("""COMPUTED_VALUE"""),"fr-2a")</f>
        <v>fr-2a</v>
      </c>
      <c r="C1733" s="9" t="str">
        <f>IFERROR(__xludf.DUMMYFUNCTION("GOOGLETRANSLATE($A1733,""en"",""de"")"),"Corse-du-Sud")</f>
        <v>Corse-du-Sud</v>
      </c>
      <c r="D1733" s="9" t="str">
        <f>IFERROR(__xludf.DUMMYFUNCTION("GOOGLETRANSLATE($A1733,""en"",""fr"")"),"Corse-du-Sud")</f>
        <v>Corse-du-Sud</v>
      </c>
      <c r="E1733" s="9" t="str">
        <f>IFERROR(__xludf.DUMMYFUNCTION("GOOGLETRANSLATE($A1733,""en"",""es"")"),"Córcega del Sur")</f>
        <v>Córcega del Sur</v>
      </c>
      <c r="F1733" s="9" t="str">
        <f>IFERROR(__xludf.DUMMYFUNCTION("GOOGLETRANSLATE($A1733,""en"",""it"")"),"Corsica del Sud")</f>
        <v>Corsica del Sud</v>
      </c>
      <c r="G1733" s="9" t="str">
        <f>IFERROR(__xludf.DUMMYFUNCTION("GOOGLETRANSLATE($A1733,""en"",""zh-cn"")"),"南科西嘉省")</f>
        <v>南科西嘉省</v>
      </c>
      <c r="H1733" s="9" t="str">
        <f>IFERROR(__xludf.DUMMYFUNCTION("GOOGLETRANSLATE($A1733,""en"",""ja"")"),"コルス・デュ・シュッド")</f>
        <v>コルス・デュ・シュッド</v>
      </c>
      <c r="I1733" s="9" t="str">
        <f>IFERROR(__xludf.DUMMYFUNCTION("GOOGLETRANSLATE($A1733,""en"",""ko"")"),"코르스 뒤 쉬드")</f>
        <v>코르스 뒤 쉬드</v>
      </c>
      <c r="J1733" s="9" t="str">
        <f>IFERROR(__xludf.DUMMYFUNCTION("GOOGLETRANSLATE($A1733,""en"",""pt-BR"")"),"Córsega do Sul")</f>
        <v>Córsega do Sul</v>
      </c>
    </row>
    <row r="1734">
      <c r="A1734" s="9" t="str">
        <f>IFERROR(__xludf.DUMMYFUNCTION("""COMPUTED_VALUE"""),"Côte-d'Or")</f>
        <v>Côte-d'Or</v>
      </c>
      <c r="B1734" s="9" t="str">
        <f>IFERROR(__xludf.DUMMYFUNCTION("""COMPUTED_VALUE"""),"fr-21")</f>
        <v>fr-21</v>
      </c>
      <c r="C1734" s="9" t="str">
        <f>IFERROR(__xludf.DUMMYFUNCTION("GOOGLETRANSLATE($A1734,""en"",""de"")"),"Côte-d'Or")</f>
        <v>Côte-d'Or</v>
      </c>
      <c r="D1734" s="9" t="str">
        <f>IFERROR(__xludf.DUMMYFUNCTION("GOOGLETRANSLATE($A1734,""en"",""fr"")"),"Côte-d'Or")</f>
        <v>Côte-d'Or</v>
      </c>
      <c r="E1734" s="9" t="str">
        <f>IFERROR(__xludf.DUMMYFUNCTION("GOOGLETRANSLATE($A1734,""en"",""es"")"),"Costa de Oro")</f>
        <v>Costa de Oro</v>
      </c>
      <c r="F1734" s="9" t="str">
        <f>IFERROR(__xludf.DUMMYFUNCTION("GOOGLETRANSLATE($A1734,""en"",""it"")"),"Costa d'Oro")</f>
        <v>Costa d'Oro</v>
      </c>
      <c r="G1734" s="9" t="str">
        <f>IFERROR(__xludf.DUMMYFUNCTION("GOOGLETRANSLATE($A1734,""en"",""zh-cn"")"),"金丘")</f>
        <v>金丘</v>
      </c>
      <c r="H1734" s="9" t="str">
        <f>IFERROR(__xludf.DUMMYFUNCTION("GOOGLETRANSLATE($A1734,""en"",""ja"")"),"コートドール")</f>
        <v>コートドール</v>
      </c>
      <c r="I1734" s="9" t="str">
        <f>IFERROR(__xludf.DUMMYFUNCTION("GOOGLETRANSLATE($A1734,""en"",""ko"")"),"코트도르")</f>
        <v>코트도르</v>
      </c>
      <c r="J1734" s="9" t="str">
        <f>IFERROR(__xludf.DUMMYFUNCTION("GOOGLETRANSLATE($A1734,""en"",""pt-BR"")"),"Costa d'Or")</f>
        <v>Costa d'Or</v>
      </c>
    </row>
    <row r="1735">
      <c r="A1735" s="9" t="str">
        <f>IFERROR(__xludf.DUMMYFUNCTION("""COMPUTED_VALUE"""),"Côtes-d'Armor")</f>
        <v>Côtes-d'Armor</v>
      </c>
      <c r="B1735" s="9" t="str">
        <f>IFERROR(__xludf.DUMMYFUNCTION("""COMPUTED_VALUE"""),"fr-22")</f>
        <v>fr-22</v>
      </c>
      <c r="C1735" s="9" t="str">
        <f>IFERROR(__xludf.DUMMYFUNCTION("GOOGLETRANSLATE($A1735,""en"",""de"")"),"Côtes-d'Armor")</f>
        <v>Côtes-d'Armor</v>
      </c>
      <c r="D1735" s="9" t="str">
        <f>IFERROR(__xludf.DUMMYFUNCTION("GOOGLETRANSLATE($A1735,""en"",""fr"")"),"Côtes-d'Armor")</f>
        <v>Côtes-d'Armor</v>
      </c>
      <c r="E1735" s="9" t="str">
        <f>IFERROR(__xludf.DUMMYFUNCTION("GOOGLETRANSLATE($A1735,""en"",""es"")"),"Costas de Armor")</f>
        <v>Costas de Armor</v>
      </c>
      <c r="F1735" s="9" t="str">
        <f>IFERROR(__xludf.DUMMYFUNCTION("GOOGLETRANSLATE($A1735,""en"",""it"")"),"Côtes-d'Armor")</f>
        <v>Côtes-d'Armor</v>
      </c>
      <c r="G1735" s="9" t="str">
        <f>IFERROR(__xludf.DUMMYFUNCTION("GOOGLETRANSLATE($A1735,""en"",""zh-cn"")"),"阿摩尔海岸")</f>
        <v>阿摩尔海岸</v>
      </c>
      <c r="H1735" s="9" t="str">
        <f>IFERROR(__xludf.DUMMYFUNCTION("GOOGLETRANSLATE($A1735,""en"",""ja"")"),"コートダルモール")</f>
        <v>コートダルモール</v>
      </c>
      <c r="I1735" s="9" t="str">
        <f>IFERROR(__xludf.DUMMYFUNCTION("GOOGLETRANSLATE($A1735,""en"",""ko"")"),"코트다르(Côtes-d'Armor)")</f>
        <v>코트다르(Côtes-d'Armor)</v>
      </c>
      <c r="J1735" s="9" t="str">
        <f>IFERROR(__xludf.DUMMYFUNCTION("GOOGLETRANSLATE($A1735,""en"",""pt-BR"")"),"Costas-d'Armor")</f>
        <v>Costas-d'Armor</v>
      </c>
    </row>
    <row r="1736">
      <c r="A1736" s="9" t="str">
        <f>IFERROR(__xludf.DUMMYFUNCTION("""COMPUTED_VALUE"""),"Cantal")</f>
        <v>Cantal</v>
      </c>
      <c r="B1736" s="9" t="str">
        <f>IFERROR(__xludf.DUMMYFUNCTION("""COMPUTED_VALUE"""),"fr-15")</f>
        <v>fr-15</v>
      </c>
      <c r="C1736" s="9" t="str">
        <f>IFERROR(__xludf.DUMMYFUNCTION("GOOGLETRANSLATE($A1736,""en"",""de"")"),"Cantal")</f>
        <v>Cantal</v>
      </c>
      <c r="D1736" s="9" t="str">
        <f>IFERROR(__xludf.DUMMYFUNCTION("GOOGLETRANSLATE($A1736,""en"",""fr"")"),"Cantal")</f>
        <v>Cantal</v>
      </c>
      <c r="E1736" s="9" t="str">
        <f>IFERROR(__xludf.DUMMYFUNCTION("GOOGLETRANSLATE($A1736,""en"",""es"")"),"cantal")</f>
        <v>cantal</v>
      </c>
      <c r="F1736" s="9" t="str">
        <f>IFERROR(__xludf.DUMMYFUNCTION("GOOGLETRANSLATE($A1736,""en"",""it"")"),"Cantale")</f>
        <v>Cantale</v>
      </c>
      <c r="G1736" s="9" t="str">
        <f>IFERROR(__xludf.DUMMYFUNCTION("GOOGLETRANSLATE($A1736,""en"",""zh-cn"")"),"康塔尔省")</f>
        <v>康塔尔省</v>
      </c>
      <c r="H1736" s="9" t="str">
        <f>IFERROR(__xludf.DUMMYFUNCTION("GOOGLETRANSLATE($A1736,""en"",""ja"")"),"カンタル")</f>
        <v>カンタル</v>
      </c>
      <c r="I1736" s="9" t="str">
        <f>IFERROR(__xludf.DUMMYFUNCTION("GOOGLETRANSLATE($A1736,""en"",""ko"")"),"칸탈")</f>
        <v>칸탈</v>
      </c>
      <c r="J1736" s="9" t="str">
        <f>IFERROR(__xludf.DUMMYFUNCTION("GOOGLETRANSLATE($A1736,""en"",""pt-BR"")"),"Cantal")</f>
        <v>Cantal</v>
      </c>
    </row>
    <row r="1737">
      <c r="A1737" s="9" t="str">
        <f>IFERROR(__xludf.DUMMYFUNCTION("""COMPUTED_VALUE"""),"Charente")</f>
        <v>Charente</v>
      </c>
      <c r="B1737" s="9" t="str">
        <f>IFERROR(__xludf.DUMMYFUNCTION("""COMPUTED_VALUE"""),"fr-16")</f>
        <v>fr-16</v>
      </c>
      <c r="C1737" s="9" t="str">
        <f>IFERROR(__xludf.DUMMYFUNCTION("GOOGLETRANSLATE($A1737,""en"",""de"")"),"Charente")</f>
        <v>Charente</v>
      </c>
      <c r="D1737" s="9" t="str">
        <f>IFERROR(__xludf.DUMMYFUNCTION("GOOGLETRANSLATE($A1737,""en"",""fr"")"),"Charente")</f>
        <v>Charente</v>
      </c>
      <c r="E1737" s="9" t="str">
        <f>IFERROR(__xludf.DUMMYFUNCTION("GOOGLETRANSLATE($A1737,""en"",""es"")"),"Charenta")</f>
        <v>Charenta</v>
      </c>
      <c r="F1737" s="9" t="str">
        <f>IFERROR(__xludf.DUMMYFUNCTION("GOOGLETRANSLATE($A1737,""en"",""it"")"),"Charente")</f>
        <v>Charente</v>
      </c>
      <c r="G1737" s="9" t="str">
        <f>IFERROR(__xludf.DUMMYFUNCTION("GOOGLETRANSLATE($A1737,""en"",""zh-cn"")"),"夏朗德省")</f>
        <v>夏朗德省</v>
      </c>
      <c r="H1737" s="9" t="str">
        <f>IFERROR(__xludf.DUMMYFUNCTION("GOOGLETRANSLATE($A1737,""en"",""ja"")"),"シャラント")</f>
        <v>シャラント</v>
      </c>
      <c r="I1737" s="9" t="str">
        <f>IFERROR(__xludf.DUMMYFUNCTION("GOOGLETRANSLATE($A1737,""en"",""ko"")"),"샤랑트")</f>
        <v>샤랑트</v>
      </c>
      <c r="J1737" s="9" t="str">
        <f>IFERROR(__xludf.DUMMYFUNCTION("GOOGLETRANSLATE($A1737,""en"",""pt-BR"")"),"Charente")</f>
        <v>Charente</v>
      </c>
    </row>
    <row r="1738">
      <c r="A1738" s="9" t="str">
        <f>IFERROR(__xludf.DUMMYFUNCTION("""COMPUTED_VALUE"""),"Charente-Maritime")</f>
        <v>Charente-Maritime</v>
      </c>
      <c r="B1738" s="9" t="str">
        <f>IFERROR(__xludf.DUMMYFUNCTION("""COMPUTED_VALUE"""),"fr-17")</f>
        <v>fr-17</v>
      </c>
      <c r="C1738" s="9" t="str">
        <f>IFERROR(__xludf.DUMMYFUNCTION("GOOGLETRANSLATE($A1738,""en"",""de"")"),"Charente-Maritime")</f>
        <v>Charente-Maritime</v>
      </c>
      <c r="D1738" s="9" t="str">
        <f>IFERROR(__xludf.DUMMYFUNCTION("GOOGLETRANSLATE($A1738,""en"",""fr"")"),"Charente-Maritime")</f>
        <v>Charente-Maritime</v>
      </c>
      <c r="E1738" s="9" t="str">
        <f>IFERROR(__xludf.DUMMYFUNCTION("GOOGLETRANSLATE($A1738,""en"",""es"")"),"Charente Marítimo")</f>
        <v>Charente Marítimo</v>
      </c>
      <c r="F1738" s="9" t="str">
        <f>IFERROR(__xludf.DUMMYFUNCTION("GOOGLETRANSLATE($A1738,""en"",""it"")"),"Charente Marittima")</f>
        <v>Charente Marittima</v>
      </c>
      <c r="G1738" s="9" t="str">
        <f>IFERROR(__xludf.DUMMYFUNCTION("GOOGLETRANSLATE($A1738,""en"",""zh-cn"")"),"滨海夏朗德省")</f>
        <v>滨海夏朗德省</v>
      </c>
      <c r="H1738" s="9" t="str">
        <f>IFERROR(__xludf.DUMMYFUNCTION("GOOGLETRANSLATE($A1738,""en"",""ja"")"),"シャラント＝マリティーム")</f>
        <v>シャラント＝マリティーム</v>
      </c>
      <c r="I1738" s="9" t="str">
        <f>IFERROR(__xludf.DUMMYFUNCTION("GOOGLETRANSLATE($A1738,""en"",""ko"")"),"샤랑트 마리팀")</f>
        <v>샤랑트 마리팀</v>
      </c>
      <c r="J1738" s="9" t="str">
        <f>IFERROR(__xludf.DUMMYFUNCTION("GOOGLETRANSLATE($A1738,""en"",""pt-BR"")"),"Charente-Maritime")</f>
        <v>Charente-Maritime</v>
      </c>
    </row>
    <row r="1739">
      <c r="A1739" s="9" t="str">
        <f>IFERROR(__xludf.DUMMYFUNCTION("""COMPUTED_VALUE"""),"Cher")</f>
        <v>Cher</v>
      </c>
      <c r="B1739" s="9" t="str">
        <f>IFERROR(__xludf.DUMMYFUNCTION("""COMPUTED_VALUE"""),"fr-18")</f>
        <v>fr-18</v>
      </c>
      <c r="C1739" s="9" t="str">
        <f>IFERROR(__xludf.DUMMYFUNCTION("GOOGLETRANSLATE($A1739,""en"",""de"")"),"Cher")</f>
        <v>Cher</v>
      </c>
      <c r="D1739" s="9" t="str">
        <f>IFERROR(__xludf.DUMMYFUNCTION("GOOGLETRANSLATE($A1739,""en"",""fr"")"),"Cher")</f>
        <v>Cher</v>
      </c>
      <c r="E1739" s="9" t="str">
        <f>IFERROR(__xludf.DUMMYFUNCTION("GOOGLETRANSLATE($A1739,""en"",""es"")"),"Cher")</f>
        <v>Cher</v>
      </c>
      <c r="F1739" s="9" t="str">
        <f>IFERROR(__xludf.DUMMYFUNCTION("GOOGLETRANSLATE($A1739,""en"",""it"")"),"Cher")</f>
        <v>Cher</v>
      </c>
      <c r="G1739" s="9" t="str">
        <f>IFERROR(__xludf.DUMMYFUNCTION("GOOGLETRANSLATE($A1739,""en"",""zh-cn"")"),"雪儿")</f>
        <v>雪儿</v>
      </c>
      <c r="H1739" s="9" t="str">
        <f>IFERROR(__xludf.DUMMYFUNCTION("GOOGLETRANSLATE($A1739,""en"",""ja"")"),"シェール")</f>
        <v>シェール</v>
      </c>
      <c r="I1739" s="9" t="str">
        <f>IFERROR(__xludf.DUMMYFUNCTION("GOOGLETRANSLATE($A1739,""en"",""ko"")"),"셰어")</f>
        <v>셰어</v>
      </c>
      <c r="J1739" s="9" t="str">
        <f>IFERROR(__xludf.DUMMYFUNCTION("GOOGLETRANSLATE($A1739,""en"",""pt-BR"")"),"Cher")</f>
        <v>Cher</v>
      </c>
    </row>
    <row r="1740">
      <c r="A1740" s="9" t="str">
        <f>IFERROR(__xludf.DUMMYFUNCTION("""COMPUTED_VALUE"""),"Finistère")</f>
        <v>Finistère</v>
      </c>
      <c r="B1740" s="9" t="str">
        <f>IFERROR(__xludf.DUMMYFUNCTION("""COMPUTED_VALUE"""),"fr-29")</f>
        <v>fr-29</v>
      </c>
      <c r="C1740" s="9" t="str">
        <f>IFERROR(__xludf.DUMMYFUNCTION("GOOGLETRANSLATE($A1740,""en"",""de"")"),"Finistère")</f>
        <v>Finistère</v>
      </c>
      <c r="D1740" s="9" t="str">
        <f>IFERROR(__xludf.DUMMYFUNCTION("GOOGLETRANSLATE($A1740,""en"",""fr"")"),"Finistère")</f>
        <v>Finistère</v>
      </c>
      <c r="E1740" s="9" t="str">
        <f>IFERROR(__xludf.DUMMYFUNCTION("GOOGLETRANSLATE($A1740,""en"",""es"")"),"Finisterre")</f>
        <v>Finisterre</v>
      </c>
      <c r="F1740" s="9" t="str">
        <f>IFERROR(__xludf.DUMMYFUNCTION("GOOGLETRANSLATE($A1740,""en"",""it"")"),"Finistère")</f>
        <v>Finistère</v>
      </c>
      <c r="G1740" s="9" t="str">
        <f>IFERROR(__xludf.DUMMYFUNCTION("GOOGLETRANSLATE($A1740,""en"",""zh-cn"")"),"菲尼斯泰尔省")</f>
        <v>菲尼斯泰尔省</v>
      </c>
      <c r="H1740" s="9" t="str">
        <f>IFERROR(__xludf.DUMMYFUNCTION("GOOGLETRANSLATE($A1740,""en"",""ja"")"),"フィニステール")</f>
        <v>フィニステール</v>
      </c>
      <c r="I1740" s="9" t="str">
        <f>IFERROR(__xludf.DUMMYFUNCTION("GOOGLETRANSLATE($A1740,""en"",""ko"")"),"피니스테르")</f>
        <v>피니스테르</v>
      </c>
      <c r="J1740" s="9" t="str">
        <f>IFERROR(__xludf.DUMMYFUNCTION("GOOGLETRANSLATE($A1740,""en"",""pt-BR"")"),"Finistère")</f>
        <v>Finistère</v>
      </c>
    </row>
    <row r="1741">
      <c r="A1741" s="9" t="str">
        <f>IFERROR(__xludf.DUMMYFUNCTION("""COMPUTED_VALUE"""),"Centre (FR)")</f>
        <v>Centre (FR)</v>
      </c>
      <c r="B1741" s="9" t="str">
        <f>IFERROR(__xludf.DUMMYFUNCTION("""COMPUTED_VALUE"""),"fr-f")</f>
        <v>fr-f</v>
      </c>
      <c r="C1741" s="9" t="str">
        <f>IFERROR(__xludf.DUMMYFUNCTION("GOOGLETRANSLATE($A1741,""en"",""de"")"),"Zentrum (FR)")</f>
        <v>Zentrum (FR)</v>
      </c>
      <c r="D1741" s="9" t="str">
        <f>IFERROR(__xludf.DUMMYFUNCTION("GOOGLETRANSLATE($A1741,""en"",""fr"")"),"Centre (FR)")</f>
        <v>Centre (FR)</v>
      </c>
      <c r="E1741" s="9" t="str">
        <f>IFERROR(__xludf.DUMMYFUNCTION("GOOGLETRANSLATE($A1741,""en"",""es"")"),"Centro (FR)")</f>
        <v>Centro (FR)</v>
      </c>
      <c r="F1741" s="9" t="str">
        <f>IFERROR(__xludf.DUMMYFUNCTION("GOOGLETRANSLATE($A1741,""en"",""it"")"),"Centro (FR)")</f>
        <v>Centro (FR)</v>
      </c>
      <c r="G1741" s="9" t="str">
        <f>IFERROR(__xludf.DUMMYFUNCTION("GOOGLETRANSLATE($A1741,""en"",""zh-cn"")"),"中心（法国）")</f>
        <v>中心（法国）</v>
      </c>
      <c r="H1741" s="9" t="str">
        <f>IFERROR(__xludf.DUMMYFUNCTION("GOOGLETRANSLATE($A1741,""en"",""ja"")"),"センター（フランス）")</f>
        <v>センター（フランス）</v>
      </c>
      <c r="I1741" s="9" t="str">
        <f>IFERROR(__xludf.DUMMYFUNCTION("GOOGLETRANSLATE($A1741,""en"",""ko"")"),"센터(프랑스)")</f>
        <v>센터(프랑스)</v>
      </c>
      <c r="J1741" s="9" t="str">
        <f>IFERROR(__xludf.DUMMYFUNCTION("GOOGLETRANSLATE($A1741,""en"",""pt-BR"")"),"Centro (FR)")</f>
        <v>Centro (FR)</v>
      </c>
    </row>
    <row r="1742">
      <c r="A1742" s="9" t="str">
        <f>IFERROR(__xludf.DUMMYFUNCTION("""COMPUTED_VALUE"""),"Champagne-Ardenne")</f>
        <v>Champagne-Ardenne</v>
      </c>
      <c r="B1742" s="9" t="str">
        <f>IFERROR(__xludf.DUMMYFUNCTION("""COMPUTED_VALUE"""),"fr-g")</f>
        <v>fr-g</v>
      </c>
      <c r="C1742" s="9" t="str">
        <f>IFERROR(__xludf.DUMMYFUNCTION("GOOGLETRANSLATE($A1742,""en"",""de"")"),"Champagne-Ardenne")</f>
        <v>Champagne-Ardenne</v>
      </c>
      <c r="D1742" s="9" t="str">
        <f>IFERROR(__xludf.DUMMYFUNCTION("GOOGLETRANSLATE($A1742,""en"",""fr"")"),"Champagne-Ardenne")</f>
        <v>Champagne-Ardenne</v>
      </c>
      <c r="E1742" s="9" t="str">
        <f>IFERROR(__xludf.DUMMYFUNCTION("GOOGLETRANSLATE($A1742,""en"",""es"")"),"Champaña-Ardenas")</f>
        <v>Champaña-Ardenas</v>
      </c>
      <c r="F1742" s="9" t="str">
        <f>IFERROR(__xludf.DUMMYFUNCTION("GOOGLETRANSLATE($A1742,""en"",""it"")"),"Champagne-Ardenne")</f>
        <v>Champagne-Ardenne</v>
      </c>
      <c r="G1742" s="9" t="str">
        <f>IFERROR(__xludf.DUMMYFUNCTION("GOOGLETRANSLATE($A1742,""en"",""zh-cn"")"),"香槟-阿登地区")</f>
        <v>香槟-阿登地区</v>
      </c>
      <c r="H1742" s="9" t="str">
        <f>IFERROR(__xludf.DUMMYFUNCTION("GOOGLETRANSLATE($A1742,""en"",""ja"")"),"シャンパーニュ・アルデンヌ")</f>
        <v>シャンパーニュ・アルデンヌ</v>
      </c>
      <c r="I1742" s="9" t="str">
        <f>IFERROR(__xludf.DUMMYFUNCTION("GOOGLETRANSLATE($A1742,""en"",""ko"")"),"샴페인 아르덴")</f>
        <v>샴페인 아르덴</v>
      </c>
      <c r="J1742" s="9" t="str">
        <f>IFERROR(__xludf.DUMMYFUNCTION("GOOGLETRANSLATE($A1742,""en"",""pt-BR"")"),"Champanhe-Ardenas")</f>
        <v>Champanhe-Ardenas</v>
      </c>
    </row>
    <row r="1743">
      <c r="A1743" s="9" t="str">
        <f>IFERROR(__xludf.DUMMYFUNCTION("""COMPUTED_VALUE"""),"Corse")</f>
        <v>Corse</v>
      </c>
      <c r="B1743" s="9" t="str">
        <f>IFERROR(__xludf.DUMMYFUNCTION("""COMPUTED_VALUE"""),"fr-h")</f>
        <v>fr-h</v>
      </c>
      <c r="C1743" s="9" t="str">
        <f>IFERROR(__xludf.DUMMYFUNCTION("GOOGLETRANSLATE($A1743,""en"",""de"")"),"Korsika")</f>
        <v>Korsika</v>
      </c>
      <c r="D1743" s="9" t="str">
        <f>IFERROR(__xludf.DUMMYFUNCTION("GOOGLETRANSLATE($A1743,""en"",""fr"")"),"Corse")</f>
        <v>Corse</v>
      </c>
      <c r="E1743" s="9" t="str">
        <f>IFERROR(__xludf.DUMMYFUNCTION("GOOGLETRANSLATE($A1743,""en"",""es"")"),"Córcega")</f>
        <v>Córcega</v>
      </c>
      <c r="F1743" s="9" t="str">
        <f>IFERROR(__xludf.DUMMYFUNCTION("GOOGLETRANSLATE($A1743,""en"",""it"")"),"Corsica")</f>
        <v>Corsica</v>
      </c>
      <c r="G1743" s="9" t="str">
        <f>IFERROR(__xludf.DUMMYFUNCTION("GOOGLETRANSLATE($A1743,""en"",""zh-cn"")"),"科西嘉岛")</f>
        <v>科西嘉岛</v>
      </c>
      <c r="H1743" s="9" t="str">
        <f>IFERROR(__xludf.DUMMYFUNCTION("GOOGLETRANSLATE($A1743,""en"",""ja"")"),"コルセ")</f>
        <v>コルセ</v>
      </c>
      <c r="I1743" s="9" t="str">
        <f>IFERROR(__xludf.DUMMYFUNCTION("GOOGLETRANSLATE($A1743,""en"",""ko"")"),"코스")</f>
        <v>코스</v>
      </c>
      <c r="J1743" s="9" t="str">
        <f>IFERROR(__xludf.DUMMYFUNCTION("GOOGLETRANSLATE($A1743,""en"",""pt-BR"")"),"Córsega")</f>
        <v>Córsega</v>
      </c>
    </row>
    <row r="1744">
      <c r="A1744" s="9" t="str">
        <f>IFERROR(__xludf.DUMMYFUNCTION("""COMPUTED_VALUE"""),"Franche-Comté")</f>
        <v>Franche-Comté</v>
      </c>
      <c r="B1744" s="9" t="str">
        <f>IFERROR(__xludf.DUMMYFUNCTION("""COMPUTED_VALUE"""),"fr-i")</f>
        <v>fr-i</v>
      </c>
      <c r="C1744" s="9" t="str">
        <f>IFERROR(__xludf.DUMMYFUNCTION("GOOGLETRANSLATE($A1744,""en"",""de"")"),"Franche-Comté")</f>
        <v>Franche-Comté</v>
      </c>
      <c r="D1744" s="9" t="str">
        <f>IFERROR(__xludf.DUMMYFUNCTION("GOOGLETRANSLATE($A1744,""en"",""fr"")"),"Franche-Comté")</f>
        <v>Franche-Comté</v>
      </c>
      <c r="E1744" s="9" t="str">
        <f>IFERROR(__xludf.DUMMYFUNCTION("GOOGLETRANSLATE($A1744,""en"",""es"")"),"Franco Condado")</f>
        <v>Franco Condado</v>
      </c>
      <c r="F1744" s="9" t="str">
        <f>IFERROR(__xludf.DUMMYFUNCTION("GOOGLETRANSLATE($A1744,""en"",""it"")"),"Franca Contea")</f>
        <v>Franca Contea</v>
      </c>
      <c r="G1744" s="9" t="str">
        <f>IFERROR(__xludf.DUMMYFUNCTION("GOOGLETRANSLATE($A1744,""en"",""zh-cn"")"),"弗朗什-孔泰")</f>
        <v>弗朗什-孔泰</v>
      </c>
      <c r="H1744" s="9" t="str">
        <f>IFERROR(__xludf.DUMMYFUNCTION("GOOGLETRANSLATE($A1744,""en"",""ja"")"),"フランシュ＝コンテ")</f>
        <v>フランシュ＝コンテ</v>
      </c>
      <c r="I1744" s="9" t="str">
        <f>IFERROR(__xludf.DUMMYFUNCTION("GOOGLETRANSLATE($A1744,""en"",""ko"")"),"프랑슈콩테")</f>
        <v>프랑슈콩테</v>
      </c>
      <c r="J1744" s="9" t="str">
        <f>IFERROR(__xludf.DUMMYFUNCTION("GOOGLETRANSLATE($A1744,""en"",""pt-BR"")"),"Franco-Condado")</f>
        <v>Franco-Condado</v>
      </c>
    </row>
    <row r="1745">
      <c r="A1745" s="9" t="str">
        <f>IFERROR(__xludf.DUMMYFUNCTION("""COMPUTED_VALUE"""),"Auvergne")</f>
        <v>Auvergne</v>
      </c>
      <c r="B1745" s="9" t="str">
        <f>IFERROR(__xludf.DUMMYFUNCTION("""COMPUTED_VALUE"""),"fr-c")</f>
        <v>fr-c</v>
      </c>
      <c r="C1745" s="9" t="str">
        <f>IFERROR(__xludf.DUMMYFUNCTION("GOOGLETRANSLATE($A1745,""en"",""de"")"),"Auvergne")</f>
        <v>Auvergne</v>
      </c>
      <c r="D1745" s="9" t="str">
        <f>IFERROR(__xludf.DUMMYFUNCTION("GOOGLETRANSLATE($A1745,""en"",""fr"")"),"Auvergne")</f>
        <v>Auvergne</v>
      </c>
      <c r="E1745" s="9" t="str">
        <f>IFERROR(__xludf.DUMMYFUNCTION("GOOGLETRANSLATE($A1745,""en"",""es"")"),"Auvernia")</f>
        <v>Auvernia</v>
      </c>
      <c r="F1745" s="9" t="str">
        <f>IFERROR(__xludf.DUMMYFUNCTION("GOOGLETRANSLATE($A1745,""en"",""it"")"),"Alvernia")</f>
        <v>Alvernia</v>
      </c>
      <c r="G1745" s="9" t="str">
        <f>IFERROR(__xludf.DUMMYFUNCTION("GOOGLETRANSLATE($A1745,""en"",""zh-cn"")"),"奥弗涅")</f>
        <v>奥弗涅</v>
      </c>
      <c r="H1745" s="9" t="str">
        <f>IFERROR(__xludf.DUMMYFUNCTION("GOOGLETRANSLATE($A1745,""en"",""ja"")"),"オーヴェルニュ")</f>
        <v>オーヴェルニュ</v>
      </c>
      <c r="I1745" s="9" t="str">
        <f>IFERROR(__xludf.DUMMYFUNCTION("GOOGLETRANSLATE($A1745,""en"",""ko"")"),"오베르뉴")</f>
        <v>오베르뉴</v>
      </c>
      <c r="J1745" s="9" t="str">
        <f>IFERROR(__xludf.DUMMYFUNCTION("GOOGLETRANSLATE($A1745,""en"",""pt-BR"")"),"Auvérnia")</f>
        <v>Auvérnia</v>
      </c>
    </row>
    <row r="1746">
      <c r="A1746" s="9" t="str">
        <f>IFERROR(__xludf.DUMMYFUNCTION("""COMPUTED_VALUE"""),"Basse-Normandie")</f>
        <v>Basse-Normandie</v>
      </c>
      <c r="B1746" s="9" t="str">
        <f>IFERROR(__xludf.DUMMYFUNCTION("""COMPUTED_VALUE"""),"fr-p")</f>
        <v>fr-p</v>
      </c>
      <c r="C1746" s="9" t="str">
        <f>IFERROR(__xludf.DUMMYFUNCTION("GOOGLETRANSLATE($A1746,""en"",""de"")"),"Basse-Normandie")</f>
        <v>Basse-Normandie</v>
      </c>
      <c r="D1746" s="9" t="str">
        <f>IFERROR(__xludf.DUMMYFUNCTION("GOOGLETRANSLATE($A1746,""en"",""fr"")"),"Basse Normandie")</f>
        <v>Basse Normandie</v>
      </c>
      <c r="E1746" s="9" t="str">
        <f>IFERROR(__xludf.DUMMYFUNCTION("GOOGLETRANSLATE($A1746,""en"",""es"")"),"Baja Normandía")</f>
        <v>Baja Normandía</v>
      </c>
      <c r="F1746" s="9" t="str">
        <f>IFERROR(__xludf.DUMMYFUNCTION("GOOGLETRANSLATE($A1746,""en"",""it"")"),"Bassa Normandia")</f>
        <v>Bassa Normandia</v>
      </c>
      <c r="G1746" s="9" t="str">
        <f>IFERROR(__xludf.DUMMYFUNCTION("GOOGLETRANSLATE($A1746,""en"",""zh-cn"")"),"下诺曼底")</f>
        <v>下诺曼底</v>
      </c>
      <c r="H1746" s="9" t="str">
        <f>IFERROR(__xludf.DUMMYFUNCTION("GOOGLETRANSLATE($A1746,""en"",""ja"")"),"バス・ノルマンディー")</f>
        <v>バス・ノルマンディー</v>
      </c>
      <c r="I1746" s="9" t="str">
        <f>IFERROR(__xludf.DUMMYFUNCTION("GOOGLETRANSLATE($A1746,""en"",""ko"")"),"바스노르망디")</f>
        <v>바스노르망디</v>
      </c>
      <c r="J1746" s="9" t="str">
        <f>IFERROR(__xludf.DUMMYFUNCTION("GOOGLETRANSLATE($A1746,""en"",""pt-BR"")"),"Baixa Normandia")</f>
        <v>Baixa Normandia</v>
      </c>
    </row>
    <row r="1747">
      <c r="A1747" s="9" t="str">
        <f>IFERROR(__xludf.DUMMYFUNCTION("""COMPUTED_VALUE"""),"Bourgogne")</f>
        <v>Bourgogne</v>
      </c>
      <c r="B1747" s="9" t="str">
        <f>IFERROR(__xludf.DUMMYFUNCTION("""COMPUTED_VALUE"""),"fr-d")</f>
        <v>fr-d</v>
      </c>
      <c r="C1747" s="9" t="str">
        <f>IFERROR(__xludf.DUMMYFUNCTION("GOOGLETRANSLATE($A1747,""en"",""de"")"),"Burgund")</f>
        <v>Burgund</v>
      </c>
      <c r="D1747" s="9" t="str">
        <f>IFERROR(__xludf.DUMMYFUNCTION("GOOGLETRANSLATE($A1747,""en"",""fr"")"),"Bourgogne")</f>
        <v>Bourgogne</v>
      </c>
      <c r="E1747" s="9" t="str">
        <f>IFERROR(__xludf.DUMMYFUNCTION("GOOGLETRANSLATE($A1747,""en"",""es"")"),"Borgoña")</f>
        <v>Borgoña</v>
      </c>
      <c r="F1747" s="9" t="str">
        <f>IFERROR(__xludf.DUMMYFUNCTION("GOOGLETRANSLATE($A1747,""en"",""it"")"),"Borgogna")</f>
        <v>Borgogna</v>
      </c>
      <c r="G1747" s="9" t="str">
        <f>IFERROR(__xludf.DUMMYFUNCTION("GOOGLETRANSLATE($A1747,""en"",""zh-cn"")"),"勃艮第")</f>
        <v>勃艮第</v>
      </c>
      <c r="H1747" s="9" t="str">
        <f>IFERROR(__xludf.DUMMYFUNCTION("GOOGLETRANSLATE($A1747,""en"",""ja"")"),"ブルゴーニュ")</f>
        <v>ブルゴーニュ</v>
      </c>
      <c r="I1747" s="9" t="str">
        <f>IFERROR(__xludf.DUMMYFUNCTION("GOOGLETRANSLATE($A1747,""en"",""ko"")"),"부르고뉴")</f>
        <v>부르고뉴</v>
      </c>
      <c r="J1747" s="9" t="str">
        <f>IFERROR(__xludf.DUMMYFUNCTION("GOOGLETRANSLATE($A1747,""en"",""pt-BR"")"),"Borgonha")</f>
        <v>Borgonha</v>
      </c>
    </row>
    <row r="1748">
      <c r="A1748" s="9" t="str">
        <f>IFERROR(__xludf.DUMMYFUNCTION("""COMPUTED_VALUE"""),"Bretagne")</f>
        <v>Bretagne</v>
      </c>
      <c r="B1748" s="9" t="str">
        <f>IFERROR(__xludf.DUMMYFUNCTION("""COMPUTED_VALUE"""),"fr-e")</f>
        <v>fr-e</v>
      </c>
      <c r="C1748" s="9" t="str">
        <f>IFERROR(__xludf.DUMMYFUNCTION("GOOGLETRANSLATE($A1748,""en"",""de"")"),"Bretagne")</f>
        <v>Bretagne</v>
      </c>
      <c r="D1748" s="9" t="str">
        <f>IFERROR(__xludf.DUMMYFUNCTION("GOOGLETRANSLATE($A1748,""en"",""fr"")"),"Bretagne")</f>
        <v>Bretagne</v>
      </c>
      <c r="E1748" s="9" t="str">
        <f>IFERROR(__xludf.DUMMYFUNCTION("GOOGLETRANSLATE($A1748,""en"",""es"")"),"Bretaña")</f>
        <v>Bretaña</v>
      </c>
      <c r="F1748" s="9" t="str">
        <f>IFERROR(__xludf.DUMMYFUNCTION("GOOGLETRANSLATE($A1748,""en"",""it"")"),"Bretagna")</f>
        <v>Bretagna</v>
      </c>
      <c r="G1748" s="9" t="str">
        <f>IFERROR(__xludf.DUMMYFUNCTION("GOOGLETRANSLATE($A1748,""en"",""zh-cn"")"),"布列塔尼")</f>
        <v>布列塔尼</v>
      </c>
      <c r="H1748" s="9" t="str">
        <f>IFERROR(__xludf.DUMMYFUNCTION("GOOGLETRANSLATE($A1748,""en"",""ja"")"),"ブルターニュ")</f>
        <v>ブルターニュ</v>
      </c>
      <c r="I1748" s="9" t="str">
        <f>IFERROR(__xludf.DUMMYFUNCTION("GOOGLETRANSLATE($A1748,""en"",""ko"")"),"브르타뉴")</f>
        <v>브르타뉴</v>
      </c>
      <c r="J1748" s="9" t="str">
        <f>IFERROR(__xludf.DUMMYFUNCTION("GOOGLETRANSLATE($A1748,""en"",""pt-BR"")"),"Bretanha")</f>
        <v>Bretanha</v>
      </c>
    </row>
    <row r="1749">
      <c r="A1749" s="9" t="str">
        <f>IFERROR(__xludf.DUMMYFUNCTION("""COMPUTED_VALUE"""),"Alsace")</f>
        <v>Alsace</v>
      </c>
      <c r="B1749" s="9" t="str">
        <f>IFERROR(__xludf.DUMMYFUNCTION("""COMPUTED_VALUE"""),"fr-a")</f>
        <v>fr-a</v>
      </c>
      <c r="C1749" s="9" t="str">
        <f>IFERROR(__xludf.DUMMYFUNCTION("GOOGLETRANSLATE($A1749,""en"",""de"")"),"Elsass")</f>
        <v>Elsass</v>
      </c>
      <c r="D1749" s="9" t="str">
        <f>IFERROR(__xludf.DUMMYFUNCTION("GOOGLETRANSLATE($A1749,""en"",""fr"")"),"Alsace")</f>
        <v>Alsace</v>
      </c>
      <c r="E1749" s="9" t="str">
        <f>IFERROR(__xludf.DUMMYFUNCTION("GOOGLETRANSLATE($A1749,""en"",""es"")"),"Alsacia")</f>
        <v>Alsacia</v>
      </c>
      <c r="F1749" s="9" t="str">
        <f>IFERROR(__xludf.DUMMYFUNCTION("GOOGLETRANSLATE($A1749,""en"",""it"")"),"Alsazia")</f>
        <v>Alsazia</v>
      </c>
      <c r="G1749" s="9" t="str">
        <f>IFERROR(__xludf.DUMMYFUNCTION("GOOGLETRANSLATE($A1749,""en"",""zh-cn"")"),"阿尔萨斯")</f>
        <v>阿尔萨斯</v>
      </c>
      <c r="H1749" s="9" t="str">
        <f>IFERROR(__xludf.DUMMYFUNCTION("GOOGLETRANSLATE($A1749,""en"",""ja"")"),"アルザス")</f>
        <v>アルザス</v>
      </c>
      <c r="I1749" s="9" t="str">
        <f>IFERROR(__xludf.DUMMYFUNCTION("GOOGLETRANSLATE($A1749,""en"",""ko"")"),"알자스")</f>
        <v>알자스</v>
      </c>
      <c r="J1749" s="9" t="str">
        <f>IFERROR(__xludf.DUMMYFUNCTION("GOOGLETRANSLATE($A1749,""en"",""pt-BR"")"),"Alsácia")</f>
        <v>Alsácia</v>
      </c>
    </row>
    <row r="1750">
      <c r="A1750" s="9" t="str">
        <f>IFERROR(__xludf.DUMMYFUNCTION("""COMPUTED_VALUE"""),"Aquitaine")</f>
        <v>Aquitaine</v>
      </c>
      <c r="B1750" s="9" t="str">
        <f>IFERROR(__xludf.DUMMYFUNCTION("""COMPUTED_VALUE"""),"fr-b")</f>
        <v>fr-b</v>
      </c>
      <c r="C1750" s="9" t="str">
        <f>IFERROR(__xludf.DUMMYFUNCTION("GOOGLETRANSLATE($A1750,""en"",""de"")"),"Aquitanien")</f>
        <v>Aquitanien</v>
      </c>
      <c r="D1750" s="9" t="str">
        <f>IFERROR(__xludf.DUMMYFUNCTION("GOOGLETRANSLATE($A1750,""en"",""fr"")"),"Aquitaine")</f>
        <v>Aquitaine</v>
      </c>
      <c r="E1750" s="9" t="str">
        <f>IFERROR(__xludf.DUMMYFUNCTION("GOOGLETRANSLATE($A1750,""en"",""es"")"),"Aquitania")</f>
        <v>Aquitania</v>
      </c>
      <c r="F1750" s="9" t="str">
        <f>IFERROR(__xludf.DUMMYFUNCTION("GOOGLETRANSLATE($A1750,""en"",""it"")"),"Aquitania")</f>
        <v>Aquitania</v>
      </c>
      <c r="G1750" s="9" t="str">
        <f>IFERROR(__xludf.DUMMYFUNCTION("GOOGLETRANSLATE($A1750,""en"",""zh-cn"")"),"阿基坦")</f>
        <v>阿基坦</v>
      </c>
      <c r="H1750" s="9" t="str">
        <f>IFERROR(__xludf.DUMMYFUNCTION("GOOGLETRANSLATE($A1750,""en"",""ja"")"),"アキテーヌ")</f>
        <v>アキテーヌ</v>
      </c>
      <c r="I1750" s="9" t="str">
        <f>IFERROR(__xludf.DUMMYFUNCTION("GOOGLETRANSLATE($A1750,""en"",""ko"")"),"아키텐")</f>
        <v>아키텐</v>
      </c>
      <c r="J1750" s="9" t="str">
        <f>IFERROR(__xludf.DUMMYFUNCTION("GOOGLETRANSLATE($A1750,""en"",""pt-BR"")"),"Aquitânia")</f>
        <v>Aquitânia</v>
      </c>
    </row>
    <row r="1751">
      <c r="A1751" s="9" t="str">
        <f>IFERROR(__xludf.DUMMYFUNCTION("""COMPUTED_VALUE"""),"Guadeloupe")</f>
        <v>Guadeloupe</v>
      </c>
      <c r="B1751" s="9" t="str">
        <f>IFERROR(__xludf.DUMMYFUNCTION("""COMPUTED_VALUE"""),"fr-gp")</f>
        <v>fr-gp</v>
      </c>
      <c r="C1751" s="9" t="str">
        <f>IFERROR(__xludf.DUMMYFUNCTION("GOOGLETRANSLATE($A1751,""en"",""de"")"),"Guadeloupe")</f>
        <v>Guadeloupe</v>
      </c>
      <c r="D1751" s="9" t="str">
        <f>IFERROR(__xludf.DUMMYFUNCTION("GOOGLETRANSLATE($A1751,""en"",""fr"")"),"Guadeloupe")</f>
        <v>Guadeloupe</v>
      </c>
      <c r="E1751" s="9" t="str">
        <f>IFERROR(__xludf.DUMMYFUNCTION("GOOGLETRANSLATE($A1751,""en"",""es"")"),"Guadalupe")</f>
        <v>Guadalupe</v>
      </c>
      <c r="F1751" s="9" t="str">
        <f>IFERROR(__xludf.DUMMYFUNCTION("GOOGLETRANSLATE($A1751,""en"",""it"")"),"Guadalupa")</f>
        <v>Guadalupa</v>
      </c>
      <c r="G1751" s="9" t="str">
        <f>IFERROR(__xludf.DUMMYFUNCTION("GOOGLETRANSLATE($A1751,""en"",""zh-cn"")"),"瓜德罗普岛")</f>
        <v>瓜德罗普岛</v>
      </c>
      <c r="H1751" s="9" t="str">
        <f>IFERROR(__xludf.DUMMYFUNCTION("GOOGLETRANSLATE($A1751,""en"",""ja"")"),"グアドループ")</f>
        <v>グアドループ</v>
      </c>
      <c r="I1751" s="9" t="str">
        <f>IFERROR(__xludf.DUMMYFUNCTION("GOOGLETRANSLATE($A1751,""en"",""ko"")"),"과들루프")</f>
        <v>과들루프</v>
      </c>
      <c r="J1751" s="9" t="str">
        <f>IFERROR(__xludf.DUMMYFUNCTION("GOOGLETRANSLATE($A1751,""en"",""pt-BR"")"),"Guadalupe")</f>
        <v>Guadalupe</v>
      </c>
    </row>
    <row r="1752">
      <c r="A1752" s="9" t="str">
        <f>IFERROR(__xludf.DUMMYFUNCTION("""COMPUTED_VALUE"""),"Guyane (française)")</f>
        <v>Guyane (française)</v>
      </c>
      <c r="B1752" s="9" t="str">
        <f>IFERROR(__xludf.DUMMYFUNCTION("""COMPUTED_VALUE"""),"fr-gf")</f>
        <v>fr-gf</v>
      </c>
      <c r="C1752" s="9" t="str">
        <f>IFERROR(__xludf.DUMMYFUNCTION("GOOGLETRANSLATE($A1752,""en"",""de"")"),"Guyana (Französisch)")</f>
        <v>Guyana (Französisch)</v>
      </c>
      <c r="D1752" s="9" t="str">
        <f>IFERROR(__xludf.DUMMYFUNCTION("GOOGLETRANSLATE($A1752,""en"",""fr"")"),"Guyane (anglaise)")</f>
        <v>Guyane (anglaise)</v>
      </c>
      <c r="E1752" s="9" t="str">
        <f>IFERROR(__xludf.DUMMYFUNCTION("GOOGLETRANSLATE($A1752,""en"",""es"")"),"Guyana (française)")</f>
        <v>Guyana (française)</v>
      </c>
      <c r="F1752" s="9" t="str">
        <f>IFERROR(__xludf.DUMMYFUNCTION("GOOGLETRANSLATE($A1752,""en"",""it"")"),"Guyana (francese)")</f>
        <v>Guyana (francese)</v>
      </c>
      <c r="G1752" s="9" t="str">
        <f>IFERROR(__xludf.DUMMYFUNCTION("GOOGLETRANSLATE($A1752,""en"",""zh-cn"")"),"圭亚那（法语）")</f>
        <v>圭亚那（法语）</v>
      </c>
      <c r="H1752" s="9" t="str">
        <f>IFERROR(__xludf.DUMMYFUNCTION("GOOGLETRANSLATE($A1752,""en"",""ja"")"),"ガイアーヌ語 (フランス)")</f>
        <v>ガイアーヌ語 (フランス)</v>
      </c>
      <c r="I1752" s="9" t="str">
        <f>IFERROR(__xludf.DUMMYFUNCTION("GOOGLETRANSLATE($A1752,""en"",""ko"")"),"가이안(프랑스어)")</f>
        <v>가이안(프랑스어)</v>
      </c>
      <c r="J1752" s="9" t="str">
        <f>IFERROR(__xludf.DUMMYFUNCTION("GOOGLETRANSLATE($A1752,""en"",""pt-BR"")"),"Guiana (francesa)")</f>
        <v>Guiana (francesa)</v>
      </c>
    </row>
    <row r="1753">
      <c r="A1753" s="9" t="str">
        <f>IFERROR(__xludf.DUMMYFUNCTION("""COMPUTED_VALUE"""),"Martinique")</f>
        <v>Martinique</v>
      </c>
      <c r="B1753" s="9" t="str">
        <f>IFERROR(__xludf.DUMMYFUNCTION("""COMPUTED_VALUE"""),"fr-mq")</f>
        <v>fr-mq</v>
      </c>
      <c r="C1753" s="9" t="str">
        <f>IFERROR(__xludf.DUMMYFUNCTION("GOOGLETRANSLATE($A1753,""en"",""de"")"),"Martinique")</f>
        <v>Martinique</v>
      </c>
      <c r="D1753" s="9" t="str">
        <f>IFERROR(__xludf.DUMMYFUNCTION("GOOGLETRANSLATE($A1753,""en"",""fr"")"),"Martinique")</f>
        <v>Martinique</v>
      </c>
      <c r="E1753" s="9" t="str">
        <f>IFERROR(__xludf.DUMMYFUNCTION("GOOGLETRANSLATE($A1753,""en"",""es"")"),"Martinica")</f>
        <v>Martinica</v>
      </c>
      <c r="F1753" s="9" t="str">
        <f>IFERROR(__xludf.DUMMYFUNCTION("GOOGLETRANSLATE($A1753,""en"",""it"")"),"Martinica")</f>
        <v>Martinica</v>
      </c>
      <c r="G1753" s="9" t="str">
        <f>IFERROR(__xludf.DUMMYFUNCTION("GOOGLETRANSLATE($A1753,""en"",""zh-cn"")"),"马提尼克岛")</f>
        <v>马提尼克岛</v>
      </c>
      <c r="H1753" s="9" t="str">
        <f>IFERROR(__xludf.DUMMYFUNCTION("GOOGLETRANSLATE($A1753,""en"",""ja"")"),"マルティニーク")</f>
        <v>マルティニーク</v>
      </c>
      <c r="I1753" s="9" t="str">
        <f>IFERROR(__xludf.DUMMYFUNCTION("GOOGLETRANSLATE($A1753,""en"",""ko"")"),"마르티니크")</f>
        <v>마르티니크</v>
      </c>
      <c r="J1753" s="9" t="str">
        <f>IFERROR(__xludf.DUMMYFUNCTION("GOOGLETRANSLATE($A1753,""en"",""pt-BR"")"),"Martinica")</f>
        <v>Martinica</v>
      </c>
    </row>
    <row r="1754">
      <c r="A1754" s="9" t="str">
        <f>IFERROR(__xludf.DUMMYFUNCTION("""COMPUTED_VALUE"""),"Picardie")</f>
        <v>Picardie</v>
      </c>
      <c r="B1754" s="9" t="str">
        <f>IFERROR(__xludf.DUMMYFUNCTION("""COMPUTED_VALUE"""),"fr-s")</f>
        <v>fr-s</v>
      </c>
      <c r="C1754" s="9" t="str">
        <f>IFERROR(__xludf.DUMMYFUNCTION("GOOGLETRANSLATE($A1754,""en"",""de"")"),"Picardie")</f>
        <v>Picardie</v>
      </c>
      <c r="D1754" s="9" t="str">
        <f>IFERROR(__xludf.DUMMYFUNCTION("GOOGLETRANSLATE($A1754,""en"",""fr"")"),"Picardie")</f>
        <v>Picardie</v>
      </c>
      <c r="E1754" s="9" t="str">
        <f>IFERROR(__xludf.DUMMYFUNCTION("GOOGLETRANSLATE($A1754,""en"",""es"")"),"Picardía")</f>
        <v>Picardía</v>
      </c>
      <c r="F1754" s="9" t="str">
        <f>IFERROR(__xludf.DUMMYFUNCTION("GOOGLETRANSLATE($A1754,""en"",""it"")"),"Piccardia")</f>
        <v>Piccardia</v>
      </c>
      <c r="G1754" s="9" t="str">
        <f>IFERROR(__xludf.DUMMYFUNCTION("GOOGLETRANSLATE($A1754,""en"",""zh-cn"")"),"皮卡第")</f>
        <v>皮卡第</v>
      </c>
      <c r="H1754" s="9" t="str">
        <f>IFERROR(__xludf.DUMMYFUNCTION("GOOGLETRANSLATE($A1754,""en"",""ja"")"),"ピカルディ")</f>
        <v>ピカルディ</v>
      </c>
      <c r="I1754" s="9" t="str">
        <f>IFERROR(__xludf.DUMMYFUNCTION("GOOGLETRANSLATE($A1754,""en"",""ko"")"),"피카르디")</f>
        <v>피카르디</v>
      </c>
      <c r="J1754" s="9" t="str">
        <f>IFERROR(__xludf.DUMMYFUNCTION("GOOGLETRANSLATE($A1754,""en"",""pt-BR"")"),"Picardia")</f>
        <v>Picardia</v>
      </c>
    </row>
    <row r="1755">
      <c r="A1755" s="9" t="str">
        <f>IFERROR(__xludf.DUMMYFUNCTION("""COMPUTED_VALUE"""),"Poitou-Charentes")</f>
        <v>Poitou-Charentes</v>
      </c>
      <c r="B1755" s="9" t="str">
        <f>IFERROR(__xludf.DUMMYFUNCTION("""COMPUTED_VALUE"""),"fr-t")</f>
        <v>fr-t</v>
      </c>
      <c r="C1755" s="9" t="str">
        <f>IFERROR(__xludf.DUMMYFUNCTION("GOOGLETRANSLATE($A1755,""en"",""de"")"),"Poitou-Charentes")</f>
        <v>Poitou-Charentes</v>
      </c>
      <c r="D1755" s="9" t="str">
        <f>IFERROR(__xludf.DUMMYFUNCTION("GOOGLETRANSLATE($A1755,""en"",""fr"")"),"Poitou-Charentes")</f>
        <v>Poitou-Charentes</v>
      </c>
      <c r="E1755" s="9" t="str">
        <f>IFERROR(__xludf.DUMMYFUNCTION("GOOGLETRANSLATE($A1755,""en"",""es"")"),"Poitou-Charentes")</f>
        <v>Poitou-Charentes</v>
      </c>
      <c r="F1755" s="9" t="str">
        <f>IFERROR(__xludf.DUMMYFUNCTION("GOOGLETRANSLATE($A1755,""en"",""it"")"),"Poitou-Charentes")</f>
        <v>Poitou-Charentes</v>
      </c>
      <c r="G1755" s="9" t="str">
        <f>IFERROR(__xludf.DUMMYFUNCTION("GOOGLETRANSLATE($A1755,""en"",""zh-cn"")"),"普瓦图-夏朗德")</f>
        <v>普瓦图-夏朗德</v>
      </c>
      <c r="H1755" s="9" t="str">
        <f>IFERROR(__xludf.DUMMYFUNCTION("GOOGLETRANSLATE($A1755,""en"",""ja"")"),"ポワトゥー＝シャラント地域圏")</f>
        <v>ポワトゥー＝シャラント地域圏</v>
      </c>
      <c r="I1755" s="9" t="str">
        <f>IFERROR(__xludf.DUMMYFUNCTION("GOOGLETRANSLATE($A1755,""en"",""ko"")"),"푸아투 샤랑트")</f>
        <v>푸아투 샤랑트</v>
      </c>
      <c r="J1755" s="9" t="str">
        <f>IFERROR(__xludf.DUMMYFUNCTION("GOOGLETRANSLATE($A1755,""en"",""pt-BR"")"),"Poitou-Charentes")</f>
        <v>Poitou-Charentes</v>
      </c>
    </row>
    <row r="1756">
      <c r="A1756" s="9" t="str">
        <f>IFERROR(__xludf.DUMMYFUNCTION("""COMPUTED_VALUE"""),"Provence-Alpes-Côte d'Azur")</f>
        <v>Provence-Alpes-Côte d'Azur</v>
      </c>
      <c r="B1756" s="9" t="str">
        <f>IFERROR(__xludf.DUMMYFUNCTION("""COMPUTED_VALUE"""),"fr-u")</f>
        <v>fr-u</v>
      </c>
      <c r="C1756" s="9" t="str">
        <f>IFERROR(__xludf.DUMMYFUNCTION("GOOGLETRANSLATE($A1756,""en"",""de"")"),"Provence-Alpes-Côte d'Azur")</f>
        <v>Provence-Alpes-Côte d'Azur</v>
      </c>
      <c r="D1756" s="9" t="str">
        <f>IFERROR(__xludf.DUMMYFUNCTION("GOOGLETRANSLATE($A1756,""en"",""fr"")"),"Provence-Alpes-Côte d'Azur")</f>
        <v>Provence-Alpes-Côte d'Azur</v>
      </c>
      <c r="E1756" s="9" t="str">
        <f>IFERROR(__xludf.DUMMYFUNCTION("GOOGLETRANSLATE($A1756,""en"",""es"")"),"Provenza-Alpes-Costa Azul")</f>
        <v>Provenza-Alpes-Costa Azul</v>
      </c>
      <c r="F1756" s="9" t="str">
        <f>IFERROR(__xludf.DUMMYFUNCTION("GOOGLETRANSLATE($A1756,""en"",""it"")"),"Provenza-Alpi-Costa Azzurra")</f>
        <v>Provenza-Alpi-Costa Azzurra</v>
      </c>
      <c r="G1756" s="9" t="str">
        <f>IFERROR(__xludf.DUMMYFUNCTION("GOOGLETRANSLATE($A1756,""en"",""zh-cn"")"),"普罗旺斯-阿尔卑斯-蓝色海岸")</f>
        <v>普罗旺斯-阿尔卑斯-蓝色海岸</v>
      </c>
      <c r="H1756" s="9" t="str">
        <f>IFERROR(__xludf.DUMMYFUNCTION("GOOGLETRANSLATE($A1756,""en"",""ja"")"),"プロヴァンス - アルプ - コート ダジュール")</f>
        <v>プロヴァンス - アルプ - コート ダジュール</v>
      </c>
      <c r="I1756" s="9" t="str">
        <f>IFERROR(__xludf.DUMMYFUNCTION("GOOGLETRANSLATE($A1756,""en"",""ko"")"),"프로방스-알프-코트다쥐르")</f>
        <v>프로방스-알프-코트다쥐르</v>
      </c>
      <c r="J1756" s="9" t="str">
        <f>IFERROR(__xludf.DUMMYFUNCTION("GOOGLETRANSLATE($A1756,""en"",""pt-BR"")"),"Provença-Alpes-Costa Azul")</f>
        <v>Provença-Alpes-Costa Azul</v>
      </c>
    </row>
    <row r="1757">
      <c r="A1757" s="9" t="str">
        <f>IFERROR(__xludf.DUMMYFUNCTION("""COMPUTED_VALUE"""),"Rhône-Alpes")</f>
        <v>Rhône-Alpes</v>
      </c>
      <c r="B1757" s="9" t="str">
        <f>IFERROR(__xludf.DUMMYFUNCTION("""COMPUTED_VALUE"""),"fr-v")</f>
        <v>fr-v</v>
      </c>
      <c r="C1757" s="9" t="str">
        <f>IFERROR(__xludf.DUMMYFUNCTION("GOOGLETRANSLATE($A1757,""en"",""de"")"),"Rhône-Alpes")</f>
        <v>Rhône-Alpes</v>
      </c>
      <c r="D1757" s="9" t="str">
        <f>IFERROR(__xludf.DUMMYFUNCTION("GOOGLETRANSLATE($A1757,""en"",""fr"")"),"Rhône-Alpes")</f>
        <v>Rhône-Alpes</v>
      </c>
      <c r="E1757" s="9" t="str">
        <f>IFERROR(__xludf.DUMMYFUNCTION("GOOGLETRANSLATE($A1757,""en"",""es"")"),"Ródano-Alpes")</f>
        <v>Ródano-Alpes</v>
      </c>
      <c r="F1757" s="9" t="str">
        <f>IFERROR(__xludf.DUMMYFUNCTION("GOOGLETRANSLATE($A1757,""en"",""it"")"),"Rodano-Alpi")</f>
        <v>Rodano-Alpi</v>
      </c>
      <c r="G1757" s="9" t="str">
        <f>IFERROR(__xludf.DUMMYFUNCTION("GOOGLETRANSLATE($A1757,""en"",""zh-cn"")"),"罗纳-阿尔卑斯大区")</f>
        <v>罗纳-阿尔卑斯大区</v>
      </c>
      <c r="H1757" s="9" t="str">
        <f>IFERROR(__xludf.DUMMYFUNCTION("GOOGLETRANSLATE($A1757,""en"",""ja"")"),"ローヌ アルプ")</f>
        <v>ローヌ アルプ</v>
      </c>
      <c r="I1757" s="9" t="str">
        <f>IFERROR(__xludf.DUMMYFUNCTION("GOOGLETRANSLATE($A1757,""en"",""ko"")"),"론알프")</f>
        <v>론알프</v>
      </c>
      <c r="J1757" s="9" t="str">
        <f>IFERROR(__xludf.DUMMYFUNCTION("GOOGLETRANSLATE($A1757,""en"",""pt-BR"")"),"Ródano-Alpes")</f>
        <v>Ródano-Alpes</v>
      </c>
    </row>
    <row r="1758">
      <c r="A1758" s="9" t="str">
        <f>IFERROR(__xludf.DUMMYFUNCTION("""COMPUTED_VALUE"""),"Lorraine")</f>
        <v>Lorraine</v>
      </c>
      <c r="B1758" s="9" t="str">
        <f>IFERROR(__xludf.DUMMYFUNCTION("""COMPUTED_VALUE"""),"fr-m")</f>
        <v>fr-m</v>
      </c>
      <c r="C1758" s="9" t="str">
        <f>IFERROR(__xludf.DUMMYFUNCTION("GOOGLETRANSLATE($A1758,""en"",""de"")"),"Lothringen")</f>
        <v>Lothringen</v>
      </c>
      <c r="D1758" s="9" t="str">
        <f>IFERROR(__xludf.DUMMYFUNCTION("GOOGLETRANSLATE($A1758,""en"",""fr"")"),"Lorraine")</f>
        <v>Lorraine</v>
      </c>
      <c r="E1758" s="9" t="str">
        <f>IFERROR(__xludf.DUMMYFUNCTION("GOOGLETRANSLATE($A1758,""en"",""es"")"),"lorena")</f>
        <v>lorena</v>
      </c>
      <c r="F1758" s="9" t="str">
        <f>IFERROR(__xludf.DUMMYFUNCTION("GOOGLETRANSLATE($A1758,""en"",""it"")"),"Lorena")</f>
        <v>Lorena</v>
      </c>
      <c r="G1758" s="9" t="str">
        <f>IFERROR(__xludf.DUMMYFUNCTION("GOOGLETRANSLATE($A1758,""en"",""zh-cn"")"),"洛林")</f>
        <v>洛林</v>
      </c>
      <c r="H1758" s="9" t="str">
        <f>IFERROR(__xludf.DUMMYFUNCTION("GOOGLETRANSLATE($A1758,""en"",""ja"")"),"ロレーヌ")</f>
        <v>ロレーヌ</v>
      </c>
      <c r="I1758" s="9" t="str">
        <f>IFERROR(__xludf.DUMMYFUNCTION("GOOGLETRANSLATE($A1758,""en"",""ko"")"),"로렌")</f>
        <v>로렌</v>
      </c>
      <c r="J1758" s="9" t="str">
        <f>IFERROR(__xludf.DUMMYFUNCTION("GOOGLETRANSLATE($A1758,""en"",""pt-BR"")"),"Lorena")</f>
        <v>Lorena</v>
      </c>
    </row>
    <row r="1759">
      <c r="A1759" s="9" t="str">
        <f>IFERROR(__xludf.DUMMYFUNCTION("""COMPUTED_VALUE"""),"Midi-Pyrénées")</f>
        <v>Midi-Pyrénées</v>
      </c>
      <c r="B1759" s="9" t="str">
        <f>IFERROR(__xludf.DUMMYFUNCTION("""COMPUTED_VALUE"""),"fr-n")</f>
        <v>fr-n</v>
      </c>
      <c r="C1759" s="9" t="str">
        <f>IFERROR(__xludf.DUMMYFUNCTION("GOOGLETRANSLATE($A1759,""en"",""de"")"),"Midi-Pyrénées")</f>
        <v>Midi-Pyrénées</v>
      </c>
      <c r="D1759" s="9" t="str">
        <f>IFERROR(__xludf.DUMMYFUNCTION("GOOGLETRANSLATE($A1759,""en"",""fr"")"),"Midi-Pyrénées")</f>
        <v>Midi-Pyrénées</v>
      </c>
      <c r="E1759" s="9" t="str">
        <f>IFERROR(__xludf.DUMMYFUNCTION("GOOGLETRANSLATE($A1759,""en"",""es"")"),"Mediodía-Pirineos")</f>
        <v>Mediodía-Pirineos</v>
      </c>
      <c r="F1759" s="9" t="str">
        <f>IFERROR(__xludf.DUMMYFUNCTION("GOOGLETRANSLATE($A1759,""en"",""it"")"),"Midi-Pirenei")</f>
        <v>Midi-Pirenei</v>
      </c>
      <c r="G1759" s="9" t="str">
        <f>IFERROR(__xludf.DUMMYFUNCTION("GOOGLETRANSLATE($A1759,""en"",""zh-cn"")"),"南比利牛斯山脉")</f>
        <v>南比利牛斯山脉</v>
      </c>
      <c r="H1759" s="9" t="str">
        <f>IFERROR(__xludf.DUMMYFUNCTION("GOOGLETRANSLATE($A1759,""en"",""ja"")"),"ミディ ピレネー")</f>
        <v>ミディ ピレネー</v>
      </c>
      <c r="I1759" s="9" t="str">
        <f>IFERROR(__xludf.DUMMYFUNCTION("GOOGLETRANSLATE($A1759,""en"",""ko"")"),"미디피레네")</f>
        <v>미디피레네</v>
      </c>
      <c r="J1759" s="9" t="str">
        <f>IFERROR(__xludf.DUMMYFUNCTION("GOOGLETRANSLATE($A1759,""en"",""pt-BR"")"),"Midi-Pirenéus")</f>
        <v>Midi-Pirenéus</v>
      </c>
    </row>
    <row r="1760">
      <c r="A1760" s="9" t="str">
        <f>IFERROR(__xludf.DUMMYFUNCTION("""COMPUTED_VALUE"""),"Nord-Pas-de-Calais")</f>
        <v>Nord-Pas-de-Calais</v>
      </c>
      <c r="B1760" s="9" t="str">
        <f>IFERROR(__xludf.DUMMYFUNCTION("""COMPUTED_VALUE"""),"fr-o")</f>
        <v>fr-o</v>
      </c>
      <c r="C1760" s="9" t="str">
        <f>IFERROR(__xludf.DUMMYFUNCTION("GOOGLETRANSLATE($A1760,""en"",""de"")"),"Nord-Pas-de-Calais")</f>
        <v>Nord-Pas-de-Calais</v>
      </c>
      <c r="D1760" s="9" t="str">
        <f>IFERROR(__xludf.DUMMYFUNCTION("GOOGLETRANSLATE($A1760,""en"",""fr"")"),"Nord-Pas-de-Calais")</f>
        <v>Nord-Pas-de-Calais</v>
      </c>
      <c r="E1760" s="9" t="str">
        <f>IFERROR(__xludf.DUMMYFUNCTION("GOOGLETRANSLATE($A1760,""en"",""es"")"),"Norte-Paso de Calais")</f>
        <v>Norte-Paso de Calais</v>
      </c>
      <c r="F1760" s="9" t="str">
        <f>IFERROR(__xludf.DUMMYFUNCTION("GOOGLETRANSLATE($A1760,""en"",""it"")"),"Nord-Pas-de-Calais")</f>
        <v>Nord-Pas-de-Calais</v>
      </c>
      <c r="G1760" s="9" t="str">
        <f>IFERROR(__xludf.DUMMYFUNCTION("GOOGLETRANSLATE($A1760,""en"",""zh-cn"")"),"北部-加莱海峡地区")</f>
        <v>北部-加莱海峡地区</v>
      </c>
      <c r="H1760" s="9" t="str">
        <f>IFERROR(__xludf.DUMMYFUNCTION("GOOGLETRANSLATE($A1760,""en"",""ja"")"),"ノール・パ・ド・カレー")</f>
        <v>ノール・パ・ド・カレー</v>
      </c>
      <c r="I1760" s="9" t="str">
        <f>IFERROR(__xludf.DUMMYFUNCTION("GOOGLETRANSLATE($A1760,""en"",""ko"")"),"노르파드칼레")</f>
        <v>노르파드칼레</v>
      </c>
      <c r="J1760" s="9" t="str">
        <f>IFERROR(__xludf.DUMMYFUNCTION("GOOGLETRANSLATE($A1760,""en"",""pt-BR"")"),"Norte-Pas-de-Calais")</f>
        <v>Norte-Pas-de-Calais</v>
      </c>
    </row>
    <row r="1761">
      <c r="A1761" s="9" t="str">
        <f>IFERROR(__xludf.DUMMYFUNCTION("""COMPUTED_VALUE"""),"Pays de la Loire")</f>
        <v>Pays de la Loire</v>
      </c>
      <c r="B1761" s="9" t="str">
        <f>IFERROR(__xludf.DUMMYFUNCTION("""COMPUTED_VALUE"""),"fr-r")</f>
        <v>fr-r</v>
      </c>
      <c r="C1761" s="9" t="str">
        <f>IFERROR(__xludf.DUMMYFUNCTION("GOOGLETRANSLATE($A1761,""en"",""de"")"),"Pays de la Loire")</f>
        <v>Pays de la Loire</v>
      </c>
      <c r="D1761" s="9" t="str">
        <f>IFERROR(__xludf.DUMMYFUNCTION("GOOGLETRANSLATE($A1761,""en"",""fr"")"),"Pays de la Loire")</f>
        <v>Pays de la Loire</v>
      </c>
      <c r="E1761" s="9" t="str">
        <f>IFERROR(__xludf.DUMMYFUNCTION("GOOGLETRANSLATE($A1761,""en"",""es"")"),"Países del Loira")</f>
        <v>Países del Loira</v>
      </c>
      <c r="F1761" s="9" t="str">
        <f>IFERROR(__xludf.DUMMYFUNCTION("GOOGLETRANSLATE($A1761,""en"",""it"")"),"Paesi della Loira")</f>
        <v>Paesi della Loira</v>
      </c>
      <c r="G1761" s="9" t="str">
        <f>IFERROR(__xludf.DUMMYFUNCTION("GOOGLETRANSLATE($A1761,""en"",""zh-cn"")"),"卢瓦尔河地区")</f>
        <v>卢瓦尔河地区</v>
      </c>
      <c r="H1761" s="9" t="str">
        <f>IFERROR(__xludf.DUMMYFUNCTION("GOOGLETRANSLATE($A1761,""en"",""ja"")"),"ペイ・ド・ラ・ロワール")</f>
        <v>ペイ・ド・ラ・ロワール</v>
      </c>
      <c r="I1761" s="9" t="str">
        <f>IFERROR(__xludf.DUMMYFUNCTION("GOOGLETRANSLATE($A1761,""en"",""ko"")"),"페이 드 라 루아르")</f>
        <v>페이 드 라 루아르</v>
      </c>
      <c r="J1761" s="9" t="str">
        <f>IFERROR(__xludf.DUMMYFUNCTION("GOOGLETRANSLATE($A1761,""en"",""pt-BR"")"),"País do Loire")</f>
        <v>País do Loire</v>
      </c>
    </row>
    <row r="1762">
      <c r="A1762" s="9" t="str">
        <f>IFERROR(__xludf.DUMMYFUNCTION("""COMPUTED_VALUE"""),"Haute-Normandie")</f>
        <v>Haute-Normandie</v>
      </c>
      <c r="B1762" s="9" t="str">
        <f>IFERROR(__xludf.DUMMYFUNCTION("""COMPUTED_VALUE"""),"fr-q")</f>
        <v>fr-q</v>
      </c>
      <c r="C1762" s="9" t="str">
        <f>IFERROR(__xludf.DUMMYFUNCTION("GOOGLETRANSLATE($A1762,""en"",""de"")"),"Haute-Normandie")</f>
        <v>Haute-Normandie</v>
      </c>
      <c r="D1762" s="9" t="str">
        <f>IFERROR(__xludf.DUMMYFUNCTION("GOOGLETRANSLATE($A1762,""en"",""fr"")"),"Haute Normandie")</f>
        <v>Haute Normandie</v>
      </c>
      <c r="E1762" s="9" t="str">
        <f>IFERROR(__xludf.DUMMYFUNCTION("GOOGLETRANSLATE($A1762,""en"",""es"")"),"Alta Normandía")</f>
        <v>Alta Normandía</v>
      </c>
      <c r="F1762" s="9" t="str">
        <f>IFERROR(__xludf.DUMMYFUNCTION("GOOGLETRANSLATE($A1762,""en"",""it"")"),"Alta Normandia")</f>
        <v>Alta Normandia</v>
      </c>
      <c r="G1762" s="9" t="str">
        <f>IFERROR(__xludf.DUMMYFUNCTION("GOOGLETRANSLATE($A1762,""en"",""zh-cn"")"),"上诺曼底")</f>
        <v>上诺曼底</v>
      </c>
      <c r="H1762" s="9" t="str">
        <f>IFERROR(__xludf.DUMMYFUNCTION("GOOGLETRANSLATE($A1762,""en"",""ja"")"),"オートノルマンディー")</f>
        <v>オートノルマンディー</v>
      </c>
      <c r="I1762" s="9" t="str">
        <f>IFERROR(__xludf.DUMMYFUNCTION("GOOGLETRANSLATE($A1762,""en"",""ko"")"),"오트노르망디")</f>
        <v>오트노르망디</v>
      </c>
      <c r="J1762" s="9" t="str">
        <f>IFERROR(__xludf.DUMMYFUNCTION("GOOGLETRANSLATE($A1762,""en"",""pt-BR"")"),"Alta Normandia")</f>
        <v>Alta Normandia</v>
      </c>
    </row>
    <row r="1763">
      <c r="A1763" s="9" t="str">
        <f>IFERROR(__xludf.DUMMYFUNCTION("""COMPUTED_VALUE"""),"Île-de-France")</f>
        <v>Île-de-France</v>
      </c>
      <c r="B1763" s="9" t="str">
        <f>IFERROR(__xludf.DUMMYFUNCTION("""COMPUTED_VALUE"""),"fr-j")</f>
        <v>fr-j</v>
      </c>
      <c r="C1763" s="9" t="str">
        <f>IFERROR(__xludf.DUMMYFUNCTION("GOOGLETRANSLATE($A1763,""en"",""de"")"),"Île-de-France")</f>
        <v>Île-de-France</v>
      </c>
      <c r="D1763" s="9" t="str">
        <f>IFERROR(__xludf.DUMMYFUNCTION("GOOGLETRANSLATE($A1763,""en"",""fr"")"),"Île-de-France")</f>
        <v>Île-de-France</v>
      </c>
      <c r="E1763" s="9" t="str">
        <f>IFERROR(__xludf.DUMMYFUNCTION("GOOGLETRANSLATE($A1763,""en"",""es"")"),"Isla de Francia")</f>
        <v>Isla de Francia</v>
      </c>
      <c r="F1763" s="9" t="str">
        <f>IFERROR(__xludf.DUMMYFUNCTION("GOOGLETRANSLATE($A1763,""en"",""it"")"),"Île-de-France")</f>
        <v>Île-de-France</v>
      </c>
      <c r="G1763" s="9" t="str">
        <f>IFERROR(__xludf.DUMMYFUNCTION("GOOGLETRANSLATE($A1763,""en"",""zh-cn"")"),"法兰西岛")</f>
        <v>法兰西岛</v>
      </c>
      <c r="H1763" s="9" t="str">
        <f>IFERROR(__xludf.DUMMYFUNCTION("GOOGLETRANSLATE($A1763,""en"",""ja"")"),"イル・ド・フランス")</f>
        <v>イル・ド・フランス</v>
      </c>
      <c r="I1763" s="9" t="str">
        <f>IFERROR(__xludf.DUMMYFUNCTION("GOOGLETRANSLATE($A1763,""en"",""ko"")"),"일드프랑스")</f>
        <v>일드프랑스</v>
      </c>
      <c r="J1763" s="9" t="str">
        <f>IFERROR(__xludf.DUMMYFUNCTION("GOOGLETRANSLATE($A1763,""en"",""pt-BR"")"),"Ilha-de-França")</f>
        <v>Ilha-de-França</v>
      </c>
    </row>
    <row r="1764">
      <c r="A1764" s="9" t="str">
        <f>IFERROR(__xludf.DUMMYFUNCTION("""COMPUTED_VALUE"""),"Languedoc-Roussillon")</f>
        <v>Languedoc-Roussillon</v>
      </c>
      <c r="B1764" s="9" t="str">
        <f>IFERROR(__xludf.DUMMYFUNCTION("""COMPUTED_VALUE"""),"fr-k")</f>
        <v>fr-k</v>
      </c>
      <c r="C1764" s="9" t="str">
        <f>IFERROR(__xludf.DUMMYFUNCTION("GOOGLETRANSLATE($A1764,""en"",""de"")"),"Languedoc-Roussillon")</f>
        <v>Languedoc-Roussillon</v>
      </c>
      <c r="D1764" s="9" t="str">
        <f>IFERROR(__xludf.DUMMYFUNCTION("GOOGLETRANSLATE($A1764,""en"",""fr"")"),"Languedoc Roussillon")</f>
        <v>Languedoc Roussillon</v>
      </c>
      <c r="E1764" s="9" t="str">
        <f>IFERROR(__xludf.DUMMYFUNCTION("GOOGLETRANSLATE($A1764,""en"",""es"")"),"Languedoc-Rosellón")</f>
        <v>Languedoc-Rosellón</v>
      </c>
      <c r="F1764" s="9" t="str">
        <f>IFERROR(__xludf.DUMMYFUNCTION("GOOGLETRANSLATE($A1764,""en"",""it"")"),"Linguadoca-Rossiglione")</f>
        <v>Linguadoca-Rossiglione</v>
      </c>
      <c r="G1764" s="9" t="str">
        <f>IFERROR(__xludf.DUMMYFUNCTION("GOOGLETRANSLATE($A1764,""en"",""zh-cn"")"),"朗格多克-鲁西永")</f>
        <v>朗格多克-鲁西永</v>
      </c>
      <c r="H1764" s="9" t="str">
        <f>IFERROR(__xludf.DUMMYFUNCTION("GOOGLETRANSLATE($A1764,""en"",""ja"")"),"ラングドック・ルシヨン地方")</f>
        <v>ラングドック・ルシヨン地方</v>
      </c>
      <c r="I1764" s="9" t="str">
        <f>IFERROR(__xludf.DUMMYFUNCTION("GOOGLETRANSLATE($A1764,""en"",""ko"")"),"랑그독 루시옹")</f>
        <v>랑그독 루시옹</v>
      </c>
      <c r="J1764" s="9" t="str">
        <f>IFERROR(__xludf.DUMMYFUNCTION("GOOGLETRANSLATE($A1764,""en"",""pt-BR"")"),"Languedoque-Rossilhão")</f>
        <v>Languedoque-Rossilhão</v>
      </c>
    </row>
    <row r="1765">
      <c r="A1765" s="9" t="str">
        <f>IFERROR(__xludf.DUMMYFUNCTION("""COMPUTED_VALUE"""),"Limousin")</f>
        <v>Limousin</v>
      </c>
      <c r="B1765" s="9" t="str">
        <f>IFERROR(__xludf.DUMMYFUNCTION("""COMPUTED_VALUE"""),"fr-l")</f>
        <v>fr-l</v>
      </c>
      <c r="C1765" s="9" t="str">
        <f>IFERROR(__xludf.DUMMYFUNCTION("GOOGLETRANSLATE($A1765,""en"",""de"")"),"Limousin")</f>
        <v>Limousin</v>
      </c>
      <c r="D1765" s="9" t="str">
        <f>IFERROR(__xludf.DUMMYFUNCTION("GOOGLETRANSLATE($A1765,""en"",""fr"")"),"Limousin")</f>
        <v>Limousin</v>
      </c>
      <c r="E1765" s="9" t="str">
        <f>IFERROR(__xludf.DUMMYFUNCTION("GOOGLETRANSLATE($A1765,""en"",""es"")"),"Lemosín")</f>
        <v>Lemosín</v>
      </c>
      <c r="F1765" s="9" t="str">
        <f>IFERROR(__xludf.DUMMYFUNCTION("GOOGLETRANSLATE($A1765,""en"",""it"")"),"Limosino")</f>
        <v>Limosino</v>
      </c>
      <c r="G1765" s="9" t="str">
        <f>IFERROR(__xludf.DUMMYFUNCTION("GOOGLETRANSLATE($A1765,""en"",""zh-cn"")"),"利穆赞")</f>
        <v>利穆赞</v>
      </c>
      <c r="H1765" s="9" t="str">
        <f>IFERROR(__xludf.DUMMYFUNCTION("GOOGLETRANSLATE($A1765,""en"",""ja"")"),"リムーザン")</f>
        <v>リムーザン</v>
      </c>
      <c r="I1765" s="9" t="str">
        <f>IFERROR(__xludf.DUMMYFUNCTION("GOOGLETRANSLATE($A1765,""en"",""ko"")"),"리무쟁")</f>
        <v>리무쟁</v>
      </c>
      <c r="J1765" s="9" t="str">
        <f>IFERROR(__xludf.DUMMYFUNCTION("GOOGLETRANSLATE($A1765,""en"",""pt-BR"")"),"Limusino")</f>
        <v>Limusino</v>
      </c>
    </row>
    <row r="1766">
      <c r="A1766" s="9" t="str">
        <f>IFERROR(__xludf.DUMMYFUNCTION("""COMPUTED_VALUE"""),"Haut-Ogooué")</f>
        <v>Haut-Ogooué</v>
      </c>
      <c r="B1766" s="9" t="str">
        <f>IFERROR(__xludf.DUMMYFUNCTION("""COMPUTED_VALUE"""),"ga-2")</f>
        <v>ga-2</v>
      </c>
      <c r="C1766" s="9" t="str">
        <f>IFERROR(__xludf.DUMMYFUNCTION("GOOGLETRANSLATE($A1766,""en"",""de"")"),"Haut-Ogooué")</f>
        <v>Haut-Ogooué</v>
      </c>
      <c r="D1766" s="9" t="str">
        <f>IFERROR(__xludf.DUMMYFUNCTION("GOOGLETRANSLATE($A1766,""en"",""fr"")"),"Haut-Ogooué")</f>
        <v>Haut-Ogooué</v>
      </c>
      <c r="E1766" s="9" t="str">
        <f>IFERROR(__xludf.DUMMYFUNCTION("GOOGLETRANSLATE($A1766,""en"",""es"")"),"Alto Ogooué")</f>
        <v>Alto Ogooué</v>
      </c>
      <c r="F1766" s="9" t="str">
        <f>IFERROR(__xludf.DUMMYFUNCTION("GOOGLETRANSLATE($A1766,""en"",""it"")"),"Haut-Ogooué")</f>
        <v>Haut-Ogooué</v>
      </c>
      <c r="G1766" s="9" t="str">
        <f>IFERROR(__xludf.DUMMYFUNCTION("GOOGLETRANSLATE($A1766,""en"",""zh-cn"")"),"上奥古埃")</f>
        <v>上奥古埃</v>
      </c>
      <c r="H1766" s="9" t="str">
        <f>IFERROR(__xludf.DUMMYFUNCTION("GOOGLETRANSLATE($A1766,""en"",""ja"")"),"オー・オグエ")</f>
        <v>オー・オグエ</v>
      </c>
      <c r="I1766" s="9" t="str">
        <f>IFERROR(__xludf.DUMMYFUNCTION("GOOGLETRANSLATE($A1766,""en"",""ko"")"),"오구에")</f>
        <v>오구에</v>
      </c>
      <c r="J1766" s="9" t="str">
        <f>IFERROR(__xludf.DUMMYFUNCTION("GOOGLETRANSLATE($A1766,""en"",""pt-BR"")"),"Haut-Ogooué")</f>
        <v>Haut-Ogooué</v>
      </c>
    </row>
    <row r="1767">
      <c r="A1767" s="9" t="str">
        <f>IFERROR(__xludf.DUMMYFUNCTION("""COMPUTED_VALUE"""),"Ogooué-Maritime")</f>
        <v>Ogooué-Maritime</v>
      </c>
      <c r="B1767" s="9" t="str">
        <f>IFERROR(__xludf.DUMMYFUNCTION("""COMPUTED_VALUE"""),"ga-8")</f>
        <v>ga-8</v>
      </c>
      <c r="C1767" s="9" t="str">
        <f>IFERROR(__xludf.DUMMYFUNCTION("GOOGLETRANSLATE($A1767,""en"",""de"")"),"Ogooué-Maritime")</f>
        <v>Ogooué-Maritime</v>
      </c>
      <c r="D1767" s="9" t="str">
        <f>IFERROR(__xludf.DUMMYFUNCTION("GOOGLETRANSLATE($A1767,""en"",""fr"")"),"Ogooué-Maritime")</f>
        <v>Ogooué-Maritime</v>
      </c>
      <c r="E1767" s="9" t="str">
        <f>IFERROR(__xludf.DUMMYFUNCTION("GOOGLETRANSLATE($A1767,""en"",""es"")"),"Ogooué-Marítimo")</f>
        <v>Ogooué-Marítimo</v>
      </c>
      <c r="F1767" s="9" t="str">
        <f>IFERROR(__xludf.DUMMYFUNCTION("GOOGLETRANSLATE($A1767,""en"",""it"")"),"Ogooué-Maritime")</f>
        <v>Ogooué-Maritime</v>
      </c>
      <c r="G1767" s="9" t="str">
        <f>IFERROR(__xludf.DUMMYFUNCTION("GOOGLETRANSLATE($A1767,""en"",""zh-cn"")"),"奥古韦海事")</f>
        <v>奥古韦海事</v>
      </c>
      <c r="H1767" s="9" t="str">
        <f>IFERROR(__xludf.DUMMYFUNCTION("GOOGLETRANSLATE($A1767,""en"",""ja"")"),"オグエ・マリタイム")</f>
        <v>オグエ・マリタイム</v>
      </c>
      <c r="I1767" s="9" t="str">
        <f>IFERROR(__xludf.DUMMYFUNCTION("GOOGLETRANSLATE($A1767,""en"",""ko"")"),"오고우에-해양")</f>
        <v>오고우에-해양</v>
      </c>
      <c r="J1767" s="9" t="str">
        <f>IFERROR(__xludf.DUMMYFUNCTION("GOOGLETRANSLATE($A1767,""en"",""pt-BR"")"),"Ogooué-Marítimo")</f>
        <v>Ogooué-Marítimo</v>
      </c>
    </row>
    <row r="1768">
      <c r="A1768" s="9" t="str">
        <f>IFERROR(__xludf.DUMMYFUNCTION("""COMPUTED_VALUE"""),"Nyanga")</f>
        <v>Nyanga</v>
      </c>
      <c r="B1768" s="9" t="str">
        <f>IFERROR(__xludf.DUMMYFUNCTION("""COMPUTED_VALUE"""),"ga-5")</f>
        <v>ga-5</v>
      </c>
      <c r="C1768" s="9" t="str">
        <f>IFERROR(__xludf.DUMMYFUNCTION("GOOGLETRANSLATE($A1768,""en"",""de"")"),"Nyanga")</f>
        <v>Nyanga</v>
      </c>
      <c r="D1768" s="9" t="str">
        <f>IFERROR(__xludf.DUMMYFUNCTION("GOOGLETRANSLATE($A1768,""en"",""fr"")"),"Nyanga")</f>
        <v>Nyanga</v>
      </c>
      <c r="E1768" s="9" t="str">
        <f>IFERROR(__xludf.DUMMYFUNCTION("GOOGLETRANSLATE($A1768,""en"",""es"")"),"nyanga")</f>
        <v>nyanga</v>
      </c>
      <c r="F1768" s="9" t="str">
        <f>IFERROR(__xludf.DUMMYFUNCTION("GOOGLETRANSLATE($A1768,""en"",""it"")"),"Nyanga")</f>
        <v>Nyanga</v>
      </c>
      <c r="G1768" s="9" t="str">
        <f>IFERROR(__xludf.DUMMYFUNCTION("GOOGLETRANSLATE($A1768,""en"",""zh-cn"")"),"尼扬加")</f>
        <v>尼扬加</v>
      </c>
      <c r="H1768" s="9" t="str">
        <f>IFERROR(__xludf.DUMMYFUNCTION("GOOGLETRANSLATE($A1768,""en"",""ja"")"),"ニャンガ")</f>
        <v>ニャンガ</v>
      </c>
      <c r="I1768" s="9" t="str">
        <f>IFERROR(__xludf.DUMMYFUNCTION("GOOGLETRANSLATE($A1768,""en"",""ko"")"),"냥가")</f>
        <v>냥가</v>
      </c>
      <c r="J1768" s="9" t="str">
        <f>IFERROR(__xludf.DUMMYFUNCTION("GOOGLETRANSLATE($A1768,""en"",""pt-BR"")"),"Nyanga")</f>
        <v>Nyanga</v>
      </c>
    </row>
    <row r="1769">
      <c r="A1769" s="9" t="str">
        <f>IFERROR(__xludf.DUMMYFUNCTION("""COMPUTED_VALUE"""),"Moyen-Ogooué")</f>
        <v>Moyen-Ogooué</v>
      </c>
      <c r="B1769" s="9" t="str">
        <f>IFERROR(__xludf.DUMMYFUNCTION("""COMPUTED_VALUE"""),"ga-3")</f>
        <v>ga-3</v>
      </c>
      <c r="C1769" s="9" t="str">
        <f>IFERROR(__xludf.DUMMYFUNCTION("GOOGLETRANSLATE($A1769,""en"",""de"")"),"Moyen-Ogooué")</f>
        <v>Moyen-Ogooué</v>
      </c>
      <c r="D1769" s="9" t="str">
        <f>IFERROR(__xludf.DUMMYFUNCTION("GOOGLETRANSLATE($A1769,""en"",""fr"")"),"Moyen-Ogooué")</f>
        <v>Moyen-Ogooué</v>
      </c>
      <c r="E1769" s="9" t="str">
        <f>IFERROR(__xludf.DUMMYFUNCTION("GOOGLETRANSLATE($A1769,""en"",""es"")"),"Moyen-Ogooué")</f>
        <v>Moyen-Ogooué</v>
      </c>
      <c r="F1769" s="9" t="str">
        <f>IFERROR(__xludf.DUMMYFUNCTION("GOOGLETRANSLATE($A1769,""en"",""it"")"),"Moyen-Ogooué")</f>
        <v>Moyen-Ogooué</v>
      </c>
      <c r="G1769" s="9" t="str">
        <f>IFERROR(__xludf.DUMMYFUNCTION("GOOGLETRANSLATE($A1769,""en"",""zh-cn"")"),"中奥古埃")</f>
        <v>中奥古埃</v>
      </c>
      <c r="H1769" s="9" t="str">
        <f>IFERROR(__xludf.DUMMYFUNCTION("GOOGLETRANSLATE($A1769,""en"",""ja"")"),"モエン・オグエ")</f>
        <v>モエン・オグエ</v>
      </c>
      <c r="I1769" s="9" t="str">
        <f>IFERROR(__xludf.DUMMYFUNCTION("GOOGLETRANSLATE($A1769,""en"",""ko"")"),"모옌오고우에")</f>
        <v>모옌오고우에</v>
      </c>
      <c r="J1769" s="9" t="str">
        <f>IFERROR(__xludf.DUMMYFUNCTION("GOOGLETRANSLATE($A1769,""en"",""pt-BR"")"),"Moyen-Ogooué")</f>
        <v>Moyen-Ogooué</v>
      </c>
    </row>
    <row r="1770">
      <c r="A1770" s="9" t="str">
        <f>IFERROR(__xludf.DUMMYFUNCTION("""COMPUTED_VALUE"""),"Woleu-Ntem")</f>
        <v>Woleu-Ntem</v>
      </c>
      <c r="B1770" s="9" t="str">
        <f>IFERROR(__xludf.DUMMYFUNCTION("""COMPUTED_VALUE"""),"ga-9")</f>
        <v>ga-9</v>
      </c>
      <c r="C1770" s="9" t="str">
        <f>IFERROR(__xludf.DUMMYFUNCTION("GOOGLETRANSLATE($A1770,""en"",""de"")"),"Woleu-Ntem")</f>
        <v>Woleu-Ntem</v>
      </c>
      <c r="D1770" s="9" t="str">
        <f>IFERROR(__xludf.DUMMYFUNCTION("GOOGLETRANSLATE($A1770,""en"",""fr"")"),"Woleu-Ntem")</f>
        <v>Woleu-Ntem</v>
      </c>
      <c r="E1770" s="9" t="str">
        <f>IFERROR(__xludf.DUMMYFUNCTION("GOOGLETRANSLATE($A1770,""en"",""es"")"),"Woleu Ntem")</f>
        <v>Woleu Ntem</v>
      </c>
      <c r="F1770" s="9" t="str">
        <f>IFERROR(__xludf.DUMMYFUNCTION("GOOGLETRANSLATE($A1770,""en"",""it"")"),"Woleu-Ntem")</f>
        <v>Woleu-Ntem</v>
      </c>
      <c r="G1770" s="9" t="str">
        <f>IFERROR(__xludf.DUMMYFUNCTION("GOOGLETRANSLATE($A1770,""en"",""zh-cn"")"),"沃勒恩特姆")</f>
        <v>沃勒恩特姆</v>
      </c>
      <c r="H1770" s="9" t="str">
        <f>IFERROR(__xludf.DUMMYFUNCTION("GOOGLETRANSLATE($A1770,""en"",""ja"")"),"ウォレヌテム")</f>
        <v>ウォレヌテム</v>
      </c>
      <c r="I1770" s="9" t="str">
        <f>IFERROR(__xludf.DUMMYFUNCTION("GOOGLETRANSLATE($A1770,""en"",""ko"")"),"월루엔템")</f>
        <v>월루엔템</v>
      </c>
      <c r="J1770" s="9" t="str">
        <f>IFERROR(__xludf.DUMMYFUNCTION("GOOGLETRANSLATE($A1770,""en"",""pt-BR"")"),"Woleu-Ntem")</f>
        <v>Woleu-Ntem</v>
      </c>
    </row>
    <row r="1771">
      <c r="A1771" s="9" t="str">
        <f>IFERROR(__xludf.DUMMYFUNCTION("""COMPUTED_VALUE"""),"Estuaire")</f>
        <v>Estuaire</v>
      </c>
      <c r="B1771" s="9" t="str">
        <f>IFERROR(__xludf.DUMMYFUNCTION("""COMPUTED_VALUE"""),"ga-1")</f>
        <v>ga-1</v>
      </c>
      <c r="C1771" s="9" t="str">
        <f>IFERROR(__xludf.DUMMYFUNCTION("GOOGLETRANSLATE($A1771,""en"",""de"")"),"Mündung")</f>
        <v>Mündung</v>
      </c>
      <c r="D1771" s="9" t="str">
        <f>IFERROR(__xludf.DUMMYFUNCTION("GOOGLETRANSLATE($A1771,""en"",""fr"")"),"Estuaire")</f>
        <v>Estuaire</v>
      </c>
      <c r="E1771" s="9" t="str">
        <f>IFERROR(__xludf.DUMMYFUNCTION("GOOGLETRANSLATE($A1771,""en"",""es"")"),"estuario")</f>
        <v>estuario</v>
      </c>
      <c r="F1771" s="9" t="str">
        <f>IFERROR(__xludf.DUMMYFUNCTION("GOOGLETRANSLATE($A1771,""en"",""it"")"),"Estuario")</f>
        <v>Estuario</v>
      </c>
      <c r="G1771" s="9" t="str">
        <f>IFERROR(__xludf.DUMMYFUNCTION("GOOGLETRANSLATE($A1771,""en"",""zh-cn"")"),"河口")</f>
        <v>河口</v>
      </c>
      <c r="H1771" s="9" t="str">
        <f>IFERROR(__xludf.DUMMYFUNCTION("GOOGLETRANSLATE($A1771,""en"",""ja"")"),"河口")</f>
        <v>河口</v>
      </c>
      <c r="I1771" s="9" t="str">
        <f>IFERROR(__xludf.DUMMYFUNCTION("GOOGLETRANSLATE($A1771,""en"",""ko"")"),"하구")</f>
        <v>하구</v>
      </c>
      <c r="J1771" s="9" t="str">
        <f>IFERROR(__xludf.DUMMYFUNCTION("GOOGLETRANSLATE($A1771,""en"",""pt-BR"")"),"Estuário")</f>
        <v>Estuário</v>
      </c>
    </row>
    <row r="1772">
      <c r="A1772" s="9" t="str">
        <f>IFERROR(__xludf.DUMMYFUNCTION("""COMPUTED_VALUE"""),"Ogooué-Ivindo")</f>
        <v>Ogooué-Ivindo</v>
      </c>
      <c r="B1772" s="9" t="str">
        <f>IFERROR(__xludf.DUMMYFUNCTION("""COMPUTED_VALUE"""),"ga-6")</f>
        <v>ga-6</v>
      </c>
      <c r="C1772" s="9" t="str">
        <f>IFERROR(__xludf.DUMMYFUNCTION("GOOGLETRANSLATE($A1772,""en"",""de"")"),"Ogooué-Ivindo")</f>
        <v>Ogooué-Ivindo</v>
      </c>
      <c r="D1772" s="9" t="str">
        <f>IFERROR(__xludf.DUMMYFUNCTION("GOOGLETRANSLATE($A1772,""en"",""fr"")"),"Ogooué-Ivindo")</f>
        <v>Ogooué-Ivindo</v>
      </c>
      <c r="E1772" s="9" t="str">
        <f>IFERROR(__xludf.DUMMYFUNCTION("GOOGLETRANSLATE($A1772,""en"",""es"")"),"Ogooué-Ivindo")</f>
        <v>Ogooué-Ivindo</v>
      </c>
      <c r="F1772" s="9" t="str">
        <f>IFERROR(__xludf.DUMMYFUNCTION("GOOGLETRANSLATE($A1772,""en"",""it"")"),"Ogooué-Ivindo")</f>
        <v>Ogooué-Ivindo</v>
      </c>
      <c r="G1772" s="9" t="str">
        <f>IFERROR(__xludf.DUMMYFUNCTION("GOOGLETRANSLATE($A1772,""en"",""zh-cn"")"),"奥古埃-伊文多")</f>
        <v>奥古埃-伊文多</v>
      </c>
      <c r="H1772" s="9" t="str">
        <f>IFERROR(__xludf.DUMMYFUNCTION("GOOGLETRANSLATE($A1772,""en"",""ja"")"),"オグエ・イヴィンド")</f>
        <v>オグエ・イヴィンド</v>
      </c>
      <c r="I1772" s="9" t="str">
        <f>IFERROR(__xludf.DUMMYFUNCTION("GOOGLETRANSLATE($A1772,""en"",""ko"")"),"오고우에-이빈도")</f>
        <v>오고우에-이빈도</v>
      </c>
      <c r="J1772" s="9" t="str">
        <f>IFERROR(__xludf.DUMMYFUNCTION("GOOGLETRANSLATE($A1772,""en"",""pt-BR"")"),"Ogooué-Ivindo")</f>
        <v>Ogooué-Ivindo</v>
      </c>
    </row>
    <row r="1773">
      <c r="A1773" s="9" t="str">
        <f>IFERROR(__xludf.DUMMYFUNCTION("""COMPUTED_VALUE"""),"Ngounié")</f>
        <v>Ngounié</v>
      </c>
      <c r="B1773" s="9" t="str">
        <f>IFERROR(__xludf.DUMMYFUNCTION("""COMPUTED_VALUE"""),"ga-4")</f>
        <v>ga-4</v>
      </c>
      <c r="C1773" s="9" t="str">
        <f>IFERROR(__xludf.DUMMYFUNCTION("GOOGLETRANSLATE($A1773,""en"",""de"")"),"Ngounié")</f>
        <v>Ngounié</v>
      </c>
      <c r="D1773" s="9" t="str">
        <f>IFERROR(__xludf.DUMMYFUNCTION("GOOGLETRANSLATE($A1773,""en"",""fr"")"),"Ngounié")</f>
        <v>Ngounié</v>
      </c>
      <c r="E1773" s="9" t="str">
        <f>IFERROR(__xludf.DUMMYFUNCTION("GOOGLETRANSLATE($A1773,""en"",""es"")"),"Ngounié")</f>
        <v>Ngounié</v>
      </c>
      <c r="F1773" s="9" t="str">
        <f>IFERROR(__xludf.DUMMYFUNCTION("GOOGLETRANSLATE($A1773,""en"",""it"")"),"Ngounié")</f>
        <v>Ngounié</v>
      </c>
      <c r="G1773" s="9" t="str">
        <f>IFERROR(__xludf.DUMMYFUNCTION("GOOGLETRANSLATE($A1773,""en"",""zh-cn"")"),"恩古尼")</f>
        <v>恩古尼</v>
      </c>
      <c r="H1773" s="9" t="str">
        <f>IFERROR(__xludf.DUMMYFUNCTION("GOOGLETRANSLATE($A1773,""en"",""ja"")"),"ングニエ")</f>
        <v>ングニエ</v>
      </c>
      <c r="I1773" s="9" t="str">
        <f>IFERROR(__xludf.DUMMYFUNCTION("GOOGLETRANSLATE($A1773,""en"",""ko"")"),"응고우니에")</f>
        <v>응고우니에</v>
      </c>
      <c r="J1773" s="9" t="str">
        <f>IFERROR(__xludf.DUMMYFUNCTION("GOOGLETRANSLATE($A1773,""en"",""pt-BR"")"),"Ngounié")</f>
        <v>Ngounié</v>
      </c>
    </row>
    <row r="1774">
      <c r="A1774" s="9" t="str">
        <f>IFERROR(__xludf.DUMMYFUNCTION("""COMPUTED_VALUE"""),"Ogooué-Lolo")</f>
        <v>Ogooué-Lolo</v>
      </c>
      <c r="B1774" s="9" t="str">
        <f>IFERROR(__xludf.DUMMYFUNCTION("""COMPUTED_VALUE"""),"ga-7")</f>
        <v>ga-7</v>
      </c>
      <c r="C1774" s="9" t="str">
        <f>IFERROR(__xludf.DUMMYFUNCTION("GOOGLETRANSLATE($A1774,""en"",""de"")"),"Ogooué-Lolo")</f>
        <v>Ogooué-Lolo</v>
      </c>
      <c r="D1774" s="9" t="str">
        <f>IFERROR(__xludf.DUMMYFUNCTION("GOOGLETRANSLATE($A1774,""en"",""fr"")"),"Ogooué-Lolo")</f>
        <v>Ogooué-Lolo</v>
      </c>
      <c r="E1774" s="9" t="str">
        <f>IFERROR(__xludf.DUMMYFUNCTION("GOOGLETRANSLATE($A1774,""en"",""es"")"),"Ogooué-Lolo")</f>
        <v>Ogooué-Lolo</v>
      </c>
      <c r="F1774" s="9" t="str">
        <f>IFERROR(__xludf.DUMMYFUNCTION("GOOGLETRANSLATE($A1774,""en"",""it"")"),"Ogooué-Lolo")</f>
        <v>Ogooué-Lolo</v>
      </c>
      <c r="G1774" s="9" t="str">
        <f>IFERROR(__xludf.DUMMYFUNCTION("GOOGLETRANSLATE($A1774,""en"",""zh-cn"")"),"奥古埃-洛洛")</f>
        <v>奥古埃-洛洛</v>
      </c>
      <c r="H1774" s="9" t="str">
        <f>IFERROR(__xludf.DUMMYFUNCTION("GOOGLETRANSLATE($A1774,""en"",""ja"")"),"オグエ・ロロ")</f>
        <v>オグエ・ロロ</v>
      </c>
      <c r="I1774" s="9" t="str">
        <f>IFERROR(__xludf.DUMMYFUNCTION("GOOGLETRANSLATE($A1774,""en"",""ko"")"),"오고우에-롤로")</f>
        <v>오고우에-롤로</v>
      </c>
      <c r="J1774" s="9" t="str">
        <f>IFERROR(__xludf.DUMMYFUNCTION("GOOGLETRANSLATE($A1774,""en"",""pt-BR"")"),"Ogooué-Lolo")</f>
        <v>Ogooué-Lolo</v>
      </c>
    </row>
    <row r="1775">
      <c r="A1775" s="9" t="str">
        <f>IFERROR(__xludf.DUMMYFUNCTION("""COMPUTED_VALUE"""),"North Bank")</f>
        <v>North Bank</v>
      </c>
      <c r="B1775" s="9" t="str">
        <f>IFERROR(__xludf.DUMMYFUNCTION("""COMPUTED_VALUE"""),"gm-n")</f>
        <v>gm-n</v>
      </c>
      <c r="C1775" s="9" t="str">
        <f>IFERROR(__xludf.DUMMYFUNCTION("GOOGLETRANSLATE($A1775,""en"",""de"")"),"Nordufer")</f>
        <v>Nordufer</v>
      </c>
      <c r="D1775" s="9" t="str">
        <f>IFERROR(__xludf.DUMMYFUNCTION("GOOGLETRANSLATE($A1775,""en"",""fr"")"),"Rive Nord")</f>
        <v>Rive Nord</v>
      </c>
      <c r="E1775" s="9" t="str">
        <f>IFERROR(__xludf.DUMMYFUNCTION("GOOGLETRANSLATE($A1775,""en"",""es"")"),"Banco Norte")</f>
        <v>Banco Norte</v>
      </c>
      <c r="F1775" s="9" t="str">
        <f>IFERROR(__xludf.DUMMYFUNCTION("GOOGLETRANSLATE($A1775,""en"",""it"")"),"Banca Nord")</f>
        <v>Banca Nord</v>
      </c>
      <c r="G1775" s="9" t="str">
        <f>IFERROR(__xludf.DUMMYFUNCTION("GOOGLETRANSLATE($A1775,""en"",""zh-cn"")"),"北岸")</f>
        <v>北岸</v>
      </c>
      <c r="H1775" s="9" t="str">
        <f>IFERROR(__xludf.DUMMYFUNCTION("GOOGLETRANSLATE($A1775,""en"",""ja"")"),"北岸")</f>
        <v>北岸</v>
      </c>
      <c r="I1775" s="9" t="str">
        <f>IFERROR(__xludf.DUMMYFUNCTION("GOOGLETRANSLATE($A1775,""en"",""ko"")"),"노스 뱅크")</f>
        <v>노스 뱅크</v>
      </c>
      <c r="J1775" s="9" t="str">
        <f>IFERROR(__xludf.DUMMYFUNCTION("GOOGLETRANSLATE($A1775,""en"",""pt-BR"")"),"Margem Norte")</f>
        <v>Margem Norte</v>
      </c>
    </row>
    <row r="1776">
      <c r="A1776" s="9" t="str">
        <f>IFERROR(__xludf.DUMMYFUNCTION("""COMPUTED_VALUE"""),"Western (GM)")</f>
        <v>Western (GM)</v>
      </c>
      <c r="B1776" s="9" t="str">
        <f>IFERROR(__xludf.DUMMYFUNCTION("""COMPUTED_VALUE"""),"gm-w")</f>
        <v>gm-w</v>
      </c>
      <c r="C1776" s="9" t="str">
        <f>IFERROR(__xludf.DUMMYFUNCTION("GOOGLETRANSLATE($A1776,""en"",""de"")"),"Western (GM)")</f>
        <v>Western (GM)</v>
      </c>
      <c r="D1776" s="9" t="str">
        <f>IFERROR(__xludf.DUMMYFUNCTION("GOOGLETRANSLATE($A1776,""en"",""fr"")"),"Occidental (GM)")</f>
        <v>Occidental (GM)</v>
      </c>
      <c r="E1776" s="9" t="str">
        <f>IFERROR(__xludf.DUMMYFUNCTION("GOOGLETRANSLATE($A1776,""en"",""es"")"),"Occidental (GM)")</f>
        <v>Occidental (GM)</v>
      </c>
      <c r="F1776" s="9" t="str">
        <f>IFERROR(__xludf.DUMMYFUNCTION("GOOGLETRANSLATE($A1776,""en"",""it"")"),"Occidentale (GM)")</f>
        <v>Occidentale (GM)</v>
      </c>
      <c r="G1776" s="9" t="str">
        <f>IFERROR(__xludf.DUMMYFUNCTION("GOOGLETRANSLATE($A1776,""en"",""zh-cn"")"),"西式（通用）")</f>
        <v>西式（通用）</v>
      </c>
      <c r="H1776" s="9" t="str">
        <f>IFERROR(__xludf.DUMMYFUNCTION("GOOGLETRANSLATE($A1776,""en"",""ja"")"),"ウエスタン (GM)")</f>
        <v>ウエスタン (GM)</v>
      </c>
      <c r="I1776" s="9" t="str">
        <f>IFERROR(__xludf.DUMMYFUNCTION("GOOGLETRANSLATE($A1776,""en"",""ko"")"),"서부(GM)")</f>
        <v>서부(GM)</v>
      </c>
      <c r="J1776" s="9" t="str">
        <f>IFERROR(__xludf.DUMMYFUNCTION("GOOGLETRANSLATE($A1776,""en"",""pt-BR"")"),"Ocidental (GM)")</f>
        <v>Ocidental (GM)</v>
      </c>
    </row>
    <row r="1777">
      <c r="A1777" s="9" t="str">
        <f>IFERROR(__xludf.DUMMYFUNCTION("""COMPUTED_VALUE"""),"Banjul")</f>
        <v>Banjul</v>
      </c>
      <c r="B1777" s="9" t="str">
        <f>IFERROR(__xludf.DUMMYFUNCTION("""COMPUTED_VALUE"""),"gm-b")</f>
        <v>gm-b</v>
      </c>
      <c r="C1777" s="9" t="str">
        <f>IFERROR(__xludf.DUMMYFUNCTION("GOOGLETRANSLATE($A1777,""en"",""de"")"),"Banjul")</f>
        <v>Banjul</v>
      </c>
      <c r="D1777" s="9" t="str">
        <f>IFERROR(__xludf.DUMMYFUNCTION("GOOGLETRANSLATE($A1777,""en"",""fr"")"),"Banjul")</f>
        <v>Banjul</v>
      </c>
      <c r="E1777" s="9" t="str">
        <f>IFERROR(__xludf.DUMMYFUNCTION("GOOGLETRANSLATE($A1777,""en"",""es"")"),"Banjul")</f>
        <v>Banjul</v>
      </c>
      <c r="F1777" s="9" t="str">
        <f>IFERROR(__xludf.DUMMYFUNCTION("GOOGLETRANSLATE($A1777,""en"",""it"")"),"Banjul")</f>
        <v>Banjul</v>
      </c>
      <c r="G1777" s="9" t="str">
        <f>IFERROR(__xludf.DUMMYFUNCTION("GOOGLETRANSLATE($A1777,""en"",""zh-cn"")"),"班珠尔")</f>
        <v>班珠尔</v>
      </c>
      <c r="H1777" s="9" t="str">
        <f>IFERROR(__xludf.DUMMYFUNCTION("GOOGLETRANSLATE($A1777,""en"",""ja"")"),"バンジュール")</f>
        <v>バンジュール</v>
      </c>
      <c r="I1777" s="9" t="str">
        <f>IFERROR(__xludf.DUMMYFUNCTION("GOOGLETRANSLATE($A1777,""en"",""ko"")"),"반줄")</f>
        <v>반줄</v>
      </c>
      <c r="J1777" s="9" t="str">
        <f>IFERROR(__xludf.DUMMYFUNCTION("GOOGLETRANSLATE($A1777,""en"",""pt-BR"")"),"Banjul")</f>
        <v>Banjul</v>
      </c>
    </row>
    <row r="1778">
      <c r="A1778" s="9" t="str">
        <f>IFERROR(__xludf.DUMMYFUNCTION("""COMPUTED_VALUE"""),"Lower River")</f>
        <v>Lower River</v>
      </c>
      <c r="B1778" s="9" t="str">
        <f>IFERROR(__xludf.DUMMYFUNCTION("""COMPUTED_VALUE"""),"gm-l")</f>
        <v>gm-l</v>
      </c>
      <c r="C1778" s="9" t="str">
        <f>IFERROR(__xludf.DUMMYFUNCTION("GOOGLETRANSLATE($A1778,""en"",""de"")"),"Unterer Fluss")</f>
        <v>Unterer Fluss</v>
      </c>
      <c r="D1778" s="9" t="str">
        <f>IFERROR(__xludf.DUMMYFUNCTION("GOOGLETRANSLATE($A1778,""en"",""fr"")"),"Basse rivière")</f>
        <v>Basse rivière</v>
      </c>
      <c r="E1778" s="9" t="str">
        <f>IFERROR(__xludf.DUMMYFUNCTION("GOOGLETRANSLATE($A1778,""en"",""es"")"),"río inferior")</f>
        <v>río inferior</v>
      </c>
      <c r="F1778" s="9" t="str">
        <f>IFERROR(__xludf.DUMMYFUNCTION("GOOGLETRANSLATE($A1778,""en"",""it"")"),"Fiume Inferiore")</f>
        <v>Fiume Inferiore</v>
      </c>
      <c r="G1778" s="9" t="str">
        <f>IFERROR(__xludf.DUMMYFUNCTION("GOOGLETRANSLATE($A1778,""en"",""zh-cn"")"),"下河")</f>
        <v>下河</v>
      </c>
      <c r="H1778" s="9" t="str">
        <f>IFERROR(__xludf.DUMMYFUNCTION("GOOGLETRANSLATE($A1778,""en"",""ja"")"),"ローワーリバー")</f>
        <v>ローワーリバー</v>
      </c>
      <c r="I1778" s="9" t="str">
        <f>IFERROR(__xludf.DUMMYFUNCTION("GOOGLETRANSLATE($A1778,""en"",""ko"")"),"하류 강")</f>
        <v>하류 강</v>
      </c>
      <c r="J1778" s="9" t="str">
        <f>IFERROR(__xludf.DUMMYFUNCTION("GOOGLETRANSLATE($A1778,""en"",""pt-BR"")"),"Rio Inferior")</f>
        <v>Rio Inferior</v>
      </c>
    </row>
    <row r="1779">
      <c r="A1779" s="9" t="str">
        <f>IFERROR(__xludf.DUMMYFUNCTION("""COMPUTED_VALUE"""),"Central River")</f>
        <v>Central River</v>
      </c>
      <c r="B1779" s="9" t="str">
        <f>IFERROR(__xludf.DUMMYFUNCTION("""COMPUTED_VALUE"""),"gm-m")</f>
        <v>gm-m</v>
      </c>
      <c r="C1779" s="9" t="str">
        <f>IFERROR(__xludf.DUMMYFUNCTION("GOOGLETRANSLATE($A1779,""en"",""de"")"),"Zentraler Fluss")</f>
        <v>Zentraler Fluss</v>
      </c>
      <c r="D1779" s="9" t="str">
        <f>IFERROR(__xludf.DUMMYFUNCTION("GOOGLETRANSLATE($A1779,""en"",""fr"")"),"Rivière centrale")</f>
        <v>Rivière centrale</v>
      </c>
      <c r="E1779" s="9" t="str">
        <f>IFERROR(__xludf.DUMMYFUNCTION("GOOGLETRANSLATE($A1779,""en"",""es"")"),"río central")</f>
        <v>río central</v>
      </c>
      <c r="F1779" s="9" t="str">
        <f>IFERROR(__xludf.DUMMYFUNCTION("GOOGLETRANSLATE($A1779,""en"",""it"")"),"fiume centrale")</f>
        <v>fiume centrale</v>
      </c>
      <c r="G1779" s="9" t="str">
        <f>IFERROR(__xludf.DUMMYFUNCTION("GOOGLETRANSLATE($A1779,""en"",""zh-cn"")"),"中央河")</f>
        <v>中央河</v>
      </c>
      <c r="H1779" s="9" t="str">
        <f>IFERROR(__xludf.DUMMYFUNCTION("GOOGLETRANSLATE($A1779,""en"",""ja"")"),"セントラルリバー")</f>
        <v>セントラルリバー</v>
      </c>
      <c r="I1779" s="9" t="str">
        <f>IFERROR(__xludf.DUMMYFUNCTION("GOOGLETRANSLATE($A1779,""en"",""ko"")"),"센트럴 리버")</f>
        <v>센트럴 리버</v>
      </c>
      <c r="J1779" s="9" t="str">
        <f>IFERROR(__xludf.DUMMYFUNCTION("GOOGLETRANSLATE($A1779,""en"",""pt-BR"")"),"Rio Central")</f>
        <v>Rio Central</v>
      </c>
    </row>
    <row r="1780">
      <c r="A1780" s="9" t="str">
        <f>IFERROR(__xludf.DUMMYFUNCTION("""COMPUTED_VALUE"""),"Upper River")</f>
        <v>Upper River</v>
      </c>
      <c r="B1780" s="9" t="str">
        <f>IFERROR(__xludf.DUMMYFUNCTION("""COMPUTED_VALUE"""),"gm-u")</f>
        <v>gm-u</v>
      </c>
      <c r="C1780" s="9" t="str">
        <f>IFERROR(__xludf.DUMMYFUNCTION("GOOGLETRANSLATE($A1780,""en"",""de"")"),"Oberer Fluss")</f>
        <v>Oberer Fluss</v>
      </c>
      <c r="D1780" s="9" t="str">
        <f>IFERROR(__xludf.DUMMYFUNCTION("GOOGLETRANSLATE($A1780,""en"",""fr"")"),"Cours supérieur de la rivière")</f>
        <v>Cours supérieur de la rivière</v>
      </c>
      <c r="E1780" s="9" t="str">
        <f>IFERROR(__xludf.DUMMYFUNCTION("GOOGLETRANSLATE($A1780,""en"",""es"")"),"río superior")</f>
        <v>río superior</v>
      </c>
      <c r="F1780" s="9" t="str">
        <f>IFERROR(__xludf.DUMMYFUNCTION("GOOGLETRANSLATE($A1780,""en"",""it"")"),"Fiume superiore")</f>
        <v>Fiume superiore</v>
      </c>
      <c r="G1780" s="9" t="str">
        <f>IFERROR(__xludf.DUMMYFUNCTION("GOOGLETRANSLATE($A1780,""en"",""zh-cn"")"),"上游河")</f>
        <v>上游河</v>
      </c>
      <c r="H1780" s="9" t="str">
        <f>IFERROR(__xludf.DUMMYFUNCTION("GOOGLETRANSLATE($A1780,""en"",""ja"")"),"アッパーリバー")</f>
        <v>アッパーリバー</v>
      </c>
      <c r="I1780" s="9" t="str">
        <f>IFERROR(__xludf.DUMMYFUNCTION("GOOGLETRANSLATE($A1780,""en"",""ko"")"),"어퍼 리버")</f>
        <v>어퍼 리버</v>
      </c>
      <c r="J1780" s="9" t="str">
        <f>IFERROR(__xludf.DUMMYFUNCTION("GOOGLETRANSLATE($A1780,""en"",""pt-BR"")"),"Rio Superior")</f>
        <v>Rio Superior</v>
      </c>
    </row>
    <row r="1781">
      <c r="A1781" s="9" t="str">
        <f>IFERROR(__xludf.DUMMYFUNCTION("""COMPUTED_VALUE"""),"Imereti")</f>
        <v>Imereti</v>
      </c>
      <c r="B1781" s="9" t="str">
        <f>IFERROR(__xludf.DUMMYFUNCTION("""COMPUTED_VALUE"""),"ge-im")</f>
        <v>ge-im</v>
      </c>
      <c r="C1781" s="9" t="str">
        <f>IFERROR(__xludf.DUMMYFUNCTION("GOOGLETRANSLATE($A1781,""en"",""de"")"),"Imeretien")</f>
        <v>Imeretien</v>
      </c>
      <c r="D1781" s="9" t="str">
        <f>IFERROR(__xludf.DUMMYFUNCTION("GOOGLETRANSLATE($A1781,""en"",""fr"")"),"Iméréthie")</f>
        <v>Iméréthie</v>
      </c>
      <c r="E1781" s="9" t="str">
        <f>IFERROR(__xludf.DUMMYFUNCTION("GOOGLETRANSLATE($A1781,""en"",""es"")"),"Imericia")</f>
        <v>Imericia</v>
      </c>
      <c r="F1781" s="9" t="str">
        <f>IFERROR(__xludf.DUMMYFUNCTION("GOOGLETRANSLATE($A1781,""en"",""it"")"),"Imereti")</f>
        <v>Imereti</v>
      </c>
      <c r="G1781" s="9" t="str">
        <f>IFERROR(__xludf.DUMMYFUNCTION("GOOGLETRANSLATE($A1781,""en"",""zh-cn"")"),"伊梅列季")</f>
        <v>伊梅列季</v>
      </c>
      <c r="H1781" s="9" t="str">
        <f>IFERROR(__xludf.DUMMYFUNCTION("GOOGLETRANSLATE($A1781,""en"",""ja"")"),"イメレティ")</f>
        <v>イメレティ</v>
      </c>
      <c r="I1781" s="9" t="str">
        <f>IFERROR(__xludf.DUMMYFUNCTION("GOOGLETRANSLATE($A1781,""en"",""ko"")"),"이메레티")</f>
        <v>이메레티</v>
      </c>
      <c r="J1781" s="9" t="str">
        <f>IFERROR(__xludf.DUMMYFUNCTION("GOOGLETRANSLATE($A1781,""en"",""pt-BR"")"),"Imereti")</f>
        <v>Imereti</v>
      </c>
    </row>
    <row r="1782">
      <c r="A1782" s="9" t="str">
        <f>IFERROR(__xludf.DUMMYFUNCTION("""COMPUTED_VALUE"""),"Rach'a-Lechkhumi-Kvemo Svaneti")</f>
        <v>Rach'a-Lechkhumi-Kvemo Svaneti</v>
      </c>
      <c r="B1782" s="9" t="str">
        <f>IFERROR(__xludf.DUMMYFUNCTION("""COMPUTED_VALUE"""),"ge-rl")</f>
        <v>ge-rl</v>
      </c>
      <c r="C1782" s="9" t="str">
        <f>IFERROR(__xludf.DUMMYFUNCTION("GOOGLETRANSLATE($A1782,""en"",""de"")"),"Rach'a-Lechkhumi-Kvemo Swanetien")</f>
        <v>Rach'a-Lechkhumi-Kvemo Swanetien</v>
      </c>
      <c r="D1782" s="9" t="str">
        <f>IFERROR(__xludf.DUMMYFUNCTION("GOOGLETRANSLATE($A1782,""en"",""fr"")"),"Rach'a-Lechkhumi-Kvemo Svaneti")</f>
        <v>Rach'a-Lechkhumi-Kvemo Svaneti</v>
      </c>
      <c r="E1782" s="9" t="str">
        <f>IFERROR(__xludf.DUMMYFUNCTION("GOOGLETRANSLATE($A1782,""en"",""es"")"),"Racha-Lechjumi-Kvemo Svaneti")</f>
        <v>Racha-Lechjumi-Kvemo Svaneti</v>
      </c>
      <c r="F1782" s="9" t="str">
        <f>IFERROR(__xludf.DUMMYFUNCTION("GOOGLETRANSLATE($A1782,""en"",""it"")"),"Rach'a-Lechkhumi-Kvemo Svaneti")</f>
        <v>Rach'a-Lechkhumi-Kvemo Svaneti</v>
      </c>
      <c r="G1782" s="9" t="str">
        <f>IFERROR(__xludf.DUMMYFUNCTION("GOOGLETRANSLATE($A1782,""en"",""zh-cn"")"),"拉查-莱奇胡米-克韦莫·斯瓦涅季")</f>
        <v>拉查-莱奇胡米-克韦莫·斯瓦涅季</v>
      </c>
      <c r="H1782" s="9" t="str">
        <f>IFERROR(__xludf.DUMMYFUNCTION("GOOGLETRANSLATE($A1782,""en"",""ja"")"),"ラチャ＝レチフミ＝クヴェモ・スヴァネティ")</f>
        <v>ラチャ＝レチフミ＝クヴェモ・スヴァネティ</v>
      </c>
      <c r="I1782" s="9" t="str">
        <f>IFERROR(__xludf.DUMMYFUNCTION("GOOGLETRANSLATE($A1782,""en"",""ko"")"),"라차-레치쿠미-크베모 스바네티")</f>
        <v>라차-레치쿠미-크베모 스바네티</v>
      </c>
      <c r="J1782" s="9" t="str">
        <f>IFERROR(__xludf.DUMMYFUNCTION("GOOGLETRANSLATE($A1782,""en"",""pt-BR"")"),"Rach'a-Lechkhumi-Kvemo Svaneti")</f>
        <v>Rach'a-Lechkhumi-Kvemo Svaneti</v>
      </c>
    </row>
    <row r="1783">
      <c r="A1783" s="9" t="str">
        <f>IFERROR(__xludf.DUMMYFUNCTION("""COMPUTED_VALUE"""),"Ajaria")</f>
        <v>Ajaria</v>
      </c>
      <c r="B1783" s="9" t="str">
        <f>IFERROR(__xludf.DUMMYFUNCTION("""COMPUTED_VALUE"""),"ge-aj")</f>
        <v>ge-aj</v>
      </c>
      <c r="C1783" s="9" t="str">
        <f>IFERROR(__xludf.DUMMYFUNCTION("GOOGLETRANSLATE($A1783,""en"",""de"")"),"Ajaria")</f>
        <v>Ajaria</v>
      </c>
      <c r="D1783" s="9" t="str">
        <f>IFERROR(__xludf.DUMMYFUNCTION("GOOGLETRANSLATE($A1783,""en"",""fr"")"),"Adjarie")</f>
        <v>Adjarie</v>
      </c>
      <c r="E1783" s="9" t="str">
        <f>IFERROR(__xludf.DUMMYFUNCTION("GOOGLETRANSLATE($A1783,""en"",""es"")"),"Ayaria")</f>
        <v>Ayaria</v>
      </c>
      <c r="F1783" s="9" t="str">
        <f>IFERROR(__xludf.DUMMYFUNCTION("GOOGLETRANSLATE($A1783,""en"",""it"")"),"Ajaria")</f>
        <v>Ajaria</v>
      </c>
      <c r="G1783" s="9" t="str">
        <f>IFERROR(__xludf.DUMMYFUNCTION("GOOGLETRANSLATE($A1783,""en"",""zh-cn"")"),"阿贾里亚")</f>
        <v>阿贾里亚</v>
      </c>
      <c r="H1783" s="9" t="str">
        <f>IFERROR(__xludf.DUMMYFUNCTION("GOOGLETRANSLATE($A1783,""en"",""ja"")"),"アジャリア")</f>
        <v>アジャリア</v>
      </c>
      <c r="I1783" s="9" t="str">
        <f>IFERROR(__xludf.DUMMYFUNCTION("GOOGLETRANSLATE($A1783,""en"",""ko"")"),"아자리아")</f>
        <v>아자리아</v>
      </c>
      <c r="J1783" s="9" t="str">
        <f>IFERROR(__xludf.DUMMYFUNCTION("GOOGLETRANSLATE($A1783,""en"",""pt-BR"")"),"Ajaria")</f>
        <v>Ajaria</v>
      </c>
    </row>
    <row r="1784">
      <c r="A1784" s="9" t="str">
        <f>IFERROR(__xludf.DUMMYFUNCTION("""COMPUTED_VALUE"""),"Tbilisi")</f>
        <v>Tbilisi</v>
      </c>
      <c r="B1784" s="9" t="str">
        <f>IFERROR(__xludf.DUMMYFUNCTION("""COMPUTED_VALUE"""),"ge-tb")</f>
        <v>ge-tb</v>
      </c>
      <c r="C1784" s="9" t="str">
        <f>IFERROR(__xludf.DUMMYFUNCTION("GOOGLETRANSLATE($A1784,""en"",""de"")"),"Tiflis")</f>
        <v>Tiflis</v>
      </c>
      <c r="D1784" s="9" t="str">
        <f>IFERROR(__xludf.DUMMYFUNCTION("GOOGLETRANSLATE($A1784,""en"",""fr"")"),"Tbilissi")</f>
        <v>Tbilissi</v>
      </c>
      <c r="E1784" s="9" t="str">
        <f>IFERROR(__xludf.DUMMYFUNCTION("GOOGLETRANSLATE($A1784,""en"",""es"")"),"Tiflis")</f>
        <v>Tiflis</v>
      </c>
      <c r="F1784" s="9" t="str">
        <f>IFERROR(__xludf.DUMMYFUNCTION("GOOGLETRANSLATE($A1784,""en"",""it"")"),"Tbilisi")</f>
        <v>Tbilisi</v>
      </c>
      <c r="G1784" s="9" t="str">
        <f>IFERROR(__xludf.DUMMYFUNCTION("GOOGLETRANSLATE($A1784,""en"",""zh-cn"")"),"第比利斯")</f>
        <v>第比利斯</v>
      </c>
      <c r="H1784" s="9" t="str">
        <f>IFERROR(__xludf.DUMMYFUNCTION("GOOGLETRANSLATE($A1784,""en"",""ja"")"),"トビリシ")</f>
        <v>トビリシ</v>
      </c>
      <c r="I1784" s="9" t="str">
        <f>IFERROR(__xludf.DUMMYFUNCTION("GOOGLETRANSLATE($A1784,""en"",""ko"")"),"트빌리시")</f>
        <v>트빌리시</v>
      </c>
      <c r="J1784" s="9" t="str">
        <f>IFERROR(__xludf.DUMMYFUNCTION("GOOGLETRANSLATE($A1784,""en"",""pt-BR"")"),"Tbilissi")</f>
        <v>Tbilissi</v>
      </c>
    </row>
    <row r="1785">
      <c r="A1785" s="9" t="str">
        <f>IFERROR(__xludf.DUMMYFUNCTION("""COMPUTED_VALUE"""),"K'akheti")</f>
        <v>K'akheti</v>
      </c>
      <c r="B1785" s="9" t="str">
        <f>IFERROR(__xludf.DUMMYFUNCTION("""COMPUTED_VALUE"""),"ge-ka")</f>
        <v>ge-ka</v>
      </c>
      <c r="C1785" s="9" t="str">
        <f>IFERROR(__xludf.DUMMYFUNCTION("GOOGLETRANSLATE($A1785,""en"",""de"")"),"K'akheti")</f>
        <v>K'akheti</v>
      </c>
      <c r="D1785" s="9" t="str">
        <f>IFERROR(__xludf.DUMMYFUNCTION("GOOGLETRANSLATE($A1785,""en"",""fr"")"),"Kakhétie")</f>
        <v>Kakhétie</v>
      </c>
      <c r="E1785" s="9" t="str">
        <f>IFERROR(__xludf.DUMMYFUNCTION("GOOGLETRANSLATE($A1785,""en"",""es"")"),"k'akheti")</f>
        <v>k'akheti</v>
      </c>
      <c r="F1785" s="9" t="str">
        <f>IFERROR(__xludf.DUMMYFUNCTION("GOOGLETRANSLATE($A1785,""en"",""it"")"),"K'akheti")</f>
        <v>K'akheti</v>
      </c>
      <c r="G1785" s="9" t="str">
        <f>IFERROR(__xludf.DUMMYFUNCTION("GOOGLETRANSLATE($A1785,""en"",""zh-cn"")"),"卡赫蒂")</f>
        <v>卡赫蒂</v>
      </c>
      <c r="H1785" s="9" t="str">
        <f>IFERROR(__xludf.DUMMYFUNCTION("GOOGLETRANSLATE($A1785,""en"",""ja"")"),"カヘティ")</f>
        <v>カヘティ</v>
      </c>
      <c r="I1785" s="9" t="str">
        <f>IFERROR(__xludf.DUMMYFUNCTION("GOOGLETRANSLATE($A1785,""en"",""ko"")"),"카케티")</f>
        <v>카케티</v>
      </c>
      <c r="J1785" s="9" t="str">
        <f>IFERROR(__xludf.DUMMYFUNCTION("GOOGLETRANSLATE($A1785,""en"",""pt-BR"")"),"Kakheti")</f>
        <v>Kakheti</v>
      </c>
    </row>
    <row r="1786">
      <c r="A1786" s="9" t="str">
        <f>IFERROR(__xludf.DUMMYFUNCTION("""COMPUTED_VALUE"""),"Mtskheta-Mtianeti")</f>
        <v>Mtskheta-Mtianeti</v>
      </c>
      <c r="B1786" s="9" t="str">
        <f>IFERROR(__xludf.DUMMYFUNCTION("""COMPUTED_VALUE"""),"ge-mm")</f>
        <v>ge-mm</v>
      </c>
      <c r="C1786" s="9" t="str">
        <f>IFERROR(__xludf.DUMMYFUNCTION("GOOGLETRANSLATE($A1786,""en"",""de"")"),"Mzcheta-Mtianeti")</f>
        <v>Mzcheta-Mtianeti</v>
      </c>
      <c r="D1786" s="9" t="str">
        <f>IFERROR(__xludf.DUMMYFUNCTION("GOOGLETRANSLATE($A1786,""en"",""fr"")"),"Mtskheta-Mtianeti")</f>
        <v>Mtskheta-Mtianeti</v>
      </c>
      <c r="E1786" s="9" t="str">
        <f>IFERROR(__xludf.DUMMYFUNCTION("GOOGLETRANSLATE($A1786,""en"",""es"")"),"Mtsjeta-Mtianeti")</f>
        <v>Mtsjeta-Mtianeti</v>
      </c>
      <c r="F1786" s="9" t="str">
        <f>IFERROR(__xludf.DUMMYFUNCTION("GOOGLETRANSLATE($A1786,""en"",""it"")"),"Mtskheta-Mtianeti")</f>
        <v>Mtskheta-Mtianeti</v>
      </c>
      <c r="G1786" s="9" t="str">
        <f>IFERROR(__xludf.DUMMYFUNCTION("GOOGLETRANSLATE($A1786,""en"",""zh-cn"")"),"姆茨赫塔-姆季亚涅蒂")</f>
        <v>姆茨赫塔-姆季亚涅蒂</v>
      </c>
      <c r="H1786" s="9" t="str">
        <f>IFERROR(__xludf.DUMMYFUNCTION("GOOGLETRANSLATE($A1786,""en"",""ja"")"),"ムツヘタ・ムティアネティ")</f>
        <v>ムツヘタ・ムティアネティ</v>
      </c>
      <c r="I1786" s="9" t="str">
        <f>IFERROR(__xludf.DUMMYFUNCTION("GOOGLETRANSLATE($A1786,""en"",""ko"")"),"므츠헤타-므티아네티")</f>
        <v>므츠헤타-므티아네티</v>
      </c>
      <c r="J1786" s="9" t="str">
        <f>IFERROR(__xludf.DUMMYFUNCTION("GOOGLETRANSLATE($A1786,""en"",""pt-BR"")"),"Mtsqueta-Mtianeti")</f>
        <v>Mtsqueta-Mtianeti</v>
      </c>
    </row>
    <row r="1787">
      <c r="A1787" s="9" t="str">
        <f>IFERROR(__xludf.DUMMYFUNCTION("""COMPUTED_VALUE"""),"Samegrelo-Zemo Svaneti")</f>
        <v>Samegrelo-Zemo Svaneti</v>
      </c>
      <c r="B1787" s="9" t="str">
        <f>IFERROR(__xludf.DUMMYFUNCTION("""COMPUTED_VALUE"""),"ge-sz")</f>
        <v>ge-sz</v>
      </c>
      <c r="C1787" s="9" t="str">
        <f>IFERROR(__xludf.DUMMYFUNCTION("GOOGLETRANSLATE($A1787,""en"",""de"")"),"Samegrelo-Zemo Swanetien")</f>
        <v>Samegrelo-Zemo Swanetien</v>
      </c>
      <c r="D1787" s="9" t="str">
        <f>IFERROR(__xludf.DUMMYFUNCTION("GOOGLETRANSLATE($A1787,""en"",""fr"")"),"Samegrelo-Zemo Svanétie")</f>
        <v>Samegrelo-Zemo Svanétie</v>
      </c>
      <c r="E1787" s="9" t="str">
        <f>IFERROR(__xludf.DUMMYFUNCTION("GOOGLETRANSLATE($A1787,""en"",""es"")"),"Samegrelo-Zemo Svaneti")</f>
        <v>Samegrelo-Zemo Svaneti</v>
      </c>
      <c r="F1787" s="9" t="str">
        <f>IFERROR(__xludf.DUMMYFUNCTION("GOOGLETRANSLATE($A1787,""en"",""it"")"),"Samegrelo-Zemo Svaneti")</f>
        <v>Samegrelo-Zemo Svaneti</v>
      </c>
      <c r="G1787" s="9" t="str">
        <f>IFERROR(__xludf.DUMMYFUNCTION("GOOGLETRANSLATE($A1787,""en"",""zh-cn"")"),"萨梅格列罗-泽莫·斯瓦涅季")</f>
        <v>萨梅格列罗-泽莫·斯瓦涅季</v>
      </c>
      <c r="H1787" s="9" t="str">
        <f>IFERROR(__xludf.DUMMYFUNCTION("GOOGLETRANSLATE($A1787,""en"",""ja"")"),"サメグレロ＝ゼモ・スヴァネティ")</f>
        <v>サメグレロ＝ゼモ・スヴァネティ</v>
      </c>
      <c r="I1787" s="9" t="str">
        <f>IFERROR(__xludf.DUMMYFUNCTION("GOOGLETRANSLATE($A1787,""en"",""ko"")"),"사메그렐로-제모 스바네티")</f>
        <v>사메그렐로-제모 스바네티</v>
      </c>
      <c r="J1787" s="9" t="str">
        <f>IFERROR(__xludf.DUMMYFUNCTION("GOOGLETRANSLATE($A1787,""en"",""pt-BR"")"),"Samegrelo-Zemo Svaneti")</f>
        <v>Samegrelo-Zemo Svaneti</v>
      </c>
    </row>
    <row r="1788">
      <c r="A1788" s="9" t="str">
        <f>IFERROR(__xludf.DUMMYFUNCTION("""COMPUTED_VALUE"""),"Shida Kartli")</f>
        <v>Shida Kartli</v>
      </c>
      <c r="B1788" s="9" t="str">
        <f>IFERROR(__xludf.DUMMYFUNCTION("""COMPUTED_VALUE"""),"ge-sk")</f>
        <v>ge-sk</v>
      </c>
      <c r="C1788" s="9" t="str">
        <f>IFERROR(__xludf.DUMMYFUNCTION("GOOGLETRANSLATE($A1788,""en"",""de"")"),"Shida Kartli")</f>
        <v>Shida Kartli</v>
      </c>
      <c r="D1788" s="9" t="str">
        <f>IFERROR(__xludf.DUMMYFUNCTION("GOOGLETRANSLATE($A1788,""en"",""fr"")"),"Shida Kartli")</f>
        <v>Shida Kartli</v>
      </c>
      <c r="E1788" s="9" t="str">
        <f>IFERROR(__xludf.DUMMYFUNCTION("GOOGLETRANSLATE($A1788,""en"",""es"")"),"Shida Kartli")</f>
        <v>Shida Kartli</v>
      </c>
      <c r="F1788" s="9" t="str">
        <f>IFERROR(__xludf.DUMMYFUNCTION("GOOGLETRANSLATE($A1788,""en"",""it"")"),"Shida Kartli")</f>
        <v>Shida Kartli</v>
      </c>
      <c r="G1788" s="9" t="str">
        <f>IFERROR(__xludf.DUMMYFUNCTION("GOOGLETRANSLATE($A1788,""en"",""zh-cn"")"),"什达·卡尔特利")</f>
        <v>什达·卡尔特利</v>
      </c>
      <c r="H1788" s="9" t="str">
        <f>IFERROR(__xludf.DUMMYFUNCTION("GOOGLETRANSLATE($A1788,""en"",""ja"")"),"シダ・カルトリ")</f>
        <v>シダ・カルトリ</v>
      </c>
      <c r="I1788" s="9" t="str">
        <f>IFERROR(__xludf.DUMMYFUNCTION("GOOGLETRANSLATE($A1788,""en"",""ko"")"),"시다 카르틀리")</f>
        <v>시다 카르틀리</v>
      </c>
      <c r="J1788" s="9" t="str">
        <f>IFERROR(__xludf.DUMMYFUNCTION("GOOGLETRANSLATE($A1788,""en"",""pt-BR"")"),"Shida Kartli")</f>
        <v>Shida Kartli</v>
      </c>
    </row>
    <row r="1789">
      <c r="A1789" s="9" t="str">
        <f>IFERROR(__xludf.DUMMYFUNCTION("""COMPUTED_VALUE"""),"Samtskhe-Javakheti")</f>
        <v>Samtskhe-Javakheti</v>
      </c>
      <c r="B1789" s="9" t="str">
        <f>IFERROR(__xludf.DUMMYFUNCTION("""COMPUTED_VALUE"""),"ge-sj")</f>
        <v>ge-sj</v>
      </c>
      <c r="C1789" s="9" t="str">
        <f>IFERROR(__xludf.DUMMYFUNCTION("GOOGLETRANSLATE($A1789,""en"",""de"")"),"Samzche-Dschawachetien")</f>
        <v>Samzche-Dschawachetien</v>
      </c>
      <c r="D1789" s="9" t="str">
        <f>IFERROR(__xludf.DUMMYFUNCTION("GOOGLETRANSLATE($A1789,""en"",""fr"")"),"Samtskhé-Djavakhétie")</f>
        <v>Samtskhé-Djavakhétie</v>
      </c>
      <c r="E1789" s="9" t="str">
        <f>IFERROR(__xludf.DUMMYFUNCTION("GOOGLETRANSLATE($A1789,""en"",""es"")"),"Samtsje-Javajeti")</f>
        <v>Samtsje-Javajeti</v>
      </c>
      <c r="F1789" s="9" t="str">
        <f>IFERROR(__xludf.DUMMYFUNCTION("GOOGLETRANSLATE($A1789,""en"",""it"")"),"Samtskhe-Javakheti")</f>
        <v>Samtskhe-Javakheti</v>
      </c>
      <c r="G1789" s="9" t="str">
        <f>IFERROR(__xludf.DUMMYFUNCTION("GOOGLETRANSLATE($A1789,""en"",""zh-cn"")"),"萨姆茨赫-贾瓦赫季")</f>
        <v>萨姆茨赫-贾瓦赫季</v>
      </c>
      <c r="H1789" s="9" t="str">
        <f>IFERROR(__xludf.DUMMYFUNCTION("GOOGLETRANSLATE($A1789,""en"",""ja"")"),"サムツヘ・ジャヴァヘティ")</f>
        <v>サムツヘ・ジャヴァヘティ</v>
      </c>
      <c r="I1789" s="9" t="str">
        <f>IFERROR(__xludf.DUMMYFUNCTION("GOOGLETRANSLATE($A1789,""en"",""ko"")"),"삼츠헤-자바케티")</f>
        <v>삼츠헤-자바케티</v>
      </c>
      <c r="J1789" s="9" t="str">
        <f>IFERROR(__xludf.DUMMYFUNCTION("GOOGLETRANSLATE($A1789,""en"",""pt-BR"")"),"Samtskhe-Javakheti")</f>
        <v>Samtskhe-Javakheti</v>
      </c>
    </row>
    <row r="1790">
      <c r="A1790" s="9" t="str">
        <f>IFERROR(__xludf.DUMMYFUNCTION("""COMPUTED_VALUE"""),"Kvemo Kartli")</f>
        <v>Kvemo Kartli</v>
      </c>
      <c r="B1790" s="9" t="str">
        <f>IFERROR(__xludf.DUMMYFUNCTION("""COMPUTED_VALUE"""),"ge-kk")</f>
        <v>ge-kk</v>
      </c>
      <c r="C1790" s="9" t="str">
        <f>IFERROR(__xludf.DUMMYFUNCTION("GOOGLETRANSLATE($A1790,""en"",""de"")"),"Kvemo Kartli")</f>
        <v>Kvemo Kartli</v>
      </c>
      <c r="D1790" s="9" t="str">
        <f>IFERROR(__xludf.DUMMYFUNCTION("GOOGLETRANSLATE($A1790,""en"",""fr"")"),"Kvemo Kartli")</f>
        <v>Kvemo Kartli</v>
      </c>
      <c r="E1790" s="9" t="str">
        <f>IFERROR(__xludf.DUMMYFUNCTION("GOOGLETRANSLATE($A1790,""en"",""es"")"),"Kvemo Kartli")</f>
        <v>Kvemo Kartli</v>
      </c>
      <c r="F1790" s="9" t="str">
        <f>IFERROR(__xludf.DUMMYFUNCTION("GOOGLETRANSLATE($A1790,""en"",""it"")"),"Kvemo Kartli")</f>
        <v>Kvemo Kartli</v>
      </c>
      <c r="G1790" s="9" t="str">
        <f>IFERROR(__xludf.DUMMYFUNCTION("GOOGLETRANSLATE($A1790,""en"",""zh-cn"")"),"克韦莫·卡特利")</f>
        <v>克韦莫·卡特利</v>
      </c>
      <c r="H1790" s="9" t="str">
        <f>IFERROR(__xludf.DUMMYFUNCTION("GOOGLETRANSLATE($A1790,""en"",""ja"")"),"クヴェモ・カルトリ")</f>
        <v>クヴェモ・カルトリ</v>
      </c>
      <c r="I1790" s="9" t="str">
        <f>IFERROR(__xludf.DUMMYFUNCTION("GOOGLETRANSLATE($A1790,""en"",""ko"")"),"크베모 카르틀리")</f>
        <v>크베모 카르틀리</v>
      </c>
      <c r="J1790" s="9" t="str">
        <f>IFERROR(__xludf.DUMMYFUNCTION("GOOGLETRANSLATE($A1790,""en"",""pt-BR"")"),"Kvemo Kartli")</f>
        <v>Kvemo Kartli</v>
      </c>
    </row>
    <row r="1791">
      <c r="A1791" s="9" t="str">
        <f>IFERROR(__xludf.DUMMYFUNCTION("""COMPUTED_VALUE"""),"Abkhazia")</f>
        <v>Abkhazia</v>
      </c>
      <c r="B1791" s="9" t="str">
        <f>IFERROR(__xludf.DUMMYFUNCTION("""COMPUTED_VALUE"""),"ge-ab")</f>
        <v>ge-ab</v>
      </c>
      <c r="C1791" s="9" t="str">
        <f>IFERROR(__xludf.DUMMYFUNCTION("GOOGLETRANSLATE($A1791,""en"",""de"")"),"Abchasien")</f>
        <v>Abchasien</v>
      </c>
      <c r="D1791" s="9" t="str">
        <f>IFERROR(__xludf.DUMMYFUNCTION("GOOGLETRANSLATE($A1791,""en"",""fr"")"),"Abkhazie")</f>
        <v>Abkhazie</v>
      </c>
      <c r="E1791" s="9" t="str">
        <f>IFERROR(__xludf.DUMMYFUNCTION("GOOGLETRANSLATE($A1791,""en"",""es"")"),"Abjasia")</f>
        <v>Abjasia</v>
      </c>
      <c r="F1791" s="9" t="str">
        <f>IFERROR(__xludf.DUMMYFUNCTION("GOOGLETRANSLATE($A1791,""en"",""it"")"),"Abkhazia")</f>
        <v>Abkhazia</v>
      </c>
      <c r="G1791" s="9" t="str">
        <f>IFERROR(__xludf.DUMMYFUNCTION("GOOGLETRANSLATE($A1791,""en"",""zh-cn"")"),"阿布哈兹")</f>
        <v>阿布哈兹</v>
      </c>
      <c r="H1791" s="9" t="str">
        <f>IFERROR(__xludf.DUMMYFUNCTION("GOOGLETRANSLATE($A1791,""en"",""ja"")"),"アブハジア")</f>
        <v>アブハジア</v>
      </c>
      <c r="I1791" s="9" t="str">
        <f>IFERROR(__xludf.DUMMYFUNCTION("GOOGLETRANSLATE($A1791,""en"",""ko"")"),"압하지야")</f>
        <v>압하지야</v>
      </c>
      <c r="J1791" s="9" t="str">
        <f>IFERROR(__xludf.DUMMYFUNCTION("GOOGLETRANSLATE($A1791,""en"",""pt-BR"")"),"Abecásia")</f>
        <v>Abecásia</v>
      </c>
    </row>
    <row r="1792">
      <c r="A1792" s="9" t="str">
        <f>IFERROR(__xludf.DUMMYFUNCTION("""COMPUTED_VALUE"""),"Guria")</f>
        <v>Guria</v>
      </c>
      <c r="B1792" s="9" t="str">
        <f>IFERROR(__xludf.DUMMYFUNCTION("""COMPUTED_VALUE"""),"ge-gu")</f>
        <v>ge-gu</v>
      </c>
      <c r="C1792" s="9" t="str">
        <f>IFERROR(__xludf.DUMMYFUNCTION("GOOGLETRANSLATE($A1792,""en"",""de"")"),"Gurien")</f>
        <v>Gurien</v>
      </c>
      <c r="D1792" s="9" t="str">
        <f>IFERROR(__xludf.DUMMYFUNCTION("GOOGLETRANSLATE($A1792,""en"",""fr"")"),"Gourie")</f>
        <v>Gourie</v>
      </c>
      <c r="E1792" s="9" t="str">
        <f>IFERROR(__xludf.DUMMYFUNCTION("GOOGLETRANSLATE($A1792,""en"",""es"")"),"Guría")</f>
        <v>Guría</v>
      </c>
      <c r="F1792" s="9" t="str">
        <f>IFERROR(__xludf.DUMMYFUNCTION("GOOGLETRANSLATE($A1792,""en"",""it"")"),"Guria")</f>
        <v>Guria</v>
      </c>
      <c r="G1792" s="9" t="str">
        <f>IFERROR(__xludf.DUMMYFUNCTION("GOOGLETRANSLATE($A1792,""en"",""zh-cn"")"),"古里亚")</f>
        <v>古里亚</v>
      </c>
      <c r="H1792" s="9" t="str">
        <f>IFERROR(__xludf.DUMMYFUNCTION("GOOGLETRANSLATE($A1792,""en"",""ja"")"),"グリア")</f>
        <v>グリア</v>
      </c>
      <c r="I1792" s="9" t="str">
        <f>IFERROR(__xludf.DUMMYFUNCTION("GOOGLETRANSLATE($A1792,""en"",""ko"")"),"구리아")</f>
        <v>구리아</v>
      </c>
      <c r="J1792" s="9" t="str">
        <f>IFERROR(__xludf.DUMMYFUNCTION("GOOGLETRANSLATE($A1792,""en"",""pt-BR"")"),"Gúria")</f>
        <v>Gúria</v>
      </c>
    </row>
    <row r="1793">
      <c r="A1793" s="9" t="str">
        <f>IFERROR(__xludf.DUMMYFUNCTION("""COMPUTED_VALUE"""),"Nordrhein-Westfalen")</f>
        <v>Nordrhein-Westfalen</v>
      </c>
      <c r="B1793" s="9" t="str">
        <f>IFERROR(__xludf.DUMMYFUNCTION("""COMPUTED_VALUE"""),"de-nw")</f>
        <v>de-nw</v>
      </c>
      <c r="C1793" s="9" t="str">
        <f>IFERROR(__xludf.DUMMYFUNCTION("GOOGLETRANSLATE($A1793,""en"",""de"")"),"Nordrhein-Westfalen")</f>
        <v>Nordrhein-Westfalen</v>
      </c>
      <c r="D1793" s="9" t="str">
        <f>IFERROR(__xludf.DUMMYFUNCTION("GOOGLETRANSLATE($A1793,""en"",""fr"")"),"Rhénanie du Nord-Westphalie")</f>
        <v>Rhénanie du Nord-Westphalie</v>
      </c>
      <c r="E1793" s="9" t="str">
        <f>IFERROR(__xludf.DUMMYFUNCTION("GOOGLETRANSLATE($A1793,""en"",""es"")"),"Renania del Norte-Westfalen")</f>
        <v>Renania del Norte-Westfalen</v>
      </c>
      <c r="F1793" s="9" t="str">
        <f>IFERROR(__xludf.DUMMYFUNCTION("GOOGLETRANSLATE($A1793,""en"",""it"")"),"Renania settentrionale-Vestfalia")</f>
        <v>Renania settentrionale-Vestfalia</v>
      </c>
      <c r="G1793" s="9" t="str">
        <f>IFERROR(__xludf.DUMMYFUNCTION("GOOGLETRANSLATE($A1793,""en"",""zh-cn"")"),"北莱茵-威斯特法伦州")</f>
        <v>北莱茵-威斯特法伦州</v>
      </c>
      <c r="H1793" s="9" t="str">
        <f>IFERROR(__xludf.DUMMYFUNCTION("GOOGLETRANSLATE($A1793,""en"",""ja"")"),"ノルトライン ヴェストファーレン")</f>
        <v>ノルトライン ヴェストファーレン</v>
      </c>
      <c r="I1793" s="9" t="str">
        <f>IFERROR(__xludf.DUMMYFUNCTION("GOOGLETRANSLATE($A1793,""en"",""ko"")"),"노르트라인베스트팔렌")</f>
        <v>노르트라인베스트팔렌</v>
      </c>
      <c r="J1793" s="9" t="str">
        <f>IFERROR(__xludf.DUMMYFUNCTION("GOOGLETRANSLATE($A1793,""en"",""pt-BR"")"),"Renânia do Norte-Vestfalen")</f>
        <v>Renânia do Norte-Vestfalen</v>
      </c>
    </row>
    <row r="1794">
      <c r="A1794" s="9" t="str">
        <f>IFERROR(__xludf.DUMMYFUNCTION("""COMPUTED_VALUE"""),"Rheinland-Pfalz")</f>
        <v>Rheinland-Pfalz</v>
      </c>
      <c r="B1794" s="9" t="str">
        <f>IFERROR(__xludf.DUMMYFUNCTION("""COMPUTED_VALUE"""),"de-rp")</f>
        <v>de-rp</v>
      </c>
      <c r="C1794" s="9" t="str">
        <f>IFERROR(__xludf.DUMMYFUNCTION("GOOGLETRANSLATE($A1794,""en"",""de"")"),"Rheinland-Pfalz")</f>
        <v>Rheinland-Pfalz</v>
      </c>
      <c r="D1794" s="9" t="str">
        <f>IFERROR(__xludf.DUMMYFUNCTION("GOOGLETRANSLATE($A1794,""en"",""fr"")"),"Rhénanie-Palatinat")</f>
        <v>Rhénanie-Palatinat</v>
      </c>
      <c r="E1794" s="9" t="str">
        <f>IFERROR(__xludf.DUMMYFUNCTION("GOOGLETRANSLATE($A1794,""en"",""es"")"),"Renania-Palatinado")</f>
        <v>Renania-Palatinado</v>
      </c>
      <c r="F1794" s="9" t="str">
        <f>IFERROR(__xludf.DUMMYFUNCTION("GOOGLETRANSLATE($A1794,""en"",""it"")"),"Renania-Palatinato")</f>
        <v>Renania-Palatinato</v>
      </c>
      <c r="G1794" s="9" t="str">
        <f>IFERROR(__xludf.DUMMYFUNCTION("GOOGLETRANSLATE($A1794,""en"",""zh-cn"")"),"莱茵兰-普法尔茨州")</f>
        <v>莱茵兰-普法尔茨州</v>
      </c>
      <c r="H1794" s="9" t="str">
        <f>IFERROR(__xludf.DUMMYFUNCTION("GOOGLETRANSLATE($A1794,""en"",""ja"")"),"ラインラント・プファルツ")</f>
        <v>ラインラント・プファルツ</v>
      </c>
      <c r="I1794" s="9" t="str">
        <f>IFERROR(__xludf.DUMMYFUNCTION("GOOGLETRANSLATE($A1794,""en"",""ko"")"),"라인란트팔츠")</f>
        <v>라인란트팔츠</v>
      </c>
      <c r="J1794" s="9" t="str">
        <f>IFERROR(__xludf.DUMMYFUNCTION("GOOGLETRANSLATE($A1794,""en"",""pt-BR"")"),"Renânia-Palatinado")</f>
        <v>Renânia-Palatinado</v>
      </c>
    </row>
    <row r="1795">
      <c r="A1795" s="9" t="str">
        <f>IFERROR(__xludf.DUMMYFUNCTION("""COMPUTED_VALUE"""),"Saarland")</f>
        <v>Saarland</v>
      </c>
      <c r="B1795" s="9" t="str">
        <f>IFERROR(__xludf.DUMMYFUNCTION("""COMPUTED_VALUE"""),"de-sl")</f>
        <v>de-sl</v>
      </c>
      <c r="C1795" s="9" t="str">
        <f>IFERROR(__xludf.DUMMYFUNCTION("GOOGLETRANSLATE($A1795,""en"",""de"")"),"Saarland")</f>
        <v>Saarland</v>
      </c>
      <c r="D1795" s="9" t="str">
        <f>IFERROR(__xludf.DUMMYFUNCTION("GOOGLETRANSLATE($A1795,""en"",""fr"")"),"Sarre")</f>
        <v>Sarre</v>
      </c>
      <c r="E1795" s="9" t="str">
        <f>IFERROR(__xludf.DUMMYFUNCTION("GOOGLETRANSLATE($A1795,""en"",""es"")"),"Sarre")</f>
        <v>Sarre</v>
      </c>
      <c r="F1795" s="9" t="str">
        <f>IFERROR(__xludf.DUMMYFUNCTION("GOOGLETRANSLATE($A1795,""en"",""it"")"),"Saarland")</f>
        <v>Saarland</v>
      </c>
      <c r="G1795" s="9" t="str">
        <f>IFERROR(__xludf.DUMMYFUNCTION("GOOGLETRANSLATE($A1795,""en"",""zh-cn"")"),"萨尔州")</f>
        <v>萨尔州</v>
      </c>
      <c r="H1795" s="9" t="str">
        <f>IFERROR(__xludf.DUMMYFUNCTION("GOOGLETRANSLATE($A1795,""en"",""ja"")"),"ザールランド州")</f>
        <v>ザールランド州</v>
      </c>
      <c r="I1795" s="9" t="str">
        <f>IFERROR(__xludf.DUMMYFUNCTION("GOOGLETRANSLATE($A1795,""en"",""ko"")"),"자를란트")</f>
        <v>자를란트</v>
      </c>
      <c r="J1795" s="9" t="str">
        <f>IFERROR(__xludf.DUMMYFUNCTION("GOOGLETRANSLATE($A1795,""en"",""pt-BR"")"),"Sarre")</f>
        <v>Sarre</v>
      </c>
    </row>
    <row r="1796">
      <c r="A1796" s="9" t="str">
        <f>IFERROR(__xludf.DUMMYFUNCTION("""COMPUTED_VALUE"""),"Sachsen")</f>
        <v>Sachsen</v>
      </c>
      <c r="B1796" s="9" t="str">
        <f>IFERROR(__xludf.DUMMYFUNCTION("""COMPUTED_VALUE"""),"de-sn")</f>
        <v>de-sn</v>
      </c>
      <c r="C1796" s="9" t="str">
        <f>IFERROR(__xludf.DUMMYFUNCTION("GOOGLETRANSLATE($A1796,""en"",""de"")"),"Sachsen")</f>
        <v>Sachsen</v>
      </c>
      <c r="D1796" s="9" t="str">
        <f>IFERROR(__xludf.DUMMYFUNCTION("GOOGLETRANSLATE($A1796,""en"",""fr"")"),"Saxe")</f>
        <v>Saxe</v>
      </c>
      <c r="E1796" s="9" t="str">
        <f>IFERROR(__xludf.DUMMYFUNCTION("GOOGLETRANSLATE($A1796,""en"",""es"")"),"Sajonia")</f>
        <v>Sajonia</v>
      </c>
      <c r="F1796" s="9" t="str">
        <f>IFERROR(__xludf.DUMMYFUNCTION("GOOGLETRANSLATE($A1796,""en"",""it"")"),"Sassonia")</f>
        <v>Sassonia</v>
      </c>
      <c r="G1796" s="9" t="str">
        <f>IFERROR(__xludf.DUMMYFUNCTION("GOOGLETRANSLATE($A1796,""en"",""zh-cn"")"),"萨克森州")</f>
        <v>萨克森州</v>
      </c>
      <c r="H1796" s="9" t="str">
        <f>IFERROR(__xludf.DUMMYFUNCTION("GOOGLETRANSLATE($A1796,""en"",""ja"")"),"ザクセン州")</f>
        <v>ザクセン州</v>
      </c>
      <c r="I1796" s="9" t="str">
        <f>IFERROR(__xludf.DUMMYFUNCTION("GOOGLETRANSLATE($A1796,""en"",""ko"")"),"작센")</f>
        <v>작센</v>
      </c>
      <c r="J1796" s="9" t="str">
        <f>IFERROR(__xludf.DUMMYFUNCTION("GOOGLETRANSLATE($A1796,""en"",""pt-BR"")"),"Saxônia")</f>
        <v>Saxônia</v>
      </c>
    </row>
    <row r="1797">
      <c r="A1797" s="9" t="str">
        <f>IFERROR(__xludf.DUMMYFUNCTION("""COMPUTED_VALUE"""),"Hamburg")</f>
        <v>Hamburg</v>
      </c>
      <c r="B1797" s="9" t="str">
        <f>IFERROR(__xludf.DUMMYFUNCTION("""COMPUTED_VALUE"""),"de-hh")</f>
        <v>de-hh</v>
      </c>
      <c r="C1797" s="9" t="str">
        <f>IFERROR(__xludf.DUMMYFUNCTION("GOOGLETRANSLATE($A1797,""en"",""de"")"),"Hamburg")</f>
        <v>Hamburg</v>
      </c>
      <c r="D1797" s="9" t="str">
        <f>IFERROR(__xludf.DUMMYFUNCTION("GOOGLETRANSLATE($A1797,""en"",""fr"")"),"Hambourg")</f>
        <v>Hambourg</v>
      </c>
      <c r="E1797" s="9" t="str">
        <f>IFERROR(__xludf.DUMMYFUNCTION("GOOGLETRANSLATE($A1797,""en"",""es"")"),"Hamburgo")</f>
        <v>Hamburgo</v>
      </c>
      <c r="F1797" s="9" t="str">
        <f>IFERROR(__xludf.DUMMYFUNCTION("GOOGLETRANSLATE($A1797,""en"",""it"")"),"Amburgo")</f>
        <v>Amburgo</v>
      </c>
      <c r="G1797" s="9" t="str">
        <f>IFERROR(__xludf.DUMMYFUNCTION("GOOGLETRANSLATE($A1797,""en"",""zh-cn"")"),"汉堡")</f>
        <v>汉堡</v>
      </c>
      <c r="H1797" s="9" t="str">
        <f>IFERROR(__xludf.DUMMYFUNCTION("GOOGLETRANSLATE($A1797,""en"",""ja"")"),"ハンブルク")</f>
        <v>ハンブルク</v>
      </c>
      <c r="I1797" s="9" t="str">
        <f>IFERROR(__xludf.DUMMYFUNCTION("GOOGLETRANSLATE($A1797,""en"",""ko"")"),"함부르크")</f>
        <v>함부르크</v>
      </c>
      <c r="J1797" s="9" t="str">
        <f>IFERROR(__xludf.DUMMYFUNCTION("GOOGLETRANSLATE($A1797,""en"",""pt-BR"")"),"Hamburgo")</f>
        <v>Hamburgo</v>
      </c>
    </row>
    <row r="1798">
      <c r="A1798" s="9" t="str">
        <f>IFERROR(__xludf.DUMMYFUNCTION("""COMPUTED_VALUE"""),"Hessen")</f>
        <v>Hessen</v>
      </c>
      <c r="B1798" s="9" t="str">
        <f>IFERROR(__xludf.DUMMYFUNCTION("""COMPUTED_VALUE"""),"de-he")</f>
        <v>de-he</v>
      </c>
      <c r="C1798" s="9" t="str">
        <f>IFERROR(__xludf.DUMMYFUNCTION("GOOGLETRANSLATE($A1798,""en"",""de"")"),"Hessen")</f>
        <v>Hessen</v>
      </c>
      <c r="D1798" s="9" t="str">
        <f>IFERROR(__xludf.DUMMYFUNCTION("GOOGLETRANSLATE($A1798,""en"",""fr"")"),"Hesse")</f>
        <v>Hesse</v>
      </c>
      <c r="E1798" s="9" t="str">
        <f>IFERROR(__xludf.DUMMYFUNCTION("GOOGLETRANSLATE($A1798,""en"",""es"")"),"Hesse")</f>
        <v>Hesse</v>
      </c>
      <c r="F1798" s="9" t="str">
        <f>IFERROR(__xludf.DUMMYFUNCTION("GOOGLETRANSLATE($A1798,""en"",""it"")"),"Assia")</f>
        <v>Assia</v>
      </c>
      <c r="G1798" s="9" t="str">
        <f>IFERROR(__xludf.DUMMYFUNCTION("GOOGLETRANSLATE($A1798,""en"",""zh-cn"")"),"黑森州")</f>
        <v>黑森州</v>
      </c>
      <c r="H1798" s="9" t="str">
        <f>IFERROR(__xludf.DUMMYFUNCTION("GOOGLETRANSLATE($A1798,""en"",""ja"")"),"ヘッセン州")</f>
        <v>ヘッセン州</v>
      </c>
      <c r="I1798" s="9" t="str">
        <f>IFERROR(__xludf.DUMMYFUNCTION("GOOGLETRANSLATE($A1798,""en"",""ko"")"),"헤센")</f>
        <v>헤센</v>
      </c>
      <c r="J1798" s="9" t="str">
        <f>IFERROR(__xludf.DUMMYFUNCTION("GOOGLETRANSLATE($A1798,""en"",""pt-BR"")"),"Hesse")</f>
        <v>Hesse</v>
      </c>
    </row>
    <row r="1799">
      <c r="A1799" s="9" t="str">
        <f>IFERROR(__xludf.DUMMYFUNCTION("""COMPUTED_VALUE"""),"Mecklenburg-Vorpommern")</f>
        <v>Mecklenburg-Vorpommern</v>
      </c>
      <c r="B1799" s="9" t="str">
        <f>IFERROR(__xludf.DUMMYFUNCTION("""COMPUTED_VALUE"""),"de-mv")</f>
        <v>de-mv</v>
      </c>
      <c r="C1799" s="9" t="str">
        <f>IFERROR(__xludf.DUMMYFUNCTION("GOOGLETRANSLATE($A1799,""en"",""de"")"),"Mecklenburg-Vorpommern")</f>
        <v>Mecklenburg-Vorpommern</v>
      </c>
      <c r="D1799" s="9" t="str">
        <f>IFERROR(__xludf.DUMMYFUNCTION("GOOGLETRANSLATE($A1799,""en"",""fr"")"),"Mecklembourg-Poméranie-Occidentale")</f>
        <v>Mecklembourg-Poméranie-Occidentale</v>
      </c>
      <c r="E1799" s="9" t="str">
        <f>IFERROR(__xludf.DUMMYFUNCTION("GOOGLETRANSLATE($A1799,""en"",""es"")"),"Mecklemburgo-Pomerania Occidental")</f>
        <v>Mecklemburgo-Pomerania Occidental</v>
      </c>
      <c r="F1799" s="9" t="str">
        <f>IFERROR(__xludf.DUMMYFUNCTION("GOOGLETRANSLATE($A1799,""en"",""it"")"),"Meclemburgo-Pomerania Anteriore")</f>
        <v>Meclemburgo-Pomerania Anteriore</v>
      </c>
      <c r="G1799" s="9" t="str">
        <f>IFERROR(__xludf.DUMMYFUNCTION("GOOGLETRANSLATE($A1799,""en"",""zh-cn"")"),"梅克伦堡-前波莫瑞州")</f>
        <v>梅克伦堡-前波莫瑞州</v>
      </c>
      <c r="H1799" s="9" t="str">
        <f>IFERROR(__xludf.DUMMYFUNCTION("GOOGLETRANSLATE($A1799,""en"",""ja"")"),"メクレンブルク フォアポンメルン州")</f>
        <v>メクレンブルク フォアポンメルン州</v>
      </c>
      <c r="I1799" s="9" t="str">
        <f>IFERROR(__xludf.DUMMYFUNCTION("GOOGLETRANSLATE($A1799,""en"",""ko"")"),"메클렌부르크-포어포메른")</f>
        <v>메클렌부르크-포어포메른</v>
      </c>
      <c r="J1799" s="9" t="str">
        <f>IFERROR(__xludf.DUMMYFUNCTION("GOOGLETRANSLATE($A1799,""en"",""pt-BR"")"),"Mecklemburgo-Pomerânia Ocidental")</f>
        <v>Mecklemburgo-Pomerânia Ocidental</v>
      </c>
    </row>
    <row r="1800">
      <c r="A1800" s="9" t="str">
        <f>IFERROR(__xludf.DUMMYFUNCTION("""COMPUTED_VALUE"""),"Niedersachsen (Lower Saxony)")</f>
        <v>Niedersachsen (Lower Saxony)</v>
      </c>
      <c r="B1800" s="9" t="str">
        <f>IFERROR(__xludf.DUMMYFUNCTION("""COMPUTED_VALUE"""),"de-ni")</f>
        <v>de-ni</v>
      </c>
      <c r="C1800" s="9" t="str">
        <f>IFERROR(__xludf.DUMMYFUNCTION("GOOGLETRANSLATE($A1800,""en"",""de"")"),"Niedersachsen (Niedersachsen)")</f>
        <v>Niedersachsen (Niedersachsen)</v>
      </c>
      <c r="D1800" s="9" t="str">
        <f>IFERROR(__xludf.DUMMYFUNCTION("GOOGLETRANSLATE($A1800,""en"",""fr"")"),"Niedersachsen (Basse-Saxe)")</f>
        <v>Niedersachsen (Basse-Saxe)</v>
      </c>
      <c r="E1800" s="9" t="str">
        <f>IFERROR(__xludf.DUMMYFUNCTION("GOOGLETRANSLATE($A1800,""en"",""es"")"),"Baja Sajonia (Baja Sajonia)")</f>
        <v>Baja Sajonia (Baja Sajonia)</v>
      </c>
      <c r="F1800" s="9" t="str">
        <f>IFERROR(__xludf.DUMMYFUNCTION("GOOGLETRANSLATE($A1800,""en"",""it"")"),"Bassa Sassonia (Bassa Sassonia)")</f>
        <v>Bassa Sassonia (Bassa Sassonia)</v>
      </c>
      <c r="G1800" s="9" t="str">
        <f>IFERROR(__xludf.DUMMYFUNCTION("GOOGLETRANSLATE($A1800,""en"",""zh-cn"")"),"下萨克森州 (下萨克森州)")</f>
        <v>下萨克森州 (下萨克森州)</v>
      </c>
      <c r="H1800" s="9" t="str">
        <f>IFERROR(__xludf.DUMMYFUNCTION("GOOGLETRANSLATE($A1800,""en"",""ja"")"),"ニーダーザクセン州 (ニーダーザクセン州)")</f>
        <v>ニーダーザクセン州 (ニーダーザクセン州)</v>
      </c>
      <c r="I1800" s="9" t="str">
        <f>IFERROR(__xludf.DUMMYFUNCTION("GOOGLETRANSLATE($A1800,""en"",""ko"")"),"니더작센(니더작센)")</f>
        <v>니더작센(니더작센)</v>
      </c>
      <c r="J1800" s="9" t="str">
        <f>IFERROR(__xludf.DUMMYFUNCTION("GOOGLETRANSLATE($A1800,""en"",""pt-BR"")"),"Niedersachsen (Baixa Saxônia)")</f>
        <v>Niedersachsen (Baixa Saxônia)</v>
      </c>
    </row>
    <row r="1801">
      <c r="A1801" s="9" t="str">
        <f>IFERROR(__xludf.DUMMYFUNCTION("""COMPUTED_VALUE"""),"Bayern (Bavaria)")</f>
        <v>Bayern (Bavaria)</v>
      </c>
      <c r="B1801" s="9" t="str">
        <f>IFERROR(__xludf.DUMMYFUNCTION("""COMPUTED_VALUE"""),"de-by")</f>
        <v>de-by</v>
      </c>
      <c r="C1801" s="9" t="str">
        <f>IFERROR(__xludf.DUMMYFUNCTION("GOOGLETRANSLATE($A1801,""en"",""de"")"),"Bayern (Bayern)")</f>
        <v>Bayern (Bayern)</v>
      </c>
      <c r="D1801" s="9" t="str">
        <f>IFERROR(__xludf.DUMMYFUNCTION("GOOGLETRANSLATE($A1801,""en"",""fr"")"),"Bayern (Bavière)")</f>
        <v>Bayern (Bavière)</v>
      </c>
      <c r="E1801" s="9" t="str">
        <f>IFERROR(__xludf.DUMMYFUNCTION("GOOGLETRANSLATE($A1801,""en"",""es"")"),"Bayern (Baviera)")</f>
        <v>Bayern (Baviera)</v>
      </c>
      <c r="F1801" s="9" t="str">
        <f>IFERROR(__xludf.DUMMYFUNCTION("GOOGLETRANSLATE($A1801,""en"",""it"")"),"Bayern (Baviera)")</f>
        <v>Bayern (Baviera)</v>
      </c>
      <c r="G1801" s="9" t="str">
        <f>IFERROR(__xludf.DUMMYFUNCTION("GOOGLETRANSLATE($A1801,""en"",""zh-cn"")"),"拜仁 (巴伐利亚)")</f>
        <v>拜仁 (巴伐利亚)</v>
      </c>
      <c r="H1801" s="9" t="str">
        <f>IFERROR(__xludf.DUMMYFUNCTION("GOOGLETRANSLATE($A1801,""en"",""ja"")"),"バイエルン (バイエルン)")</f>
        <v>バイエルン (バイエルン)</v>
      </c>
      <c r="I1801" s="9" t="str">
        <f>IFERROR(__xludf.DUMMYFUNCTION("GOOGLETRANSLATE($A1801,""en"",""ko"")"),"바이에른(바이에른)")</f>
        <v>바이에른(바이에른)</v>
      </c>
      <c r="J1801" s="9" t="str">
        <f>IFERROR(__xludf.DUMMYFUNCTION("GOOGLETRANSLATE($A1801,""en"",""pt-BR"")"),"Bayern (Baviera)")</f>
        <v>Bayern (Baviera)</v>
      </c>
    </row>
    <row r="1802">
      <c r="A1802" s="9" t="str">
        <f>IFERROR(__xludf.DUMMYFUNCTION("""COMPUTED_VALUE"""),"Berlin")</f>
        <v>Berlin</v>
      </c>
      <c r="B1802" s="9" t="str">
        <f>IFERROR(__xludf.DUMMYFUNCTION("""COMPUTED_VALUE"""),"de-be")</f>
        <v>de-be</v>
      </c>
      <c r="C1802" s="9" t="str">
        <f>IFERROR(__xludf.DUMMYFUNCTION("GOOGLETRANSLATE($A1802,""en"",""de"")"),"Berlin")</f>
        <v>Berlin</v>
      </c>
      <c r="D1802" s="9" t="str">
        <f>IFERROR(__xludf.DUMMYFUNCTION("GOOGLETRANSLATE($A1802,""en"",""fr"")"),"Berlin")</f>
        <v>Berlin</v>
      </c>
      <c r="E1802" s="9" t="str">
        <f>IFERROR(__xludf.DUMMYFUNCTION("GOOGLETRANSLATE($A1802,""en"",""es"")"),"Berlina")</f>
        <v>Berlina</v>
      </c>
      <c r="F1802" s="9" t="str">
        <f>IFERROR(__xludf.DUMMYFUNCTION("GOOGLETRANSLATE($A1802,""en"",""it"")"),"Berlino")</f>
        <v>Berlino</v>
      </c>
      <c r="G1802" s="9" t="str">
        <f>IFERROR(__xludf.DUMMYFUNCTION("GOOGLETRANSLATE($A1802,""en"",""zh-cn"")"),"柏林")</f>
        <v>柏林</v>
      </c>
      <c r="H1802" s="9" t="str">
        <f>IFERROR(__xludf.DUMMYFUNCTION("GOOGLETRANSLATE($A1802,""en"",""ja"")"),"ベルリン")</f>
        <v>ベルリン</v>
      </c>
      <c r="I1802" s="9" t="str">
        <f>IFERROR(__xludf.DUMMYFUNCTION("GOOGLETRANSLATE($A1802,""en"",""ko"")"),"베를린")</f>
        <v>베를린</v>
      </c>
      <c r="J1802" s="9" t="str">
        <f>IFERROR(__xludf.DUMMYFUNCTION("GOOGLETRANSLATE($A1802,""en"",""pt-BR"")"),"Berlim")</f>
        <v>Berlim</v>
      </c>
    </row>
    <row r="1803">
      <c r="A1803" s="9" t="str">
        <f>IFERROR(__xludf.DUMMYFUNCTION("""COMPUTED_VALUE"""),"Brandenburg")</f>
        <v>Brandenburg</v>
      </c>
      <c r="B1803" s="9" t="str">
        <f>IFERROR(__xludf.DUMMYFUNCTION("""COMPUTED_VALUE"""),"de-bb")</f>
        <v>de-bb</v>
      </c>
      <c r="C1803" s="9" t="str">
        <f>IFERROR(__xludf.DUMMYFUNCTION("GOOGLETRANSLATE($A1803,""en"",""de"")"),"Brandenburg")</f>
        <v>Brandenburg</v>
      </c>
      <c r="D1803" s="9" t="str">
        <f>IFERROR(__xludf.DUMMYFUNCTION("GOOGLETRANSLATE($A1803,""en"",""fr"")"),"Brandebourg")</f>
        <v>Brandebourg</v>
      </c>
      <c r="E1803" s="9" t="str">
        <f>IFERROR(__xludf.DUMMYFUNCTION("GOOGLETRANSLATE($A1803,""en"",""es"")"),"Brandeburgo")</f>
        <v>Brandeburgo</v>
      </c>
      <c r="F1803" s="9" t="str">
        <f>IFERROR(__xludf.DUMMYFUNCTION("GOOGLETRANSLATE($A1803,""en"",""it"")"),"Brandeburgo")</f>
        <v>Brandeburgo</v>
      </c>
      <c r="G1803" s="9" t="str">
        <f>IFERROR(__xludf.DUMMYFUNCTION("GOOGLETRANSLATE($A1803,""en"",""zh-cn"")"),"勃兰登堡")</f>
        <v>勃兰登堡</v>
      </c>
      <c r="H1803" s="9" t="str">
        <f>IFERROR(__xludf.DUMMYFUNCTION("GOOGLETRANSLATE($A1803,""en"",""ja"")"),"ブランデンブルク")</f>
        <v>ブランデンブルク</v>
      </c>
      <c r="I1803" s="9" t="str">
        <f>IFERROR(__xludf.DUMMYFUNCTION("GOOGLETRANSLATE($A1803,""en"",""ko"")"),"브란덴부르크")</f>
        <v>브란덴부르크</v>
      </c>
      <c r="J1803" s="9" t="str">
        <f>IFERROR(__xludf.DUMMYFUNCTION("GOOGLETRANSLATE($A1803,""en"",""pt-BR"")"),"Brandemburgo")</f>
        <v>Brandemburgo</v>
      </c>
    </row>
    <row r="1804">
      <c r="A1804" s="9" t="str">
        <f>IFERROR(__xludf.DUMMYFUNCTION("""COMPUTED_VALUE"""),"Bremen")</f>
        <v>Bremen</v>
      </c>
      <c r="B1804" s="9" t="str">
        <f>IFERROR(__xludf.DUMMYFUNCTION("""COMPUTED_VALUE"""),"de-hb")</f>
        <v>de-hb</v>
      </c>
      <c r="C1804" s="9" t="str">
        <f>IFERROR(__xludf.DUMMYFUNCTION("GOOGLETRANSLATE($A1804,""en"",""de"")"),"Bremen")</f>
        <v>Bremen</v>
      </c>
      <c r="D1804" s="9" t="str">
        <f>IFERROR(__xludf.DUMMYFUNCTION("GOOGLETRANSLATE($A1804,""en"",""fr"")"),"Brême")</f>
        <v>Brême</v>
      </c>
      <c r="E1804" s="9" t="str">
        <f>IFERROR(__xludf.DUMMYFUNCTION("GOOGLETRANSLATE($A1804,""en"",""es"")"),"Brema")</f>
        <v>Brema</v>
      </c>
      <c r="F1804" s="9" t="str">
        <f>IFERROR(__xludf.DUMMYFUNCTION("GOOGLETRANSLATE($A1804,""en"",""it"")"),"Brema")</f>
        <v>Brema</v>
      </c>
      <c r="G1804" s="9" t="str">
        <f>IFERROR(__xludf.DUMMYFUNCTION("GOOGLETRANSLATE($A1804,""en"",""zh-cn"")"),"不来梅")</f>
        <v>不来梅</v>
      </c>
      <c r="H1804" s="9" t="str">
        <f>IFERROR(__xludf.DUMMYFUNCTION("GOOGLETRANSLATE($A1804,""en"",""ja"")"),"ブレーメン")</f>
        <v>ブレーメン</v>
      </c>
      <c r="I1804" s="9" t="str">
        <f>IFERROR(__xludf.DUMMYFUNCTION("GOOGLETRANSLATE($A1804,""en"",""ko"")"),"브레멘")</f>
        <v>브레멘</v>
      </c>
      <c r="J1804" s="9" t="str">
        <f>IFERROR(__xludf.DUMMYFUNCTION("GOOGLETRANSLATE($A1804,""en"",""pt-BR"")"),"Brema")</f>
        <v>Brema</v>
      </c>
    </row>
    <row r="1805">
      <c r="A1805" s="9" t="str">
        <f>IFERROR(__xludf.DUMMYFUNCTION("""COMPUTED_VALUE"""),"Baden-Württemberg")</f>
        <v>Baden-Württemberg</v>
      </c>
      <c r="B1805" s="9" t="str">
        <f>IFERROR(__xludf.DUMMYFUNCTION("""COMPUTED_VALUE"""),"de-bw")</f>
        <v>de-bw</v>
      </c>
      <c r="C1805" s="9" t="str">
        <f>IFERROR(__xludf.DUMMYFUNCTION("GOOGLETRANSLATE($A1805,""en"",""de"")"),"Baden-Württemberg")</f>
        <v>Baden-Württemberg</v>
      </c>
      <c r="D1805" s="9" t="str">
        <f>IFERROR(__xludf.DUMMYFUNCTION("GOOGLETRANSLATE($A1805,""en"",""fr"")"),"Bade-Wurtemberg")</f>
        <v>Bade-Wurtemberg</v>
      </c>
      <c r="E1805" s="9" t="str">
        <f>IFERROR(__xludf.DUMMYFUNCTION("GOOGLETRANSLATE($A1805,""en"",""es"")"),"Baden-Wurtemberg")</f>
        <v>Baden-Wurtemberg</v>
      </c>
      <c r="F1805" s="9" t="str">
        <f>IFERROR(__xludf.DUMMYFUNCTION("GOOGLETRANSLATE($A1805,""en"",""it"")"),"Baden-Württemberg")</f>
        <v>Baden-Württemberg</v>
      </c>
      <c r="G1805" s="9" t="str">
        <f>IFERROR(__xludf.DUMMYFUNCTION("GOOGLETRANSLATE($A1805,""en"",""zh-cn"")"),"巴登-符腾堡州")</f>
        <v>巴登-符腾堡州</v>
      </c>
      <c r="H1805" s="9" t="str">
        <f>IFERROR(__xludf.DUMMYFUNCTION("GOOGLETRANSLATE($A1805,""en"",""ja"")"),"バーデン ヴュルテンベルク州")</f>
        <v>バーデン ヴュルテンベルク州</v>
      </c>
      <c r="I1805" s="9" t="str">
        <f>IFERROR(__xludf.DUMMYFUNCTION("GOOGLETRANSLATE($A1805,""en"",""ko"")"),"바덴뷔르템베르크")</f>
        <v>바덴뷔르템베르크</v>
      </c>
      <c r="J1805" s="9" t="str">
        <f>IFERROR(__xludf.DUMMYFUNCTION("GOOGLETRANSLATE($A1805,""en"",""pt-BR"")"),"Baden-Württemberg")</f>
        <v>Baden-Württemberg</v>
      </c>
    </row>
    <row r="1806">
      <c r="A1806" s="9" t="str">
        <f>IFERROR(__xludf.DUMMYFUNCTION("""COMPUTED_VALUE"""),"Sachsen-Anhalt")</f>
        <v>Sachsen-Anhalt</v>
      </c>
      <c r="B1806" s="9" t="str">
        <f>IFERROR(__xludf.DUMMYFUNCTION("""COMPUTED_VALUE"""),"de-st")</f>
        <v>de-st</v>
      </c>
      <c r="C1806" s="9" t="str">
        <f>IFERROR(__xludf.DUMMYFUNCTION("GOOGLETRANSLATE($A1806,""en"",""de"")"),"Sachsen-Anhalt")</f>
        <v>Sachsen-Anhalt</v>
      </c>
      <c r="D1806" s="9" t="str">
        <f>IFERROR(__xludf.DUMMYFUNCTION("GOOGLETRANSLATE($A1806,""en"",""fr"")"),"Saxe-Anhalt")</f>
        <v>Saxe-Anhalt</v>
      </c>
      <c r="E1806" s="9" t="str">
        <f>IFERROR(__xludf.DUMMYFUNCTION("GOOGLETRANSLATE($A1806,""en"",""es"")"),"Sajonia-Anhalt")</f>
        <v>Sajonia-Anhalt</v>
      </c>
      <c r="F1806" s="9" t="str">
        <f>IFERROR(__xludf.DUMMYFUNCTION("GOOGLETRANSLATE($A1806,""en"",""it"")"),"Sassonia-Anhalt")</f>
        <v>Sassonia-Anhalt</v>
      </c>
      <c r="G1806" s="9" t="str">
        <f>IFERROR(__xludf.DUMMYFUNCTION("GOOGLETRANSLATE($A1806,""en"",""zh-cn"")"),"萨克森-安哈特州")</f>
        <v>萨克森-安哈特州</v>
      </c>
      <c r="H1806" s="9" t="str">
        <f>IFERROR(__xludf.DUMMYFUNCTION("GOOGLETRANSLATE($A1806,""en"",""ja"")"),"ザクセン・アンハルト州")</f>
        <v>ザクセン・アンハルト州</v>
      </c>
      <c r="I1806" s="9" t="str">
        <f>IFERROR(__xludf.DUMMYFUNCTION("GOOGLETRANSLATE($A1806,""en"",""ko"")"),"작센안할트")</f>
        <v>작센안할트</v>
      </c>
      <c r="J1806" s="9" t="str">
        <f>IFERROR(__xludf.DUMMYFUNCTION("GOOGLETRANSLATE($A1806,""en"",""pt-BR"")"),"Saxônia-Anhalt")</f>
        <v>Saxônia-Anhalt</v>
      </c>
    </row>
    <row r="1807">
      <c r="A1807" s="9" t="str">
        <f>IFERROR(__xludf.DUMMYFUNCTION("""COMPUTED_VALUE"""),"Schleswig-Holstein")</f>
        <v>Schleswig-Holstein</v>
      </c>
      <c r="B1807" s="9" t="str">
        <f>IFERROR(__xludf.DUMMYFUNCTION("""COMPUTED_VALUE"""),"de-sh")</f>
        <v>de-sh</v>
      </c>
      <c r="C1807" s="9" t="str">
        <f>IFERROR(__xludf.DUMMYFUNCTION("GOOGLETRANSLATE($A1807,""en"",""de"")"),"Schleswig-Holstein")</f>
        <v>Schleswig-Holstein</v>
      </c>
      <c r="D1807" s="9" t="str">
        <f>IFERROR(__xludf.DUMMYFUNCTION("GOOGLETRANSLATE($A1807,""en"",""fr"")"),"Schleswig-Holstein")</f>
        <v>Schleswig-Holstein</v>
      </c>
      <c r="E1807" s="9" t="str">
        <f>IFERROR(__xludf.DUMMYFUNCTION("GOOGLETRANSLATE($A1807,""en"",""es"")"),"Schleswig-Holstein")</f>
        <v>Schleswig-Holstein</v>
      </c>
      <c r="F1807" s="9" t="str">
        <f>IFERROR(__xludf.DUMMYFUNCTION("GOOGLETRANSLATE($A1807,""en"",""it"")"),"Schleswig-Holstein")</f>
        <v>Schleswig-Holstein</v>
      </c>
      <c r="G1807" s="9" t="str">
        <f>IFERROR(__xludf.DUMMYFUNCTION("GOOGLETRANSLATE($A1807,""en"",""zh-cn"")"),"石勒苏益格-荷尔斯泰因州")</f>
        <v>石勒苏益格-荷尔斯泰因州</v>
      </c>
      <c r="H1807" s="9" t="str">
        <f>IFERROR(__xludf.DUMMYFUNCTION("GOOGLETRANSLATE($A1807,""en"",""ja"")"),"シュレースヴィヒ ホルシュタイン州")</f>
        <v>シュレースヴィヒ ホルシュタイン州</v>
      </c>
      <c r="I1807" s="9" t="str">
        <f>IFERROR(__xludf.DUMMYFUNCTION("GOOGLETRANSLATE($A1807,""en"",""ko"")"),"슐레스비히-홀슈타인")</f>
        <v>슐레스비히-홀슈타인</v>
      </c>
      <c r="J1807" s="9" t="str">
        <f>IFERROR(__xludf.DUMMYFUNCTION("GOOGLETRANSLATE($A1807,""en"",""pt-BR"")"),"Schleswig-Holstein")</f>
        <v>Schleswig-Holstein</v>
      </c>
    </row>
    <row r="1808">
      <c r="A1808" s="9" t="str">
        <f>IFERROR(__xludf.DUMMYFUNCTION("""COMPUTED_VALUE"""),"Thüringen")</f>
        <v>Thüringen</v>
      </c>
      <c r="B1808" s="9" t="str">
        <f>IFERROR(__xludf.DUMMYFUNCTION("""COMPUTED_VALUE"""),"de-th")</f>
        <v>de-th</v>
      </c>
      <c r="C1808" s="9" t="str">
        <f>IFERROR(__xludf.DUMMYFUNCTION("GOOGLETRANSLATE($A1808,""en"",""de"")"),"Thüringen")</f>
        <v>Thüringen</v>
      </c>
      <c r="D1808" s="9" t="str">
        <f>IFERROR(__xludf.DUMMYFUNCTION("GOOGLETRANSLATE($A1808,""en"",""fr"")"),"Thuringe")</f>
        <v>Thuringe</v>
      </c>
      <c r="E1808" s="9" t="str">
        <f>IFERROR(__xludf.DUMMYFUNCTION("GOOGLETRANSLATE($A1808,""en"",""es"")"),"Turingia")</f>
        <v>Turingia</v>
      </c>
      <c r="F1808" s="9" t="str">
        <f>IFERROR(__xludf.DUMMYFUNCTION("GOOGLETRANSLATE($A1808,""en"",""it"")"),"Turingia")</f>
        <v>Turingia</v>
      </c>
      <c r="G1808" s="9" t="str">
        <f>IFERROR(__xludf.DUMMYFUNCTION("GOOGLETRANSLATE($A1808,""en"",""zh-cn"")"),"图林根")</f>
        <v>图林根</v>
      </c>
      <c r="H1808" s="9" t="str">
        <f>IFERROR(__xludf.DUMMYFUNCTION("GOOGLETRANSLATE($A1808,""en"",""ja"")"),"テューリンゲン")</f>
        <v>テューリンゲン</v>
      </c>
      <c r="I1808" s="9" t="str">
        <f>IFERROR(__xludf.DUMMYFUNCTION("GOOGLETRANSLATE($A1808,""en"",""ko"")"),"튀링겐")</f>
        <v>튀링겐</v>
      </c>
      <c r="J1808" s="9" t="str">
        <f>IFERROR(__xludf.DUMMYFUNCTION("GOOGLETRANSLATE($A1808,""en"",""pt-BR"")"),"Turíngia")</f>
        <v>Turíngia</v>
      </c>
    </row>
    <row r="1809">
      <c r="A1809" s="9" t="str">
        <f>IFERROR(__xludf.DUMMYFUNCTION("""COMPUTED_VALUE"""),"Ashanti")</f>
        <v>Ashanti</v>
      </c>
      <c r="B1809" s="9" t="str">
        <f>IFERROR(__xludf.DUMMYFUNCTION("""COMPUTED_VALUE"""),"gh-ah")</f>
        <v>gh-ah</v>
      </c>
      <c r="C1809" s="9" t="str">
        <f>IFERROR(__xludf.DUMMYFUNCTION("GOOGLETRANSLATE($A1809,""en"",""de"")"),"Ashanti")</f>
        <v>Ashanti</v>
      </c>
      <c r="D1809" s="9" t="str">
        <f>IFERROR(__xludf.DUMMYFUNCTION("GOOGLETRANSLATE($A1809,""en"",""fr"")"),"Ashanti")</f>
        <v>Ashanti</v>
      </c>
      <c r="E1809" s="9" t="str">
        <f>IFERROR(__xludf.DUMMYFUNCTION("GOOGLETRANSLATE($A1809,""en"",""es"")"),"ashanti")</f>
        <v>ashanti</v>
      </c>
      <c r="F1809" s="9" t="str">
        <f>IFERROR(__xludf.DUMMYFUNCTION("GOOGLETRANSLATE($A1809,""en"",""it"")"),"Ashanti")</f>
        <v>Ashanti</v>
      </c>
      <c r="G1809" s="9" t="str">
        <f>IFERROR(__xludf.DUMMYFUNCTION("GOOGLETRANSLATE($A1809,""en"",""zh-cn"")"),"阿散蒂")</f>
        <v>阿散蒂</v>
      </c>
      <c r="H1809" s="9" t="str">
        <f>IFERROR(__xludf.DUMMYFUNCTION("GOOGLETRANSLATE($A1809,""en"",""ja"")"),"アシャンティ")</f>
        <v>アシャンティ</v>
      </c>
      <c r="I1809" s="9" t="str">
        <f>IFERROR(__xludf.DUMMYFUNCTION("GOOGLETRANSLATE($A1809,""en"",""ko"")"),"아샨티")</f>
        <v>아샨티</v>
      </c>
      <c r="J1809" s="9" t="str">
        <f>IFERROR(__xludf.DUMMYFUNCTION("GOOGLETRANSLATE($A1809,""en"",""pt-BR"")"),"Ashanti")</f>
        <v>Ashanti</v>
      </c>
    </row>
    <row r="1810">
      <c r="A1810" s="9" t="str">
        <f>IFERROR(__xludf.DUMMYFUNCTION("""COMPUTED_VALUE"""),"Upper West")</f>
        <v>Upper West</v>
      </c>
      <c r="B1810" s="9" t="str">
        <f>IFERROR(__xludf.DUMMYFUNCTION("""COMPUTED_VALUE"""),"gh-uw")</f>
        <v>gh-uw</v>
      </c>
      <c r="C1810" s="9" t="str">
        <f>IFERROR(__xludf.DUMMYFUNCTION("GOOGLETRANSLATE($A1810,""en"",""de"")"),"Oberer Westen")</f>
        <v>Oberer Westen</v>
      </c>
      <c r="D1810" s="9" t="str">
        <f>IFERROR(__xludf.DUMMYFUNCTION("GOOGLETRANSLATE($A1810,""en"",""fr"")"),"Haut-Ouest")</f>
        <v>Haut-Ouest</v>
      </c>
      <c r="E1810" s="9" t="str">
        <f>IFERROR(__xludf.DUMMYFUNCTION("GOOGLETRANSLATE($A1810,""en"",""es"")"),"Alto Oeste")</f>
        <v>Alto Oeste</v>
      </c>
      <c r="F1810" s="9" t="str">
        <f>IFERROR(__xludf.DUMMYFUNCTION("GOOGLETRANSLATE($A1810,""en"",""it"")"),"Alto Ovest")</f>
        <v>Alto Ovest</v>
      </c>
      <c r="G1810" s="9" t="str">
        <f>IFERROR(__xludf.DUMMYFUNCTION("GOOGLETRANSLATE($A1810,""en"",""zh-cn"")"),"上西区")</f>
        <v>上西区</v>
      </c>
      <c r="H1810" s="9" t="str">
        <f>IFERROR(__xludf.DUMMYFUNCTION("GOOGLETRANSLATE($A1810,""en"",""ja"")"),"アッパーウェスト")</f>
        <v>アッパーウェスト</v>
      </c>
      <c r="I1810" s="9" t="str">
        <f>IFERROR(__xludf.DUMMYFUNCTION("GOOGLETRANSLATE($A1810,""en"",""ko"")"),"어퍼웨스트")</f>
        <v>어퍼웨스트</v>
      </c>
      <c r="J1810" s="9" t="str">
        <f>IFERROR(__xludf.DUMMYFUNCTION("GOOGLETRANSLATE($A1810,""en"",""pt-BR"")"),"Alto Oeste")</f>
        <v>Alto Oeste</v>
      </c>
    </row>
    <row r="1811">
      <c r="A1811" s="9" t="str">
        <f>IFERROR(__xludf.DUMMYFUNCTION("""COMPUTED_VALUE"""),"Greater Accra")</f>
        <v>Greater Accra</v>
      </c>
      <c r="B1811" s="9" t="str">
        <f>IFERROR(__xludf.DUMMYFUNCTION("""COMPUTED_VALUE"""),"gh-aa")</f>
        <v>gh-aa</v>
      </c>
      <c r="C1811" s="9" t="str">
        <f>IFERROR(__xludf.DUMMYFUNCTION("GOOGLETRANSLATE($A1811,""en"",""de"")"),"Großraum Accra")</f>
        <v>Großraum Accra</v>
      </c>
      <c r="D1811" s="9" t="str">
        <f>IFERROR(__xludf.DUMMYFUNCTION("GOOGLETRANSLATE($A1811,""en"",""fr"")"),"Grand Accra")</f>
        <v>Grand Accra</v>
      </c>
      <c r="E1811" s="9" t="str">
        <f>IFERROR(__xludf.DUMMYFUNCTION("GOOGLETRANSLATE($A1811,""en"",""es"")"),"Gran Accra")</f>
        <v>Gran Accra</v>
      </c>
      <c r="F1811" s="9" t="str">
        <f>IFERROR(__xludf.DUMMYFUNCTION("GOOGLETRANSLATE($A1811,""en"",""it"")"),"Grande Accra")</f>
        <v>Grande Accra</v>
      </c>
      <c r="G1811" s="9" t="str">
        <f>IFERROR(__xludf.DUMMYFUNCTION("GOOGLETRANSLATE($A1811,""en"",""zh-cn"")"),"大阿克拉")</f>
        <v>大阿克拉</v>
      </c>
      <c r="H1811" s="9" t="str">
        <f>IFERROR(__xludf.DUMMYFUNCTION("GOOGLETRANSLATE($A1811,""en"",""ja"")"),"グレーター・アクラ")</f>
        <v>グレーター・アクラ</v>
      </c>
      <c r="I1811" s="9" t="str">
        <f>IFERROR(__xludf.DUMMYFUNCTION("GOOGLETRANSLATE($A1811,""en"",""ko"")"),"그레이터 아크라")</f>
        <v>그레이터 아크라</v>
      </c>
      <c r="J1811" s="9" t="str">
        <f>IFERROR(__xludf.DUMMYFUNCTION("GOOGLETRANSLATE($A1811,""en"",""pt-BR"")"),"Grande Acra")</f>
        <v>Grande Acra</v>
      </c>
    </row>
    <row r="1812">
      <c r="A1812" s="9" t="str">
        <f>IFERROR(__xludf.DUMMYFUNCTION("""COMPUTED_VALUE"""),"Central (GH)")</f>
        <v>Central (GH)</v>
      </c>
      <c r="B1812" s="9" t="str">
        <f>IFERROR(__xludf.DUMMYFUNCTION("""COMPUTED_VALUE"""),"gh-cp")</f>
        <v>gh-cp</v>
      </c>
      <c r="C1812" s="9" t="str">
        <f>IFERROR(__xludf.DUMMYFUNCTION("GOOGLETRANSLATE($A1812,""en"",""de"")"),"Zentral (GH)")</f>
        <v>Zentral (GH)</v>
      </c>
      <c r="D1812" s="9" t="str">
        <f>IFERROR(__xludf.DUMMYFUNCTION("GOOGLETRANSLATE($A1812,""en"",""fr"")"),"Centrale (GH)")</f>
        <v>Centrale (GH)</v>
      </c>
      <c r="E1812" s="9" t="str">
        <f>IFERROR(__xludf.DUMMYFUNCTION("GOOGLETRANSLATE($A1812,""en"",""es"")"),"Centro (GH)")</f>
        <v>Centro (GH)</v>
      </c>
      <c r="F1812" s="9" t="str">
        <f>IFERROR(__xludf.DUMMYFUNCTION("GOOGLETRANSLATE($A1812,""en"",""it"")"),"Centrale (GH)")</f>
        <v>Centrale (GH)</v>
      </c>
      <c r="G1812" s="9" t="str">
        <f>IFERROR(__xludf.DUMMYFUNCTION("GOOGLETRANSLATE($A1812,""en"",""zh-cn"")"),"中环 (GH)")</f>
        <v>中环 (GH)</v>
      </c>
      <c r="H1812" s="9" t="str">
        <f>IFERROR(__xludf.DUMMYFUNCTION("GOOGLETRANSLATE($A1812,""en"",""ja"")"),"セントラル (GH)")</f>
        <v>セントラル (GH)</v>
      </c>
      <c r="I1812" s="9" t="str">
        <f>IFERROR(__xludf.DUMMYFUNCTION("GOOGLETRANSLATE($A1812,""en"",""ko"")"),"센트럴(GH)")</f>
        <v>센트럴(GH)</v>
      </c>
      <c r="J1812" s="9" t="str">
        <f>IFERROR(__xludf.DUMMYFUNCTION("GOOGLETRANSLATE($A1812,""en"",""pt-BR"")"),"Central (GH)")</f>
        <v>Central (GH)</v>
      </c>
    </row>
    <row r="1813">
      <c r="A1813" s="9" t="str">
        <f>IFERROR(__xludf.DUMMYFUNCTION("""COMPUTED_VALUE"""),"Bono")</f>
        <v>Bono</v>
      </c>
      <c r="B1813" s="9" t="str">
        <f>IFERROR(__xludf.DUMMYFUNCTION("""COMPUTED_VALUE"""),"gh-bo")</f>
        <v>gh-bo</v>
      </c>
      <c r="C1813" s="9" t="str">
        <f>IFERROR(__xludf.DUMMYFUNCTION("GOOGLETRANSLATE($A1813,""en"",""de"")"),"Bono")</f>
        <v>Bono</v>
      </c>
      <c r="D1813" s="9" t="str">
        <f>IFERROR(__xludf.DUMMYFUNCTION("GOOGLETRANSLATE($A1813,""en"",""fr"")"),"Bono")</f>
        <v>Bono</v>
      </c>
      <c r="E1813" s="9" t="str">
        <f>IFERROR(__xludf.DUMMYFUNCTION("GOOGLETRANSLATE($A1813,""en"",""es"")"),"bono")</f>
        <v>bono</v>
      </c>
      <c r="F1813" s="9" t="str">
        <f>IFERROR(__xludf.DUMMYFUNCTION("GOOGLETRANSLATE($A1813,""en"",""it"")"),"Buono")</f>
        <v>Buono</v>
      </c>
      <c r="G1813" s="9" t="str">
        <f>IFERROR(__xludf.DUMMYFUNCTION("GOOGLETRANSLATE($A1813,""en"",""zh-cn"")"),"波诺")</f>
        <v>波诺</v>
      </c>
      <c r="H1813" s="9" t="str">
        <f>IFERROR(__xludf.DUMMYFUNCTION("GOOGLETRANSLATE($A1813,""en"",""ja"")"),"ボノ")</f>
        <v>ボノ</v>
      </c>
      <c r="I1813" s="9" t="str">
        <f>IFERROR(__xludf.DUMMYFUNCTION("GOOGLETRANSLATE($A1813,""en"",""ko"")"),"보노")</f>
        <v>보노</v>
      </c>
      <c r="J1813" s="9" t="str">
        <f>IFERROR(__xludf.DUMMYFUNCTION("GOOGLETRANSLATE($A1813,""en"",""pt-BR"")"),"Bono")</f>
        <v>Bono</v>
      </c>
    </row>
    <row r="1814">
      <c r="A1814" s="9" t="str">
        <f>IFERROR(__xludf.DUMMYFUNCTION("""COMPUTED_VALUE"""),"North East (GH)")</f>
        <v>North East (GH)</v>
      </c>
      <c r="B1814" s="9" t="str">
        <f>IFERROR(__xludf.DUMMYFUNCTION("""COMPUTED_VALUE"""),"gh-ne")</f>
        <v>gh-ne</v>
      </c>
      <c r="C1814" s="9" t="str">
        <f>IFERROR(__xludf.DUMMYFUNCTION("GOOGLETRANSLATE($A1814,""en"",""de"")"),"Nordosten (GH)")</f>
        <v>Nordosten (GH)</v>
      </c>
      <c r="D1814" s="9" t="str">
        <f>IFERROR(__xludf.DUMMYFUNCTION("GOOGLETRANSLATE($A1814,""en"",""fr"")"),"Nord-Est (GH)")</f>
        <v>Nord-Est (GH)</v>
      </c>
      <c r="E1814" s="9" t="str">
        <f>IFERROR(__xludf.DUMMYFUNCTION("GOOGLETRANSLATE($A1814,""en"",""es"")"),"Noreste (GH)")</f>
        <v>Noreste (GH)</v>
      </c>
      <c r="F1814" s="9" t="str">
        <f>IFERROR(__xludf.DUMMYFUNCTION("GOOGLETRANSLATE($A1814,""en"",""it"")"),"Nord Est (GH)")</f>
        <v>Nord Est (GH)</v>
      </c>
      <c r="G1814" s="9" t="str">
        <f>IFERROR(__xludf.DUMMYFUNCTION("GOOGLETRANSLATE($A1814,""en"",""zh-cn"")"),"东北部 (GH)")</f>
        <v>东北部 (GH)</v>
      </c>
      <c r="H1814" s="9" t="str">
        <f>IFERROR(__xludf.DUMMYFUNCTION("GOOGLETRANSLATE($A1814,""en"",""ja"")"),"ノースイースト (GH)")</f>
        <v>ノースイースト (GH)</v>
      </c>
      <c r="I1814" s="9" t="str">
        <f>IFERROR(__xludf.DUMMYFUNCTION("GOOGLETRANSLATE($A1814,""en"",""ko"")"),"노스 이스트(GH)")</f>
        <v>노스 이스트(GH)</v>
      </c>
      <c r="J1814" s="9" t="str">
        <f>IFERROR(__xludf.DUMMYFUNCTION("GOOGLETRANSLATE($A1814,""en"",""pt-BR"")"),"Nordeste (GH)")</f>
        <v>Nordeste (GH)</v>
      </c>
    </row>
    <row r="1815">
      <c r="A1815" s="9" t="str">
        <f>IFERROR(__xludf.DUMMYFUNCTION("""COMPUTED_VALUE"""),"Oti")</f>
        <v>Oti</v>
      </c>
      <c r="B1815" s="9" t="str">
        <f>IFERROR(__xludf.DUMMYFUNCTION("""COMPUTED_VALUE"""),"gh-ot")</f>
        <v>gh-ot</v>
      </c>
      <c r="C1815" s="9" t="str">
        <f>IFERROR(__xludf.DUMMYFUNCTION("GOOGLETRANSLATE($A1815,""en"",""de"")"),"Oti")</f>
        <v>Oti</v>
      </c>
      <c r="D1815" s="9" t="str">
        <f>IFERROR(__xludf.DUMMYFUNCTION("GOOGLETRANSLATE($A1815,""en"",""fr"")"),"Oti")</f>
        <v>Oti</v>
      </c>
      <c r="E1815" s="9" t="str">
        <f>IFERROR(__xludf.DUMMYFUNCTION("GOOGLETRANSLATE($A1815,""en"",""es"")"),"otí")</f>
        <v>otí</v>
      </c>
      <c r="F1815" s="9" t="str">
        <f>IFERROR(__xludf.DUMMYFUNCTION("GOOGLETRANSLATE($A1815,""en"",""it"")"),"Oti")</f>
        <v>Oti</v>
      </c>
      <c r="G1815" s="9" t="str">
        <f>IFERROR(__xludf.DUMMYFUNCTION("GOOGLETRANSLATE($A1815,""en"",""zh-cn"")"),"奥蒂")</f>
        <v>奥蒂</v>
      </c>
      <c r="H1815" s="9" t="str">
        <f>IFERROR(__xludf.DUMMYFUNCTION("GOOGLETRANSLATE($A1815,""en"",""ja"")"),"オーティ")</f>
        <v>オーティ</v>
      </c>
      <c r="I1815" s="9" t="str">
        <f>IFERROR(__xludf.DUMMYFUNCTION("GOOGLETRANSLATE($A1815,""en"",""ko"")"),"오티")</f>
        <v>오티</v>
      </c>
      <c r="J1815" s="9" t="str">
        <f>IFERROR(__xludf.DUMMYFUNCTION("GOOGLETRANSLATE($A1815,""en"",""pt-BR"")"),"Oti")</f>
        <v>Oti</v>
      </c>
    </row>
    <row r="1816">
      <c r="A1816" s="9" t="str">
        <f>IFERROR(__xludf.DUMMYFUNCTION("""COMPUTED_VALUE"""),"Savannah")</f>
        <v>Savannah</v>
      </c>
      <c r="B1816" s="9" t="str">
        <f>IFERROR(__xludf.DUMMYFUNCTION("""COMPUTED_VALUE"""),"gh-sv")</f>
        <v>gh-sv</v>
      </c>
      <c r="C1816" s="9" t="str">
        <f>IFERROR(__xludf.DUMMYFUNCTION("GOOGLETRANSLATE($A1816,""en"",""de"")"),"Savanne")</f>
        <v>Savanne</v>
      </c>
      <c r="D1816" s="9" t="str">
        <f>IFERROR(__xludf.DUMMYFUNCTION("GOOGLETRANSLATE($A1816,""en"",""fr"")"),"Savane")</f>
        <v>Savane</v>
      </c>
      <c r="E1816" s="9" t="str">
        <f>IFERROR(__xludf.DUMMYFUNCTION("GOOGLETRANSLATE($A1816,""en"",""es"")"),"Sabana")</f>
        <v>Sabana</v>
      </c>
      <c r="F1816" s="9" t="str">
        <f>IFERROR(__xludf.DUMMYFUNCTION("GOOGLETRANSLATE($A1816,""en"",""it"")"),"Savana")</f>
        <v>Savana</v>
      </c>
      <c r="G1816" s="9" t="str">
        <f>IFERROR(__xludf.DUMMYFUNCTION("GOOGLETRANSLATE($A1816,""en"",""zh-cn"")"),"萨凡纳")</f>
        <v>萨凡纳</v>
      </c>
      <c r="H1816" s="9" t="str">
        <f>IFERROR(__xludf.DUMMYFUNCTION("GOOGLETRANSLATE($A1816,""en"",""ja"")"),"サバンナ")</f>
        <v>サバンナ</v>
      </c>
      <c r="I1816" s="9" t="str">
        <f>IFERROR(__xludf.DUMMYFUNCTION("GOOGLETRANSLATE($A1816,""en"",""ko"")"),"사바나")</f>
        <v>사바나</v>
      </c>
      <c r="J1816" s="9" t="str">
        <f>IFERROR(__xludf.DUMMYFUNCTION("GOOGLETRANSLATE($A1816,""en"",""pt-BR"")"),"Savana")</f>
        <v>Savana</v>
      </c>
    </row>
    <row r="1817">
      <c r="A1817" s="9" t="str">
        <f>IFERROR(__xludf.DUMMYFUNCTION("""COMPUTED_VALUE"""),"Upper East")</f>
        <v>Upper East</v>
      </c>
      <c r="B1817" s="9" t="str">
        <f>IFERROR(__xludf.DUMMYFUNCTION("""COMPUTED_VALUE"""),"gh-ue")</f>
        <v>gh-ue</v>
      </c>
      <c r="C1817" s="9" t="str">
        <f>IFERROR(__xludf.DUMMYFUNCTION("GOOGLETRANSLATE($A1817,""en"",""de"")"),"Oberer Osten")</f>
        <v>Oberer Osten</v>
      </c>
      <c r="D1817" s="9" t="str">
        <f>IFERROR(__xludf.DUMMYFUNCTION("GOOGLETRANSLATE($A1817,""en"",""fr"")"),"Haut-Est")</f>
        <v>Haut-Est</v>
      </c>
      <c r="E1817" s="9" t="str">
        <f>IFERROR(__xludf.DUMMYFUNCTION("GOOGLETRANSLATE($A1817,""en"",""es"")"),"Alto Este")</f>
        <v>Alto Este</v>
      </c>
      <c r="F1817" s="9" t="str">
        <f>IFERROR(__xludf.DUMMYFUNCTION("GOOGLETRANSLATE($A1817,""en"",""it"")"),"Alto Oriente")</f>
        <v>Alto Oriente</v>
      </c>
      <c r="G1817" s="9" t="str">
        <f>IFERROR(__xludf.DUMMYFUNCTION("GOOGLETRANSLATE($A1817,""en"",""zh-cn"")"),"上东区")</f>
        <v>上东区</v>
      </c>
      <c r="H1817" s="9" t="str">
        <f>IFERROR(__xludf.DUMMYFUNCTION("GOOGLETRANSLATE($A1817,""en"",""ja"")"),"アッパー・イースト")</f>
        <v>アッパー・イースト</v>
      </c>
      <c r="I1817" s="9" t="str">
        <f>IFERROR(__xludf.DUMMYFUNCTION("GOOGLETRANSLATE($A1817,""en"",""ko"")"),"어퍼 이스트")</f>
        <v>어퍼 이스트</v>
      </c>
      <c r="J1817" s="9" t="str">
        <f>IFERROR(__xludf.DUMMYFUNCTION("GOOGLETRANSLATE($A1817,""en"",""pt-BR"")"),"Alto Leste")</f>
        <v>Alto Leste</v>
      </c>
    </row>
    <row r="1818">
      <c r="A1818" s="9" t="str">
        <f>IFERROR(__xludf.DUMMYFUNCTION("""COMPUTED_VALUE"""),"Western North")</f>
        <v>Western North</v>
      </c>
      <c r="B1818" s="9" t="str">
        <f>IFERROR(__xludf.DUMMYFUNCTION("""COMPUTED_VALUE"""),"gh-wn")</f>
        <v>gh-wn</v>
      </c>
      <c r="C1818" s="9" t="str">
        <f>IFERROR(__xludf.DUMMYFUNCTION("GOOGLETRANSLATE($A1818,""en"",""de"")"),"Westlicher Norden")</f>
        <v>Westlicher Norden</v>
      </c>
      <c r="D1818" s="9" t="str">
        <f>IFERROR(__xludf.DUMMYFUNCTION("GOOGLETRANSLATE($A1818,""en"",""fr"")"),"Nord ouest")</f>
        <v>Nord ouest</v>
      </c>
      <c r="E1818" s="9" t="str">
        <f>IFERROR(__xludf.DUMMYFUNCTION("GOOGLETRANSLATE($A1818,""en"",""es"")"),"Norte occidental")</f>
        <v>Norte occidental</v>
      </c>
      <c r="F1818" s="9" t="str">
        <f>IFERROR(__xludf.DUMMYFUNCTION("GOOGLETRANSLATE($A1818,""en"",""it"")"),"Nord occidentale")</f>
        <v>Nord occidentale</v>
      </c>
      <c r="G1818" s="9" t="str">
        <f>IFERROR(__xludf.DUMMYFUNCTION("GOOGLETRANSLATE($A1818,""en"",""zh-cn"")"),"西北部")</f>
        <v>西北部</v>
      </c>
      <c r="H1818" s="9" t="str">
        <f>IFERROR(__xludf.DUMMYFUNCTION("GOOGLETRANSLATE($A1818,""en"",""ja"")"),"西北")</f>
        <v>西北</v>
      </c>
      <c r="I1818" s="9" t="str">
        <f>IFERROR(__xludf.DUMMYFUNCTION("GOOGLETRANSLATE($A1818,""en"",""ko"")"),"서부 북부")</f>
        <v>서부 북부</v>
      </c>
      <c r="J1818" s="9" t="str">
        <f>IFERROR(__xludf.DUMMYFUNCTION("GOOGLETRANSLATE($A1818,""en"",""pt-BR"")"),"Oeste Norte")</f>
        <v>Oeste Norte</v>
      </c>
    </row>
    <row r="1819">
      <c r="A1819" s="9" t="str">
        <f>IFERROR(__xludf.DUMMYFUNCTION("""COMPUTED_VALUE"""),"Ahafo")</f>
        <v>Ahafo</v>
      </c>
      <c r="B1819" s="9" t="str">
        <f>IFERROR(__xludf.DUMMYFUNCTION("""COMPUTED_VALUE"""),"gh-af")</f>
        <v>gh-af</v>
      </c>
      <c r="C1819" s="9" t="str">
        <f>IFERROR(__xludf.DUMMYFUNCTION("GOOGLETRANSLATE($A1819,""en"",""de"")"),"Ahafo")</f>
        <v>Ahafo</v>
      </c>
      <c r="D1819" s="9" t="str">
        <f>IFERROR(__xludf.DUMMYFUNCTION("GOOGLETRANSLATE($A1819,""en"",""fr"")"),"Ahafo")</f>
        <v>Ahafo</v>
      </c>
      <c r="E1819" s="9" t="str">
        <f>IFERROR(__xludf.DUMMYFUNCTION("GOOGLETRANSLATE($A1819,""en"",""es"")"),"Ahafo")</f>
        <v>Ahafo</v>
      </c>
      <c r="F1819" s="9" t="str">
        <f>IFERROR(__xludf.DUMMYFUNCTION("GOOGLETRANSLATE($A1819,""en"",""it"")"),"Ahafo")</f>
        <v>Ahafo</v>
      </c>
      <c r="G1819" s="9" t="str">
        <f>IFERROR(__xludf.DUMMYFUNCTION("GOOGLETRANSLATE($A1819,""en"",""zh-cn"")"),"阿哈福")</f>
        <v>阿哈福</v>
      </c>
      <c r="H1819" s="9" t="str">
        <f>IFERROR(__xludf.DUMMYFUNCTION("GOOGLETRANSLATE($A1819,""en"",""ja"")"),"アハフォ")</f>
        <v>アハフォ</v>
      </c>
      <c r="I1819" s="9" t="str">
        <f>IFERROR(__xludf.DUMMYFUNCTION("GOOGLETRANSLATE($A1819,""en"",""ko"")"),"아하포")</f>
        <v>아하포</v>
      </c>
      <c r="J1819" s="9" t="str">
        <f>IFERROR(__xludf.DUMMYFUNCTION("GOOGLETRANSLATE($A1819,""en"",""pt-BR"")"),"Ahafo")</f>
        <v>Ahafo</v>
      </c>
    </row>
    <row r="1820">
      <c r="A1820" s="9" t="str">
        <f>IFERROR(__xludf.DUMMYFUNCTION("""COMPUTED_VALUE"""),"Bono East")</f>
        <v>Bono East</v>
      </c>
      <c r="B1820" s="9" t="str">
        <f>IFERROR(__xludf.DUMMYFUNCTION("""COMPUTED_VALUE"""),"gh-be")</f>
        <v>gh-be</v>
      </c>
      <c r="C1820" s="9" t="str">
        <f>IFERROR(__xludf.DUMMYFUNCTION("GOOGLETRANSLATE($A1820,""en"",""de"")"),"Bono Ost")</f>
        <v>Bono Ost</v>
      </c>
      <c r="D1820" s="9" t="str">
        <f>IFERROR(__xludf.DUMMYFUNCTION("GOOGLETRANSLATE($A1820,""en"",""fr"")"),"Bono Est")</f>
        <v>Bono Est</v>
      </c>
      <c r="E1820" s="9" t="str">
        <f>IFERROR(__xludf.DUMMYFUNCTION("GOOGLETRANSLATE($A1820,""en"",""es"")"),"Bono Este")</f>
        <v>Bono Este</v>
      </c>
      <c r="F1820" s="9" t="str">
        <f>IFERROR(__xludf.DUMMYFUNCTION("GOOGLETRANSLATE($A1820,""en"",""it"")"),"Bono Est")</f>
        <v>Bono Est</v>
      </c>
      <c r="G1820" s="9" t="str">
        <f>IFERROR(__xludf.DUMMYFUNCTION("GOOGLETRANSLATE($A1820,""en"",""zh-cn"")"),"波诺东")</f>
        <v>波诺东</v>
      </c>
      <c r="H1820" s="9" t="str">
        <f>IFERROR(__xludf.DUMMYFUNCTION("GOOGLETRANSLATE($A1820,""en"",""ja"")"),"ボノ・イースト")</f>
        <v>ボノ・イースト</v>
      </c>
      <c r="I1820" s="9" t="str">
        <f>IFERROR(__xludf.DUMMYFUNCTION("GOOGLETRANSLATE($A1820,""en"",""ko"")"),"보노 이스트")</f>
        <v>보노 이스트</v>
      </c>
      <c r="J1820" s="9" t="str">
        <f>IFERROR(__xludf.DUMMYFUNCTION("GOOGLETRANSLATE($A1820,""en"",""pt-BR"")"),"Bono Leste")</f>
        <v>Bono Leste</v>
      </c>
    </row>
    <row r="1821">
      <c r="A1821" s="9" t="str">
        <f>IFERROR(__xludf.DUMMYFUNCTION("""COMPUTED_VALUE"""),"Western (GH)")</f>
        <v>Western (GH)</v>
      </c>
      <c r="B1821" s="9" t="str">
        <f>IFERROR(__xludf.DUMMYFUNCTION("""COMPUTED_VALUE"""),"gh-wp")</f>
        <v>gh-wp</v>
      </c>
      <c r="C1821" s="9" t="str">
        <f>IFERROR(__xludf.DUMMYFUNCTION("GOOGLETRANSLATE($A1821,""en"",""de"")"),"Western (GH)")</f>
        <v>Western (GH)</v>
      </c>
      <c r="D1821" s="9" t="str">
        <f>IFERROR(__xludf.DUMMYFUNCTION("GOOGLETRANSLATE($A1821,""en"",""fr"")"),"Ouest (GH)")</f>
        <v>Ouest (GH)</v>
      </c>
      <c r="E1821" s="9" t="str">
        <f>IFERROR(__xludf.DUMMYFUNCTION("GOOGLETRANSLATE($A1821,""en"",""es"")"),"Occidental (GH)")</f>
        <v>Occidental (GH)</v>
      </c>
      <c r="F1821" s="9" t="str">
        <f>IFERROR(__xludf.DUMMYFUNCTION("GOOGLETRANSLATE($A1821,""en"",""it"")"),"Occidentale (GH)")</f>
        <v>Occidentale (GH)</v>
      </c>
      <c r="G1821" s="9" t="str">
        <f>IFERROR(__xludf.DUMMYFUNCTION("GOOGLETRANSLATE($A1821,""en"",""zh-cn"")"),"西部 (GH)")</f>
        <v>西部 (GH)</v>
      </c>
      <c r="H1821" s="9" t="str">
        <f>IFERROR(__xludf.DUMMYFUNCTION("GOOGLETRANSLATE($A1821,""en"",""ja"")"),"西部 (GH)")</f>
        <v>西部 (GH)</v>
      </c>
      <c r="I1821" s="9" t="str">
        <f>IFERROR(__xludf.DUMMYFUNCTION("GOOGLETRANSLATE($A1821,""en"",""ko"")"),"서부(GH)")</f>
        <v>서부(GH)</v>
      </c>
      <c r="J1821" s="9" t="str">
        <f>IFERROR(__xludf.DUMMYFUNCTION("GOOGLETRANSLATE($A1821,""en"",""pt-BR"")"),"Ocidental (GH)")</f>
        <v>Ocidental (GH)</v>
      </c>
    </row>
    <row r="1822">
      <c r="A1822" s="9" t="str">
        <f>IFERROR(__xludf.DUMMYFUNCTION("""COMPUTED_VALUE"""),"Eastern (GH)")</f>
        <v>Eastern (GH)</v>
      </c>
      <c r="B1822" s="9" t="str">
        <f>IFERROR(__xludf.DUMMYFUNCTION("""COMPUTED_VALUE"""),"gh-ep")</f>
        <v>gh-ep</v>
      </c>
      <c r="C1822" s="9" t="str">
        <f>IFERROR(__xludf.DUMMYFUNCTION("GOOGLETRANSLATE($A1822,""en"",""de"")"),"Osten (GH)")</f>
        <v>Osten (GH)</v>
      </c>
      <c r="D1822" s="9" t="str">
        <f>IFERROR(__xludf.DUMMYFUNCTION("GOOGLETRANSLATE($A1822,""en"",""fr"")"),"Est (GH)")</f>
        <v>Est (GH)</v>
      </c>
      <c r="E1822" s="9" t="str">
        <f>IFERROR(__xludf.DUMMYFUNCTION("GOOGLETRANSLATE($A1822,""en"",""es"")"),"Este (GH)")</f>
        <v>Este (GH)</v>
      </c>
      <c r="F1822" s="9" t="str">
        <f>IFERROR(__xludf.DUMMYFUNCTION("GOOGLETRANSLATE($A1822,""en"",""it"")"),"Orientale (GH)")</f>
        <v>Orientale (GH)</v>
      </c>
      <c r="G1822" s="9" t="str">
        <f>IFERROR(__xludf.DUMMYFUNCTION("GOOGLETRANSLATE($A1822,""en"",""zh-cn"")"),"东部 (GH)")</f>
        <v>东部 (GH)</v>
      </c>
      <c r="H1822" s="9" t="str">
        <f>IFERROR(__xludf.DUMMYFUNCTION("GOOGLETRANSLATE($A1822,""en"",""ja"")"),"東部 (GH)")</f>
        <v>東部 (GH)</v>
      </c>
      <c r="I1822" s="9" t="str">
        <f>IFERROR(__xludf.DUMMYFUNCTION("GOOGLETRANSLATE($A1822,""en"",""ko"")"),"동부(GH)")</f>
        <v>동부(GH)</v>
      </c>
      <c r="J1822" s="9" t="str">
        <f>IFERROR(__xludf.DUMMYFUNCTION("GOOGLETRANSLATE($A1822,""en"",""pt-BR"")"),"Leste (GH)")</f>
        <v>Leste (GH)</v>
      </c>
    </row>
    <row r="1823">
      <c r="A1823" s="9" t="str">
        <f>IFERROR(__xludf.DUMMYFUNCTION("""COMPUTED_VALUE"""),"Volta")</f>
        <v>Volta</v>
      </c>
      <c r="B1823" s="9" t="str">
        <f>IFERROR(__xludf.DUMMYFUNCTION("""COMPUTED_VALUE"""),"gh-tv")</f>
        <v>gh-tv</v>
      </c>
      <c r="C1823" s="9" t="str">
        <f>IFERROR(__xludf.DUMMYFUNCTION("GOOGLETRANSLATE($A1823,""en"",""de"")"),"Volta")</f>
        <v>Volta</v>
      </c>
      <c r="D1823" s="9" t="str">
        <f>IFERROR(__xludf.DUMMYFUNCTION("GOOGLETRANSLATE($A1823,""en"",""fr"")"),"Volta")</f>
        <v>Volta</v>
      </c>
      <c r="E1823" s="9" t="str">
        <f>IFERROR(__xludf.DUMMYFUNCTION("GOOGLETRANSLATE($A1823,""en"",""es"")"),"Volta")</f>
        <v>Volta</v>
      </c>
      <c r="F1823" s="9" t="str">
        <f>IFERROR(__xludf.DUMMYFUNCTION("GOOGLETRANSLATE($A1823,""en"",""it"")"),"Volta")</f>
        <v>Volta</v>
      </c>
      <c r="G1823" s="9" t="str">
        <f>IFERROR(__xludf.DUMMYFUNCTION("GOOGLETRANSLATE($A1823,""en"",""zh-cn"")"),"沃尔特")</f>
        <v>沃尔特</v>
      </c>
      <c r="H1823" s="9" t="str">
        <f>IFERROR(__xludf.DUMMYFUNCTION("GOOGLETRANSLATE($A1823,""en"",""ja"")"),"ボルタ")</f>
        <v>ボルタ</v>
      </c>
      <c r="I1823" s="9" t="str">
        <f>IFERROR(__xludf.DUMMYFUNCTION("GOOGLETRANSLATE($A1823,""en"",""ko"")"),"볼타")</f>
        <v>볼타</v>
      </c>
      <c r="J1823" s="9" t="str">
        <f>IFERROR(__xludf.DUMMYFUNCTION("GOOGLETRANSLATE($A1823,""en"",""pt-BR"")"),"Volta")</f>
        <v>Volta</v>
      </c>
    </row>
    <row r="1824">
      <c r="A1824" s="9" t="str">
        <f>IFERROR(__xludf.DUMMYFUNCTION("""COMPUTED_VALUE"""),"Brong-Ahafo")</f>
        <v>Brong-Ahafo</v>
      </c>
      <c r="B1824" s="9" t="str">
        <f>IFERROR(__xludf.DUMMYFUNCTION("""COMPUTED_VALUE"""),"gh-ba")</f>
        <v>gh-ba</v>
      </c>
      <c r="C1824" s="9" t="str">
        <f>IFERROR(__xludf.DUMMYFUNCTION("GOOGLETRANSLATE($A1824,""en"",""de"")"),"Brong-Ahafo")</f>
        <v>Brong-Ahafo</v>
      </c>
      <c r="D1824" s="9" t="str">
        <f>IFERROR(__xludf.DUMMYFUNCTION("GOOGLETRANSLATE($A1824,""en"",""fr"")"),"Brong Ahafo")</f>
        <v>Brong Ahafo</v>
      </c>
      <c r="E1824" s="9" t="str">
        <f>IFERROR(__xludf.DUMMYFUNCTION("GOOGLETRANSLATE($A1824,""en"",""es"")"),"Brong-Ahafo")</f>
        <v>Brong-Ahafo</v>
      </c>
      <c r="F1824" s="9" t="str">
        <f>IFERROR(__xludf.DUMMYFUNCTION("GOOGLETRANSLATE($A1824,""en"",""it"")"),"Brong-Ahafo")</f>
        <v>Brong-Ahafo</v>
      </c>
      <c r="G1824" s="9" t="str">
        <f>IFERROR(__xludf.DUMMYFUNCTION("GOOGLETRANSLATE($A1824,""en"",""zh-cn"")"),"布朗-阿哈福")</f>
        <v>布朗-阿哈福</v>
      </c>
      <c r="H1824" s="9" t="str">
        <f>IFERROR(__xludf.DUMMYFUNCTION("GOOGLETRANSLATE($A1824,""en"",""ja"")"),"ブロン・アハフォ")</f>
        <v>ブロン・アハフォ</v>
      </c>
      <c r="I1824" s="9" t="str">
        <f>IFERROR(__xludf.DUMMYFUNCTION("GOOGLETRANSLATE($A1824,""en"",""ko"")"),"브롱아하포")</f>
        <v>브롱아하포</v>
      </c>
      <c r="J1824" s="9" t="str">
        <f>IFERROR(__xludf.DUMMYFUNCTION("GOOGLETRANSLATE($A1824,""en"",""pt-BR"")"),"Brong-Ahafo")</f>
        <v>Brong-Ahafo</v>
      </c>
    </row>
    <row r="1825">
      <c r="A1825" s="9" t="str">
        <f>IFERROR(__xludf.DUMMYFUNCTION("""COMPUTED_VALUE"""),"Northern (GH)")</f>
        <v>Northern (GH)</v>
      </c>
      <c r="B1825" s="9" t="str">
        <f>IFERROR(__xludf.DUMMYFUNCTION("""COMPUTED_VALUE"""),"gh-np")</f>
        <v>gh-np</v>
      </c>
      <c r="C1825" s="9" t="str">
        <f>IFERROR(__xludf.DUMMYFUNCTION("GOOGLETRANSLATE($A1825,""en"",""de"")"),"Nord (GH)")</f>
        <v>Nord (GH)</v>
      </c>
      <c r="D1825" s="9" t="str">
        <f>IFERROR(__xludf.DUMMYFUNCTION("GOOGLETRANSLATE($A1825,""en"",""fr"")"),"Nord (GH)")</f>
        <v>Nord (GH)</v>
      </c>
      <c r="E1825" s="9" t="str">
        <f>IFERROR(__xludf.DUMMYFUNCTION("GOOGLETRANSLATE($A1825,""en"",""es"")"),"Norte (GH)")</f>
        <v>Norte (GH)</v>
      </c>
      <c r="F1825" s="9" t="str">
        <f>IFERROR(__xludf.DUMMYFUNCTION("GOOGLETRANSLATE($A1825,""en"",""it"")"),"Nord (GH)")</f>
        <v>Nord (GH)</v>
      </c>
      <c r="G1825" s="9" t="str">
        <f>IFERROR(__xludf.DUMMYFUNCTION("GOOGLETRANSLATE($A1825,""en"",""zh-cn"")"),"北部 (GH)")</f>
        <v>北部 (GH)</v>
      </c>
      <c r="H1825" s="9" t="str">
        <f>IFERROR(__xludf.DUMMYFUNCTION("GOOGLETRANSLATE($A1825,""en"",""ja"")"),"北部 (GH)")</f>
        <v>北部 (GH)</v>
      </c>
      <c r="I1825" s="9" t="str">
        <f>IFERROR(__xludf.DUMMYFUNCTION("GOOGLETRANSLATE($A1825,""en"",""ko"")"),"북부(GH)")</f>
        <v>북부(GH)</v>
      </c>
      <c r="J1825" s="9" t="str">
        <f>IFERROR(__xludf.DUMMYFUNCTION("GOOGLETRANSLATE($A1825,""en"",""pt-BR"")"),"Norte (GH)")</f>
        <v>Norte (GH)</v>
      </c>
    </row>
    <row r="1826">
      <c r="A1826" s="9" t="str">
        <f>IFERROR(__xludf.DUMMYFUNCTION("""COMPUTED_VALUE"""),"Voiotia")</f>
        <v>Voiotia</v>
      </c>
      <c r="B1826" s="9" t="str">
        <f>IFERROR(__xludf.DUMMYFUNCTION("""COMPUTED_VALUE"""),"gr-03")</f>
        <v>gr-03</v>
      </c>
      <c r="C1826" s="9" t="str">
        <f>IFERROR(__xludf.DUMMYFUNCTION("GOOGLETRANSLATE($A1826,""en"",""de"")"),"Voiotia")</f>
        <v>Voiotia</v>
      </c>
      <c r="D1826" s="9" t="str">
        <f>IFERROR(__xludf.DUMMYFUNCTION("GOOGLETRANSLATE($A1826,""en"",""fr"")"),"Voiotie")</f>
        <v>Voiotie</v>
      </c>
      <c r="E1826" s="9" t="str">
        <f>IFERROR(__xludf.DUMMYFUNCTION("GOOGLETRANSLATE($A1826,""en"",""es"")"),"Voiocia")</f>
        <v>Voiocia</v>
      </c>
      <c r="F1826" s="9" t="str">
        <f>IFERROR(__xludf.DUMMYFUNCTION("GOOGLETRANSLATE($A1826,""en"",""it"")"),"Voiozia")</f>
        <v>Voiozia</v>
      </c>
      <c r="G1826" s="9" t="str">
        <f>IFERROR(__xludf.DUMMYFUNCTION("GOOGLETRANSLATE($A1826,""en"",""zh-cn"")"),"沃伊奥蒂亚")</f>
        <v>沃伊奥蒂亚</v>
      </c>
      <c r="H1826" s="9" t="str">
        <f>IFERROR(__xludf.DUMMYFUNCTION("GOOGLETRANSLATE($A1826,""en"",""ja"")"),"ヴォイオティア")</f>
        <v>ヴォイオティア</v>
      </c>
      <c r="I1826" s="9" t="str">
        <f>IFERROR(__xludf.DUMMYFUNCTION("GOOGLETRANSLATE($A1826,""en"",""ko"")"),"보이오티아")</f>
        <v>보이오티아</v>
      </c>
      <c r="J1826" s="9" t="str">
        <f>IFERROR(__xludf.DUMMYFUNCTION("GOOGLETRANSLATE($A1826,""en"",""pt-BR"")"),"Voiotia")</f>
        <v>Voiotia</v>
      </c>
    </row>
    <row r="1827">
      <c r="A1827" s="9" t="str">
        <f>IFERROR(__xludf.DUMMYFUNCTION("""COMPUTED_VALUE"""),"Kavala")</f>
        <v>Kavala</v>
      </c>
      <c r="B1827" s="9" t="str">
        <f>IFERROR(__xludf.DUMMYFUNCTION("""COMPUTED_VALUE"""),"gr-55")</f>
        <v>gr-55</v>
      </c>
      <c r="C1827" s="9" t="str">
        <f>IFERROR(__xludf.DUMMYFUNCTION("GOOGLETRANSLATE($A1827,""en"",""de"")"),"Kavala")</f>
        <v>Kavala</v>
      </c>
      <c r="D1827" s="9" t="str">
        <f>IFERROR(__xludf.DUMMYFUNCTION("GOOGLETRANSLATE($A1827,""en"",""fr"")"),"Kavala")</f>
        <v>Kavala</v>
      </c>
      <c r="E1827" s="9" t="str">
        <f>IFERROR(__xludf.DUMMYFUNCTION("GOOGLETRANSLATE($A1827,""en"",""es"")"),"Kavála")</f>
        <v>Kavála</v>
      </c>
      <c r="F1827" s="9" t="str">
        <f>IFERROR(__xludf.DUMMYFUNCTION("GOOGLETRANSLATE($A1827,""en"",""it"")"),"Kavala")</f>
        <v>Kavala</v>
      </c>
      <c r="G1827" s="9" t="str">
        <f>IFERROR(__xludf.DUMMYFUNCTION("GOOGLETRANSLATE($A1827,""en"",""zh-cn"")"),"卡瓦拉")</f>
        <v>卡瓦拉</v>
      </c>
      <c r="H1827" s="9" t="str">
        <f>IFERROR(__xludf.DUMMYFUNCTION("GOOGLETRANSLATE($A1827,""en"",""ja"")"),"カバラ")</f>
        <v>カバラ</v>
      </c>
      <c r="I1827" s="9" t="str">
        <f>IFERROR(__xludf.DUMMYFUNCTION("GOOGLETRANSLATE($A1827,""en"",""ko"")"),"카발라")</f>
        <v>카발라</v>
      </c>
      <c r="J1827" s="9" t="str">
        <f>IFERROR(__xludf.DUMMYFUNCTION("GOOGLETRANSLATE($A1827,""en"",""pt-BR"")"),"Cavala")</f>
        <v>Cavala</v>
      </c>
    </row>
    <row r="1828">
      <c r="A1828" s="9" t="str">
        <f>IFERROR(__xludf.DUMMYFUNCTION("""COMPUTED_VALUE"""),"Lakonia")</f>
        <v>Lakonia</v>
      </c>
      <c r="B1828" s="9" t="str">
        <f>IFERROR(__xludf.DUMMYFUNCTION("""COMPUTED_VALUE"""),"gr-16")</f>
        <v>gr-16</v>
      </c>
      <c r="C1828" s="9" t="str">
        <f>IFERROR(__xludf.DUMMYFUNCTION("GOOGLETRANSLATE($A1828,""en"",""de"")"),"Lakonien")</f>
        <v>Lakonien</v>
      </c>
      <c r="D1828" s="9" t="str">
        <f>IFERROR(__xludf.DUMMYFUNCTION("GOOGLETRANSLATE($A1828,""en"",""fr"")"),"Laconie")</f>
        <v>Laconie</v>
      </c>
      <c r="E1828" s="9" t="str">
        <f>IFERROR(__xludf.DUMMYFUNCTION("GOOGLETRANSLATE($A1828,""en"",""es"")"),"Laconia")</f>
        <v>Laconia</v>
      </c>
      <c r="F1828" s="9" t="str">
        <f>IFERROR(__xludf.DUMMYFUNCTION("GOOGLETRANSLATE($A1828,""en"",""it"")"),"Laconia")</f>
        <v>Laconia</v>
      </c>
      <c r="G1828" s="9" t="str">
        <f>IFERROR(__xludf.DUMMYFUNCTION("GOOGLETRANSLATE($A1828,""en"",""zh-cn"")"),"拉科尼亚")</f>
        <v>拉科尼亚</v>
      </c>
      <c r="H1828" s="9" t="str">
        <f>IFERROR(__xludf.DUMMYFUNCTION("GOOGLETRANSLATE($A1828,""en"",""ja"")"),"ラコニア")</f>
        <v>ラコニア</v>
      </c>
      <c r="I1828" s="9" t="str">
        <f>IFERROR(__xludf.DUMMYFUNCTION("GOOGLETRANSLATE($A1828,""en"",""ko"")"),"라코니아")</f>
        <v>라코니아</v>
      </c>
      <c r="J1828" s="9" t="str">
        <f>IFERROR(__xludf.DUMMYFUNCTION("GOOGLETRANSLATE($A1828,""en"",""pt-BR"")"),"Lacônia")</f>
        <v>Lacônia</v>
      </c>
    </row>
    <row r="1829">
      <c r="A1829" s="9" t="str">
        <f>IFERROR(__xludf.DUMMYFUNCTION("""COMPUTED_VALUE"""),"Eastern Macedonia and Thrace")</f>
        <v>Eastern Macedonia and Thrace</v>
      </c>
      <c r="B1829" s="9" t="str">
        <f>IFERROR(__xludf.DUMMYFUNCTION("""COMPUTED_VALUE"""),"gr-a")</f>
        <v>gr-a</v>
      </c>
      <c r="C1829" s="9" t="str">
        <f>IFERROR(__xludf.DUMMYFUNCTION("GOOGLETRANSLATE($A1829,""en"",""de"")"),"Ostmakedonien und Thrakien")</f>
        <v>Ostmakedonien und Thrakien</v>
      </c>
      <c r="D1829" s="9" t="str">
        <f>IFERROR(__xludf.DUMMYFUNCTION("GOOGLETRANSLATE($A1829,""en"",""fr"")"),"Macédoine orientale et Thrace")</f>
        <v>Macédoine orientale et Thrace</v>
      </c>
      <c r="E1829" s="9" t="str">
        <f>IFERROR(__xludf.DUMMYFUNCTION("GOOGLETRANSLATE($A1829,""en"",""es"")"),"Macedonia Oriental y Tracia")</f>
        <v>Macedonia Oriental y Tracia</v>
      </c>
      <c r="F1829" s="9" t="str">
        <f>IFERROR(__xludf.DUMMYFUNCTION("GOOGLETRANSLATE($A1829,""en"",""it"")"),"Macedonia Orientale e Tracia")</f>
        <v>Macedonia Orientale e Tracia</v>
      </c>
      <c r="G1829" s="9" t="str">
        <f>IFERROR(__xludf.DUMMYFUNCTION("GOOGLETRANSLATE($A1829,""en"",""zh-cn"")"),"东马其顿和色雷斯")</f>
        <v>东马其顿和色雷斯</v>
      </c>
      <c r="H1829" s="9" t="str">
        <f>IFERROR(__xludf.DUMMYFUNCTION("GOOGLETRANSLATE($A1829,""en"",""ja"")"),"東マケドニア・トラキア")</f>
        <v>東マケドニア・トラキア</v>
      </c>
      <c r="I1829" s="9" t="str">
        <f>IFERROR(__xludf.DUMMYFUNCTION("GOOGLETRANSLATE($A1829,""en"",""ko"")"),"동부 마케도니아 및 트라키아")</f>
        <v>동부 마케도니아 및 트라키아</v>
      </c>
      <c r="J1829" s="9" t="str">
        <f>IFERROR(__xludf.DUMMYFUNCTION("GOOGLETRANSLATE($A1829,""en"",""pt-BR"")"),"Macedônia Oriental e Trácia")</f>
        <v>Macedônia Oriental e Trácia</v>
      </c>
    </row>
    <row r="1830">
      <c r="A1830" s="9" t="str">
        <f>IFERROR(__xludf.DUMMYFUNCTION("""COMPUTED_VALUE"""),"Attiki")</f>
        <v>Attiki</v>
      </c>
      <c r="B1830" s="9" t="str">
        <f>IFERROR(__xludf.DUMMYFUNCTION("""COMPUTED_VALUE"""),"gr-a1")</f>
        <v>gr-a1</v>
      </c>
      <c r="C1830" s="9" t="str">
        <f>IFERROR(__xludf.DUMMYFUNCTION("GOOGLETRANSLATE($A1830,""en"",""de"")"),"Attiki")</f>
        <v>Attiki</v>
      </c>
      <c r="D1830" s="9" t="str">
        <f>IFERROR(__xludf.DUMMYFUNCTION("GOOGLETRANSLATE($A1830,""en"",""fr"")"),"Attique")</f>
        <v>Attique</v>
      </c>
      <c r="E1830" s="9" t="str">
        <f>IFERROR(__xludf.DUMMYFUNCTION("GOOGLETRANSLATE($A1830,""en"",""es"")"),"Ático")</f>
        <v>Ático</v>
      </c>
      <c r="F1830" s="9" t="str">
        <f>IFERROR(__xludf.DUMMYFUNCTION("GOOGLETRANSLATE($A1830,""en"",""it"")"),"Attiki")</f>
        <v>Attiki</v>
      </c>
      <c r="G1830" s="9" t="str">
        <f>IFERROR(__xludf.DUMMYFUNCTION("GOOGLETRANSLATE($A1830,""en"",""zh-cn"")"),"阿蒂基")</f>
        <v>阿蒂基</v>
      </c>
      <c r="H1830" s="9" t="str">
        <f>IFERROR(__xludf.DUMMYFUNCTION("GOOGLETRANSLATE($A1830,""en"",""ja"")"),"アティキ")</f>
        <v>アティキ</v>
      </c>
      <c r="I1830" s="9" t="str">
        <f>IFERROR(__xludf.DUMMYFUNCTION("GOOGLETRANSLATE($A1830,""en"",""ko"")"),"아티키")</f>
        <v>아티키</v>
      </c>
      <c r="J1830" s="9" t="str">
        <f>IFERROR(__xludf.DUMMYFUNCTION("GOOGLETRANSLATE($A1830,""en"",""pt-BR"")"),"Ático")</f>
        <v>Ático</v>
      </c>
    </row>
    <row r="1831">
      <c r="A1831" s="9" t="str">
        <f>IFERROR(__xludf.DUMMYFUNCTION("""COMPUTED_VALUE"""),"Pella")</f>
        <v>Pella</v>
      </c>
      <c r="B1831" s="9" t="str">
        <f>IFERROR(__xludf.DUMMYFUNCTION("""COMPUTED_VALUE"""),"gr-59")</f>
        <v>gr-59</v>
      </c>
      <c r="C1831" s="9" t="str">
        <f>IFERROR(__xludf.DUMMYFUNCTION("GOOGLETRANSLATE($A1831,""en"",""de"")"),"Pella")</f>
        <v>Pella</v>
      </c>
      <c r="D1831" s="9" t="str">
        <f>IFERROR(__xludf.DUMMYFUNCTION("GOOGLETRANSLATE($A1831,""en"",""fr"")"),"Pella")</f>
        <v>Pella</v>
      </c>
      <c r="E1831" s="9" t="str">
        <f>IFERROR(__xludf.DUMMYFUNCTION("GOOGLETRANSLATE($A1831,""en"",""es"")"),"pela")</f>
        <v>pela</v>
      </c>
      <c r="F1831" s="9" t="str">
        <f>IFERROR(__xludf.DUMMYFUNCTION("GOOGLETRANSLATE($A1831,""en"",""it"")"),"Pella")</f>
        <v>Pella</v>
      </c>
      <c r="G1831" s="9" t="str">
        <f>IFERROR(__xludf.DUMMYFUNCTION("GOOGLETRANSLATE($A1831,""en"",""zh-cn"")"),"佩拉")</f>
        <v>佩拉</v>
      </c>
      <c r="H1831" s="9" t="str">
        <f>IFERROR(__xludf.DUMMYFUNCTION("GOOGLETRANSLATE($A1831,""en"",""ja"")"),"ペラ")</f>
        <v>ペラ</v>
      </c>
      <c r="I1831" s="9" t="str">
        <f>IFERROR(__xludf.DUMMYFUNCTION("GOOGLETRANSLATE($A1831,""en"",""ko"")"),"펠라")</f>
        <v>펠라</v>
      </c>
      <c r="J1831" s="9" t="str">
        <f>IFERROR(__xludf.DUMMYFUNCTION("GOOGLETRANSLATE($A1831,""en"",""pt-BR"")"),"Pela")</f>
        <v>Pela</v>
      </c>
    </row>
    <row r="1832">
      <c r="A1832" s="9" t="str">
        <f>IFERROR(__xludf.DUMMYFUNCTION("""COMPUTED_VALUE"""),"Magnisia")</f>
        <v>Magnisia</v>
      </c>
      <c r="B1832" s="9" t="str">
        <f>IFERROR(__xludf.DUMMYFUNCTION("""COMPUTED_VALUE"""),"gr-43")</f>
        <v>gr-43</v>
      </c>
      <c r="C1832" s="9" t="str">
        <f>IFERROR(__xludf.DUMMYFUNCTION("GOOGLETRANSLATE($A1832,""en"",""de"")"),"Magnisia")</f>
        <v>Magnisia</v>
      </c>
      <c r="D1832" s="9" t="str">
        <f>IFERROR(__xludf.DUMMYFUNCTION("GOOGLETRANSLATE($A1832,""en"",""fr"")"),"Magnésie")</f>
        <v>Magnésie</v>
      </c>
      <c r="E1832" s="9" t="str">
        <f>IFERROR(__xludf.DUMMYFUNCTION("GOOGLETRANSLATE($A1832,""en"",""es"")"),"Magnisia")</f>
        <v>Magnisia</v>
      </c>
      <c r="F1832" s="9" t="str">
        <f>IFERROR(__xludf.DUMMYFUNCTION("GOOGLETRANSLATE($A1832,""en"",""it"")"),"Magnisia")</f>
        <v>Magnisia</v>
      </c>
      <c r="G1832" s="9" t="str">
        <f>IFERROR(__xludf.DUMMYFUNCTION("GOOGLETRANSLATE($A1832,""en"",""zh-cn"")"),"木兰属")</f>
        <v>木兰属</v>
      </c>
      <c r="H1832" s="9" t="str">
        <f>IFERROR(__xludf.DUMMYFUNCTION("GOOGLETRANSLATE($A1832,""en"",""ja"")"),"マグニシア")</f>
        <v>マグニシア</v>
      </c>
      <c r="I1832" s="9" t="str">
        <f>IFERROR(__xludf.DUMMYFUNCTION("GOOGLETRANSLATE($A1832,""en"",""ko"")"),"마그니시아")</f>
        <v>마그니시아</v>
      </c>
      <c r="J1832" s="9" t="str">
        <f>IFERROR(__xludf.DUMMYFUNCTION("GOOGLETRANSLATE($A1832,""en"",""pt-BR"")"),"Magnísia")</f>
        <v>Magnísia</v>
      </c>
    </row>
    <row r="1833">
      <c r="A1833" s="9" t="str">
        <f>IFERROR(__xludf.DUMMYFUNCTION("""COMPUTED_VALUE"""),"Crete")</f>
        <v>Crete</v>
      </c>
      <c r="B1833" s="9" t="str">
        <f>IFERROR(__xludf.DUMMYFUNCTION("""COMPUTED_VALUE"""),"gr-m")</f>
        <v>gr-m</v>
      </c>
      <c r="C1833" s="9" t="str">
        <f>IFERROR(__xludf.DUMMYFUNCTION("GOOGLETRANSLATE($A1833,""en"",""de"")"),"Kreta")</f>
        <v>Kreta</v>
      </c>
      <c r="D1833" s="9" t="str">
        <f>IFERROR(__xludf.DUMMYFUNCTION("GOOGLETRANSLATE($A1833,""en"",""fr"")"),"Crète")</f>
        <v>Crète</v>
      </c>
      <c r="E1833" s="9" t="str">
        <f>IFERROR(__xludf.DUMMYFUNCTION("GOOGLETRANSLATE($A1833,""en"",""es"")"),"Creta")</f>
        <v>Creta</v>
      </c>
      <c r="F1833" s="9" t="str">
        <f>IFERROR(__xludf.DUMMYFUNCTION("GOOGLETRANSLATE($A1833,""en"",""it"")"),"Creta")</f>
        <v>Creta</v>
      </c>
      <c r="G1833" s="9" t="str">
        <f>IFERROR(__xludf.DUMMYFUNCTION("GOOGLETRANSLATE($A1833,""en"",""zh-cn"")"),"克里特岛")</f>
        <v>克里特岛</v>
      </c>
      <c r="H1833" s="9" t="str">
        <f>IFERROR(__xludf.DUMMYFUNCTION("GOOGLETRANSLATE($A1833,""en"",""ja"")"),"クレタ島")</f>
        <v>クレタ島</v>
      </c>
      <c r="I1833" s="9" t="str">
        <f>IFERROR(__xludf.DUMMYFUNCTION("GOOGLETRANSLATE($A1833,""en"",""ko"")"),"크레타 섬")</f>
        <v>크레타 섬</v>
      </c>
      <c r="J1833" s="9" t="str">
        <f>IFERROR(__xludf.DUMMYFUNCTION("GOOGLETRANSLATE($A1833,""en"",""pt-BR"")"),"Creta")</f>
        <v>Creta</v>
      </c>
    </row>
    <row r="1834">
      <c r="A1834" s="9" t="str">
        <f>IFERROR(__xludf.DUMMYFUNCTION("""COMPUTED_VALUE"""),"Southern Aegean")</f>
        <v>Southern Aegean</v>
      </c>
      <c r="B1834" s="9" t="str">
        <f>IFERROR(__xludf.DUMMYFUNCTION("""COMPUTED_VALUE"""),"gr-l")</f>
        <v>gr-l</v>
      </c>
      <c r="C1834" s="9" t="str">
        <f>IFERROR(__xludf.DUMMYFUNCTION("GOOGLETRANSLATE($A1834,""en"",""de"")"),"Südliche Ägäis")</f>
        <v>Südliche Ägäis</v>
      </c>
      <c r="D1834" s="9" t="str">
        <f>IFERROR(__xludf.DUMMYFUNCTION("GOOGLETRANSLATE($A1834,""en"",""fr"")"),"Sud de la mer Égée")</f>
        <v>Sud de la mer Égée</v>
      </c>
      <c r="E1834" s="9" t="str">
        <f>IFERROR(__xludf.DUMMYFUNCTION("GOOGLETRANSLATE($A1834,""en"",""es"")"),"Egeo meridional")</f>
        <v>Egeo meridional</v>
      </c>
      <c r="F1834" s="9" t="str">
        <f>IFERROR(__xludf.DUMMYFUNCTION("GOOGLETRANSLATE($A1834,""en"",""it"")"),"Egeo meridionale")</f>
        <v>Egeo meridionale</v>
      </c>
      <c r="G1834" s="9" t="str">
        <f>IFERROR(__xludf.DUMMYFUNCTION("GOOGLETRANSLATE($A1834,""en"",""zh-cn"")"),"爱琴海南部")</f>
        <v>爱琴海南部</v>
      </c>
      <c r="H1834" s="9" t="str">
        <f>IFERROR(__xludf.DUMMYFUNCTION("GOOGLETRANSLATE($A1834,""en"",""ja"")"),"南エーゲ海")</f>
        <v>南エーゲ海</v>
      </c>
      <c r="I1834" s="9" t="str">
        <f>IFERROR(__xludf.DUMMYFUNCTION("GOOGLETRANSLATE($A1834,""en"",""ko"")"),"남부에게 해")</f>
        <v>남부에게 해</v>
      </c>
      <c r="J1834" s="9" t="str">
        <f>IFERROR(__xludf.DUMMYFUNCTION("GOOGLETRANSLATE($A1834,""en"",""pt-BR"")"),"Sul do Egeu")</f>
        <v>Sul do Egeu</v>
      </c>
    </row>
    <row r="1835">
      <c r="A1835" s="9" t="str">
        <f>IFERROR(__xludf.DUMMYFUNCTION("""COMPUTED_VALUE"""),"Epirus")</f>
        <v>Epirus</v>
      </c>
      <c r="B1835" s="9" t="str">
        <f>IFERROR(__xludf.DUMMYFUNCTION("""COMPUTED_VALUE"""),"gr-d")</f>
        <v>gr-d</v>
      </c>
      <c r="C1835" s="9" t="str">
        <f>IFERROR(__xludf.DUMMYFUNCTION("GOOGLETRANSLATE($A1835,""en"",""de"")"),"Epirus")</f>
        <v>Epirus</v>
      </c>
      <c r="D1835" s="9" t="str">
        <f>IFERROR(__xludf.DUMMYFUNCTION("GOOGLETRANSLATE($A1835,""en"",""fr"")"),"Épire")</f>
        <v>Épire</v>
      </c>
      <c r="E1835" s="9" t="str">
        <f>IFERROR(__xludf.DUMMYFUNCTION("GOOGLETRANSLATE($A1835,""en"",""es"")"),"Epiro")</f>
        <v>Epiro</v>
      </c>
      <c r="F1835" s="9" t="str">
        <f>IFERROR(__xludf.DUMMYFUNCTION("GOOGLETRANSLATE($A1835,""en"",""it"")"),"Epiro")</f>
        <v>Epiro</v>
      </c>
      <c r="G1835" s="9" t="str">
        <f>IFERROR(__xludf.DUMMYFUNCTION("GOOGLETRANSLATE($A1835,""en"",""zh-cn"")"),"伊庇鲁斯")</f>
        <v>伊庇鲁斯</v>
      </c>
      <c r="H1835" s="9" t="str">
        <f>IFERROR(__xludf.DUMMYFUNCTION("GOOGLETRANSLATE($A1835,""en"",""ja"")"),"エピロス")</f>
        <v>エピロス</v>
      </c>
      <c r="I1835" s="9" t="str">
        <f>IFERROR(__xludf.DUMMYFUNCTION("GOOGLETRANSLATE($A1835,""en"",""ko"")"),"에피루스")</f>
        <v>에피루스</v>
      </c>
      <c r="J1835" s="9" t="str">
        <f>IFERROR(__xludf.DUMMYFUNCTION("GOOGLETRANSLATE($A1835,""en"",""pt-BR"")"),"Épiro")</f>
        <v>Épiro</v>
      </c>
    </row>
    <row r="1836">
      <c r="A1836" s="9" t="str">
        <f>IFERROR(__xludf.DUMMYFUNCTION("""COMPUTED_VALUE"""),"Central Macedonia")</f>
        <v>Central Macedonia</v>
      </c>
      <c r="B1836" s="9" t="str">
        <f>IFERROR(__xludf.DUMMYFUNCTION("""COMPUTED_VALUE"""),"gr-b")</f>
        <v>gr-b</v>
      </c>
      <c r="C1836" s="9" t="str">
        <f>IFERROR(__xludf.DUMMYFUNCTION("GOOGLETRANSLATE($A1836,""en"",""de"")"),"Zentralmakedonien")</f>
        <v>Zentralmakedonien</v>
      </c>
      <c r="D1836" s="9" t="str">
        <f>IFERROR(__xludf.DUMMYFUNCTION("GOOGLETRANSLATE($A1836,""en"",""fr"")"),"Macédoine centrale")</f>
        <v>Macédoine centrale</v>
      </c>
      <c r="E1836" s="9" t="str">
        <f>IFERROR(__xludf.DUMMYFUNCTION("GOOGLETRANSLATE($A1836,""en"",""es"")"),"Macedonia central")</f>
        <v>Macedonia central</v>
      </c>
      <c r="F1836" s="9" t="str">
        <f>IFERROR(__xludf.DUMMYFUNCTION("GOOGLETRANSLATE($A1836,""en"",""it"")"),"Macedonia Centrale")</f>
        <v>Macedonia Centrale</v>
      </c>
      <c r="G1836" s="9" t="str">
        <f>IFERROR(__xludf.DUMMYFUNCTION("GOOGLETRANSLATE($A1836,""en"",""zh-cn"")"),"中马其顿")</f>
        <v>中马其顿</v>
      </c>
      <c r="H1836" s="9" t="str">
        <f>IFERROR(__xludf.DUMMYFUNCTION("GOOGLETRANSLATE($A1836,""en"",""ja"")"),"中央マケドニア")</f>
        <v>中央マケドニア</v>
      </c>
      <c r="I1836" s="9" t="str">
        <f>IFERROR(__xludf.DUMMYFUNCTION("GOOGLETRANSLATE($A1836,""en"",""ko"")"),"마케도니아 중부")</f>
        <v>마케도니아 중부</v>
      </c>
      <c r="J1836" s="9" t="str">
        <f>IFERROR(__xludf.DUMMYFUNCTION("GOOGLETRANSLATE($A1836,""en"",""pt-BR"")"),"Macedônia Central")</f>
        <v>Macedônia Central</v>
      </c>
    </row>
    <row r="1837">
      <c r="A1837" s="9" t="str">
        <f>IFERROR(__xludf.DUMMYFUNCTION("""COMPUTED_VALUE"""),"Western Macedonia")</f>
        <v>Western Macedonia</v>
      </c>
      <c r="B1837" s="9" t="str">
        <f>IFERROR(__xludf.DUMMYFUNCTION("""COMPUTED_VALUE"""),"gr-c")</f>
        <v>gr-c</v>
      </c>
      <c r="C1837" s="9" t="str">
        <f>IFERROR(__xludf.DUMMYFUNCTION("GOOGLETRANSLATE($A1837,""en"",""de"")"),"Westmakedonien")</f>
        <v>Westmakedonien</v>
      </c>
      <c r="D1837" s="9" t="str">
        <f>IFERROR(__xludf.DUMMYFUNCTION("GOOGLETRANSLATE($A1837,""en"",""fr"")"),"Macédoine occidentale")</f>
        <v>Macédoine occidentale</v>
      </c>
      <c r="E1837" s="9" t="str">
        <f>IFERROR(__xludf.DUMMYFUNCTION("GOOGLETRANSLATE($A1837,""en"",""es"")"),"Macedonia occidental")</f>
        <v>Macedonia occidental</v>
      </c>
      <c r="F1837" s="9" t="str">
        <f>IFERROR(__xludf.DUMMYFUNCTION("GOOGLETRANSLATE($A1837,""en"",""it"")"),"Macedonia occidentale")</f>
        <v>Macedonia occidentale</v>
      </c>
      <c r="G1837" s="9" t="str">
        <f>IFERROR(__xludf.DUMMYFUNCTION("GOOGLETRANSLATE($A1837,""en"",""zh-cn"")"),"西马其顿")</f>
        <v>西马其顿</v>
      </c>
      <c r="H1837" s="9" t="str">
        <f>IFERROR(__xludf.DUMMYFUNCTION("GOOGLETRANSLATE($A1837,""en"",""ja"")"),"西マケドニア")</f>
        <v>西マケドニア</v>
      </c>
      <c r="I1837" s="9" t="str">
        <f>IFERROR(__xludf.DUMMYFUNCTION("GOOGLETRANSLATE($A1837,""en"",""ko"")"),"서부 마케도니아")</f>
        <v>서부 마케도니아</v>
      </c>
      <c r="J1837" s="9" t="str">
        <f>IFERROR(__xludf.DUMMYFUNCTION("GOOGLETRANSLATE($A1837,""en"",""pt-BR"")"),"Macedônia Ocidental")</f>
        <v>Macedônia Ocidental</v>
      </c>
    </row>
    <row r="1838">
      <c r="A1838" s="9" t="str">
        <f>IFERROR(__xludf.DUMMYFUNCTION("""COMPUTED_VALUE"""),"Ionian Islands")</f>
        <v>Ionian Islands</v>
      </c>
      <c r="B1838" s="9" t="str">
        <f>IFERROR(__xludf.DUMMYFUNCTION("""COMPUTED_VALUE"""),"gr-f")</f>
        <v>gr-f</v>
      </c>
      <c r="C1838" s="9" t="str">
        <f>IFERROR(__xludf.DUMMYFUNCTION("GOOGLETRANSLATE($A1838,""en"",""de"")"),"Ionische Inseln")</f>
        <v>Ionische Inseln</v>
      </c>
      <c r="D1838" s="9" t="str">
        <f>IFERROR(__xludf.DUMMYFUNCTION("GOOGLETRANSLATE($A1838,""en"",""fr"")"),"Îles Ioniennes")</f>
        <v>Îles Ioniennes</v>
      </c>
      <c r="E1838" s="9" t="str">
        <f>IFERROR(__xludf.DUMMYFUNCTION("GOOGLETRANSLATE($A1838,""en"",""es"")"),"Islas Jónicas")</f>
        <v>Islas Jónicas</v>
      </c>
      <c r="F1838" s="9" t="str">
        <f>IFERROR(__xludf.DUMMYFUNCTION("GOOGLETRANSLATE($A1838,""en"",""it"")"),"Isole Ionie")</f>
        <v>Isole Ionie</v>
      </c>
      <c r="G1838" s="9" t="str">
        <f>IFERROR(__xludf.DUMMYFUNCTION("GOOGLETRANSLATE($A1838,""en"",""zh-cn"")"),"爱奥尼亚群岛")</f>
        <v>爱奥尼亚群岛</v>
      </c>
      <c r="H1838" s="9" t="str">
        <f>IFERROR(__xludf.DUMMYFUNCTION("GOOGLETRANSLATE($A1838,""en"",""ja"")"),"イオニア諸島")</f>
        <v>イオニア諸島</v>
      </c>
      <c r="I1838" s="9" t="str">
        <f>IFERROR(__xludf.DUMMYFUNCTION("GOOGLETRANSLATE($A1838,""en"",""ko"")"),"이오니아 제도")</f>
        <v>이오니아 제도</v>
      </c>
      <c r="J1838" s="9" t="str">
        <f>IFERROR(__xludf.DUMMYFUNCTION("GOOGLETRANSLATE($A1838,""en"",""pt-BR"")"),"Ilhas Jônicas")</f>
        <v>Ilhas Jônicas</v>
      </c>
    </row>
    <row r="1839">
      <c r="A1839" s="9" t="str">
        <f>IFERROR(__xludf.DUMMYFUNCTION("""COMPUTED_VALUE"""),"Attica")</f>
        <v>Attica</v>
      </c>
      <c r="B1839" s="9" t="str">
        <f>IFERROR(__xludf.DUMMYFUNCTION("""COMPUTED_VALUE"""),"gr-i")</f>
        <v>gr-i</v>
      </c>
      <c r="C1839" s="9" t="str">
        <f>IFERROR(__xludf.DUMMYFUNCTION("GOOGLETRANSLATE($A1839,""en"",""de"")"),"Attika")</f>
        <v>Attika</v>
      </c>
      <c r="D1839" s="9" t="str">
        <f>IFERROR(__xludf.DUMMYFUNCTION("GOOGLETRANSLATE($A1839,""en"",""fr"")"),"Attique")</f>
        <v>Attique</v>
      </c>
      <c r="E1839" s="9" t="str">
        <f>IFERROR(__xludf.DUMMYFUNCTION("GOOGLETRANSLATE($A1839,""en"",""es"")"),"Ática")</f>
        <v>Ática</v>
      </c>
      <c r="F1839" s="9" t="str">
        <f>IFERROR(__xludf.DUMMYFUNCTION("GOOGLETRANSLATE($A1839,""en"",""it"")"),"Attica")</f>
        <v>Attica</v>
      </c>
      <c r="G1839" s="9" t="str">
        <f>IFERROR(__xludf.DUMMYFUNCTION("GOOGLETRANSLATE($A1839,""en"",""zh-cn"")"),"阿提卡")</f>
        <v>阿提卡</v>
      </c>
      <c r="H1839" s="9" t="str">
        <f>IFERROR(__xludf.DUMMYFUNCTION("GOOGLETRANSLATE($A1839,""en"",""ja"")"),"アッティカ")</f>
        <v>アッティカ</v>
      </c>
      <c r="I1839" s="9" t="str">
        <f>IFERROR(__xludf.DUMMYFUNCTION("GOOGLETRANSLATE($A1839,""en"",""ko"")"),"아티카")</f>
        <v>아티카</v>
      </c>
      <c r="J1839" s="9" t="str">
        <f>IFERROR(__xludf.DUMMYFUNCTION("GOOGLETRANSLATE($A1839,""en"",""pt-BR"")"),"Ática")</f>
        <v>Ática</v>
      </c>
    </row>
    <row r="1840">
      <c r="A1840" s="9" t="str">
        <f>IFERROR(__xludf.DUMMYFUNCTION("""COMPUTED_VALUE"""),"Western Greece")</f>
        <v>Western Greece</v>
      </c>
      <c r="B1840" s="9" t="str">
        <f>IFERROR(__xludf.DUMMYFUNCTION("""COMPUTED_VALUE"""),"gr-g")</f>
        <v>gr-g</v>
      </c>
      <c r="C1840" s="9" t="str">
        <f>IFERROR(__xludf.DUMMYFUNCTION("GOOGLETRANSLATE($A1840,""en"",""de"")"),"Westgriechenland")</f>
        <v>Westgriechenland</v>
      </c>
      <c r="D1840" s="9" t="str">
        <f>IFERROR(__xludf.DUMMYFUNCTION("GOOGLETRANSLATE($A1840,""en"",""fr"")"),"Grèce occidentale")</f>
        <v>Grèce occidentale</v>
      </c>
      <c r="E1840" s="9" t="str">
        <f>IFERROR(__xludf.DUMMYFUNCTION("GOOGLETRANSLATE($A1840,""en"",""es"")"),"Grecia occidental")</f>
        <v>Grecia occidental</v>
      </c>
      <c r="F1840" s="9" t="str">
        <f>IFERROR(__xludf.DUMMYFUNCTION("GOOGLETRANSLATE($A1840,""en"",""it"")"),"Grecia occidentale")</f>
        <v>Grecia occidentale</v>
      </c>
      <c r="G1840" s="9" t="str">
        <f>IFERROR(__xludf.DUMMYFUNCTION("GOOGLETRANSLATE($A1840,""en"",""zh-cn"")"),"希腊西部")</f>
        <v>希腊西部</v>
      </c>
      <c r="H1840" s="9" t="str">
        <f>IFERROR(__xludf.DUMMYFUNCTION("GOOGLETRANSLATE($A1840,""en"",""ja"")"),"西ギリシャ")</f>
        <v>西ギリシャ</v>
      </c>
      <c r="I1840" s="9" t="str">
        <f>IFERROR(__xludf.DUMMYFUNCTION("GOOGLETRANSLATE($A1840,""en"",""ko"")"),"서부 그리스")</f>
        <v>서부 그리스</v>
      </c>
      <c r="J1840" s="9" t="str">
        <f>IFERROR(__xludf.DUMMYFUNCTION("GOOGLETRANSLATE($A1840,""en"",""pt-BR"")"),"Grécia Ocidental")</f>
        <v>Grécia Ocidental</v>
      </c>
    </row>
    <row r="1841">
      <c r="A1841" s="9" t="str">
        <f>IFERROR(__xludf.DUMMYFUNCTION("""COMPUTED_VALUE"""),"Thessaly")</f>
        <v>Thessaly</v>
      </c>
      <c r="B1841" s="9" t="str">
        <f>IFERROR(__xludf.DUMMYFUNCTION("""COMPUTED_VALUE"""),"gr-e")</f>
        <v>gr-e</v>
      </c>
      <c r="C1841" s="9" t="str">
        <f>IFERROR(__xludf.DUMMYFUNCTION("GOOGLETRANSLATE($A1841,""en"",""de"")"),"Thessalien")</f>
        <v>Thessalien</v>
      </c>
      <c r="D1841" s="9" t="str">
        <f>IFERROR(__xludf.DUMMYFUNCTION("GOOGLETRANSLATE($A1841,""en"",""fr"")"),"Thessalie")</f>
        <v>Thessalie</v>
      </c>
      <c r="E1841" s="9" t="str">
        <f>IFERROR(__xludf.DUMMYFUNCTION("GOOGLETRANSLATE($A1841,""en"",""es"")"),"Tesalia")</f>
        <v>Tesalia</v>
      </c>
      <c r="F1841" s="9" t="str">
        <f>IFERROR(__xludf.DUMMYFUNCTION("GOOGLETRANSLATE($A1841,""en"",""it"")"),"Tessaglia")</f>
        <v>Tessaglia</v>
      </c>
      <c r="G1841" s="9" t="str">
        <f>IFERROR(__xludf.DUMMYFUNCTION("GOOGLETRANSLATE($A1841,""en"",""zh-cn"")"),"色萨利")</f>
        <v>色萨利</v>
      </c>
      <c r="H1841" s="9" t="str">
        <f>IFERROR(__xludf.DUMMYFUNCTION("GOOGLETRANSLATE($A1841,""en"",""ja"")"),"テッサリア")</f>
        <v>テッサリア</v>
      </c>
      <c r="I1841" s="9" t="str">
        <f>IFERROR(__xludf.DUMMYFUNCTION("GOOGLETRANSLATE($A1841,""en"",""ko"")"),"테살리아")</f>
        <v>테살리아</v>
      </c>
      <c r="J1841" s="9" t="str">
        <f>IFERROR(__xludf.DUMMYFUNCTION("GOOGLETRANSLATE($A1841,""en"",""pt-BR"")"),"Tessália")</f>
        <v>Tessália</v>
      </c>
    </row>
    <row r="1842">
      <c r="A1842" s="9" t="str">
        <f>IFERROR(__xludf.DUMMYFUNCTION("""COMPUTED_VALUE"""),"Peloponnese")</f>
        <v>Peloponnese</v>
      </c>
      <c r="B1842" s="9" t="str">
        <f>IFERROR(__xludf.DUMMYFUNCTION("""COMPUTED_VALUE"""),"gr-j")</f>
        <v>gr-j</v>
      </c>
      <c r="C1842" s="9" t="str">
        <f>IFERROR(__xludf.DUMMYFUNCTION("GOOGLETRANSLATE($A1842,""en"",""de"")"),"Peloponnes")</f>
        <v>Peloponnes</v>
      </c>
      <c r="D1842" s="9" t="str">
        <f>IFERROR(__xludf.DUMMYFUNCTION("GOOGLETRANSLATE($A1842,""en"",""fr"")"),"Péloponnèse")</f>
        <v>Péloponnèse</v>
      </c>
      <c r="E1842" s="9" t="str">
        <f>IFERROR(__xludf.DUMMYFUNCTION("GOOGLETRANSLATE($A1842,""en"",""es"")"),"Peloponeso")</f>
        <v>Peloponeso</v>
      </c>
      <c r="F1842" s="9" t="str">
        <f>IFERROR(__xludf.DUMMYFUNCTION("GOOGLETRANSLATE($A1842,""en"",""it"")"),"Peloponneso")</f>
        <v>Peloponneso</v>
      </c>
      <c r="G1842" s="9" t="str">
        <f>IFERROR(__xludf.DUMMYFUNCTION("GOOGLETRANSLATE($A1842,""en"",""zh-cn"")"),"伯罗奔尼撒半岛")</f>
        <v>伯罗奔尼撒半岛</v>
      </c>
      <c r="H1842" s="9" t="str">
        <f>IFERROR(__xludf.DUMMYFUNCTION("GOOGLETRANSLATE($A1842,""en"",""ja"")"),"ペロポネソス半島")</f>
        <v>ペロポネソス半島</v>
      </c>
      <c r="I1842" s="9" t="str">
        <f>IFERROR(__xludf.DUMMYFUNCTION("GOOGLETRANSLATE($A1842,""en"",""ko"")"),"펠로폰네소스 반도")</f>
        <v>펠로폰네소스 반도</v>
      </c>
      <c r="J1842" s="9" t="str">
        <f>IFERROR(__xludf.DUMMYFUNCTION("GOOGLETRANSLATE($A1842,""en"",""pt-BR"")"),"Peloponeso")</f>
        <v>Peloponeso</v>
      </c>
    </row>
    <row r="1843">
      <c r="A1843" s="9" t="str">
        <f>IFERROR(__xludf.DUMMYFUNCTION("""COMPUTED_VALUE"""),"Central Greece")</f>
        <v>Central Greece</v>
      </c>
      <c r="B1843" s="9" t="str">
        <f>IFERROR(__xludf.DUMMYFUNCTION("""COMPUTED_VALUE"""),"gr-h")</f>
        <v>gr-h</v>
      </c>
      <c r="C1843" s="9" t="str">
        <f>IFERROR(__xludf.DUMMYFUNCTION("GOOGLETRANSLATE($A1843,""en"",""de"")"),"Zentralgriechenland")</f>
        <v>Zentralgriechenland</v>
      </c>
      <c r="D1843" s="9" t="str">
        <f>IFERROR(__xludf.DUMMYFUNCTION("GOOGLETRANSLATE($A1843,""en"",""fr"")"),"Grèce centrale")</f>
        <v>Grèce centrale</v>
      </c>
      <c r="E1843" s="9" t="str">
        <f>IFERROR(__xludf.DUMMYFUNCTION("GOOGLETRANSLATE($A1843,""en"",""es"")"),"Grecia central")</f>
        <v>Grecia central</v>
      </c>
      <c r="F1843" s="9" t="str">
        <f>IFERROR(__xludf.DUMMYFUNCTION("GOOGLETRANSLATE($A1843,""en"",""it"")"),"Grecia centrale")</f>
        <v>Grecia centrale</v>
      </c>
      <c r="G1843" s="9" t="str">
        <f>IFERROR(__xludf.DUMMYFUNCTION("GOOGLETRANSLATE($A1843,""en"",""zh-cn"")"),"中部希腊")</f>
        <v>中部希腊</v>
      </c>
      <c r="H1843" s="9" t="str">
        <f>IFERROR(__xludf.DUMMYFUNCTION("GOOGLETRANSLATE($A1843,""en"",""ja"")"),"中央ギリシャ")</f>
        <v>中央ギリシャ</v>
      </c>
      <c r="I1843" s="9" t="str">
        <f>IFERROR(__xludf.DUMMYFUNCTION("GOOGLETRANSLATE($A1843,""en"",""ko"")"),"중앙 그리스")</f>
        <v>중앙 그리스</v>
      </c>
      <c r="J1843" s="9" t="str">
        <f>IFERROR(__xludf.DUMMYFUNCTION("GOOGLETRANSLATE($A1843,""en"",""pt-BR"")"),"Grécia Central")</f>
        <v>Grécia Central</v>
      </c>
    </row>
    <row r="1844">
      <c r="A1844" s="9" t="str">
        <f>IFERROR(__xludf.DUMMYFUNCTION("""COMPUTED_VALUE"""),"Kyklades")</f>
        <v>Kyklades</v>
      </c>
      <c r="B1844" s="9" t="str">
        <f>IFERROR(__xludf.DUMMYFUNCTION("""COMPUTED_VALUE"""),"gr-82")</f>
        <v>gr-82</v>
      </c>
      <c r="C1844" s="9" t="str">
        <f>IFERROR(__xludf.DUMMYFUNCTION("GOOGLETRANSLATE($A1844,""en"",""de"")"),"Kykladen")</f>
        <v>Kykladen</v>
      </c>
      <c r="D1844" s="9" t="str">
        <f>IFERROR(__xludf.DUMMYFUNCTION("GOOGLETRANSLATE($A1844,""en"",""fr"")"),"Kyklade")</f>
        <v>Kyklade</v>
      </c>
      <c r="E1844" s="9" t="str">
        <f>IFERROR(__xludf.DUMMYFUNCTION("GOOGLETRANSLATE($A1844,""en"",""es"")"),"Kykladés")</f>
        <v>Kykladés</v>
      </c>
      <c r="F1844" s="9" t="str">
        <f>IFERROR(__xludf.DUMMYFUNCTION("GOOGLETRANSLATE($A1844,""en"",""it"")"),"Cicladi")</f>
        <v>Cicladi</v>
      </c>
      <c r="G1844" s="9" t="str">
        <f>IFERROR(__xludf.DUMMYFUNCTION("GOOGLETRANSLATE($A1844,""en"",""zh-cn"")"),"基克拉德斯")</f>
        <v>基克拉德斯</v>
      </c>
      <c r="H1844" s="9" t="str">
        <f>IFERROR(__xludf.DUMMYFUNCTION("GOOGLETRANSLATE($A1844,""en"",""ja"")"),"キクラデス")</f>
        <v>キクラデス</v>
      </c>
      <c r="I1844" s="9" t="str">
        <f>IFERROR(__xludf.DUMMYFUNCTION("GOOGLETRANSLATE($A1844,""en"",""ko"")"),"키클라데스")</f>
        <v>키클라데스</v>
      </c>
      <c r="J1844" s="9" t="str">
        <f>IFERROR(__xludf.DUMMYFUNCTION("GOOGLETRANSLATE($A1844,""en"",""pt-BR"")"),"Kyklades")</f>
        <v>Kyklades</v>
      </c>
    </row>
    <row r="1845">
      <c r="A1845" s="9" t="str">
        <f>IFERROR(__xludf.DUMMYFUNCTION("""COMPUTED_VALUE"""),"Kefallonia")</f>
        <v>Kefallonia</v>
      </c>
      <c r="B1845" s="9" t="str">
        <f>IFERROR(__xludf.DUMMYFUNCTION("""COMPUTED_VALUE"""),"gr-23")</f>
        <v>gr-23</v>
      </c>
      <c r="C1845" s="9" t="str">
        <f>IFERROR(__xludf.DUMMYFUNCTION("GOOGLETRANSLATE($A1845,""en"",""de"")"),"Kefallonia")</f>
        <v>Kefallonia</v>
      </c>
      <c r="D1845" s="9" t="str">
        <f>IFERROR(__xludf.DUMMYFUNCTION("GOOGLETRANSLATE($A1845,""en"",""fr"")"),"Céphalonie")</f>
        <v>Céphalonie</v>
      </c>
      <c r="E1845" s="9" t="str">
        <f>IFERROR(__xludf.DUMMYFUNCTION("GOOGLETRANSLATE($A1845,""en"",""es"")"),"Cefalonia")</f>
        <v>Cefalonia</v>
      </c>
      <c r="F1845" s="9" t="str">
        <f>IFERROR(__xludf.DUMMYFUNCTION("GOOGLETRANSLATE($A1845,""en"",""it"")"),"Cefalonia")</f>
        <v>Cefalonia</v>
      </c>
      <c r="G1845" s="9" t="str">
        <f>IFERROR(__xludf.DUMMYFUNCTION("GOOGLETRANSLATE($A1845,""en"",""zh-cn"")"),"凯法利尼亚岛")</f>
        <v>凯法利尼亚岛</v>
      </c>
      <c r="H1845" s="9" t="str">
        <f>IFERROR(__xludf.DUMMYFUNCTION("GOOGLETRANSLATE($A1845,""en"",""ja"")"),"ケファロニア島")</f>
        <v>ケファロニア島</v>
      </c>
      <c r="I1845" s="9" t="str">
        <f>IFERROR(__xludf.DUMMYFUNCTION("GOOGLETRANSLATE($A1845,""en"",""ko"")"),"케팔로니아")</f>
        <v>케팔로니아</v>
      </c>
      <c r="J1845" s="9" t="str">
        <f>IFERROR(__xludf.DUMMYFUNCTION("GOOGLETRANSLATE($A1845,""en"",""pt-BR"")"),"Cefalônia")</f>
        <v>Cefalônia</v>
      </c>
    </row>
    <row r="1846">
      <c r="A1846" s="9" t="str">
        <f>IFERROR(__xludf.DUMMYFUNCTION("""COMPUTED_VALUE"""),"Korinthia")</f>
        <v>Korinthia</v>
      </c>
      <c r="B1846" s="9" t="str">
        <f>IFERROR(__xludf.DUMMYFUNCTION("""COMPUTED_VALUE"""),"gr-15")</f>
        <v>gr-15</v>
      </c>
      <c r="C1846" s="9" t="str">
        <f>IFERROR(__xludf.DUMMYFUNCTION("GOOGLETRANSLATE($A1846,""en"",""de"")"),"Korinthia")</f>
        <v>Korinthia</v>
      </c>
      <c r="D1846" s="9" t="str">
        <f>IFERROR(__xludf.DUMMYFUNCTION("GOOGLETRANSLATE($A1846,""en"",""fr"")"),"Corinthie")</f>
        <v>Corinthie</v>
      </c>
      <c r="E1846" s="9" t="str">
        <f>IFERROR(__xludf.DUMMYFUNCTION("GOOGLETRANSLATE($A1846,""en"",""es"")"),"Corintia")</f>
        <v>Corintia</v>
      </c>
      <c r="F1846" s="9" t="str">
        <f>IFERROR(__xludf.DUMMYFUNCTION("GOOGLETRANSLATE($A1846,""en"",""it"")"),"Corinzia")</f>
        <v>Corinzia</v>
      </c>
      <c r="G1846" s="9" t="str">
        <f>IFERROR(__xludf.DUMMYFUNCTION("GOOGLETRANSLATE($A1846,""en"",""zh-cn"")"),"科林西亚")</f>
        <v>科林西亚</v>
      </c>
      <c r="H1846" s="9" t="str">
        <f>IFERROR(__xludf.DUMMYFUNCTION("GOOGLETRANSLATE($A1846,""en"",""ja"")"),"コリンシア")</f>
        <v>コリンシア</v>
      </c>
      <c r="I1846" s="9" t="str">
        <f>IFERROR(__xludf.DUMMYFUNCTION("GOOGLETRANSLATE($A1846,""en"",""ko"")"),"코린티아")</f>
        <v>코린티아</v>
      </c>
      <c r="J1846" s="9" t="str">
        <f>IFERROR(__xludf.DUMMYFUNCTION("GOOGLETRANSLATE($A1846,""en"",""pt-BR"")"),"Coríntia")</f>
        <v>Coríntia</v>
      </c>
    </row>
    <row r="1847">
      <c r="A1847" s="9" t="str">
        <f>IFERROR(__xludf.DUMMYFUNCTION("""COMPUTED_VALUE"""),"Larisa")</f>
        <v>Larisa</v>
      </c>
      <c r="B1847" s="9" t="str">
        <f>IFERROR(__xludf.DUMMYFUNCTION("""COMPUTED_VALUE"""),"gr-42")</f>
        <v>gr-42</v>
      </c>
      <c r="C1847" s="9" t="str">
        <f>IFERROR(__xludf.DUMMYFUNCTION("GOOGLETRANSLATE($A1847,""en"",""de"")"),"Larisa")</f>
        <v>Larisa</v>
      </c>
      <c r="D1847" s="9" t="str">
        <f>IFERROR(__xludf.DUMMYFUNCTION("GOOGLETRANSLATE($A1847,""en"",""fr"")"),"Larisa")</f>
        <v>Larisa</v>
      </c>
      <c r="E1847" s="9" t="str">
        <f>IFERROR(__xludf.DUMMYFUNCTION("GOOGLETRANSLATE($A1847,""en"",""es"")"),"Larisa")</f>
        <v>Larisa</v>
      </c>
      <c r="F1847" s="9" t="str">
        <f>IFERROR(__xludf.DUMMYFUNCTION("GOOGLETRANSLATE($A1847,""en"",""it"")"),"Larisa")</f>
        <v>Larisa</v>
      </c>
      <c r="G1847" s="9" t="str">
        <f>IFERROR(__xludf.DUMMYFUNCTION("GOOGLETRANSLATE($A1847,""en"",""zh-cn"")"),"拉里萨")</f>
        <v>拉里萨</v>
      </c>
      <c r="H1847" s="9" t="str">
        <f>IFERROR(__xludf.DUMMYFUNCTION("GOOGLETRANSLATE($A1847,""en"",""ja"")"),"ラリサ")</f>
        <v>ラリサ</v>
      </c>
      <c r="I1847" s="9" t="str">
        <f>IFERROR(__xludf.DUMMYFUNCTION("GOOGLETRANSLATE($A1847,""en"",""ko"")"),"라리사")</f>
        <v>라리사</v>
      </c>
      <c r="J1847" s="9" t="str">
        <f>IFERROR(__xludf.DUMMYFUNCTION("GOOGLETRANSLATE($A1847,""en"",""pt-BR"")"),"Larisa")</f>
        <v>Larisa</v>
      </c>
    </row>
    <row r="1848">
      <c r="A1848" s="9" t="str">
        <f>IFERROR(__xludf.DUMMYFUNCTION("""COMPUTED_VALUE"""),"Arta (GR)")</f>
        <v>Arta (GR)</v>
      </c>
      <c r="B1848" s="9" t="str">
        <f>IFERROR(__xludf.DUMMYFUNCTION("""COMPUTED_VALUE"""),"gr-31")</f>
        <v>gr-31</v>
      </c>
      <c r="C1848" s="9" t="str">
        <f>IFERROR(__xludf.DUMMYFUNCTION("GOOGLETRANSLATE($A1848,""en"",""de"")"),"Arta (GR)")</f>
        <v>Arta (GR)</v>
      </c>
      <c r="D1848" s="9" t="str">
        <f>IFERROR(__xludf.DUMMYFUNCTION("GOOGLETRANSLATE($A1848,""en"",""fr"")"),"Artá (GR)")</f>
        <v>Artá (GR)</v>
      </c>
      <c r="E1848" s="9" t="str">
        <f>IFERROR(__xludf.DUMMYFUNCTION("GOOGLETRANSLATE($A1848,""en"",""es"")"),"Artà (GR)")</f>
        <v>Artà (GR)</v>
      </c>
      <c r="F1848" s="9" t="str">
        <f>IFERROR(__xludf.DUMMYFUNCTION("GOOGLETRANSLATE($A1848,""en"",""it"")"),"Arta (GR)")</f>
        <v>Arta (GR)</v>
      </c>
      <c r="G1848" s="9" t="str">
        <f>IFERROR(__xludf.DUMMYFUNCTION("GOOGLETRANSLATE($A1848,""en"",""zh-cn"")"),"阿尔塔 (GR)")</f>
        <v>阿尔塔 (GR)</v>
      </c>
      <c r="H1848" s="9" t="str">
        <f>IFERROR(__xludf.DUMMYFUNCTION("GOOGLETRANSLATE($A1848,""en"",""ja"")"),"アルタ (GR)")</f>
        <v>アルタ (GR)</v>
      </c>
      <c r="I1848" s="9" t="str">
        <f>IFERROR(__xludf.DUMMYFUNCTION("GOOGLETRANSLATE($A1848,""en"",""ko"")"),"아르타(GR)")</f>
        <v>아르타(GR)</v>
      </c>
      <c r="J1848" s="9" t="str">
        <f>IFERROR(__xludf.DUMMYFUNCTION("GOOGLETRANSLATE($A1848,""en"",""pt-BR"")"),"Artá (GR)")</f>
        <v>Artá (GR)</v>
      </c>
    </row>
    <row r="1849">
      <c r="A1849" s="9" t="str">
        <f>IFERROR(__xludf.DUMMYFUNCTION("""COMPUTED_VALUE"""),"Thesprotia")</f>
        <v>Thesprotia</v>
      </c>
      <c r="B1849" s="9" t="str">
        <f>IFERROR(__xludf.DUMMYFUNCTION("""COMPUTED_VALUE"""),"gr-32")</f>
        <v>gr-32</v>
      </c>
      <c r="C1849" s="9" t="str">
        <f>IFERROR(__xludf.DUMMYFUNCTION("GOOGLETRANSLATE($A1849,""en"",""de"")"),"Thesprotia")</f>
        <v>Thesprotia</v>
      </c>
      <c r="D1849" s="9" t="str">
        <f>IFERROR(__xludf.DUMMYFUNCTION("GOOGLETRANSLATE($A1849,""en"",""fr"")"),"Thesprotie")</f>
        <v>Thesprotie</v>
      </c>
      <c r="E1849" s="9" t="str">
        <f>IFERROR(__xludf.DUMMYFUNCTION("GOOGLETRANSLATE($A1849,""en"",""es"")"),"tesprotia")</f>
        <v>tesprotia</v>
      </c>
      <c r="F1849" s="9" t="str">
        <f>IFERROR(__xludf.DUMMYFUNCTION("GOOGLETRANSLATE($A1849,""en"",""it"")"),"Tesprozia")</f>
        <v>Tesprozia</v>
      </c>
      <c r="G1849" s="9" t="str">
        <f>IFERROR(__xludf.DUMMYFUNCTION("GOOGLETRANSLATE($A1849,""en"",""zh-cn"")"),"塞斯普罗蒂亚")</f>
        <v>塞斯普罗蒂亚</v>
      </c>
      <c r="H1849" s="9" t="str">
        <f>IFERROR(__xludf.DUMMYFUNCTION("GOOGLETRANSLATE($A1849,""en"",""ja"")"),"テスプロティア")</f>
        <v>テスプロティア</v>
      </c>
      <c r="I1849" s="9" t="str">
        <f>IFERROR(__xludf.DUMMYFUNCTION("GOOGLETRANSLATE($A1849,""en"",""ko"")"),"테스프로티아")</f>
        <v>테스프로티아</v>
      </c>
      <c r="J1849" s="9" t="str">
        <f>IFERROR(__xludf.DUMMYFUNCTION("GOOGLETRANSLATE($A1849,""en"",""pt-BR"")"),"Thesprotia")</f>
        <v>Thesprotia</v>
      </c>
    </row>
    <row r="1850">
      <c r="A1850" s="9" t="str">
        <f>IFERROR(__xludf.DUMMYFUNCTION("""COMPUTED_VALUE"""),"Lasithi")</f>
        <v>Lasithi</v>
      </c>
      <c r="B1850" s="9" t="str">
        <f>IFERROR(__xludf.DUMMYFUNCTION("""COMPUTED_VALUE"""),"gr-92")</f>
        <v>gr-92</v>
      </c>
      <c r="C1850" s="9" t="str">
        <f>IFERROR(__xludf.DUMMYFUNCTION("GOOGLETRANSLATE($A1850,""en"",""de"")"),"Lasithi")</f>
        <v>Lasithi</v>
      </c>
      <c r="D1850" s="9" t="str">
        <f>IFERROR(__xludf.DUMMYFUNCTION("GOOGLETRANSLATE($A1850,""en"",""fr"")"),"Lassithi")</f>
        <v>Lassithi</v>
      </c>
      <c r="E1850" s="9" t="str">
        <f>IFERROR(__xludf.DUMMYFUNCTION("GOOGLETRANSLATE($A1850,""en"",""es"")"),"Lasithi")</f>
        <v>Lasithi</v>
      </c>
      <c r="F1850" s="9" t="str">
        <f>IFERROR(__xludf.DUMMYFUNCTION("GOOGLETRANSLATE($A1850,""en"",""it"")"),"Lasithi")</f>
        <v>Lasithi</v>
      </c>
      <c r="G1850" s="9" t="str">
        <f>IFERROR(__xludf.DUMMYFUNCTION("GOOGLETRANSLATE($A1850,""en"",""zh-cn"")"),"拉西锡")</f>
        <v>拉西锡</v>
      </c>
      <c r="H1850" s="9" t="str">
        <f>IFERROR(__xludf.DUMMYFUNCTION("GOOGLETRANSLATE($A1850,""en"",""ja"")"),"ラシティ")</f>
        <v>ラシティ</v>
      </c>
      <c r="I1850" s="9" t="str">
        <f>IFERROR(__xludf.DUMMYFUNCTION("GOOGLETRANSLATE($A1850,""en"",""ko"")"),"라시티")</f>
        <v>라시티</v>
      </c>
      <c r="J1850" s="9" t="str">
        <f>IFERROR(__xludf.DUMMYFUNCTION("GOOGLETRANSLATE($A1850,""en"",""pt-BR"")"),"Lasíti")</f>
        <v>Lasíti</v>
      </c>
    </row>
    <row r="1851">
      <c r="A1851" s="9" t="str">
        <f>IFERROR(__xludf.DUMMYFUNCTION("""COMPUTED_VALUE"""),"Thessaloniki")</f>
        <v>Thessaloniki</v>
      </c>
      <c r="B1851" s="9" t="str">
        <f>IFERROR(__xludf.DUMMYFUNCTION("""COMPUTED_VALUE"""),"gr-54")</f>
        <v>gr-54</v>
      </c>
      <c r="C1851" s="9" t="str">
        <f>IFERROR(__xludf.DUMMYFUNCTION("GOOGLETRANSLATE($A1851,""en"",""de"")"),"Thessaloniki")</f>
        <v>Thessaloniki</v>
      </c>
      <c r="D1851" s="9" t="str">
        <f>IFERROR(__xludf.DUMMYFUNCTION("GOOGLETRANSLATE($A1851,""en"",""fr"")"),"Thessalonique")</f>
        <v>Thessalonique</v>
      </c>
      <c r="E1851" s="9" t="str">
        <f>IFERROR(__xludf.DUMMYFUNCTION("GOOGLETRANSLATE($A1851,""en"",""es"")"),"Salónica")</f>
        <v>Salónica</v>
      </c>
      <c r="F1851" s="9" t="str">
        <f>IFERROR(__xludf.DUMMYFUNCTION("GOOGLETRANSLATE($A1851,""en"",""it"")"),"Salonicco")</f>
        <v>Salonicco</v>
      </c>
      <c r="G1851" s="9" t="str">
        <f>IFERROR(__xludf.DUMMYFUNCTION("GOOGLETRANSLATE($A1851,""en"",""zh-cn"")"),"塞萨洛尼基")</f>
        <v>塞萨洛尼基</v>
      </c>
      <c r="H1851" s="9" t="str">
        <f>IFERROR(__xludf.DUMMYFUNCTION("GOOGLETRANSLATE($A1851,""en"",""ja"")"),"テッサロニキ")</f>
        <v>テッサロニキ</v>
      </c>
      <c r="I1851" s="9" t="str">
        <f>IFERROR(__xludf.DUMMYFUNCTION("GOOGLETRANSLATE($A1851,""en"",""ko"")"),"테살로니키")</f>
        <v>테살로니키</v>
      </c>
      <c r="J1851" s="9" t="str">
        <f>IFERROR(__xludf.DUMMYFUNCTION("GOOGLETRANSLATE($A1851,""en"",""pt-BR"")"),"Salónica")</f>
        <v>Salónica</v>
      </c>
    </row>
    <row r="1852">
      <c r="A1852" s="9" t="str">
        <f>IFERROR(__xludf.DUMMYFUNCTION("""COMPUTED_VALUE"""),"Arkadia")</f>
        <v>Arkadia</v>
      </c>
      <c r="B1852" s="9" t="str">
        <f>IFERROR(__xludf.DUMMYFUNCTION("""COMPUTED_VALUE"""),"gr-12")</f>
        <v>gr-12</v>
      </c>
      <c r="C1852" s="9" t="str">
        <f>IFERROR(__xludf.DUMMYFUNCTION("GOOGLETRANSLATE($A1852,""en"",""de"")"),"Arkadien")</f>
        <v>Arkadien</v>
      </c>
      <c r="D1852" s="9" t="str">
        <f>IFERROR(__xludf.DUMMYFUNCTION("GOOGLETRANSLATE($A1852,""en"",""fr"")"),"Arcadie")</f>
        <v>Arcadie</v>
      </c>
      <c r="E1852" s="9" t="str">
        <f>IFERROR(__xludf.DUMMYFUNCTION("GOOGLETRANSLATE($A1852,""en"",""es"")"),"Arcadia")</f>
        <v>Arcadia</v>
      </c>
      <c r="F1852" s="9" t="str">
        <f>IFERROR(__xludf.DUMMYFUNCTION("GOOGLETRANSLATE($A1852,""en"",""it"")"),"Arcadia")</f>
        <v>Arcadia</v>
      </c>
      <c r="G1852" s="9" t="str">
        <f>IFERROR(__xludf.DUMMYFUNCTION("GOOGLETRANSLATE($A1852,""en"",""zh-cn"")"),"阿卡迪亚")</f>
        <v>阿卡迪亚</v>
      </c>
      <c r="H1852" s="9" t="str">
        <f>IFERROR(__xludf.DUMMYFUNCTION("GOOGLETRANSLATE($A1852,""en"",""ja"")"),"アルカディア")</f>
        <v>アルカディア</v>
      </c>
      <c r="I1852" s="9" t="str">
        <f>IFERROR(__xludf.DUMMYFUNCTION("GOOGLETRANSLATE($A1852,""en"",""ko"")"),"아르카디아")</f>
        <v>아르카디아</v>
      </c>
      <c r="J1852" s="9" t="str">
        <f>IFERROR(__xludf.DUMMYFUNCTION("GOOGLETRANSLATE($A1852,""en"",""pt-BR"")"),"Arcádia")</f>
        <v>Arcádia</v>
      </c>
    </row>
    <row r="1853">
      <c r="A1853" s="9" t="str">
        <f>IFERROR(__xludf.DUMMYFUNCTION("""COMPUTED_VALUE"""),"Fokida")</f>
        <v>Fokida</v>
      </c>
      <c r="B1853" s="9" t="str">
        <f>IFERROR(__xludf.DUMMYFUNCTION("""COMPUTED_VALUE"""),"gr-07")</f>
        <v>gr-07</v>
      </c>
      <c r="C1853" s="9" t="str">
        <f>IFERROR(__xludf.DUMMYFUNCTION("GOOGLETRANSLATE($A1853,""en"",""de"")"),"Fokida")</f>
        <v>Fokida</v>
      </c>
      <c r="D1853" s="9" t="str">
        <f>IFERROR(__xludf.DUMMYFUNCTION("GOOGLETRANSLATE($A1853,""en"",""fr"")"),"Fokida")</f>
        <v>Fokida</v>
      </c>
      <c r="E1853" s="9" t="str">
        <f>IFERROR(__xludf.DUMMYFUNCTION("GOOGLETRANSLATE($A1853,""en"",""es"")"),"Fokida")</f>
        <v>Fokida</v>
      </c>
      <c r="F1853" s="9" t="str">
        <f>IFERROR(__xludf.DUMMYFUNCTION("GOOGLETRANSLATE($A1853,""en"",""it"")"),"Focide")</f>
        <v>Focide</v>
      </c>
      <c r="G1853" s="9" t="str">
        <f>IFERROR(__xludf.DUMMYFUNCTION("GOOGLETRANSLATE($A1853,""en"",""zh-cn"")"),"福基达")</f>
        <v>福基达</v>
      </c>
      <c r="H1853" s="9" t="str">
        <f>IFERROR(__xludf.DUMMYFUNCTION("GOOGLETRANSLATE($A1853,""en"",""ja"")"),"フォキダ")</f>
        <v>フォキダ</v>
      </c>
      <c r="I1853" s="9" t="str">
        <f>IFERROR(__xludf.DUMMYFUNCTION("GOOGLETRANSLATE($A1853,""en"",""ko"")"),"포키다")</f>
        <v>포키다</v>
      </c>
      <c r="J1853" s="9" t="str">
        <f>IFERROR(__xludf.DUMMYFUNCTION("GOOGLETRANSLATE($A1853,""en"",""pt-BR"")"),"Fokida")</f>
        <v>Fokida</v>
      </c>
    </row>
    <row r="1854">
      <c r="A1854" s="9" t="str">
        <f>IFERROR(__xludf.DUMMYFUNCTION("""COMPUTED_VALUE"""),"Zakynthos")</f>
        <v>Zakynthos</v>
      </c>
      <c r="B1854" s="9" t="str">
        <f>IFERROR(__xludf.DUMMYFUNCTION("""COMPUTED_VALUE"""),"gr-21")</f>
        <v>gr-21</v>
      </c>
      <c r="C1854" s="9" t="str">
        <f>IFERROR(__xludf.DUMMYFUNCTION("GOOGLETRANSLATE($A1854,""en"",""de"")"),"Zakynthos")</f>
        <v>Zakynthos</v>
      </c>
      <c r="D1854" s="9" t="str">
        <f>IFERROR(__xludf.DUMMYFUNCTION("GOOGLETRANSLATE($A1854,""en"",""fr"")"),"Zante")</f>
        <v>Zante</v>
      </c>
      <c r="E1854" s="9" t="str">
        <f>IFERROR(__xludf.DUMMYFUNCTION("GOOGLETRANSLATE($A1854,""en"",""es"")"),"Zante")</f>
        <v>Zante</v>
      </c>
      <c r="F1854" s="9" t="str">
        <f>IFERROR(__xludf.DUMMYFUNCTION("GOOGLETRANSLATE($A1854,""en"",""it"")"),"Zante")</f>
        <v>Zante</v>
      </c>
      <c r="G1854" s="9" t="str">
        <f>IFERROR(__xludf.DUMMYFUNCTION("GOOGLETRANSLATE($A1854,""en"",""zh-cn"")"),"扎金索斯州")</f>
        <v>扎金索斯州</v>
      </c>
      <c r="H1854" s="9" t="str">
        <f>IFERROR(__xludf.DUMMYFUNCTION("GOOGLETRANSLATE($A1854,""en"",""ja"")"),"ザキントス島")</f>
        <v>ザキントス島</v>
      </c>
      <c r="I1854" s="9" t="str">
        <f>IFERROR(__xludf.DUMMYFUNCTION("GOOGLETRANSLATE($A1854,""en"",""ko"")"),"자킨토스")</f>
        <v>자킨토스</v>
      </c>
      <c r="J1854" s="9" t="str">
        <f>IFERROR(__xludf.DUMMYFUNCTION("GOOGLETRANSLATE($A1854,""en"",""pt-BR"")"),"Zaquintos")</f>
        <v>Zaquintos</v>
      </c>
    </row>
    <row r="1855">
      <c r="A1855" s="9" t="str">
        <f>IFERROR(__xludf.DUMMYFUNCTION("""COMPUTED_VALUE"""),"Fthiotida")</f>
        <v>Fthiotida</v>
      </c>
      <c r="B1855" s="9" t="str">
        <f>IFERROR(__xludf.DUMMYFUNCTION("""COMPUTED_VALUE"""),"gr-06")</f>
        <v>gr-06</v>
      </c>
      <c r="C1855" s="9" t="str">
        <f>IFERROR(__xludf.DUMMYFUNCTION("GOOGLETRANSLATE($A1855,""en"",""de"")"),"Fthiotida")</f>
        <v>Fthiotida</v>
      </c>
      <c r="D1855" s="9" t="str">
        <f>IFERROR(__xludf.DUMMYFUNCTION("GOOGLETRANSLATE($A1855,""en"",""fr"")"),"Phthiotide")</f>
        <v>Phthiotide</v>
      </c>
      <c r="E1855" s="9" t="str">
        <f>IFERROR(__xludf.DUMMYFUNCTION("GOOGLETRANSLATE($A1855,""en"",""es"")"),"Ftiotida")</f>
        <v>Ftiotida</v>
      </c>
      <c r="F1855" s="9" t="str">
        <f>IFERROR(__xludf.DUMMYFUNCTION("GOOGLETRANSLATE($A1855,""en"",""it"")"),"Ftiotida")</f>
        <v>Ftiotida</v>
      </c>
      <c r="G1855" s="9" t="str">
        <f>IFERROR(__xludf.DUMMYFUNCTION("GOOGLETRANSLATE($A1855,""en"",""zh-cn"")"),"硫提达")</f>
        <v>硫提达</v>
      </c>
      <c r="H1855" s="9" t="str">
        <f>IFERROR(__xludf.DUMMYFUNCTION("GOOGLETRANSLATE($A1855,""en"",""ja"")"),"フチオティダ")</f>
        <v>フチオティダ</v>
      </c>
      <c r="I1855" s="9" t="str">
        <f>IFERROR(__xludf.DUMMYFUNCTION("GOOGLETRANSLATE($A1855,""en"",""ko"")"),"프티오티다")</f>
        <v>프티오티다</v>
      </c>
      <c r="J1855" s="9" t="str">
        <f>IFERROR(__xludf.DUMMYFUNCTION("GOOGLETRANSLATE($A1855,""en"",""pt-BR"")"),"Ftiotida")</f>
        <v>Ftiotida</v>
      </c>
    </row>
    <row r="1856">
      <c r="A1856" s="9" t="str">
        <f>IFERROR(__xludf.DUMMYFUNCTION("""COMPUTED_VALUE"""),"Aitolia kai Akarnania")</f>
        <v>Aitolia kai Akarnania</v>
      </c>
      <c r="B1856" s="9" t="str">
        <f>IFERROR(__xludf.DUMMYFUNCTION("""COMPUTED_VALUE"""),"gr-01")</f>
        <v>gr-01</v>
      </c>
      <c r="C1856" s="9" t="str">
        <f>IFERROR(__xludf.DUMMYFUNCTION("GOOGLETRANSLATE($A1856,""en"",""de"")"),"Aitolia kai Akarnania")</f>
        <v>Aitolia kai Akarnania</v>
      </c>
      <c r="D1856" s="9" t="str">
        <f>IFERROR(__xludf.DUMMYFUNCTION("GOOGLETRANSLATE($A1856,""en"",""fr"")"),"Aitolia kai Akarnanie")</f>
        <v>Aitolia kai Akarnanie</v>
      </c>
      <c r="E1856" s="9" t="str">
        <f>IFERROR(__xludf.DUMMYFUNCTION("GOOGLETRANSLATE($A1856,""en"",""es"")"),"Aitolia kai Akarnania")</f>
        <v>Aitolia kai Akarnania</v>
      </c>
      <c r="F1856" s="9" t="str">
        <f>IFERROR(__xludf.DUMMYFUNCTION("GOOGLETRANSLATE($A1856,""en"",""it"")"),"Aitolia kai Akarnania")</f>
        <v>Aitolia kai Akarnania</v>
      </c>
      <c r="G1856" s="9" t="str">
        <f>IFERROR(__xludf.DUMMYFUNCTION("GOOGLETRANSLATE($A1856,""en"",""zh-cn"")"),"艾托利亚·凯·阿卡纳尼亚")</f>
        <v>艾托利亚·凯·阿卡纳尼亚</v>
      </c>
      <c r="H1856" s="9" t="str">
        <f>IFERROR(__xludf.DUMMYFUNCTION("GOOGLETRANSLATE($A1856,""en"",""ja"")"),"アイトリア カイ アカルナニア")</f>
        <v>アイトリア カイ アカルナニア</v>
      </c>
      <c r="I1856" s="9" t="str">
        <f>IFERROR(__xludf.DUMMYFUNCTION("GOOGLETRANSLATE($A1856,""en"",""ko"")"),"아이톨리아 카이 아카르나니아")</f>
        <v>아이톨리아 카이 아카르나니아</v>
      </c>
      <c r="J1856" s="9" t="str">
        <f>IFERROR(__xludf.DUMMYFUNCTION("GOOGLETRANSLATE($A1856,""en"",""pt-BR"")"),"Aitolia kai Akarnania")</f>
        <v>Aitolia kai Akarnania</v>
      </c>
    </row>
    <row r="1857">
      <c r="A1857" s="9" t="str">
        <f>IFERROR(__xludf.DUMMYFUNCTION("""COMPUTED_VALUE"""),"Agio Oros")</f>
        <v>Agio Oros</v>
      </c>
      <c r="B1857" s="9" t="str">
        <f>IFERROR(__xludf.DUMMYFUNCTION("""COMPUTED_VALUE"""),"gr-69")</f>
        <v>gr-69</v>
      </c>
      <c r="C1857" s="9" t="str">
        <f>IFERROR(__xludf.DUMMYFUNCTION("GOOGLETRANSLATE($A1857,""en"",""de"")"),"Agio Oros")</f>
        <v>Agio Oros</v>
      </c>
      <c r="D1857" s="9" t="str">
        <f>IFERROR(__xludf.DUMMYFUNCTION("GOOGLETRANSLATE($A1857,""en"",""fr"")"),"Agios Oros")</f>
        <v>Agios Oros</v>
      </c>
      <c r="E1857" s="9" t="str">
        <f>IFERROR(__xludf.DUMMYFUNCTION("GOOGLETRANSLATE($A1857,""en"",""es"")"),"Agio Oros")</f>
        <v>Agio Oros</v>
      </c>
      <c r="F1857" s="9" t="str">
        <f>IFERROR(__xludf.DUMMYFUNCTION("GOOGLETRANSLATE($A1857,""en"",""it"")"),"Agio Oros")</f>
        <v>Agio Oros</v>
      </c>
      <c r="G1857" s="9" t="str">
        <f>IFERROR(__xludf.DUMMYFUNCTION("GOOGLETRANSLATE($A1857,""en"",""zh-cn"")"),"阿吉奥·奥罗斯")</f>
        <v>阿吉奥·奥罗斯</v>
      </c>
      <c r="H1857" s="9" t="str">
        <f>IFERROR(__xludf.DUMMYFUNCTION("GOOGLETRANSLATE($A1857,""en"",""ja"")"),"アギオ・オロス")</f>
        <v>アギオ・オロス</v>
      </c>
      <c r="I1857" s="9" t="str">
        <f>IFERROR(__xludf.DUMMYFUNCTION("GOOGLETRANSLATE($A1857,""en"",""ko"")"),"아기오 오로스")</f>
        <v>아기오 오로스</v>
      </c>
      <c r="J1857" s="9" t="str">
        <f>IFERROR(__xludf.DUMMYFUNCTION("GOOGLETRANSLATE($A1857,""en"",""pt-BR"")"),"Ágio Oros")</f>
        <v>Ágio Oros</v>
      </c>
    </row>
    <row r="1858">
      <c r="A1858" s="9" t="str">
        <f>IFERROR(__xludf.DUMMYFUNCTION("""COMPUTED_VALUE"""),"Kerkyra")</f>
        <v>Kerkyra</v>
      </c>
      <c r="B1858" s="9" t="str">
        <f>IFERROR(__xludf.DUMMYFUNCTION("""COMPUTED_VALUE"""),"gr-22")</f>
        <v>gr-22</v>
      </c>
      <c r="C1858" s="9" t="str">
        <f>IFERROR(__xludf.DUMMYFUNCTION("GOOGLETRANSLATE($A1858,""en"",""de"")"),"Kerkyra")</f>
        <v>Kerkyra</v>
      </c>
      <c r="D1858" s="9" t="str">
        <f>IFERROR(__xludf.DUMMYFUNCTION("GOOGLETRANSLATE($A1858,""en"",""fr"")"),"Kerkyra")</f>
        <v>Kerkyra</v>
      </c>
      <c r="E1858" s="9" t="str">
        <f>IFERROR(__xludf.DUMMYFUNCTION("GOOGLETRANSLATE($A1858,""en"",""es"")"),"Kerkyra")</f>
        <v>Kerkyra</v>
      </c>
      <c r="F1858" s="9" t="str">
        <f>IFERROR(__xludf.DUMMYFUNCTION("GOOGLETRANSLATE($A1858,""en"",""it"")"),"Kerkyra")</f>
        <v>Kerkyra</v>
      </c>
      <c r="G1858" s="9" t="str">
        <f>IFERROR(__xludf.DUMMYFUNCTION("GOOGLETRANSLATE($A1858,""en"",""zh-cn"")"),"克基拉")</f>
        <v>克基拉</v>
      </c>
      <c r="H1858" s="9" t="str">
        <f>IFERROR(__xludf.DUMMYFUNCTION("GOOGLETRANSLATE($A1858,""en"",""ja"")"),"ケルキラ")</f>
        <v>ケルキラ</v>
      </c>
      <c r="I1858" s="9" t="str">
        <f>IFERROR(__xludf.DUMMYFUNCTION("GOOGLETRANSLATE($A1858,""en"",""ko"")"),"케르키라")</f>
        <v>케르키라</v>
      </c>
      <c r="J1858" s="9" t="str">
        <f>IFERROR(__xludf.DUMMYFUNCTION("GOOGLETRANSLATE($A1858,""en"",""pt-BR"")"),"Kerkyra")</f>
        <v>Kerkyra</v>
      </c>
    </row>
    <row r="1859">
      <c r="A1859" s="9" t="str">
        <f>IFERROR(__xludf.DUMMYFUNCTION("""COMPUTED_VALUE"""),"Samos")</f>
        <v>Samos</v>
      </c>
      <c r="B1859" s="9" t="str">
        <f>IFERROR(__xludf.DUMMYFUNCTION("""COMPUTED_VALUE"""),"gr-84")</f>
        <v>gr-84</v>
      </c>
      <c r="C1859" s="9" t="str">
        <f>IFERROR(__xludf.DUMMYFUNCTION("GOOGLETRANSLATE($A1859,""en"",""de"")"),"Samos")</f>
        <v>Samos</v>
      </c>
      <c r="D1859" s="9" t="str">
        <f>IFERROR(__xludf.DUMMYFUNCTION("GOOGLETRANSLATE($A1859,""en"",""fr"")"),"Sámos")</f>
        <v>Sámos</v>
      </c>
      <c r="E1859" s="9" t="str">
        <f>IFERROR(__xludf.DUMMYFUNCTION("GOOGLETRANSLATE($A1859,""en"",""es"")"),"Sámos")</f>
        <v>Sámos</v>
      </c>
      <c r="F1859" s="9" t="str">
        <f>IFERROR(__xludf.DUMMYFUNCTION("GOOGLETRANSLATE($A1859,""en"",""it"")"),"Samo")</f>
        <v>Samo</v>
      </c>
      <c r="G1859" s="9" t="str">
        <f>IFERROR(__xludf.DUMMYFUNCTION("GOOGLETRANSLATE($A1859,""en"",""zh-cn"")"),"萨摩斯岛")</f>
        <v>萨摩斯岛</v>
      </c>
      <c r="H1859" s="9" t="str">
        <f>IFERROR(__xludf.DUMMYFUNCTION("GOOGLETRANSLATE($A1859,""en"",""ja"")"),"サモス島")</f>
        <v>サモス島</v>
      </c>
      <c r="I1859" s="9" t="str">
        <f>IFERROR(__xludf.DUMMYFUNCTION("GOOGLETRANSLATE($A1859,""en"",""ko"")"),"사모스")</f>
        <v>사모스</v>
      </c>
      <c r="J1859" s="9" t="str">
        <f>IFERROR(__xludf.DUMMYFUNCTION("GOOGLETRANSLATE($A1859,""en"",""pt-BR"")"),"Samos")</f>
        <v>Samos</v>
      </c>
    </row>
    <row r="1860">
      <c r="A1860" s="9" t="str">
        <f>IFERROR(__xludf.DUMMYFUNCTION("""COMPUTED_VALUE"""),"Messinia")</f>
        <v>Messinia</v>
      </c>
      <c r="B1860" s="9" t="str">
        <f>IFERROR(__xludf.DUMMYFUNCTION("""COMPUTED_VALUE"""),"gr-17")</f>
        <v>gr-17</v>
      </c>
      <c r="C1860" s="9" t="str">
        <f>IFERROR(__xludf.DUMMYFUNCTION("GOOGLETRANSLATE($A1860,""en"",""de"")"),"Messenien")</f>
        <v>Messenien</v>
      </c>
      <c r="D1860" s="9" t="str">
        <f>IFERROR(__xludf.DUMMYFUNCTION("GOOGLETRANSLATE($A1860,""en"",""fr"")"),"Messénie")</f>
        <v>Messénie</v>
      </c>
      <c r="E1860" s="9" t="str">
        <f>IFERROR(__xludf.DUMMYFUNCTION("GOOGLETRANSLATE($A1860,""en"",""es"")"),"Mesenia")</f>
        <v>Mesenia</v>
      </c>
      <c r="F1860" s="9" t="str">
        <f>IFERROR(__xludf.DUMMYFUNCTION("GOOGLETRANSLATE($A1860,""en"",""it"")"),"Messenia")</f>
        <v>Messenia</v>
      </c>
      <c r="G1860" s="9" t="str">
        <f>IFERROR(__xludf.DUMMYFUNCTION("GOOGLETRANSLATE($A1860,""en"",""zh-cn"")"),"麦西尼亚")</f>
        <v>麦西尼亚</v>
      </c>
      <c r="H1860" s="9" t="str">
        <f>IFERROR(__xludf.DUMMYFUNCTION("GOOGLETRANSLATE($A1860,""en"",""ja"")"),"メッシニア")</f>
        <v>メッシニア</v>
      </c>
      <c r="I1860" s="9" t="str">
        <f>IFERROR(__xludf.DUMMYFUNCTION("GOOGLETRANSLATE($A1860,""en"",""ko"")"),"메시니아")</f>
        <v>메시니아</v>
      </c>
      <c r="J1860" s="9" t="str">
        <f>IFERROR(__xludf.DUMMYFUNCTION("GOOGLETRANSLATE($A1860,""en"",""pt-BR"")"),"Messinia")</f>
        <v>Messinia</v>
      </c>
    </row>
    <row r="1861">
      <c r="A1861" s="9" t="str">
        <f>IFERROR(__xludf.DUMMYFUNCTION("""COMPUTED_VALUE"""),"Dodekanisos")</f>
        <v>Dodekanisos</v>
      </c>
      <c r="B1861" s="9" t="str">
        <f>IFERROR(__xludf.DUMMYFUNCTION("""COMPUTED_VALUE"""),"gr-81")</f>
        <v>gr-81</v>
      </c>
      <c r="C1861" s="9" t="str">
        <f>IFERROR(__xludf.DUMMYFUNCTION("GOOGLETRANSLATE($A1861,""en"",""de"")"),"Dodekanisos")</f>
        <v>Dodekanisos</v>
      </c>
      <c r="D1861" s="9" t="str">
        <f>IFERROR(__xludf.DUMMYFUNCTION("GOOGLETRANSLATE($A1861,""en"",""fr"")"),"Dodékanisos")</f>
        <v>Dodékanisos</v>
      </c>
      <c r="E1861" s="9" t="str">
        <f>IFERROR(__xludf.DUMMYFUNCTION("GOOGLETRANSLATE($A1861,""en"",""es"")"),"Dodecanisos")</f>
        <v>Dodecanisos</v>
      </c>
      <c r="F1861" s="9" t="str">
        <f>IFERROR(__xludf.DUMMYFUNCTION("GOOGLETRANSLATE($A1861,""en"",""it"")"),"Dodecaniso")</f>
        <v>Dodecaniso</v>
      </c>
      <c r="G1861" s="9" t="str">
        <f>IFERROR(__xludf.DUMMYFUNCTION("GOOGLETRANSLATE($A1861,""en"",""zh-cn"")"),"多德卡尼索斯")</f>
        <v>多德卡尼索斯</v>
      </c>
      <c r="H1861" s="9" t="str">
        <f>IFERROR(__xludf.DUMMYFUNCTION("GOOGLETRANSLATE($A1861,""en"",""ja"")"),"ドデカニソス")</f>
        <v>ドデカニソス</v>
      </c>
      <c r="I1861" s="9" t="str">
        <f>IFERROR(__xludf.DUMMYFUNCTION("GOOGLETRANSLATE($A1861,""en"",""ko"")"),"도데카니소스")</f>
        <v>도데카니소스</v>
      </c>
      <c r="J1861" s="9" t="str">
        <f>IFERROR(__xludf.DUMMYFUNCTION("GOOGLETRANSLATE($A1861,""en"",""pt-BR"")"),"Dodecanisos")</f>
        <v>Dodecanisos</v>
      </c>
    </row>
    <row r="1862">
      <c r="A1862" s="9" t="str">
        <f>IFERROR(__xludf.DUMMYFUNCTION("""COMPUTED_VALUE"""),"Chios")</f>
        <v>Chios</v>
      </c>
      <c r="B1862" s="9" t="str">
        <f>IFERROR(__xludf.DUMMYFUNCTION("""COMPUTED_VALUE"""),"gr-85")</f>
        <v>gr-85</v>
      </c>
      <c r="C1862" s="9" t="str">
        <f>IFERROR(__xludf.DUMMYFUNCTION("GOOGLETRANSLATE($A1862,""en"",""de"")"),"Chios")</f>
        <v>Chios</v>
      </c>
      <c r="D1862" s="9" t="str">
        <f>IFERROR(__xludf.DUMMYFUNCTION("GOOGLETRANSLATE($A1862,""en"",""fr"")"),"Chios")</f>
        <v>Chios</v>
      </c>
      <c r="E1862" s="9" t="str">
        <f>IFERROR(__xludf.DUMMYFUNCTION("GOOGLETRANSLATE($A1862,""en"",""es"")"),"Quíos")</f>
        <v>Quíos</v>
      </c>
      <c r="F1862" s="9" t="str">
        <f>IFERROR(__xludf.DUMMYFUNCTION("GOOGLETRANSLATE($A1862,""en"",""it"")"),"Chio")</f>
        <v>Chio</v>
      </c>
      <c r="G1862" s="9" t="str">
        <f>IFERROR(__xludf.DUMMYFUNCTION("GOOGLETRANSLATE($A1862,""en"",""zh-cn"")"),"希俄斯")</f>
        <v>希俄斯</v>
      </c>
      <c r="H1862" s="9" t="str">
        <f>IFERROR(__xludf.DUMMYFUNCTION("GOOGLETRANSLATE($A1862,""en"",""ja"")"),"キオス")</f>
        <v>キオス</v>
      </c>
      <c r="I1862" s="9" t="str">
        <f>IFERROR(__xludf.DUMMYFUNCTION("GOOGLETRANSLATE($A1862,""en"",""ko"")"),"키오스")</f>
        <v>키오스</v>
      </c>
      <c r="J1862" s="9" t="str">
        <f>IFERROR(__xludf.DUMMYFUNCTION("GOOGLETRANSLATE($A1862,""en"",""pt-BR"")"),"Quios")</f>
        <v>Quios</v>
      </c>
    </row>
    <row r="1863">
      <c r="A1863" s="9" t="str">
        <f>IFERROR(__xludf.DUMMYFUNCTION("""COMPUTED_VALUE"""),"Preveza")</f>
        <v>Preveza</v>
      </c>
      <c r="B1863" s="9" t="str">
        <f>IFERROR(__xludf.DUMMYFUNCTION("""COMPUTED_VALUE"""),"gr-34")</f>
        <v>gr-34</v>
      </c>
      <c r="C1863" s="9" t="str">
        <f>IFERROR(__xludf.DUMMYFUNCTION("GOOGLETRANSLATE($A1863,""en"",""de"")"),"Preveza")</f>
        <v>Preveza</v>
      </c>
      <c r="D1863" s="9" t="str">
        <f>IFERROR(__xludf.DUMMYFUNCTION("GOOGLETRANSLATE($A1863,""en"",""fr"")"),"Prévéza")</f>
        <v>Prévéza</v>
      </c>
      <c r="E1863" s="9" t="str">
        <f>IFERROR(__xludf.DUMMYFUNCTION("GOOGLETRANSLATE($A1863,""en"",""es"")"),"Préveza")</f>
        <v>Préveza</v>
      </c>
      <c r="F1863" s="9" t="str">
        <f>IFERROR(__xludf.DUMMYFUNCTION("GOOGLETRANSLATE($A1863,""en"",""it"")"),"Preveza")</f>
        <v>Preveza</v>
      </c>
      <c r="G1863" s="9" t="str">
        <f>IFERROR(__xludf.DUMMYFUNCTION("GOOGLETRANSLATE($A1863,""en"",""zh-cn"")"),"普雷韦扎")</f>
        <v>普雷韦扎</v>
      </c>
      <c r="H1863" s="9" t="str">
        <f>IFERROR(__xludf.DUMMYFUNCTION("GOOGLETRANSLATE($A1863,""en"",""ja"")"),"プリベザ")</f>
        <v>プリベザ</v>
      </c>
      <c r="I1863" s="9" t="str">
        <f>IFERROR(__xludf.DUMMYFUNCTION("GOOGLETRANSLATE($A1863,""en"",""ko"")"),"프레베자")</f>
        <v>프레베자</v>
      </c>
      <c r="J1863" s="9" t="str">
        <f>IFERROR(__xludf.DUMMYFUNCTION("GOOGLETRANSLATE($A1863,""en"",""pt-BR"")"),"Préveza")</f>
        <v>Préveza</v>
      </c>
    </row>
    <row r="1864">
      <c r="A1864" s="9" t="str">
        <f>IFERROR(__xludf.DUMMYFUNCTION("""COMPUTED_VALUE"""),"Ioannina")</f>
        <v>Ioannina</v>
      </c>
      <c r="B1864" s="9" t="str">
        <f>IFERROR(__xludf.DUMMYFUNCTION("""COMPUTED_VALUE"""),"gr-33")</f>
        <v>gr-33</v>
      </c>
      <c r="C1864" s="9" t="str">
        <f>IFERROR(__xludf.DUMMYFUNCTION("GOOGLETRANSLATE($A1864,""en"",""de"")"),"Ioannina")</f>
        <v>Ioannina</v>
      </c>
      <c r="D1864" s="9" t="str">
        <f>IFERROR(__xludf.DUMMYFUNCTION("GOOGLETRANSLATE($A1864,""en"",""fr"")"),"Ioannina")</f>
        <v>Ioannina</v>
      </c>
      <c r="E1864" s="9" t="str">
        <f>IFERROR(__xludf.DUMMYFUNCTION("GOOGLETRANSLATE($A1864,""en"",""es"")"),"Ioánina")</f>
        <v>Ioánina</v>
      </c>
      <c r="F1864" s="9" t="str">
        <f>IFERROR(__xludf.DUMMYFUNCTION("GOOGLETRANSLATE($A1864,""en"",""it"")"),"Ioannina")</f>
        <v>Ioannina</v>
      </c>
      <c r="G1864" s="9" t="str">
        <f>IFERROR(__xludf.DUMMYFUNCTION("GOOGLETRANSLATE($A1864,""en"",""zh-cn"")"),"约阿尼纳")</f>
        <v>约阿尼纳</v>
      </c>
      <c r="H1864" s="9" t="str">
        <f>IFERROR(__xludf.DUMMYFUNCTION("GOOGLETRANSLATE($A1864,""en"",""ja"")"),"ヨアニナ")</f>
        <v>ヨアニナ</v>
      </c>
      <c r="I1864" s="9" t="str">
        <f>IFERROR(__xludf.DUMMYFUNCTION("GOOGLETRANSLATE($A1864,""en"",""ko"")"),"이오안니나")</f>
        <v>이오안니나</v>
      </c>
      <c r="J1864" s="9" t="str">
        <f>IFERROR(__xludf.DUMMYFUNCTION("GOOGLETRANSLATE($A1864,""en"",""pt-BR"")"),"Joanina")</f>
        <v>Joanina</v>
      </c>
    </row>
    <row r="1865">
      <c r="A1865" s="9" t="str">
        <f>IFERROR(__xludf.DUMMYFUNCTION("""COMPUTED_VALUE"""),"Kilkis")</f>
        <v>Kilkis</v>
      </c>
      <c r="B1865" s="9" t="str">
        <f>IFERROR(__xludf.DUMMYFUNCTION("""COMPUTED_VALUE"""),"gr-57")</f>
        <v>gr-57</v>
      </c>
      <c r="C1865" s="9" t="str">
        <f>IFERROR(__xludf.DUMMYFUNCTION("GOOGLETRANSLATE($A1865,""en"",""de"")"),"Kilkis")</f>
        <v>Kilkis</v>
      </c>
      <c r="D1865" s="9" t="str">
        <f>IFERROR(__xludf.DUMMYFUNCTION("GOOGLETRANSLATE($A1865,""en"",""fr"")"),"Kilkís")</f>
        <v>Kilkís</v>
      </c>
      <c r="E1865" s="9" t="str">
        <f>IFERROR(__xludf.DUMMYFUNCTION("GOOGLETRANSLATE($A1865,""en"",""es"")"),"Kilkís")</f>
        <v>Kilkís</v>
      </c>
      <c r="F1865" s="9" t="str">
        <f>IFERROR(__xludf.DUMMYFUNCTION("GOOGLETRANSLATE($A1865,""en"",""it"")"),"Kilkis")</f>
        <v>Kilkis</v>
      </c>
      <c r="G1865" s="9" t="str">
        <f>IFERROR(__xludf.DUMMYFUNCTION("GOOGLETRANSLATE($A1865,""en"",""zh-cn"")"),"基尔基斯")</f>
        <v>基尔基斯</v>
      </c>
      <c r="H1865" s="9" t="str">
        <f>IFERROR(__xludf.DUMMYFUNCTION("GOOGLETRANSLATE($A1865,""en"",""ja"")"),"キルキス")</f>
        <v>キルキス</v>
      </c>
      <c r="I1865" s="9" t="str">
        <f>IFERROR(__xludf.DUMMYFUNCTION("GOOGLETRANSLATE($A1865,""en"",""ko"")"),"킬키스")</f>
        <v>킬키스</v>
      </c>
      <c r="J1865" s="9" t="str">
        <f>IFERROR(__xludf.DUMMYFUNCTION("GOOGLETRANSLATE($A1865,""en"",""pt-BR"")"),"Kilkis")</f>
        <v>Kilkis</v>
      </c>
    </row>
    <row r="1866">
      <c r="A1866" s="9" t="str">
        <f>IFERROR(__xludf.DUMMYFUNCTION("""COMPUTED_VALUE"""),"Rethymno")</f>
        <v>Rethymno</v>
      </c>
      <c r="B1866" s="9" t="str">
        <f>IFERROR(__xludf.DUMMYFUNCTION("""COMPUTED_VALUE"""),"gr-93")</f>
        <v>gr-93</v>
      </c>
      <c r="C1866" s="9" t="str">
        <f>IFERROR(__xludf.DUMMYFUNCTION("GOOGLETRANSLATE($A1866,""en"",""de"")"),"Rethymno")</f>
        <v>Rethymno</v>
      </c>
      <c r="D1866" s="9" t="str">
        <f>IFERROR(__xludf.DUMMYFUNCTION("GOOGLETRANSLATE($A1866,""en"",""fr"")"),"Réthymnon")</f>
        <v>Réthymnon</v>
      </c>
      <c r="E1866" s="9" t="str">
        <f>IFERROR(__xludf.DUMMYFUNCTION("GOOGLETRANSLATE($A1866,""en"",""es"")"),"Rétino")</f>
        <v>Rétino</v>
      </c>
      <c r="F1866" s="9" t="str">
        <f>IFERROR(__xludf.DUMMYFUNCTION("GOOGLETRANSLATE($A1866,""en"",""it"")"),"Rethymno")</f>
        <v>Rethymno</v>
      </c>
      <c r="G1866" s="9" t="str">
        <f>IFERROR(__xludf.DUMMYFUNCTION("GOOGLETRANSLATE($A1866,""en"",""zh-cn"")"),"雷斯蒙")</f>
        <v>雷斯蒙</v>
      </c>
      <c r="H1866" s="9" t="str">
        <f>IFERROR(__xludf.DUMMYFUNCTION("GOOGLETRANSLATE($A1866,""en"",""ja"")"),"レティムノ")</f>
        <v>レティムノ</v>
      </c>
      <c r="I1866" s="9" t="str">
        <f>IFERROR(__xludf.DUMMYFUNCTION("GOOGLETRANSLATE($A1866,""en"",""ko"")"),"레팀노")</f>
        <v>레팀노</v>
      </c>
      <c r="J1866" s="9" t="str">
        <f>IFERROR(__xludf.DUMMYFUNCTION("GOOGLETRANSLATE($A1866,""en"",""pt-BR"")"),"Retimno")</f>
        <v>Retimno</v>
      </c>
    </row>
    <row r="1867">
      <c r="A1867" s="9" t="str">
        <f>IFERROR(__xludf.DUMMYFUNCTION("""COMPUTED_VALUE"""),"Kozani")</f>
        <v>Kozani</v>
      </c>
      <c r="B1867" s="9" t="str">
        <f>IFERROR(__xludf.DUMMYFUNCTION("""COMPUTED_VALUE"""),"gr-58")</f>
        <v>gr-58</v>
      </c>
      <c r="C1867" s="9" t="str">
        <f>IFERROR(__xludf.DUMMYFUNCTION("GOOGLETRANSLATE($A1867,""en"",""de"")"),"Kozani")</f>
        <v>Kozani</v>
      </c>
      <c r="D1867" s="9" t="str">
        <f>IFERROR(__xludf.DUMMYFUNCTION("GOOGLETRANSLATE($A1867,""en"",""fr"")"),"Kozani")</f>
        <v>Kozani</v>
      </c>
      <c r="E1867" s="9" t="str">
        <f>IFERROR(__xludf.DUMMYFUNCTION("GOOGLETRANSLATE($A1867,""en"",""es"")"),"Kozaní")</f>
        <v>Kozaní</v>
      </c>
      <c r="F1867" s="9" t="str">
        <f>IFERROR(__xludf.DUMMYFUNCTION("GOOGLETRANSLATE($A1867,""en"",""it"")"),"Kozani")</f>
        <v>Kozani</v>
      </c>
      <c r="G1867" s="9" t="str">
        <f>IFERROR(__xludf.DUMMYFUNCTION("GOOGLETRANSLATE($A1867,""en"",""zh-cn"")"),"科扎尼")</f>
        <v>科扎尼</v>
      </c>
      <c r="H1867" s="9" t="str">
        <f>IFERROR(__xludf.DUMMYFUNCTION("GOOGLETRANSLATE($A1867,""en"",""ja"")"),"コザニ")</f>
        <v>コザニ</v>
      </c>
      <c r="I1867" s="9" t="str">
        <f>IFERROR(__xludf.DUMMYFUNCTION("GOOGLETRANSLATE($A1867,""en"",""ko"")"),"코자니")</f>
        <v>코자니</v>
      </c>
      <c r="J1867" s="9" t="str">
        <f>IFERROR(__xludf.DUMMYFUNCTION("GOOGLETRANSLATE($A1867,""en"",""pt-BR"")"),"Cozani")</f>
        <v>Cozani</v>
      </c>
    </row>
    <row r="1868">
      <c r="A1868" s="9" t="str">
        <f>IFERROR(__xludf.DUMMYFUNCTION("""COMPUTED_VALUE"""),"Karditsa")</f>
        <v>Karditsa</v>
      </c>
      <c r="B1868" s="9" t="str">
        <f>IFERROR(__xludf.DUMMYFUNCTION("""COMPUTED_VALUE"""),"gr-41")</f>
        <v>gr-41</v>
      </c>
      <c r="C1868" s="9" t="str">
        <f>IFERROR(__xludf.DUMMYFUNCTION("GOOGLETRANSLATE($A1868,""en"",""de"")"),"Karditsa")</f>
        <v>Karditsa</v>
      </c>
      <c r="D1868" s="9" t="str">
        <f>IFERROR(__xludf.DUMMYFUNCTION("GOOGLETRANSLATE($A1868,""en"",""fr"")"),"Karditsa")</f>
        <v>Karditsa</v>
      </c>
      <c r="E1868" s="9" t="str">
        <f>IFERROR(__xludf.DUMMYFUNCTION("GOOGLETRANSLATE($A1868,""en"",""es"")"),"Karditsa")</f>
        <v>Karditsa</v>
      </c>
      <c r="F1868" s="9" t="str">
        <f>IFERROR(__xludf.DUMMYFUNCTION("GOOGLETRANSLATE($A1868,""en"",""it"")"),"Karditsa")</f>
        <v>Karditsa</v>
      </c>
      <c r="G1868" s="9" t="str">
        <f>IFERROR(__xludf.DUMMYFUNCTION("GOOGLETRANSLATE($A1868,""en"",""zh-cn"")"),"卡尔迪察")</f>
        <v>卡尔迪察</v>
      </c>
      <c r="H1868" s="9" t="str">
        <f>IFERROR(__xludf.DUMMYFUNCTION("GOOGLETRANSLATE($A1868,""en"",""ja"")"),"カルディツァ")</f>
        <v>カルディツァ</v>
      </c>
      <c r="I1868" s="9" t="str">
        <f>IFERROR(__xludf.DUMMYFUNCTION("GOOGLETRANSLATE($A1868,""en"",""ko"")"),"카르디차")</f>
        <v>카르디차</v>
      </c>
      <c r="J1868" s="9" t="str">
        <f>IFERROR(__xludf.DUMMYFUNCTION("GOOGLETRANSLATE($A1868,""en"",""pt-BR"")"),"Karditsa")</f>
        <v>Karditsa</v>
      </c>
    </row>
    <row r="1869">
      <c r="A1869" s="9" t="str">
        <f>IFERROR(__xludf.DUMMYFUNCTION("""COMPUTED_VALUE"""),"Lefkada")</f>
        <v>Lefkada</v>
      </c>
      <c r="B1869" s="9" t="str">
        <f>IFERROR(__xludf.DUMMYFUNCTION("""COMPUTED_VALUE"""),"gr-24")</f>
        <v>gr-24</v>
      </c>
      <c r="C1869" s="9" t="str">
        <f>IFERROR(__xludf.DUMMYFUNCTION("GOOGLETRANSLATE($A1869,""en"",""de"")"),"Lefkada")</f>
        <v>Lefkada</v>
      </c>
      <c r="D1869" s="9" t="str">
        <f>IFERROR(__xludf.DUMMYFUNCTION("GOOGLETRANSLATE($A1869,""en"",""fr"")"),"Leucade")</f>
        <v>Leucade</v>
      </c>
      <c r="E1869" s="9" t="str">
        <f>IFERROR(__xludf.DUMMYFUNCTION("GOOGLETRANSLATE($A1869,""en"",""es"")"),"Léucade")</f>
        <v>Léucade</v>
      </c>
      <c r="F1869" s="9" t="str">
        <f>IFERROR(__xludf.DUMMYFUNCTION("GOOGLETRANSLATE($A1869,""en"",""it"")"),"Leucade")</f>
        <v>Leucade</v>
      </c>
      <c r="G1869" s="9" t="str">
        <f>IFERROR(__xludf.DUMMYFUNCTION("GOOGLETRANSLATE($A1869,""en"",""zh-cn"")"),"莱夫卡达")</f>
        <v>莱夫卡达</v>
      </c>
      <c r="H1869" s="9" t="str">
        <f>IFERROR(__xludf.DUMMYFUNCTION("GOOGLETRANSLATE($A1869,""en"",""ja"")"),"レフカダ島")</f>
        <v>レフカダ島</v>
      </c>
      <c r="I1869" s="9" t="str">
        <f>IFERROR(__xludf.DUMMYFUNCTION("GOOGLETRANSLATE($A1869,""en"",""ko"")"),"레프카다")</f>
        <v>레프카다</v>
      </c>
      <c r="J1869" s="9" t="str">
        <f>IFERROR(__xludf.DUMMYFUNCTION("GOOGLETRANSLATE($A1869,""en"",""pt-BR"")"),"Lefkada")</f>
        <v>Lefkada</v>
      </c>
    </row>
    <row r="1870">
      <c r="A1870" s="9" t="str">
        <f>IFERROR(__xludf.DUMMYFUNCTION("""COMPUTED_VALUE"""),"Chalkidiki")</f>
        <v>Chalkidiki</v>
      </c>
      <c r="B1870" s="9" t="str">
        <f>IFERROR(__xludf.DUMMYFUNCTION("""COMPUTED_VALUE"""),"gr-64")</f>
        <v>gr-64</v>
      </c>
      <c r="C1870" s="9" t="str">
        <f>IFERROR(__xludf.DUMMYFUNCTION("GOOGLETRANSLATE($A1870,""en"",""de"")"),"Chalkidiki")</f>
        <v>Chalkidiki</v>
      </c>
      <c r="D1870" s="9" t="str">
        <f>IFERROR(__xludf.DUMMYFUNCTION("GOOGLETRANSLATE($A1870,""en"",""fr"")"),"Chalcidique")</f>
        <v>Chalcidique</v>
      </c>
      <c r="E1870" s="9" t="str">
        <f>IFERROR(__xludf.DUMMYFUNCTION("GOOGLETRANSLATE($A1870,""en"",""es"")"),"Calcídica")</f>
        <v>Calcídica</v>
      </c>
      <c r="F1870" s="9" t="str">
        <f>IFERROR(__xludf.DUMMYFUNCTION("GOOGLETRANSLATE($A1870,""en"",""it"")"),"Calcidica")</f>
        <v>Calcidica</v>
      </c>
      <c r="G1870" s="9" t="str">
        <f>IFERROR(__xludf.DUMMYFUNCTION("GOOGLETRANSLATE($A1870,""en"",""zh-cn"")"),"哈尔基迪基语")</f>
        <v>哈尔基迪基语</v>
      </c>
      <c r="H1870" s="9" t="str">
        <f>IFERROR(__xludf.DUMMYFUNCTION("GOOGLETRANSLATE($A1870,""en"",""ja"")"),"ハルキディキ")</f>
        <v>ハルキディキ</v>
      </c>
      <c r="I1870" s="9" t="str">
        <f>IFERROR(__xludf.DUMMYFUNCTION("GOOGLETRANSLATE($A1870,""en"",""ko"")"),"할키디키")</f>
        <v>할키디키</v>
      </c>
      <c r="J1870" s="9" t="str">
        <f>IFERROR(__xludf.DUMMYFUNCTION("GOOGLETRANSLATE($A1870,""en"",""pt-BR"")"),"Calcídica")</f>
        <v>Calcídica</v>
      </c>
    </row>
    <row r="1871">
      <c r="A1871" s="9" t="str">
        <f>IFERROR(__xludf.DUMMYFUNCTION("""COMPUTED_VALUE"""),"Rodopi")</f>
        <v>Rodopi</v>
      </c>
      <c r="B1871" s="9" t="str">
        <f>IFERROR(__xludf.DUMMYFUNCTION("""COMPUTED_VALUE"""),"gr-73")</f>
        <v>gr-73</v>
      </c>
      <c r="C1871" s="9" t="str">
        <f>IFERROR(__xludf.DUMMYFUNCTION("GOOGLETRANSLATE($A1871,""en"",""de"")"),"Rodopi")</f>
        <v>Rodopi</v>
      </c>
      <c r="D1871" s="9" t="str">
        <f>IFERROR(__xludf.DUMMYFUNCTION("GOOGLETRANSLATE($A1871,""en"",""fr"")"),"Rodopi")</f>
        <v>Rodopi</v>
      </c>
      <c r="E1871" s="9" t="str">
        <f>IFERROR(__xludf.DUMMYFUNCTION("GOOGLETRANSLATE($A1871,""en"",""es"")"),"rodopí")</f>
        <v>rodopí</v>
      </c>
      <c r="F1871" s="9" t="str">
        <f>IFERROR(__xludf.DUMMYFUNCTION("GOOGLETRANSLATE($A1871,""en"",""it"")"),"Rodopi")</f>
        <v>Rodopi</v>
      </c>
      <c r="G1871" s="9" t="str">
        <f>IFERROR(__xludf.DUMMYFUNCTION("GOOGLETRANSLATE($A1871,""en"",""zh-cn"")"),"罗多皮")</f>
        <v>罗多皮</v>
      </c>
      <c r="H1871" s="9" t="str">
        <f>IFERROR(__xludf.DUMMYFUNCTION("GOOGLETRANSLATE($A1871,""en"",""ja"")"),"ロドピ")</f>
        <v>ロドピ</v>
      </c>
      <c r="I1871" s="9" t="str">
        <f>IFERROR(__xludf.DUMMYFUNCTION("GOOGLETRANSLATE($A1871,""en"",""ko"")"),"로도피")</f>
        <v>로도피</v>
      </c>
      <c r="J1871" s="9" t="str">
        <f>IFERROR(__xludf.DUMMYFUNCTION("GOOGLETRANSLATE($A1871,""en"",""pt-BR"")"),"Rodopi")</f>
        <v>Rodopi</v>
      </c>
    </row>
    <row r="1872">
      <c r="A1872" s="9" t="str">
        <f>IFERROR(__xludf.DUMMYFUNCTION("""COMPUTED_VALUE"""),"Argolida")</f>
        <v>Argolida</v>
      </c>
      <c r="B1872" s="9" t="str">
        <f>IFERROR(__xludf.DUMMYFUNCTION("""COMPUTED_VALUE"""),"gr-11")</f>
        <v>gr-11</v>
      </c>
      <c r="C1872" s="9" t="str">
        <f>IFERROR(__xludf.DUMMYFUNCTION("GOOGLETRANSLATE($A1872,""en"",""de"")"),"Argolis")</f>
        <v>Argolis</v>
      </c>
      <c r="D1872" s="9" t="str">
        <f>IFERROR(__xludf.DUMMYFUNCTION("GOOGLETRANSLATE($A1872,""en"",""fr"")"),"Argolide")</f>
        <v>Argolide</v>
      </c>
      <c r="E1872" s="9" t="str">
        <f>IFERROR(__xludf.DUMMYFUNCTION("GOOGLETRANSLATE($A1872,""en"",""es"")"),"Argólida")</f>
        <v>Argólida</v>
      </c>
      <c r="F1872" s="9" t="str">
        <f>IFERROR(__xludf.DUMMYFUNCTION("GOOGLETRANSLATE($A1872,""en"",""it"")"),"Argolide")</f>
        <v>Argolide</v>
      </c>
      <c r="G1872" s="9" t="str">
        <f>IFERROR(__xludf.DUMMYFUNCTION("GOOGLETRANSLATE($A1872,""en"",""zh-cn"")"),"阿尔戈利达")</f>
        <v>阿尔戈利达</v>
      </c>
      <c r="H1872" s="9" t="str">
        <f>IFERROR(__xludf.DUMMYFUNCTION("GOOGLETRANSLATE($A1872,""en"",""ja"")"),"アルゴリダ")</f>
        <v>アルゴリダ</v>
      </c>
      <c r="I1872" s="9" t="str">
        <f>IFERROR(__xludf.DUMMYFUNCTION("GOOGLETRANSLATE($A1872,""en"",""ko"")"),"아르골리다")</f>
        <v>아르골리다</v>
      </c>
      <c r="J1872" s="9" t="str">
        <f>IFERROR(__xludf.DUMMYFUNCTION("GOOGLETRANSLATE($A1872,""en"",""pt-BR"")"),"Argólida")</f>
        <v>Argólida</v>
      </c>
    </row>
    <row r="1873">
      <c r="A1873" s="9" t="str">
        <f>IFERROR(__xludf.DUMMYFUNCTION("""COMPUTED_VALUE"""),"Kastoria")</f>
        <v>Kastoria</v>
      </c>
      <c r="B1873" s="9" t="str">
        <f>IFERROR(__xludf.DUMMYFUNCTION("""COMPUTED_VALUE"""),"gr-56")</f>
        <v>gr-56</v>
      </c>
      <c r="C1873" s="9" t="str">
        <f>IFERROR(__xludf.DUMMYFUNCTION("GOOGLETRANSLATE($A1873,""en"",""de"")"),"Kastoria")</f>
        <v>Kastoria</v>
      </c>
      <c r="D1873" s="9" t="str">
        <f>IFERROR(__xludf.DUMMYFUNCTION("GOOGLETRANSLATE($A1873,""en"",""fr"")"),"Kastoria")</f>
        <v>Kastoria</v>
      </c>
      <c r="E1873" s="9" t="str">
        <f>IFERROR(__xludf.DUMMYFUNCTION("GOOGLETRANSLATE($A1873,""en"",""es"")"),"Kastoriá")</f>
        <v>Kastoriá</v>
      </c>
      <c r="F1873" s="9" t="str">
        <f>IFERROR(__xludf.DUMMYFUNCTION("GOOGLETRANSLATE($A1873,""en"",""it"")"),"Kastoria")</f>
        <v>Kastoria</v>
      </c>
      <c r="G1873" s="9" t="str">
        <f>IFERROR(__xludf.DUMMYFUNCTION("GOOGLETRANSLATE($A1873,""en"",""zh-cn"")"),"卡斯托里亚")</f>
        <v>卡斯托里亚</v>
      </c>
      <c r="H1873" s="9" t="str">
        <f>IFERROR(__xludf.DUMMYFUNCTION("GOOGLETRANSLATE($A1873,""en"",""ja"")"),"カストリア")</f>
        <v>カストリア</v>
      </c>
      <c r="I1873" s="9" t="str">
        <f>IFERROR(__xludf.DUMMYFUNCTION("GOOGLETRANSLATE($A1873,""en"",""ko"")"),"카스토리아")</f>
        <v>카스토리아</v>
      </c>
      <c r="J1873" s="9" t="str">
        <f>IFERROR(__xludf.DUMMYFUNCTION("GOOGLETRANSLATE($A1873,""en"",""pt-BR"")"),"Castória")</f>
        <v>Castória</v>
      </c>
    </row>
    <row r="1874">
      <c r="A1874" s="9" t="str">
        <f>IFERROR(__xludf.DUMMYFUNCTION("""COMPUTED_VALUE"""),"Irakleio")</f>
        <v>Irakleio</v>
      </c>
      <c r="B1874" s="9" t="str">
        <f>IFERROR(__xludf.DUMMYFUNCTION("""COMPUTED_VALUE"""),"gr-91")</f>
        <v>gr-91</v>
      </c>
      <c r="C1874" s="9" t="str">
        <f>IFERROR(__xludf.DUMMYFUNCTION("GOOGLETRANSLATE($A1874,""en"",""de"")"),"Iraklio")</f>
        <v>Iraklio</v>
      </c>
      <c r="D1874" s="9" t="str">
        <f>IFERROR(__xludf.DUMMYFUNCTION("GOOGLETRANSLATE($A1874,""en"",""fr"")"),"Héraklion")</f>
        <v>Héraklion</v>
      </c>
      <c r="E1874" s="9" t="str">
        <f>IFERROR(__xludf.DUMMYFUNCTION("GOOGLETRANSLATE($A1874,""en"",""es"")"),"Irakleo")</f>
        <v>Irakleo</v>
      </c>
      <c r="F1874" s="9" t="str">
        <f>IFERROR(__xludf.DUMMYFUNCTION("GOOGLETRANSLATE($A1874,""en"",""it"")"),"Iraklio")</f>
        <v>Iraklio</v>
      </c>
      <c r="G1874" s="9" t="str">
        <f>IFERROR(__xludf.DUMMYFUNCTION("GOOGLETRANSLATE($A1874,""en"",""zh-cn"")"),"伊拉克利奥")</f>
        <v>伊拉克利奥</v>
      </c>
      <c r="H1874" s="9" t="str">
        <f>IFERROR(__xludf.DUMMYFUNCTION("GOOGLETRANSLATE($A1874,""en"",""ja"")"),"イラクリオ")</f>
        <v>イラクリオ</v>
      </c>
      <c r="I1874" s="9" t="str">
        <f>IFERROR(__xludf.DUMMYFUNCTION("GOOGLETRANSLATE($A1874,""en"",""ko"")"),"이라클레이오")</f>
        <v>이라클레이오</v>
      </c>
      <c r="J1874" s="9" t="str">
        <f>IFERROR(__xludf.DUMMYFUNCTION("GOOGLETRANSLATE($A1874,""en"",""pt-BR"")"),"Irakleio")</f>
        <v>Irakleio</v>
      </c>
    </row>
    <row r="1875">
      <c r="A1875" s="9" t="str">
        <f>IFERROR(__xludf.DUMMYFUNCTION("""COMPUTED_VALUE"""),"Chania")</f>
        <v>Chania</v>
      </c>
      <c r="B1875" s="9" t="str">
        <f>IFERROR(__xludf.DUMMYFUNCTION("""COMPUTED_VALUE"""),"gr-94")</f>
        <v>gr-94</v>
      </c>
      <c r="C1875" s="9" t="str">
        <f>IFERROR(__xludf.DUMMYFUNCTION("GOOGLETRANSLATE($A1875,""en"",""de"")"),"Chania")</f>
        <v>Chania</v>
      </c>
      <c r="D1875" s="9" t="str">
        <f>IFERROR(__xludf.DUMMYFUNCTION("GOOGLETRANSLATE($A1875,""en"",""fr"")"),"La Canée")</f>
        <v>La Canée</v>
      </c>
      <c r="E1875" s="9" t="str">
        <f>IFERROR(__xludf.DUMMYFUNCTION("GOOGLETRANSLATE($A1875,""en"",""es"")"),"La Canea")</f>
        <v>La Canea</v>
      </c>
      <c r="F1875" s="9" t="str">
        <f>IFERROR(__xludf.DUMMYFUNCTION("GOOGLETRANSLATE($A1875,""en"",""it"")"),"La Canea")</f>
        <v>La Canea</v>
      </c>
      <c r="G1875" s="9" t="str">
        <f>IFERROR(__xludf.DUMMYFUNCTION("GOOGLETRANSLATE($A1875,""en"",""zh-cn"")"),"干尼亚")</f>
        <v>干尼亚</v>
      </c>
      <c r="H1875" s="9" t="str">
        <f>IFERROR(__xludf.DUMMYFUNCTION("GOOGLETRANSLATE($A1875,""en"",""ja"")"),"ハニア")</f>
        <v>ハニア</v>
      </c>
      <c r="I1875" s="9" t="str">
        <f>IFERROR(__xludf.DUMMYFUNCTION("GOOGLETRANSLATE($A1875,""en"",""ko"")"),"하니아")</f>
        <v>하니아</v>
      </c>
      <c r="J1875" s="9" t="str">
        <f>IFERROR(__xludf.DUMMYFUNCTION("GOOGLETRANSLATE($A1875,""en"",""pt-BR"")"),"Chania")</f>
        <v>Chania</v>
      </c>
    </row>
    <row r="1876">
      <c r="A1876" s="9" t="str">
        <f>IFERROR(__xludf.DUMMYFUNCTION("""COMPUTED_VALUE"""),"Evrytania")</f>
        <v>Evrytania</v>
      </c>
      <c r="B1876" s="9" t="str">
        <f>IFERROR(__xludf.DUMMYFUNCTION("""COMPUTED_VALUE"""),"gr-05")</f>
        <v>gr-05</v>
      </c>
      <c r="C1876" s="9" t="str">
        <f>IFERROR(__xludf.DUMMYFUNCTION("GOOGLETRANSLATE($A1876,""en"",""de"")"),"Evrytania")</f>
        <v>Evrytania</v>
      </c>
      <c r="D1876" s="9" t="str">
        <f>IFERROR(__xludf.DUMMYFUNCTION("GOOGLETRANSLATE($A1876,""en"",""fr"")"),"Evrytanie")</f>
        <v>Evrytanie</v>
      </c>
      <c r="E1876" s="9" t="str">
        <f>IFERROR(__xludf.DUMMYFUNCTION("GOOGLETRANSLATE($A1876,""en"",""es"")"),"Euritania")</f>
        <v>Euritania</v>
      </c>
      <c r="F1876" s="9" t="str">
        <f>IFERROR(__xludf.DUMMYFUNCTION("GOOGLETRANSLATE($A1876,""en"",""it"")"),"Euritania")</f>
        <v>Euritania</v>
      </c>
      <c r="G1876" s="9" t="str">
        <f>IFERROR(__xludf.DUMMYFUNCTION("GOOGLETRANSLATE($A1876,""en"",""zh-cn"")"),"叶夫里塔尼亚")</f>
        <v>叶夫里塔尼亚</v>
      </c>
      <c r="H1876" s="9" t="str">
        <f>IFERROR(__xludf.DUMMYFUNCTION("GOOGLETRANSLATE($A1876,""en"",""ja"")"),"エブリタニア")</f>
        <v>エブリタニア</v>
      </c>
      <c r="I1876" s="9" t="str">
        <f>IFERROR(__xludf.DUMMYFUNCTION("GOOGLETRANSLATE($A1876,""en"",""ko"")"),"에브리타니아")</f>
        <v>에브리타니아</v>
      </c>
      <c r="J1876" s="9" t="str">
        <f>IFERROR(__xludf.DUMMYFUNCTION("GOOGLETRANSLATE($A1876,""en"",""pt-BR"")"),"Euritânia")</f>
        <v>Euritânia</v>
      </c>
    </row>
    <row r="1877">
      <c r="A1877" s="9" t="str">
        <f>IFERROR(__xludf.DUMMYFUNCTION("""COMPUTED_VALUE"""),"Florina")</f>
        <v>Florina</v>
      </c>
      <c r="B1877" s="9" t="str">
        <f>IFERROR(__xludf.DUMMYFUNCTION("""COMPUTED_VALUE"""),"gr-63")</f>
        <v>gr-63</v>
      </c>
      <c r="C1877" s="9" t="str">
        <f>IFERROR(__xludf.DUMMYFUNCTION("GOOGLETRANSLATE($A1877,""en"",""de"")"),"Florina")</f>
        <v>Florina</v>
      </c>
      <c r="D1877" s="9" t="str">
        <f>IFERROR(__xludf.DUMMYFUNCTION("GOOGLETRANSLATE($A1877,""en"",""fr"")"),"Florine")</f>
        <v>Florine</v>
      </c>
      <c r="E1877" s="9" t="str">
        <f>IFERROR(__xludf.DUMMYFUNCTION("GOOGLETRANSLATE($A1877,""en"",""es"")"),"florina")</f>
        <v>florina</v>
      </c>
      <c r="F1877" s="9" t="str">
        <f>IFERROR(__xludf.DUMMYFUNCTION("GOOGLETRANSLATE($A1877,""en"",""it"")"),"Florina")</f>
        <v>Florina</v>
      </c>
      <c r="G1877" s="9" t="str">
        <f>IFERROR(__xludf.DUMMYFUNCTION("GOOGLETRANSLATE($A1877,""en"",""zh-cn"")"),"弗洛里娜")</f>
        <v>弗洛里娜</v>
      </c>
      <c r="H1877" s="9" t="str">
        <f>IFERROR(__xludf.DUMMYFUNCTION("GOOGLETRANSLATE($A1877,""en"",""ja"")"),"フロリナ")</f>
        <v>フロリナ</v>
      </c>
      <c r="I1877" s="9" t="str">
        <f>IFERROR(__xludf.DUMMYFUNCTION("GOOGLETRANSLATE($A1877,""en"",""ko"")"),"플로리나")</f>
        <v>플로리나</v>
      </c>
      <c r="J1877" s="9" t="str">
        <f>IFERROR(__xludf.DUMMYFUNCTION("GOOGLETRANSLATE($A1877,""en"",""pt-BR"")"),"Florina")</f>
        <v>Florina</v>
      </c>
    </row>
    <row r="1878">
      <c r="A1878" s="9" t="str">
        <f>IFERROR(__xludf.DUMMYFUNCTION("""COMPUTED_VALUE"""),"Pieria")</f>
        <v>Pieria</v>
      </c>
      <c r="B1878" s="9" t="str">
        <f>IFERROR(__xludf.DUMMYFUNCTION("""COMPUTED_VALUE"""),"gr-61")</f>
        <v>gr-61</v>
      </c>
      <c r="C1878" s="9" t="str">
        <f>IFERROR(__xludf.DUMMYFUNCTION("GOOGLETRANSLATE($A1878,""en"",""de"")"),"Pieria")</f>
        <v>Pieria</v>
      </c>
      <c r="D1878" s="9" t="str">
        <f>IFERROR(__xludf.DUMMYFUNCTION("GOOGLETRANSLATE($A1878,""en"",""fr"")"),"Piérie")</f>
        <v>Piérie</v>
      </c>
      <c r="E1878" s="9" t="str">
        <f>IFERROR(__xludf.DUMMYFUNCTION("GOOGLETRANSLATE($A1878,""en"",""es"")"),"Piería")</f>
        <v>Piería</v>
      </c>
      <c r="F1878" s="9" t="str">
        <f>IFERROR(__xludf.DUMMYFUNCTION("GOOGLETRANSLATE($A1878,""en"",""it"")"),"Pieria")</f>
        <v>Pieria</v>
      </c>
      <c r="G1878" s="9" t="str">
        <f>IFERROR(__xludf.DUMMYFUNCTION("GOOGLETRANSLATE($A1878,""en"",""zh-cn"")"),"皮埃里亚")</f>
        <v>皮埃里亚</v>
      </c>
      <c r="H1878" s="9" t="str">
        <f>IFERROR(__xludf.DUMMYFUNCTION("GOOGLETRANSLATE($A1878,""en"",""ja"")"),"ピエリア")</f>
        <v>ピエリア</v>
      </c>
      <c r="I1878" s="9" t="str">
        <f>IFERROR(__xludf.DUMMYFUNCTION("GOOGLETRANSLATE($A1878,""en"",""ko"")"),"피에리아")</f>
        <v>피에리아</v>
      </c>
      <c r="J1878" s="9" t="str">
        <f>IFERROR(__xludf.DUMMYFUNCTION("GOOGLETRANSLATE($A1878,""en"",""pt-BR"")"),"Pieria")</f>
        <v>Pieria</v>
      </c>
    </row>
    <row r="1879">
      <c r="A1879" s="9" t="str">
        <f>IFERROR(__xludf.DUMMYFUNCTION("""COMPUTED_VALUE"""),"Achaïa")</f>
        <v>Achaïa</v>
      </c>
      <c r="B1879" s="9" t="str">
        <f>IFERROR(__xludf.DUMMYFUNCTION("""COMPUTED_VALUE"""),"gr-13")</f>
        <v>gr-13</v>
      </c>
      <c r="C1879" s="9" t="str">
        <f>IFERROR(__xludf.DUMMYFUNCTION("GOOGLETRANSLATE($A1879,""en"",""de"")"),"Achaia")</f>
        <v>Achaia</v>
      </c>
      <c r="D1879" s="9" t="str">
        <f>IFERROR(__xludf.DUMMYFUNCTION("GOOGLETRANSLATE($A1879,""en"",""fr"")"),"Achaïe")</f>
        <v>Achaïe</v>
      </c>
      <c r="E1879" s="9" t="str">
        <f>IFERROR(__xludf.DUMMYFUNCTION("GOOGLETRANSLATE($A1879,""en"",""es"")"),"Acaya")</f>
        <v>Acaya</v>
      </c>
      <c r="F1879" s="9" t="str">
        <f>IFERROR(__xludf.DUMMYFUNCTION("GOOGLETRANSLATE($A1879,""en"",""it"")"),"Acaia")</f>
        <v>Acaia</v>
      </c>
      <c r="G1879" s="9" t="str">
        <f>IFERROR(__xludf.DUMMYFUNCTION("GOOGLETRANSLATE($A1879,""en"",""zh-cn"")"),"亚该亚")</f>
        <v>亚该亚</v>
      </c>
      <c r="H1879" s="9" t="str">
        <f>IFERROR(__xludf.DUMMYFUNCTION("GOOGLETRANSLATE($A1879,""en"",""ja"")"),"アカイア")</f>
        <v>アカイア</v>
      </c>
      <c r="I1879" s="9" t="str">
        <f>IFERROR(__xludf.DUMMYFUNCTION("GOOGLETRANSLATE($A1879,""en"",""ko"")"),"아카이아")</f>
        <v>아카이아</v>
      </c>
      <c r="J1879" s="9" t="str">
        <f>IFERROR(__xludf.DUMMYFUNCTION("GOOGLETRANSLATE($A1879,""en"",""pt-BR"")"),"Acaia")</f>
        <v>Acaia</v>
      </c>
    </row>
    <row r="1880">
      <c r="A1880" s="9" t="str">
        <f>IFERROR(__xludf.DUMMYFUNCTION("""COMPUTED_VALUE"""),"Grevena")</f>
        <v>Grevena</v>
      </c>
      <c r="B1880" s="9" t="str">
        <f>IFERROR(__xludf.DUMMYFUNCTION("""COMPUTED_VALUE"""),"gr-51")</f>
        <v>gr-51</v>
      </c>
      <c r="C1880" s="9" t="str">
        <f>IFERROR(__xludf.DUMMYFUNCTION("GOOGLETRANSLATE($A1880,""en"",""de"")"),"Grevena")</f>
        <v>Grevena</v>
      </c>
      <c r="D1880" s="9" t="str">
        <f>IFERROR(__xludf.DUMMYFUNCTION("GOOGLETRANSLATE($A1880,""en"",""fr"")"),"Grévena")</f>
        <v>Grévena</v>
      </c>
      <c r="E1880" s="9" t="str">
        <f>IFERROR(__xludf.DUMMYFUNCTION("GOOGLETRANSLATE($A1880,""en"",""es"")"),"Grevená")</f>
        <v>Grevená</v>
      </c>
      <c r="F1880" s="9" t="str">
        <f>IFERROR(__xludf.DUMMYFUNCTION("GOOGLETRANSLATE($A1880,""en"",""it"")"),"Grevena")</f>
        <v>Grevena</v>
      </c>
      <c r="G1880" s="9" t="str">
        <f>IFERROR(__xludf.DUMMYFUNCTION("GOOGLETRANSLATE($A1880,""en"",""zh-cn"")"),"格雷韦纳")</f>
        <v>格雷韦纳</v>
      </c>
      <c r="H1880" s="9" t="str">
        <f>IFERROR(__xludf.DUMMYFUNCTION("GOOGLETRANSLATE($A1880,""en"",""ja"")"),"グレベナ")</f>
        <v>グレベナ</v>
      </c>
      <c r="I1880" s="9" t="str">
        <f>IFERROR(__xludf.DUMMYFUNCTION("GOOGLETRANSLATE($A1880,""en"",""ko"")"),"그레베나")</f>
        <v>그레베나</v>
      </c>
      <c r="J1880" s="9" t="str">
        <f>IFERROR(__xludf.DUMMYFUNCTION("GOOGLETRANSLATE($A1880,""en"",""pt-BR"")"),"Grevena")</f>
        <v>Grevena</v>
      </c>
    </row>
    <row r="1881">
      <c r="A1881" s="9" t="str">
        <f>IFERROR(__xludf.DUMMYFUNCTION("""COMPUTED_VALUE"""),"Xanthi")</f>
        <v>Xanthi</v>
      </c>
      <c r="B1881" s="9" t="str">
        <f>IFERROR(__xludf.DUMMYFUNCTION("""COMPUTED_VALUE"""),"gr-72")</f>
        <v>gr-72</v>
      </c>
      <c r="C1881" s="9" t="str">
        <f>IFERROR(__xludf.DUMMYFUNCTION("GOOGLETRANSLATE($A1881,""en"",""de"")"),"Xanthi")</f>
        <v>Xanthi</v>
      </c>
      <c r="D1881" s="9" t="str">
        <f>IFERROR(__xludf.DUMMYFUNCTION("GOOGLETRANSLATE($A1881,""en"",""fr"")"),"Xanthi")</f>
        <v>Xanthi</v>
      </c>
      <c r="E1881" s="9" t="str">
        <f>IFERROR(__xludf.DUMMYFUNCTION("GOOGLETRANSLATE($A1881,""en"",""es"")"),"Xanthi")</f>
        <v>Xanthi</v>
      </c>
      <c r="F1881" s="9" t="str">
        <f>IFERROR(__xludf.DUMMYFUNCTION("GOOGLETRANSLATE($A1881,""en"",""it"")"),"Xanthi")</f>
        <v>Xanthi</v>
      </c>
      <c r="G1881" s="9" t="str">
        <f>IFERROR(__xludf.DUMMYFUNCTION("GOOGLETRANSLATE($A1881,""en"",""zh-cn"")"),"克桑西")</f>
        <v>克桑西</v>
      </c>
      <c r="H1881" s="9" t="str">
        <f>IFERROR(__xludf.DUMMYFUNCTION("GOOGLETRANSLATE($A1881,""en"",""ja"")"),"クサンティ")</f>
        <v>クサンティ</v>
      </c>
      <c r="I1881" s="9" t="str">
        <f>IFERROR(__xludf.DUMMYFUNCTION("GOOGLETRANSLATE($A1881,""en"",""ko"")"),"크산티")</f>
        <v>크산티</v>
      </c>
      <c r="J1881" s="9" t="str">
        <f>IFERROR(__xludf.DUMMYFUNCTION("GOOGLETRANSLATE($A1881,""en"",""pt-BR"")"),"Xanthi")</f>
        <v>Xanthi</v>
      </c>
    </row>
    <row r="1882">
      <c r="A1882" s="9" t="str">
        <f>IFERROR(__xludf.DUMMYFUNCTION("""COMPUTED_VALUE"""),"Trikala")</f>
        <v>Trikala</v>
      </c>
      <c r="B1882" s="9" t="str">
        <f>IFERROR(__xludf.DUMMYFUNCTION("""COMPUTED_VALUE"""),"gr-44")</f>
        <v>gr-44</v>
      </c>
      <c r="C1882" s="9" t="str">
        <f>IFERROR(__xludf.DUMMYFUNCTION("GOOGLETRANSLATE($A1882,""en"",""de"")"),"Trikala")</f>
        <v>Trikala</v>
      </c>
      <c r="D1882" s="9" t="str">
        <f>IFERROR(__xludf.DUMMYFUNCTION("GOOGLETRANSLATE($A1882,""en"",""fr"")"),"Trikala")</f>
        <v>Trikala</v>
      </c>
      <c r="E1882" s="9" t="str">
        <f>IFERROR(__xludf.DUMMYFUNCTION("GOOGLETRANSLATE($A1882,""en"",""es"")"),"Tríkala")</f>
        <v>Tríkala</v>
      </c>
      <c r="F1882" s="9" t="str">
        <f>IFERROR(__xludf.DUMMYFUNCTION("GOOGLETRANSLATE($A1882,""en"",""it"")"),"Trikala")</f>
        <v>Trikala</v>
      </c>
      <c r="G1882" s="9" t="str">
        <f>IFERROR(__xludf.DUMMYFUNCTION("GOOGLETRANSLATE($A1882,""en"",""zh-cn"")"),"特里卡拉")</f>
        <v>特里卡拉</v>
      </c>
      <c r="H1882" s="9" t="str">
        <f>IFERROR(__xludf.DUMMYFUNCTION("GOOGLETRANSLATE($A1882,""en"",""ja"")"),"トリカラ")</f>
        <v>トリカラ</v>
      </c>
      <c r="I1882" s="9" t="str">
        <f>IFERROR(__xludf.DUMMYFUNCTION("GOOGLETRANSLATE($A1882,""en"",""ko"")"),"트리칼라")</f>
        <v>트리칼라</v>
      </c>
      <c r="J1882" s="9" t="str">
        <f>IFERROR(__xludf.DUMMYFUNCTION("GOOGLETRANSLATE($A1882,""en"",""pt-BR"")"),"Tríkala")</f>
        <v>Tríkala</v>
      </c>
    </row>
    <row r="1883">
      <c r="A1883" s="9" t="str">
        <f>IFERROR(__xludf.DUMMYFUNCTION("""COMPUTED_VALUE"""),"Lesvos")</f>
        <v>Lesvos</v>
      </c>
      <c r="B1883" s="9" t="str">
        <f>IFERROR(__xludf.DUMMYFUNCTION("""COMPUTED_VALUE"""),"gr-83")</f>
        <v>gr-83</v>
      </c>
      <c r="C1883" s="9" t="str">
        <f>IFERROR(__xludf.DUMMYFUNCTION("GOOGLETRANSLATE($A1883,""en"",""de"")"),"Lesbos")</f>
        <v>Lesbos</v>
      </c>
      <c r="D1883" s="9" t="str">
        <f>IFERROR(__xludf.DUMMYFUNCTION("GOOGLETRANSLATE($A1883,""en"",""fr"")"),"Lesbos")</f>
        <v>Lesbos</v>
      </c>
      <c r="E1883" s="9" t="str">
        <f>IFERROR(__xludf.DUMMYFUNCTION("GOOGLETRANSLATE($A1883,""en"",""es"")"),"Lesbos")</f>
        <v>Lesbos</v>
      </c>
      <c r="F1883" s="9" t="str">
        <f>IFERROR(__xludf.DUMMYFUNCTION("GOOGLETRANSLATE($A1883,""en"",""it"")"),"Lesbo")</f>
        <v>Lesbo</v>
      </c>
      <c r="G1883" s="9" t="str">
        <f>IFERROR(__xludf.DUMMYFUNCTION("GOOGLETRANSLATE($A1883,""en"",""zh-cn"")"),"莱斯沃斯岛")</f>
        <v>莱斯沃斯岛</v>
      </c>
      <c r="H1883" s="9" t="str">
        <f>IFERROR(__xludf.DUMMYFUNCTION("GOOGLETRANSLATE($A1883,""en"",""ja"")"),"レスボス島")</f>
        <v>レスボス島</v>
      </c>
      <c r="I1883" s="9" t="str">
        <f>IFERROR(__xludf.DUMMYFUNCTION("GOOGLETRANSLATE($A1883,""en"",""ko"")"),"레스보스")</f>
        <v>레스보스</v>
      </c>
      <c r="J1883" s="9" t="str">
        <f>IFERROR(__xludf.DUMMYFUNCTION("GOOGLETRANSLATE($A1883,""en"",""pt-BR"")"),"Lesvos")</f>
        <v>Lesvos</v>
      </c>
    </row>
    <row r="1884">
      <c r="A1884" s="9" t="str">
        <f>IFERROR(__xludf.DUMMYFUNCTION("""COMPUTED_VALUE"""),"Evros")</f>
        <v>Evros</v>
      </c>
      <c r="B1884" s="9" t="str">
        <f>IFERROR(__xludf.DUMMYFUNCTION("""COMPUTED_VALUE"""),"gr-71")</f>
        <v>gr-71</v>
      </c>
      <c r="C1884" s="9" t="str">
        <f>IFERROR(__xludf.DUMMYFUNCTION("GOOGLETRANSLATE($A1884,""en"",""de"")"),"Evros")</f>
        <v>Evros</v>
      </c>
      <c r="D1884" s="9" t="str">
        <f>IFERROR(__xludf.DUMMYFUNCTION("GOOGLETRANSLATE($A1884,""en"",""fr"")"),"Évros")</f>
        <v>Évros</v>
      </c>
      <c r="E1884" s="9" t="str">
        <f>IFERROR(__xludf.DUMMYFUNCTION("GOOGLETRANSLATE($A1884,""en"",""es"")"),"Euros")</f>
        <v>Euros</v>
      </c>
      <c r="F1884" s="9" t="str">
        <f>IFERROR(__xludf.DUMMYFUNCTION("GOOGLETRANSLATE($A1884,""en"",""it"")"),"Evros")</f>
        <v>Evros</v>
      </c>
      <c r="G1884" s="9" t="str">
        <f>IFERROR(__xludf.DUMMYFUNCTION("GOOGLETRANSLATE($A1884,""en"",""zh-cn"")"),"埃夫罗斯")</f>
        <v>埃夫罗斯</v>
      </c>
      <c r="H1884" s="9" t="str">
        <f>IFERROR(__xludf.DUMMYFUNCTION("GOOGLETRANSLATE($A1884,""en"",""ja"")"),"エブロス")</f>
        <v>エブロス</v>
      </c>
      <c r="I1884" s="9" t="str">
        <f>IFERROR(__xludf.DUMMYFUNCTION("GOOGLETRANSLATE($A1884,""en"",""ko"")"),"에브로스")</f>
        <v>에브로스</v>
      </c>
      <c r="J1884" s="9" t="str">
        <f>IFERROR(__xludf.DUMMYFUNCTION("GOOGLETRANSLATE($A1884,""en"",""pt-BR"")"),"Euros")</f>
        <v>Euros</v>
      </c>
    </row>
    <row r="1885">
      <c r="A1885" s="9" t="str">
        <f>IFERROR(__xludf.DUMMYFUNCTION("""COMPUTED_VALUE"""),"Evvoia")</f>
        <v>Evvoia</v>
      </c>
      <c r="B1885" s="9" t="str">
        <f>IFERROR(__xludf.DUMMYFUNCTION("""COMPUTED_VALUE"""),"gr-04")</f>
        <v>gr-04</v>
      </c>
      <c r="C1885" s="9" t="str">
        <f>IFERROR(__xludf.DUMMYFUNCTION("GOOGLETRANSLATE($A1885,""en"",""de"")"),"Evvoia")</f>
        <v>Evvoia</v>
      </c>
      <c r="D1885" s="9" t="str">
        <f>IFERROR(__xludf.DUMMYFUNCTION("GOOGLETRANSLATE($A1885,""en"",""fr"")"),"Evvoia")</f>
        <v>Evvoia</v>
      </c>
      <c r="E1885" s="9" t="str">
        <f>IFERROR(__xludf.DUMMYFUNCTION("GOOGLETRANSLATE($A1885,""en"",""es"")"),"Evvoia")</f>
        <v>Evvoia</v>
      </c>
      <c r="F1885" s="9" t="str">
        <f>IFERROR(__xludf.DUMMYFUNCTION("GOOGLETRANSLATE($A1885,""en"",""it"")"),"Evvoia")</f>
        <v>Evvoia</v>
      </c>
      <c r="G1885" s="9" t="str">
        <f>IFERROR(__xludf.DUMMYFUNCTION("GOOGLETRANSLATE($A1885,""en"",""zh-cn"")"),"埃沃亚")</f>
        <v>埃沃亚</v>
      </c>
      <c r="H1885" s="9" t="str">
        <f>IFERROR(__xludf.DUMMYFUNCTION("GOOGLETRANSLATE($A1885,""en"",""ja"")"),"エヴォイア")</f>
        <v>エヴォイア</v>
      </c>
      <c r="I1885" s="9" t="str">
        <f>IFERROR(__xludf.DUMMYFUNCTION("GOOGLETRANSLATE($A1885,""en"",""ko"")"),"에보이아")</f>
        <v>에보이아</v>
      </c>
      <c r="J1885" s="9" t="str">
        <f>IFERROR(__xludf.DUMMYFUNCTION("GOOGLETRANSLATE($A1885,""en"",""pt-BR"")"),"Euvoia")</f>
        <v>Euvoia</v>
      </c>
    </row>
    <row r="1886">
      <c r="A1886" s="9" t="str">
        <f>IFERROR(__xludf.DUMMYFUNCTION("""COMPUTED_VALUE"""),"Northern Aegean")</f>
        <v>Northern Aegean</v>
      </c>
      <c r="B1886" s="9" t="str">
        <f>IFERROR(__xludf.DUMMYFUNCTION("""COMPUTED_VALUE"""),"gr-k")</f>
        <v>gr-k</v>
      </c>
      <c r="C1886" s="9" t="str">
        <f>IFERROR(__xludf.DUMMYFUNCTION("GOOGLETRANSLATE($A1886,""en"",""de"")"),"Nördliche Ägäis")</f>
        <v>Nördliche Ägäis</v>
      </c>
      <c r="D1886" s="9" t="str">
        <f>IFERROR(__xludf.DUMMYFUNCTION("GOOGLETRANSLATE($A1886,""en"",""fr"")"),"Nord de la mer Égée")</f>
        <v>Nord de la mer Égée</v>
      </c>
      <c r="E1886" s="9" t="str">
        <f>IFERROR(__xludf.DUMMYFUNCTION("GOOGLETRANSLATE($A1886,""en"",""es"")"),"Egeo septentrional")</f>
        <v>Egeo septentrional</v>
      </c>
      <c r="F1886" s="9" t="str">
        <f>IFERROR(__xludf.DUMMYFUNCTION("GOOGLETRANSLATE($A1886,""en"",""it"")"),"Egeo settentrionale")</f>
        <v>Egeo settentrionale</v>
      </c>
      <c r="G1886" s="9" t="str">
        <f>IFERROR(__xludf.DUMMYFUNCTION("GOOGLETRANSLATE($A1886,""en"",""zh-cn"")"),"爱琴海北部")</f>
        <v>爱琴海北部</v>
      </c>
      <c r="H1886" s="9" t="str">
        <f>IFERROR(__xludf.DUMMYFUNCTION("GOOGLETRANSLATE($A1886,""en"",""ja"")"),"北エーゲ海")</f>
        <v>北エーゲ海</v>
      </c>
      <c r="I1886" s="9" t="str">
        <f>IFERROR(__xludf.DUMMYFUNCTION("GOOGLETRANSLATE($A1886,""en"",""ko"")"),"북부에게해")</f>
        <v>북부에게해</v>
      </c>
      <c r="J1886" s="9" t="str">
        <f>IFERROR(__xludf.DUMMYFUNCTION("GOOGLETRANSLATE($A1886,""en"",""pt-BR"")"),"Egeu Setentrional")</f>
        <v>Egeu Setentrional</v>
      </c>
    </row>
    <row r="1887">
      <c r="A1887" s="9" t="str">
        <f>IFERROR(__xludf.DUMMYFUNCTION("""COMPUTED_VALUE"""),"Drama")</f>
        <v>Drama</v>
      </c>
      <c r="B1887" s="9" t="str">
        <f>IFERROR(__xludf.DUMMYFUNCTION("""COMPUTED_VALUE"""),"gr-52")</f>
        <v>gr-52</v>
      </c>
      <c r="C1887" s="9" t="str">
        <f>IFERROR(__xludf.DUMMYFUNCTION("GOOGLETRANSLATE($A1887,""en"",""de"")"),"Drama")</f>
        <v>Drama</v>
      </c>
      <c r="D1887" s="9" t="str">
        <f>IFERROR(__xludf.DUMMYFUNCTION("GOOGLETRANSLATE($A1887,""en"",""fr"")"),"Drame")</f>
        <v>Drame</v>
      </c>
      <c r="E1887" s="9" t="str">
        <f>IFERROR(__xludf.DUMMYFUNCTION("GOOGLETRANSLATE($A1887,""en"",""es"")"),"Drama")</f>
        <v>Drama</v>
      </c>
      <c r="F1887" s="9" t="str">
        <f>IFERROR(__xludf.DUMMYFUNCTION("GOOGLETRANSLATE($A1887,""en"",""it"")"),"Dramma")</f>
        <v>Dramma</v>
      </c>
      <c r="G1887" s="9" t="str">
        <f>IFERROR(__xludf.DUMMYFUNCTION("GOOGLETRANSLATE($A1887,""en"",""zh-cn"")"),"戏剧")</f>
        <v>戏剧</v>
      </c>
      <c r="H1887" s="9" t="str">
        <f>IFERROR(__xludf.DUMMYFUNCTION("GOOGLETRANSLATE($A1887,""en"",""ja"")"),"ドラマ")</f>
        <v>ドラマ</v>
      </c>
      <c r="I1887" s="9" t="str">
        <f>IFERROR(__xludf.DUMMYFUNCTION("GOOGLETRANSLATE($A1887,""en"",""ko"")"),"드라마")</f>
        <v>드라마</v>
      </c>
      <c r="J1887" s="9" t="str">
        <f>IFERROR(__xludf.DUMMYFUNCTION("GOOGLETRANSLATE($A1887,""en"",""pt-BR"")"),"Drama")</f>
        <v>Drama</v>
      </c>
    </row>
    <row r="1888">
      <c r="A1888" s="9" t="str">
        <f>IFERROR(__xludf.DUMMYFUNCTION("""COMPUTED_VALUE"""),"Ileia")</f>
        <v>Ileia</v>
      </c>
      <c r="B1888" s="9" t="str">
        <f>IFERROR(__xludf.DUMMYFUNCTION("""COMPUTED_VALUE"""),"gr-14")</f>
        <v>gr-14</v>
      </c>
      <c r="C1888" s="9" t="str">
        <f>IFERROR(__xludf.DUMMYFUNCTION("GOOGLETRANSLATE($A1888,""en"",""de"")"),"Ileia")</f>
        <v>Ileia</v>
      </c>
      <c r="D1888" s="9" t="str">
        <f>IFERROR(__xludf.DUMMYFUNCTION("GOOGLETRANSLATE($A1888,""en"",""fr"")"),"Ilée")</f>
        <v>Ilée</v>
      </c>
      <c r="E1888" s="9" t="str">
        <f>IFERROR(__xludf.DUMMYFUNCTION("GOOGLETRANSLATE($A1888,""en"",""es"")"),"Ileia")</f>
        <v>Ileia</v>
      </c>
      <c r="F1888" s="9" t="str">
        <f>IFERROR(__xludf.DUMMYFUNCTION("GOOGLETRANSLATE($A1888,""en"",""it"")"),"Ileia")</f>
        <v>Ileia</v>
      </c>
      <c r="G1888" s="9" t="str">
        <f>IFERROR(__xludf.DUMMYFUNCTION("GOOGLETRANSLATE($A1888,""en"",""zh-cn"")"),"伊莱亚")</f>
        <v>伊莱亚</v>
      </c>
      <c r="H1888" s="9" t="str">
        <f>IFERROR(__xludf.DUMMYFUNCTION("GOOGLETRANSLATE($A1888,""en"",""ja"")"),"イレイア")</f>
        <v>イレイア</v>
      </c>
      <c r="I1888" s="9" t="str">
        <f>IFERROR(__xludf.DUMMYFUNCTION("GOOGLETRANSLATE($A1888,""en"",""ko"")"),"일레이아")</f>
        <v>일레이아</v>
      </c>
      <c r="J1888" s="9" t="str">
        <f>IFERROR(__xludf.DUMMYFUNCTION("GOOGLETRANSLATE($A1888,""en"",""pt-BR"")"),"Iléia")</f>
        <v>Iléia</v>
      </c>
    </row>
    <row r="1889">
      <c r="A1889" s="9" t="str">
        <f>IFERROR(__xludf.DUMMYFUNCTION("""COMPUTED_VALUE"""),"Serres")</f>
        <v>Serres</v>
      </c>
      <c r="B1889" s="9" t="str">
        <f>IFERROR(__xludf.DUMMYFUNCTION("""COMPUTED_VALUE"""),"gr-62")</f>
        <v>gr-62</v>
      </c>
      <c r="C1889" s="9" t="str">
        <f>IFERROR(__xludf.DUMMYFUNCTION("GOOGLETRANSLATE($A1889,""en"",""de"")"),"Serres")</f>
        <v>Serres</v>
      </c>
      <c r="D1889" s="9" t="str">
        <f>IFERROR(__xludf.DUMMYFUNCTION("GOOGLETRANSLATE($A1889,""en"",""fr"")"),"Serrès")</f>
        <v>Serrès</v>
      </c>
      <c r="E1889" s="9" t="str">
        <f>IFERROR(__xludf.DUMMYFUNCTION("GOOGLETRANSLATE($A1889,""en"",""es"")"),"Serres")</f>
        <v>Serres</v>
      </c>
      <c r="F1889" s="9" t="str">
        <f>IFERROR(__xludf.DUMMYFUNCTION("GOOGLETRANSLATE($A1889,""en"",""it"")"),"Serres")</f>
        <v>Serres</v>
      </c>
      <c r="G1889" s="9" t="str">
        <f>IFERROR(__xludf.DUMMYFUNCTION("GOOGLETRANSLATE($A1889,""en"",""zh-cn"")"),"塞雷斯")</f>
        <v>塞雷斯</v>
      </c>
      <c r="H1889" s="9" t="str">
        <f>IFERROR(__xludf.DUMMYFUNCTION("GOOGLETRANSLATE($A1889,""en"",""ja"")"),"セレス")</f>
        <v>セレス</v>
      </c>
      <c r="I1889" s="9" t="str">
        <f>IFERROR(__xludf.DUMMYFUNCTION("GOOGLETRANSLATE($A1889,""en"",""ko"")"),"세레스")</f>
        <v>세레스</v>
      </c>
      <c r="J1889" s="9" t="str">
        <f>IFERROR(__xludf.DUMMYFUNCTION("GOOGLETRANSLATE($A1889,""en"",""pt-BR"")"),"Serres")</f>
        <v>Serres</v>
      </c>
    </row>
    <row r="1890">
      <c r="A1890" s="9" t="str">
        <f>IFERROR(__xludf.DUMMYFUNCTION("""COMPUTED_VALUE"""),"Imathia")</f>
        <v>Imathia</v>
      </c>
      <c r="B1890" s="9" t="str">
        <f>IFERROR(__xludf.DUMMYFUNCTION("""COMPUTED_VALUE"""),"gr-53")</f>
        <v>gr-53</v>
      </c>
      <c r="C1890" s="9" t="str">
        <f>IFERROR(__xludf.DUMMYFUNCTION("GOOGLETRANSLATE($A1890,""en"",""de"")"),"Imathia")</f>
        <v>Imathia</v>
      </c>
      <c r="D1890" s="9" t="str">
        <f>IFERROR(__xludf.DUMMYFUNCTION("GOOGLETRANSLATE($A1890,""en"",""fr"")"),"Imathie")</f>
        <v>Imathie</v>
      </c>
      <c r="E1890" s="9" t="str">
        <f>IFERROR(__xludf.DUMMYFUNCTION("GOOGLETRANSLATE($A1890,""en"",""es"")"),"imatía")</f>
        <v>imatía</v>
      </c>
      <c r="F1890" s="9" t="str">
        <f>IFERROR(__xludf.DUMMYFUNCTION("GOOGLETRANSLATE($A1890,""en"",""it"")"),"Imatia")</f>
        <v>Imatia</v>
      </c>
      <c r="G1890" s="9" t="str">
        <f>IFERROR(__xludf.DUMMYFUNCTION("GOOGLETRANSLATE($A1890,""en"",""zh-cn"")"),"伊马西亚")</f>
        <v>伊马西亚</v>
      </c>
      <c r="H1890" s="9" t="str">
        <f>IFERROR(__xludf.DUMMYFUNCTION("GOOGLETRANSLATE($A1890,""en"",""ja"")"),"イマティア")</f>
        <v>イマティア</v>
      </c>
      <c r="I1890" s="9" t="str">
        <f>IFERROR(__xludf.DUMMYFUNCTION("GOOGLETRANSLATE($A1890,""en"",""ko"")"),"이마시아")</f>
        <v>이마시아</v>
      </c>
      <c r="J1890" s="9" t="str">
        <f>IFERROR(__xludf.DUMMYFUNCTION("GOOGLETRANSLATE($A1890,""en"",""pt-BR"")"),"Imathia")</f>
        <v>Imathia</v>
      </c>
    </row>
    <row r="1891">
      <c r="A1891" s="9" t="str">
        <f>IFERROR(__xludf.DUMMYFUNCTION("""COMPUTED_VALUE"""),"Qeqqata Kommunia")</f>
        <v>Qeqqata Kommunia</v>
      </c>
      <c r="B1891" s="9" t="str">
        <f>IFERROR(__xludf.DUMMYFUNCTION("""COMPUTED_VALUE"""),"gl-qe")</f>
        <v>gl-qe</v>
      </c>
      <c r="C1891" s="9" t="str">
        <f>IFERROR(__xludf.DUMMYFUNCTION("GOOGLETRANSLATE($A1891,""en"",""de"")"),"Qeqqata Kommunia")</f>
        <v>Qeqqata Kommunia</v>
      </c>
      <c r="D1891" s="9" t="str">
        <f>IFERROR(__xludf.DUMMYFUNCTION("GOOGLETRANSLATE($A1891,""en"",""fr"")"),"Communauté Qeqqata")</f>
        <v>Communauté Qeqqata</v>
      </c>
      <c r="E1891" s="9" t="str">
        <f>IFERROR(__xludf.DUMMYFUNCTION("GOOGLETRANSLATE($A1891,""en"",""es"")"),"Qeqqata Kommunia")</f>
        <v>Qeqqata Kommunia</v>
      </c>
      <c r="F1891" s="9" t="str">
        <f>IFERROR(__xludf.DUMMYFUNCTION("GOOGLETRANSLATE($A1891,""en"",""it"")"),"Qeqqata Kommunia")</f>
        <v>Qeqqata Kommunia</v>
      </c>
      <c r="G1891" s="9" t="str">
        <f>IFERROR(__xludf.DUMMYFUNCTION("GOOGLETRANSLATE($A1891,""en"",""zh-cn"")"),"凯卡塔通讯社")</f>
        <v>凯卡塔通讯社</v>
      </c>
      <c r="H1891" s="9" t="str">
        <f>IFERROR(__xludf.DUMMYFUNCTION("GOOGLETRANSLATE($A1891,""en"",""ja"")"),"ケッカタ・コムニア")</f>
        <v>ケッカタ・コムニア</v>
      </c>
      <c r="I1891" s="9" t="str">
        <f>IFERROR(__xludf.DUMMYFUNCTION("GOOGLETRANSLATE($A1891,""en"",""ko"")"),"케카타 코무니아")</f>
        <v>케카타 코무니아</v>
      </c>
      <c r="J1891" s="9" t="str">
        <f>IFERROR(__xludf.DUMMYFUNCTION("GOOGLETRANSLATE($A1891,""en"",""pt-BR"")"),"Comunidade Qeqqata")</f>
        <v>Comunidade Qeqqata</v>
      </c>
    </row>
    <row r="1892">
      <c r="A1892" s="9" t="str">
        <f>IFERROR(__xludf.DUMMYFUNCTION("""COMPUTED_VALUE"""),"Avannaata Kommunia")</f>
        <v>Avannaata Kommunia</v>
      </c>
      <c r="B1892" s="9" t="str">
        <f>IFERROR(__xludf.DUMMYFUNCTION("""COMPUTED_VALUE"""),"gl-av")</f>
        <v>gl-av</v>
      </c>
      <c r="C1892" s="9" t="str">
        <f>IFERROR(__xludf.DUMMYFUNCTION("GOOGLETRANSLATE($A1892,""en"",""de"")"),"Avannaata Kommunia")</f>
        <v>Avannaata Kommunia</v>
      </c>
      <c r="D1892" s="9" t="str">
        <f>IFERROR(__xludf.DUMMYFUNCTION("GOOGLETRANSLATE($A1892,""en"",""fr"")"),"Communauté Avannaata")</f>
        <v>Communauté Avannaata</v>
      </c>
      <c r="E1892" s="9" t="str">
        <f>IFERROR(__xludf.DUMMYFUNCTION("GOOGLETRANSLATE($A1892,""en"",""es"")"),"Avannaata Kommunia")</f>
        <v>Avannaata Kommunia</v>
      </c>
      <c r="F1892" s="9" t="str">
        <f>IFERROR(__xludf.DUMMYFUNCTION("GOOGLETRANSLATE($A1892,""en"",""it"")"),"Avannaata Kommunia")</f>
        <v>Avannaata Kommunia</v>
      </c>
      <c r="G1892" s="9" t="str">
        <f>IFERROR(__xludf.DUMMYFUNCTION("GOOGLETRANSLATE($A1892,""en"",""zh-cn"")"),"阿凡纳塔社区")</f>
        <v>阿凡纳塔社区</v>
      </c>
      <c r="H1892" s="9" t="str">
        <f>IFERROR(__xludf.DUMMYFUNCTION("GOOGLETRANSLATE($A1892,""en"",""ja"")"),"アヴァンナータ コムニア")</f>
        <v>アヴァンナータ コムニア</v>
      </c>
      <c r="I1892" s="9" t="str">
        <f>IFERROR(__xludf.DUMMYFUNCTION("GOOGLETRANSLATE($A1892,""en"",""ko"")"),"아반나타 코무니아")</f>
        <v>아반나타 코무니아</v>
      </c>
      <c r="J1892" s="9" t="str">
        <f>IFERROR(__xludf.DUMMYFUNCTION("GOOGLETRANSLATE($A1892,""en"",""pt-BR"")"),"Comunidade Avannaata")</f>
        <v>Comunidade Avannaata</v>
      </c>
    </row>
    <row r="1893">
      <c r="A1893" s="9" t="str">
        <f>IFERROR(__xludf.DUMMYFUNCTION("""COMPUTED_VALUE"""),"Kommuneqarfik Sermersooq")</f>
        <v>Kommuneqarfik Sermersooq</v>
      </c>
      <c r="B1893" s="9" t="str">
        <f>IFERROR(__xludf.DUMMYFUNCTION("""COMPUTED_VALUE"""),"gl-sm")</f>
        <v>gl-sm</v>
      </c>
      <c r="C1893" s="9" t="str">
        <f>IFERROR(__xludf.DUMMYFUNCTION("GOOGLETRANSLATE($A1893,""en"",""de"")"),"Kommuneqarfik Sermersooq")</f>
        <v>Kommuneqarfik Sermersooq</v>
      </c>
      <c r="D1893" s="9" t="str">
        <f>IFERROR(__xludf.DUMMYFUNCTION("GOOGLETRANSLATE($A1893,""en"",""fr"")"),"Kommuneqarfik Sermersooq")</f>
        <v>Kommuneqarfik Sermersooq</v>
      </c>
      <c r="E1893" s="9" t="str">
        <f>IFERROR(__xludf.DUMMYFUNCTION("GOOGLETRANSLATE($A1893,""en"",""es"")"),"Kommuneqarfik Sermersooq")</f>
        <v>Kommuneqarfik Sermersooq</v>
      </c>
      <c r="F1893" s="9" t="str">
        <f>IFERROR(__xludf.DUMMYFUNCTION("GOOGLETRANSLATE($A1893,""en"",""it"")"),"Kommuneqarfik Sermersooq")</f>
        <v>Kommuneqarfik Sermersooq</v>
      </c>
      <c r="G1893" s="9" t="str">
        <f>IFERROR(__xludf.DUMMYFUNCTION("GOOGLETRANSLATE($A1893,""en"",""zh-cn"")"),"塞默苏克通讯社")</f>
        <v>塞默苏克通讯社</v>
      </c>
      <c r="H1893" s="9" t="str">
        <f>IFERROR(__xludf.DUMMYFUNCTION("GOOGLETRANSLATE($A1893,""en"",""ja"")"),"コムネカルフィク セルメルスーク")</f>
        <v>コムネカルフィク セルメルスーク</v>
      </c>
      <c r="I1893" s="9" t="str">
        <f>IFERROR(__xludf.DUMMYFUNCTION("GOOGLETRANSLATE($A1893,""en"",""ko"")"),"Kommuneqarfik Sermersooq")</f>
        <v>Kommuneqarfik Sermersooq</v>
      </c>
      <c r="J1893" s="9" t="str">
        <f>IFERROR(__xludf.DUMMYFUNCTION("GOOGLETRANSLATE($A1893,""en"",""pt-BR"")"),"Kommuneqarfik Sermersooq")</f>
        <v>Kommuneqarfik Sermersooq</v>
      </c>
    </row>
    <row r="1894">
      <c r="A1894" s="9" t="str">
        <f>IFERROR(__xludf.DUMMYFUNCTION("""COMPUTED_VALUE"""),"Kommune Qeqertalik")</f>
        <v>Kommune Qeqertalik</v>
      </c>
      <c r="B1894" s="9" t="str">
        <f>IFERROR(__xludf.DUMMYFUNCTION("""COMPUTED_VALUE"""),"gl-qt")</f>
        <v>gl-qt</v>
      </c>
      <c r="C1894" s="9" t="str">
        <f>IFERROR(__xludf.DUMMYFUNCTION("GOOGLETRANSLATE($A1894,""en"",""de"")"),"Kommune Qeqertalik")</f>
        <v>Kommune Qeqertalik</v>
      </c>
      <c r="D1894" s="9" t="str">
        <f>IFERROR(__xludf.DUMMYFUNCTION("GOOGLETRANSLATE($A1894,""en"",""fr"")"),"Commune de Qeqertalik")</f>
        <v>Commune de Qeqertalik</v>
      </c>
      <c r="E1894" s="9" t="str">
        <f>IFERROR(__xludf.DUMMYFUNCTION("GOOGLETRANSLATE($A1894,""en"",""es"")"),"Kommune Qeqertalik")</f>
        <v>Kommune Qeqertalik</v>
      </c>
      <c r="F1894" s="9" t="str">
        <f>IFERROR(__xludf.DUMMYFUNCTION("GOOGLETRANSLATE($A1894,""en"",""it"")"),"Comune Qeqertalik")</f>
        <v>Comune Qeqertalik</v>
      </c>
      <c r="G1894" s="9" t="str">
        <f>IFERROR(__xludf.DUMMYFUNCTION("GOOGLETRANSLATE($A1894,""en"",""zh-cn"")"),"凯克塔利克公社")</f>
        <v>凯克塔利克公社</v>
      </c>
      <c r="H1894" s="9" t="str">
        <f>IFERROR(__xludf.DUMMYFUNCTION("GOOGLETRANSLATE($A1894,""en"",""ja"")"),"コムーネ・ケケルタリク")</f>
        <v>コムーネ・ケケルタリク</v>
      </c>
      <c r="I1894" s="9" t="str">
        <f>IFERROR(__xludf.DUMMYFUNCTION("GOOGLETRANSLATE($A1894,""en"",""ko"")"),"코무네 케케르탈릭")</f>
        <v>코무네 케케르탈릭</v>
      </c>
      <c r="J1894" s="9" t="str">
        <f>IFERROR(__xludf.DUMMYFUNCTION("GOOGLETRANSLATE($A1894,""en"",""pt-BR"")"),"Comunidade Qeqertalik")</f>
        <v>Comunidade Qeqertalik</v>
      </c>
    </row>
    <row r="1895">
      <c r="A1895" s="9" t="str">
        <f>IFERROR(__xludf.DUMMYFUNCTION("""COMPUTED_VALUE"""),"Qaasuitsup Kommunia")</f>
        <v>Qaasuitsup Kommunia</v>
      </c>
      <c r="B1895" s="9" t="str">
        <f>IFERROR(__xludf.DUMMYFUNCTION("""COMPUTED_VALUE"""),"gl-qa")</f>
        <v>gl-qa</v>
      </c>
      <c r="C1895" s="9" t="str">
        <f>IFERROR(__xludf.DUMMYFUNCTION("GOOGLETRANSLATE($A1895,""en"",""de"")"),"Qaasuitsup Kommunia")</f>
        <v>Qaasuitsup Kommunia</v>
      </c>
      <c r="D1895" s="9" t="str">
        <f>IFERROR(__xludf.DUMMYFUNCTION("GOOGLETRANSLATE($A1895,""en"",""fr"")"),"Qaasuitsup Communauté")</f>
        <v>Qaasuitsup Communauté</v>
      </c>
      <c r="E1895" s="9" t="str">
        <f>IFERROR(__xludf.DUMMYFUNCTION("GOOGLETRANSLATE($A1895,""en"",""es"")"),"Qaasuitsup Kommunia")</f>
        <v>Qaasuitsup Kommunia</v>
      </c>
      <c r="F1895" s="9" t="str">
        <f>IFERROR(__xludf.DUMMYFUNCTION("GOOGLETRANSLATE($A1895,""en"",""it"")"),"Qaasuitsup Kommunia")</f>
        <v>Qaasuitsup Kommunia</v>
      </c>
      <c r="G1895" s="9" t="str">
        <f>IFERROR(__xludf.DUMMYFUNCTION("GOOGLETRANSLATE($A1895,""en"",""zh-cn"")"),"社区卡")</f>
        <v>社区卡</v>
      </c>
      <c r="H1895" s="9" t="str">
        <f>IFERROR(__xludf.DUMMYFUNCTION("GOOGLETRANSLATE($A1895,""en"",""ja"")"),"Qaasuitsup コミュニア")</f>
        <v>Qaasuitsup コミュニア</v>
      </c>
      <c r="I1895" s="9" t="str">
        <f>IFERROR(__xludf.DUMMYFUNCTION("GOOGLETRANSLATE($A1895,""en"",""ko"")"),"Qaasuitsup Kommunia")</f>
        <v>Qaasuitsup Kommunia</v>
      </c>
      <c r="J1895" s="9" t="str">
        <f>IFERROR(__xludf.DUMMYFUNCTION("GOOGLETRANSLATE($A1895,""en"",""pt-BR"")"),"Comunidade Qaasuitsup")</f>
        <v>Comunidade Qaasuitsup</v>
      </c>
    </row>
    <row r="1896">
      <c r="A1896" s="9" t="str">
        <f>IFERROR(__xludf.DUMMYFUNCTION("""COMPUTED_VALUE"""),"Kommune Kujalleq")</f>
        <v>Kommune Kujalleq</v>
      </c>
      <c r="B1896" s="9" t="str">
        <f>IFERROR(__xludf.DUMMYFUNCTION("""COMPUTED_VALUE"""),"gl-ku")</f>
        <v>gl-ku</v>
      </c>
      <c r="C1896" s="9" t="str">
        <f>IFERROR(__xludf.DUMMYFUNCTION("GOOGLETRANSLATE($A1896,""en"",""de"")"),"Kommune Kujalleq")</f>
        <v>Kommune Kujalleq</v>
      </c>
      <c r="D1896" s="9" t="str">
        <f>IFERROR(__xludf.DUMMYFUNCTION("GOOGLETRANSLATE($A1896,""en"",""fr"")"),"Commune de Kujalleq")</f>
        <v>Commune de Kujalleq</v>
      </c>
      <c r="E1896" s="9" t="str">
        <f>IFERROR(__xludf.DUMMYFUNCTION("GOOGLETRANSLATE($A1896,""en"",""es"")"),"Kommune Kujalleq")</f>
        <v>Kommune Kujalleq</v>
      </c>
      <c r="F1896" s="9" t="str">
        <f>IFERROR(__xludf.DUMMYFUNCTION("GOOGLETRANSLATE($A1896,""en"",""it"")"),"Kommune Kujalleq")</f>
        <v>Kommune Kujalleq</v>
      </c>
      <c r="G1896" s="9" t="str">
        <f>IFERROR(__xludf.DUMMYFUNCTION("GOOGLETRANSLATE($A1896,""en"",""zh-cn"")"),"库贾勒克公社")</f>
        <v>库贾勒克公社</v>
      </c>
      <c r="H1896" s="9" t="str">
        <f>IFERROR(__xludf.DUMMYFUNCTION("GOOGLETRANSLATE($A1896,""en"",""ja"")"),"コムーネ・クジャレク")</f>
        <v>コムーネ・クジャレク</v>
      </c>
      <c r="I1896" s="9" t="str">
        <f>IFERROR(__xludf.DUMMYFUNCTION("GOOGLETRANSLATE($A1896,""en"",""ko"")"),"코무네 쿠잘레크")</f>
        <v>코무네 쿠잘레크</v>
      </c>
      <c r="J1896" s="9" t="str">
        <f>IFERROR(__xludf.DUMMYFUNCTION("GOOGLETRANSLATE($A1896,""en"",""pt-BR"")"),"Comunidade Kujalleq")</f>
        <v>Comunidade Kujalleq</v>
      </c>
    </row>
    <row r="1897">
      <c r="A1897" s="9" t="str">
        <f>IFERROR(__xludf.DUMMYFUNCTION("""COMPUTED_VALUE"""),"Saint Patrick (GD)")</f>
        <v>Saint Patrick (GD)</v>
      </c>
      <c r="B1897" s="9" t="str">
        <f>IFERROR(__xludf.DUMMYFUNCTION("""COMPUTED_VALUE"""),"gd-06")</f>
        <v>gd-06</v>
      </c>
      <c r="C1897" s="9" t="str">
        <f>IFERROR(__xludf.DUMMYFUNCTION("GOOGLETRANSLATE($A1897,""en"",""de"")"),"St. Patrick (GD)")</f>
        <v>St. Patrick (GD)</v>
      </c>
      <c r="D1897" s="9" t="str">
        <f>IFERROR(__xludf.DUMMYFUNCTION("GOOGLETRANSLATE($A1897,""en"",""fr"")"),"Saint Patrick (DG)")</f>
        <v>Saint Patrick (DG)</v>
      </c>
      <c r="E1897" s="9" t="str">
        <f>IFERROR(__xludf.DUMMYFUNCTION("GOOGLETRANSLATE($A1897,""en"",""es"")"),"San Patricio (GD)")</f>
        <v>San Patricio (GD)</v>
      </c>
      <c r="F1897" s="9" t="str">
        <f>IFERROR(__xludf.DUMMYFUNCTION("GOOGLETRANSLATE($A1897,""en"",""it"")"),"San Patrizio (GD)")</f>
        <v>San Patrizio (GD)</v>
      </c>
      <c r="G1897" s="9" t="str">
        <f>IFERROR(__xludf.DUMMYFUNCTION("GOOGLETRANSLATE($A1897,""en"",""zh-cn"")"),"圣帕特里克 (GD)")</f>
        <v>圣帕特里克 (GD)</v>
      </c>
      <c r="H1897" s="9" t="str">
        <f>IFERROR(__xludf.DUMMYFUNCTION("GOOGLETRANSLATE($A1897,""en"",""ja"")"),"セントパトリック (GD)")</f>
        <v>セントパトリック (GD)</v>
      </c>
      <c r="I1897" s="9" t="str">
        <f>IFERROR(__xludf.DUMMYFUNCTION("GOOGLETRANSLATE($A1897,""en"",""ko"")"),"세인트 패트릭(GD)")</f>
        <v>세인트 패트릭(GD)</v>
      </c>
      <c r="J1897" s="9" t="str">
        <f>IFERROR(__xludf.DUMMYFUNCTION("GOOGLETRANSLATE($A1897,""en"",""pt-BR"")"),"São Patrício (GD)")</f>
        <v>São Patrício (GD)</v>
      </c>
    </row>
    <row r="1898">
      <c r="A1898" s="9" t="str">
        <f>IFERROR(__xludf.DUMMYFUNCTION("""COMPUTED_VALUE"""),"Southern Grenadine Islands")</f>
        <v>Southern Grenadine Islands</v>
      </c>
      <c r="B1898" s="9" t="str">
        <f>IFERROR(__xludf.DUMMYFUNCTION("""COMPUTED_VALUE"""),"gd-10")</f>
        <v>gd-10</v>
      </c>
      <c r="C1898" s="9" t="str">
        <f>IFERROR(__xludf.DUMMYFUNCTION("GOOGLETRANSLATE($A1898,""en"",""de"")"),"Südliche Grenadineninseln")</f>
        <v>Südliche Grenadineninseln</v>
      </c>
      <c r="D1898" s="9" t="str">
        <f>IFERROR(__xludf.DUMMYFUNCTION("GOOGLETRANSLATE($A1898,""en"",""fr"")"),"Îles Grenadines du sud")</f>
        <v>Îles Grenadines du sud</v>
      </c>
      <c r="E1898" s="9" t="str">
        <f>IFERROR(__xludf.DUMMYFUNCTION("GOOGLETRANSLATE($A1898,""en"",""es"")"),"Islas Granadinas del Sur")</f>
        <v>Islas Granadinas del Sur</v>
      </c>
      <c r="F1898" s="9" t="str">
        <f>IFERROR(__xludf.DUMMYFUNCTION("GOOGLETRANSLATE($A1898,""en"",""it"")"),"Isole Grenadine meridionali")</f>
        <v>Isole Grenadine meridionali</v>
      </c>
      <c r="G1898" s="9" t="str">
        <f>IFERROR(__xludf.DUMMYFUNCTION("GOOGLETRANSLATE($A1898,""en"",""zh-cn"")"),"南格林纳丁群岛")</f>
        <v>南格林纳丁群岛</v>
      </c>
      <c r="H1898" s="9" t="str">
        <f>IFERROR(__xludf.DUMMYFUNCTION("GOOGLETRANSLATE($A1898,""en"",""ja"")"),"南グレナディン諸島")</f>
        <v>南グレナディン諸島</v>
      </c>
      <c r="I1898" s="9" t="str">
        <f>IFERROR(__xludf.DUMMYFUNCTION("GOOGLETRANSLATE($A1898,""en"",""ko"")"),"남부 그레나딘 제도")</f>
        <v>남부 그레나딘 제도</v>
      </c>
      <c r="J1898" s="9" t="str">
        <f>IFERROR(__xludf.DUMMYFUNCTION("GOOGLETRANSLATE($A1898,""en"",""pt-BR"")"),"Ilhas Granadinas do Sul")</f>
        <v>Ilhas Granadinas do Sul</v>
      </c>
    </row>
    <row r="1899">
      <c r="A1899" s="9" t="str">
        <f>IFERROR(__xludf.DUMMYFUNCTION("""COMPUTED_VALUE"""),"Saint David (GD)")</f>
        <v>Saint David (GD)</v>
      </c>
      <c r="B1899" s="9" t="str">
        <f>IFERROR(__xludf.DUMMYFUNCTION("""COMPUTED_VALUE"""),"gd-02")</f>
        <v>gd-02</v>
      </c>
      <c r="C1899" s="9" t="str">
        <f>IFERROR(__xludf.DUMMYFUNCTION("GOOGLETRANSLATE($A1899,""en"",""de"")"),"St. David (GD)")</f>
        <v>St. David (GD)</v>
      </c>
      <c r="D1899" s="9" t="str">
        <f>IFERROR(__xludf.DUMMYFUNCTION("GOOGLETRANSLATE($A1899,""en"",""fr"")"),"Saint-David (GD)")</f>
        <v>Saint-David (GD)</v>
      </c>
      <c r="E1899" s="9" t="str">
        <f>IFERROR(__xludf.DUMMYFUNCTION("GOOGLETRANSLATE($A1899,""en"",""es"")"),"San David (GD)")</f>
        <v>San David (GD)</v>
      </c>
      <c r="F1899" s="9" t="str">
        <f>IFERROR(__xludf.DUMMYFUNCTION("GOOGLETRANSLATE($A1899,""en"",""it"")"),"San Davide (GD)")</f>
        <v>San Davide (GD)</v>
      </c>
      <c r="G1899" s="9" t="str">
        <f>IFERROR(__xludf.DUMMYFUNCTION("GOOGLETRANSLATE($A1899,""en"",""zh-cn"")"),"圣大卫 (GD)")</f>
        <v>圣大卫 (GD)</v>
      </c>
      <c r="H1899" s="9" t="str">
        <f>IFERROR(__xludf.DUMMYFUNCTION("GOOGLETRANSLATE($A1899,""en"",""ja"")"),"セントデイビッド (GD)")</f>
        <v>セントデイビッド (GD)</v>
      </c>
      <c r="I1899" s="9" t="str">
        <f>IFERROR(__xludf.DUMMYFUNCTION("GOOGLETRANSLATE($A1899,""en"",""ko"")"),"세인트 데이비드(GD)")</f>
        <v>세인트 데이비드(GD)</v>
      </c>
      <c r="J1899" s="9" t="str">
        <f>IFERROR(__xludf.DUMMYFUNCTION("GOOGLETRANSLATE($A1899,""en"",""pt-BR"")"),"São David (GD)")</f>
        <v>São David (GD)</v>
      </c>
    </row>
    <row r="1900">
      <c r="A1900" s="9" t="str">
        <f>IFERROR(__xludf.DUMMYFUNCTION("""COMPUTED_VALUE"""),"Saint Mark (GD)")</f>
        <v>Saint Mark (GD)</v>
      </c>
      <c r="B1900" s="9" t="str">
        <f>IFERROR(__xludf.DUMMYFUNCTION("""COMPUTED_VALUE"""),"gd-05")</f>
        <v>gd-05</v>
      </c>
      <c r="C1900" s="9" t="str">
        <f>IFERROR(__xludf.DUMMYFUNCTION("GOOGLETRANSLATE($A1900,""en"",""de"")"),"Heiliger Markus (GD)")</f>
        <v>Heiliger Markus (GD)</v>
      </c>
      <c r="D1900" s="9" t="str">
        <f>IFERROR(__xludf.DUMMYFUNCTION("GOOGLETRANSLATE($A1900,""en"",""fr"")"),"Saint Marc (GD)")</f>
        <v>Saint Marc (GD)</v>
      </c>
      <c r="E1900" s="9" t="str">
        <f>IFERROR(__xludf.DUMMYFUNCTION("GOOGLETRANSLATE($A1900,""en"",""es"")"),"San Marcos (GD)")</f>
        <v>San Marcos (GD)</v>
      </c>
      <c r="F1900" s="9" t="str">
        <f>IFERROR(__xludf.DUMMYFUNCTION("GOOGLETRANSLATE($A1900,""en"",""it"")"),"San Marco (GD)")</f>
        <v>San Marco (GD)</v>
      </c>
      <c r="G1900" s="9" t="str">
        <f>IFERROR(__xludf.DUMMYFUNCTION("GOOGLETRANSLATE($A1900,""en"",""zh-cn"")"),"圣马可 (GD)")</f>
        <v>圣马可 (GD)</v>
      </c>
      <c r="H1900" s="9" t="str">
        <f>IFERROR(__xludf.DUMMYFUNCTION("GOOGLETRANSLATE($A1900,""en"",""ja"")"),"サンマルク (GD)")</f>
        <v>サンマルク (GD)</v>
      </c>
      <c r="I1900" s="9" t="str">
        <f>IFERROR(__xludf.DUMMYFUNCTION("GOOGLETRANSLATE($A1900,""en"",""ko"")"),"세인트 마크(GD)")</f>
        <v>세인트 마크(GD)</v>
      </c>
      <c r="J1900" s="9" t="str">
        <f>IFERROR(__xludf.DUMMYFUNCTION("GOOGLETRANSLATE($A1900,""en"",""pt-BR"")"),"São Marcos (GD)")</f>
        <v>São Marcos (GD)</v>
      </c>
    </row>
    <row r="1901">
      <c r="A1901" s="9" t="str">
        <f>IFERROR(__xludf.DUMMYFUNCTION("""COMPUTED_VALUE"""),"Saint John (GD)")</f>
        <v>Saint John (GD)</v>
      </c>
      <c r="B1901" s="9" t="str">
        <f>IFERROR(__xludf.DUMMYFUNCTION("""COMPUTED_VALUE"""),"gd-04")</f>
        <v>gd-04</v>
      </c>
      <c r="C1901" s="9" t="str">
        <f>IFERROR(__xludf.DUMMYFUNCTION("GOOGLETRANSLATE($A1901,""en"",""de"")"),"Saint John (GD)")</f>
        <v>Saint John (GD)</v>
      </c>
      <c r="D1901" s="9" t="str">
        <f>IFERROR(__xludf.DUMMYFUNCTION("GOOGLETRANSLATE($A1901,""en"",""fr"")"),"Saint-Jean (GD)")</f>
        <v>Saint-Jean (GD)</v>
      </c>
      <c r="E1901" s="9" t="str">
        <f>IFERROR(__xludf.DUMMYFUNCTION("GOOGLETRANSLATE($A1901,""en"",""es"")"),"San Juan (GD)")</f>
        <v>San Juan (GD)</v>
      </c>
      <c r="F1901" s="9" t="str">
        <f>IFERROR(__xludf.DUMMYFUNCTION("GOOGLETRANSLATE($A1901,""en"",""it"")"),"San Giovanni (GD)")</f>
        <v>San Giovanni (GD)</v>
      </c>
      <c r="G1901" s="9" t="str">
        <f>IFERROR(__xludf.DUMMYFUNCTION("GOOGLETRANSLATE($A1901,""en"",""zh-cn"")"),"圣约翰 (GD)")</f>
        <v>圣约翰 (GD)</v>
      </c>
      <c r="H1901" s="9" t="str">
        <f>IFERROR(__xludf.DUMMYFUNCTION("GOOGLETRANSLATE($A1901,""en"",""ja"")"),"セントジョン (GD)")</f>
        <v>セントジョン (GD)</v>
      </c>
      <c r="I1901" s="9" t="str">
        <f>IFERROR(__xludf.DUMMYFUNCTION("GOOGLETRANSLATE($A1901,""en"",""ko"")"),"세인트 존(GD)")</f>
        <v>세인트 존(GD)</v>
      </c>
      <c r="J1901" s="9" t="str">
        <f>IFERROR(__xludf.DUMMYFUNCTION("GOOGLETRANSLATE($A1901,""en"",""pt-BR"")"),"São João (GD)")</f>
        <v>São João (GD)</v>
      </c>
    </row>
    <row r="1902">
      <c r="A1902" s="9" t="str">
        <f>IFERROR(__xludf.DUMMYFUNCTION("""COMPUTED_VALUE"""),"Saint George (GD)")</f>
        <v>Saint George (GD)</v>
      </c>
      <c r="B1902" s="9" t="str">
        <f>IFERROR(__xludf.DUMMYFUNCTION("""COMPUTED_VALUE"""),"gd-03")</f>
        <v>gd-03</v>
      </c>
      <c r="C1902" s="9" t="str">
        <f>IFERROR(__xludf.DUMMYFUNCTION("GOOGLETRANSLATE($A1902,""en"",""de"")"),"St. Georg (GD)")</f>
        <v>St. Georg (GD)</v>
      </c>
      <c r="D1902" s="9" t="str">
        <f>IFERROR(__xludf.DUMMYFUNCTION("GOOGLETRANSLATE($A1902,""en"",""fr"")"),"Saint-Georges (GD)")</f>
        <v>Saint-Georges (GD)</v>
      </c>
      <c r="E1902" s="9" t="str">
        <f>IFERROR(__xludf.DUMMYFUNCTION("GOOGLETRANSLATE($A1902,""en"",""es"")"),"San Jorge (GD)")</f>
        <v>San Jorge (GD)</v>
      </c>
      <c r="F1902" s="9" t="str">
        <f>IFERROR(__xludf.DUMMYFUNCTION("GOOGLETRANSLATE($A1902,""en"",""it"")"),"San Giorgio (GD)")</f>
        <v>San Giorgio (GD)</v>
      </c>
      <c r="G1902" s="9" t="str">
        <f>IFERROR(__xludf.DUMMYFUNCTION("GOOGLETRANSLATE($A1902,""en"",""zh-cn"")"),"圣乔治 (GD)")</f>
        <v>圣乔治 (GD)</v>
      </c>
      <c r="H1902" s="9" t="str">
        <f>IFERROR(__xludf.DUMMYFUNCTION("GOOGLETRANSLATE($A1902,""en"",""ja"")"),"セントジョージ (GD)")</f>
        <v>セントジョージ (GD)</v>
      </c>
      <c r="I1902" s="9" t="str">
        <f>IFERROR(__xludf.DUMMYFUNCTION("GOOGLETRANSLATE($A1902,""en"",""ko"")"),"세인트 조지(GD)")</f>
        <v>세인트 조지(GD)</v>
      </c>
      <c r="J1902" s="9" t="str">
        <f>IFERROR(__xludf.DUMMYFUNCTION("GOOGLETRANSLATE($A1902,""en"",""pt-BR"")"),"São Jorge (GD)")</f>
        <v>São Jorge (GD)</v>
      </c>
    </row>
    <row r="1903">
      <c r="A1903" s="9" t="str">
        <f>IFERROR(__xludf.DUMMYFUNCTION("""COMPUTED_VALUE"""),"Saint Andrew (GD)")</f>
        <v>Saint Andrew (GD)</v>
      </c>
      <c r="B1903" s="9" t="str">
        <f>IFERROR(__xludf.DUMMYFUNCTION("""COMPUTED_VALUE"""),"gd-01")</f>
        <v>gd-01</v>
      </c>
      <c r="C1903" s="9" t="str">
        <f>IFERROR(__xludf.DUMMYFUNCTION("GOOGLETRANSLATE($A1903,""en"",""de"")"),"St. Andreas (GD)")</f>
        <v>St. Andreas (GD)</v>
      </c>
      <c r="D1903" s="9" t="str">
        <f>IFERROR(__xludf.DUMMYFUNCTION("GOOGLETRANSLATE($A1903,""en"",""fr"")"),"Saint-André (GD)")</f>
        <v>Saint-André (GD)</v>
      </c>
      <c r="E1903" s="9" t="str">
        <f>IFERROR(__xludf.DUMMYFUNCTION("GOOGLETRANSLATE($A1903,""en"",""es"")"),"San Andrés (GD)")</f>
        <v>San Andrés (GD)</v>
      </c>
      <c r="F1903" s="9" t="str">
        <f>IFERROR(__xludf.DUMMYFUNCTION("GOOGLETRANSLATE($A1903,""en"",""it"")"),"Sant'Andrea (GD)")</f>
        <v>Sant'Andrea (GD)</v>
      </c>
      <c r="G1903" s="9" t="str">
        <f>IFERROR(__xludf.DUMMYFUNCTION("GOOGLETRANSLATE($A1903,""en"",""zh-cn"")"),"圣安德鲁 (GD)")</f>
        <v>圣安德鲁 (GD)</v>
      </c>
      <c r="H1903" s="9" t="str">
        <f>IFERROR(__xludf.DUMMYFUNCTION("GOOGLETRANSLATE($A1903,""en"",""ja"")"),"セント・アンドリュー (GD)")</f>
        <v>セント・アンドリュー (GD)</v>
      </c>
      <c r="I1903" s="9" t="str">
        <f>IFERROR(__xludf.DUMMYFUNCTION("GOOGLETRANSLATE($A1903,""en"",""ko"")"),"세인트 앤드류(GD)")</f>
        <v>세인트 앤드류(GD)</v>
      </c>
      <c r="J1903" s="9" t="str">
        <f>IFERROR(__xludf.DUMMYFUNCTION("GOOGLETRANSLATE($A1903,""en"",""pt-BR"")"),"Santo André (GD)")</f>
        <v>Santo André (GD)</v>
      </c>
    </row>
    <row r="1904">
      <c r="A1904" s="9" t="str">
        <f>IFERROR(__xludf.DUMMYFUNCTION("""COMPUTED_VALUE"""),"Escuintla")</f>
        <v>Escuintla</v>
      </c>
      <c r="B1904" s="9" t="str">
        <f>IFERROR(__xludf.DUMMYFUNCTION("""COMPUTED_VALUE"""),"gt-es")</f>
        <v>gt-es</v>
      </c>
      <c r="C1904" s="9" t="str">
        <f>IFERROR(__xludf.DUMMYFUNCTION("GOOGLETRANSLATE($A1904,""en"",""de"")"),"Escuintla")</f>
        <v>Escuintla</v>
      </c>
      <c r="D1904" s="9" t="str">
        <f>IFERROR(__xludf.DUMMYFUNCTION("GOOGLETRANSLATE($A1904,""en"",""fr"")"),"Escuintla")</f>
        <v>Escuintla</v>
      </c>
      <c r="E1904" s="9" t="str">
        <f>IFERROR(__xludf.DUMMYFUNCTION("GOOGLETRANSLATE($A1904,""en"",""es"")"),"escuintla")</f>
        <v>escuintla</v>
      </c>
      <c r="F1904" s="9" t="str">
        <f>IFERROR(__xludf.DUMMYFUNCTION("GOOGLETRANSLATE($A1904,""en"",""it"")"),"Escuintla")</f>
        <v>Escuintla</v>
      </c>
      <c r="G1904" s="9" t="str">
        <f>IFERROR(__xludf.DUMMYFUNCTION("GOOGLETRANSLATE($A1904,""en"",""zh-cn"")"),"埃斯昆特拉")</f>
        <v>埃斯昆特拉</v>
      </c>
      <c r="H1904" s="9" t="str">
        <f>IFERROR(__xludf.DUMMYFUNCTION("GOOGLETRANSLATE($A1904,""en"",""ja"")"),"エスクイントラ")</f>
        <v>エスクイントラ</v>
      </c>
      <c r="I1904" s="9" t="str">
        <f>IFERROR(__xludf.DUMMYFUNCTION("GOOGLETRANSLATE($A1904,""en"",""ko"")"),"에스쿠인틀라")</f>
        <v>에스쿠인틀라</v>
      </c>
      <c r="J1904" s="9" t="str">
        <f>IFERROR(__xludf.DUMMYFUNCTION("GOOGLETRANSLATE($A1904,""en"",""pt-BR"")"),"Escuintla")</f>
        <v>Escuintla</v>
      </c>
    </row>
    <row r="1905">
      <c r="A1905" s="9" t="str">
        <f>IFERROR(__xludf.DUMMYFUNCTION("""COMPUTED_VALUE"""),"Chimaltenango")</f>
        <v>Chimaltenango</v>
      </c>
      <c r="B1905" s="9" t="str">
        <f>IFERROR(__xludf.DUMMYFUNCTION("""COMPUTED_VALUE"""),"gt-cm")</f>
        <v>gt-cm</v>
      </c>
      <c r="C1905" s="9" t="str">
        <f>IFERROR(__xludf.DUMMYFUNCTION("GOOGLETRANSLATE($A1905,""en"",""de"")"),"Chimaltenango")</f>
        <v>Chimaltenango</v>
      </c>
      <c r="D1905" s="9" t="str">
        <f>IFERROR(__xludf.DUMMYFUNCTION("GOOGLETRANSLATE($A1905,""en"",""fr"")"),"Chimalténango")</f>
        <v>Chimalténango</v>
      </c>
      <c r="E1905" s="9" t="str">
        <f>IFERROR(__xludf.DUMMYFUNCTION("GOOGLETRANSLATE($A1905,""en"",""es"")"),"Chimaltenango")</f>
        <v>Chimaltenango</v>
      </c>
      <c r="F1905" s="9" t="str">
        <f>IFERROR(__xludf.DUMMYFUNCTION("GOOGLETRANSLATE($A1905,""en"",""it"")"),"Chimaltenango")</f>
        <v>Chimaltenango</v>
      </c>
      <c r="G1905" s="9" t="str">
        <f>IFERROR(__xludf.DUMMYFUNCTION("GOOGLETRANSLATE($A1905,""en"",""zh-cn"")"),"奇马尔特南戈")</f>
        <v>奇马尔特南戈</v>
      </c>
      <c r="H1905" s="9" t="str">
        <f>IFERROR(__xludf.DUMMYFUNCTION("GOOGLETRANSLATE($A1905,""en"",""ja"")"),"チマルテナンゴ")</f>
        <v>チマルテナンゴ</v>
      </c>
      <c r="I1905" s="9" t="str">
        <f>IFERROR(__xludf.DUMMYFUNCTION("GOOGLETRANSLATE($A1905,""en"",""ko"")"),"치말테낭고")</f>
        <v>치말테낭고</v>
      </c>
      <c r="J1905" s="9" t="str">
        <f>IFERROR(__xludf.DUMMYFUNCTION("GOOGLETRANSLATE($A1905,""en"",""pt-BR"")"),"Chimaltenango")</f>
        <v>Chimaltenango</v>
      </c>
    </row>
    <row r="1906">
      <c r="A1906" s="9" t="str">
        <f>IFERROR(__xludf.DUMMYFUNCTION("""COMPUTED_VALUE"""),"Chiquimula")</f>
        <v>Chiquimula</v>
      </c>
      <c r="B1906" s="9" t="str">
        <f>IFERROR(__xludf.DUMMYFUNCTION("""COMPUTED_VALUE"""),"gt-cq")</f>
        <v>gt-cq</v>
      </c>
      <c r="C1906" s="9" t="str">
        <f>IFERROR(__xludf.DUMMYFUNCTION("GOOGLETRANSLATE($A1906,""en"",""de"")"),"Chiquimula")</f>
        <v>Chiquimula</v>
      </c>
      <c r="D1906" s="9" t="str">
        <f>IFERROR(__xludf.DUMMYFUNCTION("GOOGLETRANSLATE($A1906,""en"",""fr"")"),"Chiquimula")</f>
        <v>Chiquimula</v>
      </c>
      <c r="E1906" s="9" t="str">
        <f>IFERROR(__xludf.DUMMYFUNCTION("GOOGLETRANSLATE($A1906,""en"",""es"")"),"Chiquimula")</f>
        <v>Chiquimula</v>
      </c>
      <c r="F1906" s="9" t="str">
        <f>IFERROR(__xludf.DUMMYFUNCTION("GOOGLETRANSLATE($A1906,""en"",""it"")"),"Chiquimula")</f>
        <v>Chiquimula</v>
      </c>
      <c r="G1906" s="9" t="str">
        <f>IFERROR(__xludf.DUMMYFUNCTION("GOOGLETRANSLATE($A1906,""en"",""zh-cn"")"),"奇基穆拉")</f>
        <v>奇基穆拉</v>
      </c>
      <c r="H1906" s="9" t="str">
        <f>IFERROR(__xludf.DUMMYFUNCTION("GOOGLETRANSLATE($A1906,""en"",""ja"")"),"チキムラ")</f>
        <v>チキムラ</v>
      </c>
      <c r="I1906" s="9" t="str">
        <f>IFERROR(__xludf.DUMMYFUNCTION("GOOGLETRANSLATE($A1906,""en"",""ko"")"),"치키물라")</f>
        <v>치키물라</v>
      </c>
      <c r="J1906" s="9" t="str">
        <f>IFERROR(__xludf.DUMMYFUNCTION("GOOGLETRANSLATE($A1906,""en"",""pt-BR"")"),"Chiquimula")</f>
        <v>Chiquimula</v>
      </c>
    </row>
    <row r="1907">
      <c r="A1907" s="9" t="str">
        <f>IFERROR(__xludf.DUMMYFUNCTION("""COMPUTED_VALUE"""),"Baja Verapaz")</f>
        <v>Baja Verapaz</v>
      </c>
      <c r="B1907" s="9" t="str">
        <f>IFERROR(__xludf.DUMMYFUNCTION("""COMPUTED_VALUE"""),"gt-bv")</f>
        <v>gt-bv</v>
      </c>
      <c r="C1907" s="9" t="str">
        <f>IFERROR(__xludf.DUMMYFUNCTION("GOOGLETRANSLATE($A1907,""en"",""de"")"),"Baja Verapaz")</f>
        <v>Baja Verapaz</v>
      </c>
      <c r="D1907" s="9" t="str">
        <f>IFERROR(__xludf.DUMMYFUNCTION("GOOGLETRANSLATE($A1907,""en"",""fr"")"),"Basse Verapaz")</f>
        <v>Basse Verapaz</v>
      </c>
      <c r="E1907" s="9" t="str">
        <f>IFERROR(__xludf.DUMMYFUNCTION("GOOGLETRANSLATE($A1907,""en"",""es"")"),"Baja Verapaz")</f>
        <v>Baja Verapaz</v>
      </c>
      <c r="F1907" s="9" t="str">
        <f>IFERROR(__xludf.DUMMYFUNCTION("GOOGLETRANSLATE($A1907,""en"",""it"")"),"Baja Verapaz")</f>
        <v>Baja Verapaz</v>
      </c>
      <c r="G1907" s="9" t="str">
        <f>IFERROR(__xludf.DUMMYFUNCTION("GOOGLETRANSLATE($A1907,""en"",""zh-cn"")"),"巴哈韦拉帕斯")</f>
        <v>巴哈韦拉帕斯</v>
      </c>
      <c r="H1907" s="9" t="str">
        <f>IFERROR(__xludf.DUMMYFUNCTION("GOOGLETRANSLATE($A1907,""en"",""ja"")"),"バハ・ベラパス")</f>
        <v>バハ・ベラパス</v>
      </c>
      <c r="I1907" s="9" t="str">
        <f>IFERROR(__xludf.DUMMYFUNCTION("GOOGLETRANSLATE($A1907,""en"",""ko"")"),"바하 베라파즈")</f>
        <v>바하 베라파즈</v>
      </c>
      <c r="J1907" s="9" t="str">
        <f>IFERROR(__xludf.DUMMYFUNCTION("GOOGLETRANSLATE($A1907,""en"",""pt-BR"")"),"Baixa Verapaz")</f>
        <v>Baixa Verapaz</v>
      </c>
    </row>
    <row r="1908">
      <c r="A1908" s="9" t="str">
        <f>IFERROR(__xludf.DUMMYFUNCTION("""COMPUTED_VALUE"""),"Guatemala")</f>
        <v>Guatemala</v>
      </c>
      <c r="B1908" s="9" t="str">
        <f>IFERROR(__xludf.DUMMYFUNCTION("""COMPUTED_VALUE"""),"gt-gu")</f>
        <v>gt-gu</v>
      </c>
      <c r="C1908" s="9" t="str">
        <f>IFERROR(__xludf.DUMMYFUNCTION("GOOGLETRANSLATE($A1908,""en"",""de"")"),"Guatemala")</f>
        <v>Guatemala</v>
      </c>
      <c r="D1908" s="9" t="str">
        <f>IFERROR(__xludf.DUMMYFUNCTION("GOOGLETRANSLATE($A1908,""en"",""fr"")"),"Guatemala")</f>
        <v>Guatemala</v>
      </c>
      <c r="E1908" s="9" t="str">
        <f>IFERROR(__xludf.DUMMYFUNCTION("GOOGLETRANSLATE($A1908,""en"",""es"")"),"Guatemala")</f>
        <v>Guatemala</v>
      </c>
      <c r="F1908" s="9" t="str">
        <f>IFERROR(__xludf.DUMMYFUNCTION("GOOGLETRANSLATE($A1908,""en"",""it"")"),"Guatemala")</f>
        <v>Guatemala</v>
      </c>
      <c r="G1908" s="9" t="str">
        <f>IFERROR(__xludf.DUMMYFUNCTION("GOOGLETRANSLATE($A1908,""en"",""zh-cn"")"),"危地马拉")</f>
        <v>危地马拉</v>
      </c>
      <c r="H1908" s="9" t="str">
        <f>IFERROR(__xludf.DUMMYFUNCTION("GOOGLETRANSLATE($A1908,""en"",""ja"")"),"グアテマラ")</f>
        <v>グアテマラ</v>
      </c>
      <c r="I1908" s="9" t="str">
        <f>IFERROR(__xludf.DUMMYFUNCTION("GOOGLETRANSLATE($A1908,""en"",""ko"")"),"과테말라")</f>
        <v>과테말라</v>
      </c>
      <c r="J1908" s="9" t="str">
        <f>IFERROR(__xludf.DUMMYFUNCTION("GOOGLETRANSLATE($A1908,""en"",""pt-BR"")"),"Guatemala")</f>
        <v>Guatemala</v>
      </c>
    </row>
    <row r="1909">
      <c r="A1909" s="9" t="str">
        <f>IFERROR(__xludf.DUMMYFUNCTION("""COMPUTED_VALUE"""),"Santa Rosa")</f>
        <v>Santa Rosa</v>
      </c>
      <c r="B1909" s="9" t="str">
        <f>IFERROR(__xludf.DUMMYFUNCTION("""COMPUTED_VALUE"""),"gt-sr")</f>
        <v>gt-sr</v>
      </c>
      <c r="C1909" s="9" t="str">
        <f>IFERROR(__xludf.DUMMYFUNCTION("GOOGLETRANSLATE($A1909,""en"",""de"")"),"Santa Rosa")</f>
        <v>Santa Rosa</v>
      </c>
      <c r="D1909" s="9" t="str">
        <f>IFERROR(__xludf.DUMMYFUNCTION("GOOGLETRANSLATE($A1909,""en"",""fr"")"),"Sainte Rose")</f>
        <v>Sainte Rose</v>
      </c>
      <c r="E1909" s="9" t="str">
        <f>IFERROR(__xludf.DUMMYFUNCTION("GOOGLETRANSLATE($A1909,""en"",""es"")"),"santa rosa")</f>
        <v>santa rosa</v>
      </c>
      <c r="F1909" s="9" t="str">
        <f>IFERROR(__xludf.DUMMYFUNCTION("GOOGLETRANSLATE($A1909,""en"",""it"")"),"Santa Rosa")</f>
        <v>Santa Rosa</v>
      </c>
      <c r="G1909" s="9" t="str">
        <f>IFERROR(__xludf.DUMMYFUNCTION("GOOGLETRANSLATE($A1909,""en"",""zh-cn"")"),"圣罗莎")</f>
        <v>圣罗莎</v>
      </c>
      <c r="H1909" s="9" t="str">
        <f>IFERROR(__xludf.DUMMYFUNCTION("GOOGLETRANSLATE($A1909,""en"",""ja"")"),"サンタローザ")</f>
        <v>サンタローザ</v>
      </c>
      <c r="I1909" s="9" t="str">
        <f>IFERROR(__xludf.DUMMYFUNCTION("GOOGLETRANSLATE($A1909,""en"",""ko"")"),"산타로사")</f>
        <v>산타로사</v>
      </c>
      <c r="J1909" s="9" t="str">
        <f>IFERROR(__xludf.DUMMYFUNCTION("GOOGLETRANSLATE($A1909,""en"",""pt-BR"")"),"Santa Rosa")</f>
        <v>Santa Rosa</v>
      </c>
    </row>
    <row r="1910">
      <c r="A1910" s="9" t="str">
        <f>IFERROR(__xludf.DUMMYFUNCTION("""COMPUTED_VALUE"""),"El Progreso")</f>
        <v>El Progreso</v>
      </c>
      <c r="B1910" s="9" t="str">
        <f>IFERROR(__xludf.DUMMYFUNCTION("""COMPUTED_VALUE"""),"gt-pr")</f>
        <v>gt-pr</v>
      </c>
      <c r="C1910" s="9" t="str">
        <f>IFERROR(__xludf.DUMMYFUNCTION("GOOGLETRANSLATE($A1910,""en"",""de"")"),"El Progreso")</f>
        <v>El Progreso</v>
      </c>
      <c r="D1910" s="9" t="str">
        <f>IFERROR(__xludf.DUMMYFUNCTION("GOOGLETRANSLATE($A1910,""en"",""fr"")"),"Le Progreso")</f>
        <v>Le Progreso</v>
      </c>
      <c r="E1910" s="9" t="str">
        <f>IFERROR(__xludf.DUMMYFUNCTION("GOOGLETRANSLATE($A1910,""en"",""es"")"),"El Progreso")</f>
        <v>El Progreso</v>
      </c>
      <c r="F1910" s="9" t="str">
        <f>IFERROR(__xludf.DUMMYFUNCTION("GOOGLETRANSLATE($A1910,""en"",""it"")"),"El Progresso")</f>
        <v>El Progresso</v>
      </c>
      <c r="G1910" s="9" t="str">
        <f>IFERROR(__xludf.DUMMYFUNCTION("GOOGLETRANSLATE($A1910,""en"",""zh-cn"")"),"埃尔普罗格雷索")</f>
        <v>埃尔普罗格雷索</v>
      </c>
      <c r="H1910" s="9" t="str">
        <f>IFERROR(__xludf.DUMMYFUNCTION("GOOGLETRANSLATE($A1910,""en"",""ja"")"),"エル・プログレソ")</f>
        <v>エル・プログレソ</v>
      </c>
      <c r="I1910" s="9" t="str">
        <f>IFERROR(__xludf.DUMMYFUNCTION("GOOGLETRANSLATE($A1910,""en"",""ko"")"),"엘 프로그레소")</f>
        <v>엘 프로그레소</v>
      </c>
      <c r="J1910" s="9" t="str">
        <f>IFERROR(__xludf.DUMMYFUNCTION("GOOGLETRANSLATE($A1910,""en"",""pt-BR"")"),"El Progresso")</f>
        <v>El Progresso</v>
      </c>
    </row>
    <row r="1911">
      <c r="A1911" s="9" t="str">
        <f>IFERROR(__xludf.DUMMYFUNCTION("""COMPUTED_VALUE"""),"Alta Verapaz")</f>
        <v>Alta Verapaz</v>
      </c>
      <c r="B1911" s="9" t="str">
        <f>IFERROR(__xludf.DUMMYFUNCTION("""COMPUTED_VALUE"""),"gt-av")</f>
        <v>gt-av</v>
      </c>
      <c r="C1911" s="9" t="str">
        <f>IFERROR(__xludf.DUMMYFUNCTION("GOOGLETRANSLATE($A1911,""en"",""de"")"),"Alta Verapaz")</f>
        <v>Alta Verapaz</v>
      </c>
      <c r="D1911" s="9" t="str">
        <f>IFERROR(__xludf.DUMMYFUNCTION("GOOGLETRANSLATE($A1911,""en"",""fr"")"),"Haute Verapaz")</f>
        <v>Haute Verapaz</v>
      </c>
      <c r="E1911" s="9" t="str">
        <f>IFERROR(__xludf.DUMMYFUNCTION("GOOGLETRANSLATE($A1911,""en"",""es"")"),"Alta Verapaz")</f>
        <v>Alta Verapaz</v>
      </c>
      <c r="F1911" s="9" t="str">
        <f>IFERROR(__xludf.DUMMYFUNCTION("GOOGLETRANSLATE($A1911,""en"",""it"")"),"Alta Verapaz")</f>
        <v>Alta Verapaz</v>
      </c>
      <c r="G1911" s="9" t="str">
        <f>IFERROR(__xludf.DUMMYFUNCTION("GOOGLETRANSLATE($A1911,""en"",""zh-cn"")"),"上韦拉帕斯")</f>
        <v>上韦拉帕斯</v>
      </c>
      <c r="H1911" s="9" t="str">
        <f>IFERROR(__xludf.DUMMYFUNCTION("GOOGLETRANSLATE($A1911,""en"",""ja"")"),"アルタ ベラパス")</f>
        <v>アルタ ベラパス</v>
      </c>
      <c r="I1911" s="9" t="str">
        <f>IFERROR(__xludf.DUMMYFUNCTION("GOOGLETRANSLATE($A1911,""en"",""ko"")"),"알타 베라파즈")</f>
        <v>알타 베라파즈</v>
      </c>
      <c r="J1911" s="9" t="str">
        <f>IFERROR(__xludf.DUMMYFUNCTION("GOOGLETRANSLATE($A1911,""en"",""pt-BR"")"),"Alta Verapaz")</f>
        <v>Alta Verapaz</v>
      </c>
    </row>
    <row r="1912">
      <c r="A1912" s="9" t="str">
        <f>IFERROR(__xludf.DUMMYFUNCTION("""COMPUTED_VALUE"""),"Jalapa")</f>
        <v>Jalapa</v>
      </c>
      <c r="B1912" s="9" t="str">
        <f>IFERROR(__xludf.DUMMYFUNCTION("""COMPUTED_VALUE"""),"gt-ja")</f>
        <v>gt-ja</v>
      </c>
      <c r="C1912" s="9" t="str">
        <f>IFERROR(__xludf.DUMMYFUNCTION("GOOGLETRANSLATE($A1912,""en"",""de"")"),"Jalapa")</f>
        <v>Jalapa</v>
      </c>
      <c r="D1912" s="9" t="str">
        <f>IFERROR(__xludf.DUMMYFUNCTION("GOOGLETRANSLATE($A1912,""en"",""fr"")"),"Jalapa")</f>
        <v>Jalapa</v>
      </c>
      <c r="E1912" s="9" t="str">
        <f>IFERROR(__xludf.DUMMYFUNCTION("GOOGLETRANSLATE($A1912,""en"",""es"")"),"Jalapa")</f>
        <v>Jalapa</v>
      </c>
      <c r="F1912" s="9" t="str">
        <f>IFERROR(__xludf.DUMMYFUNCTION("GOOGLETRANSLATE($A1912,""en"",""it"")"),"Jalapa")</f>
        <v>Jalapa</v>
      </c>
      <c r="G1912" s="9" t="str">
        <f>IFERROR(__xludf.DUMMYFUNCTION("GOOGLETRANSLATE($A1912,""en"",""zh-cn"")"),"贾拉帕")</f>
        <v>贾拉帕</v>
      </c>
      <c r="H1912" s="9" t="str">
        <f>IFERROR(__xludf.DUMMYFUNCTION("GOOGLETRANSLATE($A1912,""en"",""ja"")"),"ハラパ")</f>
        <v>ハラパ</v>
      </c>
      <c r="I1912" s="9" t="str">
        <f>IFERROR(__xludf.DUMMYFUNCTION("GOOGLETRANSLATE($A1912,""en"",""ko"")"),"할라파")</f>
        <v>할라파</v>
      </c>
      <c r="J1912" s="9" t="str">
        <f>IFERROR(__xludf.DUMMYFUNCTION("GOOGLETRANSLATE($A1912,""en"",""pt-BR"")"),"Jalapa")</f>
        <v>Jalapa</v>
      </c>
    </row>
    <row r="1913">
      <c r="A1913" s="9" t="str">
        <f>IFERROR(__xludf.DUMMYFUNCTION("""COMPUTED_VALUE"""),"Jutiapa")</f>
        <v>Jutiapa</v>
      </c>
      <c r="B1913" s="9" t="str">
        <f>IFERROR(__xludf.DUMMYFUNCTION("""COMPUTED_VALUE"""),"gt-ju")</f>
        <v>gt-ju</v>
      </c>
      <c r="C1913" s="9" t="str">
        <f>IFERROR(__xludf.DUMMYFUNCTION("GOOGLETRANSLATE($A1913,""en"",""de"")"),"Jutiapa")</f>
        <v>Jutiapa</v>
      </c>
      <c r="D1913" s="9" t="str">
        <f>IFERROR(__xludf.DUMMYFUNCTION("GOOGLETRANSLATE($A1913,""en"",""fr"")"),"Jutiapa")</f>
        <v>Jutiapa</v>
      </c>
      <c r="E1913" s="9" t="str">
        <f>IFERROR(__xludf.DUMMYFUNCTION("GOOGLETRANSLATE($A1913,""en"",""es"")"),"jutiapa")</f>
        <v>jutiapa</v>
      </c>
      <c r="F1913" s="9" t="str">
        <f>IFERROR(__xludf.DUMMYFUNCTION("GOOGLETRANSLATE($A1913,""en"",""it"")"),"Jutiapa")</f>
        <v>Jutiapa</v>
      </c>
      <c r="G1913" s="9" t="str">
        <f>IFERROR(__xludf.DUMMYFUNCTION("GOOGLETRANSLATE($A1913,""en"",""zh-cn"")"),"朱蒂亚帕")</f>
        <v>朱蒂亚帕</v>
      </c>
      <c r="H1913" s="9" t="str">
        <f>IFERROR(__xludf.DUMMYFUNCTION("GOOGLETRANSLATE($A1913,""en"",""ja"")"),"ジュティアパ")</f>
        <v>ジュティアパ</v>
      </c>
      <c r="I1913" s="9" t="str">
        <f>IFERROR(__xludf.DUMMYFUNCTION("GOOGLETRANSLATE($A1913,""en"",""ko"")"),"후티아파")</f>
        <v>후티아파</v>
      </c>
      <c r="J1913" s="9" t="str">
        <f>IFERROR(__xludf.DUMMYFUNCTION("GOOGLETRANSLATE($A1913,""en"",""pt-BR"")"),"Jutiapa")</f>
        <v>Jutiapa</v>
      </c>
    </row>
    <row r="1914">
      <c r="A1914" s="9" t="str">
        <f>IFERROR(__xludf.DUMMYFUNCTION("""COMPUTED_VALUE"""),"Retalhuleu")</f>
        <v>Retalhuleu</v>
      </c>
      <c r="B1914" s="9" t="str">
        <f>IFERROR(__xludf.DUMMYFUNCTION("""COMPUTED_VALUE"""),"gt-re")</f>
        <v>gt-re</v>
      </c>
      <c r="C1914" s="9" t="str">
        <f>IFERROR(__xludf.DUMMYFUNCTION("GOOGLETRANSLATE($A1914,""en"",""de"")"),"Retalhuleu")</f>
        <v>Retalhuleu</v>
      </c>
      <c r="D1914" s="9" t="str">
        <f>IFERROR(__xludf.DUMMYFUNCTION("GOOGLETRANSLATE($A1914,""en"",""fr"")"),"Retalhuleu")</f>
        <v>Retalhuleu</v>
      </c>
      <c r="E1914" s="9" t="str">
        <f>IFERROR(__xludf.DUMMYFUNCTION("GOOGLETRANSLATE($A1914,""en"",""es"")"),"Retalhuleu")</f>
        <v>Retalhuleu</v>
      </c>
      <c r="F1914" s="9" t="str">
        <f>IFERROR(__xludf.DUMMYFUNCTION("GOOGLETRANSLATE($A1914,""en"",""it"")"),"Retalhuleu")</f>
        <v>Retalhuleu</v>
      </c>
      <c r="G1914" s="9" t="str">
        <f>IFERROR(__xludf.DUMMYFUNCTION("GOOGLETRANSLATE($A1914,""en"",""zh-cn"")"),"雷塔卢勒乌")</f>
        <v>雷塔卢勒乌</v>
      </c>
      <c r="H1914" s="9" t="str">
        <f>IFERROR(__xludf.DUMMYFUNCTION("GOOGLETRANSLATE($A1914,""en"",""ja"")"),"レタルレウ")</f>
        <v>レタルレウ</v>
      </c>
      <c r="I1914" s="9" t="str">
        <f>IFERROR(__xludf.DUMMYFUNCTION("GOOGLETRANSLATE($A1914,""en"",""ko"")"),"레탈훌르")</f>
        <v>레탈훌르</v>
      </c>
      <c r="J1914" s="9" t="str">
        <f>IFERROR(__xludf.DUMMYFUNCTION("GOOGLETRANSLATE($A1914,""en"",""pt-BR"")"),"Retalhuleu")</f>
        <v>Retalhuleu</v>
      </c>
    </row>
    <row r="1915">
      <c r="A1915" s="9" t="str">
        <f>IFERROR(__xludf.DUMMYFUNCTION("""COMPUTED_VALUE"""),"Sacatepéquez")</f>
        <v>Sacatepéquez</v>
      </c>
      <c r="B1915" s="9" t="str">
        <f>IFERROR(__xludf.DUMMYFUNCTION("""COMPUTED_VALUE"""),"gt-sa")</f>
        <v>gt-sa</v>
      </c>
      <c r="C1915" s="9" t="str">
        <f>IFERROR(__xludf.DUMMYFUNCTION("GOOGLETRANSLATE($A1915,""en"",""de"")"),"Sacatepéquez")</f>
        <v>Sacatepéquez</v>
      </c>
      <c r="D1915" s="9" t="str">
        <f>IFERROR(__xludf.DUMMYFUNCTION("GOOGLETRANSLATE($A1915,""en"",""fr"")"),"Sacatepéquez")</f>
        <v>Sacatepéquez</v>
      </c>
      <c r="E1915" s="9" t="str">
        <f>IFERROR(__xludf.DUMMYFUNCTION("GOOGLETRANSLATE($A1915,""en"",""es"")"),"Sacatepéquez")</f>
        <v>Sacatepéquez</v>
      </c>
      <c r="F1915" s="9" t="str">
        <f>IFERROR(__xludf.DUMMYFUNCTION("GOOGLETRANSLATE($A1915,""en"",""it"")"),"Sacatepequez")</f>
        <v>Sacatepequez</v>
      </c>
      <c r="G1915" s="9" t="str">
        <f>IFERROR(__xludf.DUMMYFUNCTION("GOOGLETRANSLATE($A1915,""en"",""zh-cn"")"),"萨卡特佩克斯")</f>
        <v>萨卡特佩克斯</v>
      </c>
      <c r="H1915" s="9" t="str">
        <f>IFERROR(__xludf.DUMMYFUNCTION("GOOGLETRANSLATE($A1915,""en"",""ja"")"),"サカテペケス")</f>
        <v>サカテペケス</v>
      </c>
      <c r="I1915" s="9" t="str">
        <f>IFERROR(__xludf.DUMMYFUNCTION("GOOGLETRANSLATE($A1915,""en"",""ko"")"),"사카테페케스")</f>
        <v>사카테페케스</v>
      </c>
      <c r="J1915" s="9" t="str">
        <f>IFERROR(__xludf.DUMMYFUNCTION("GOOGLETRANSLATE($A1915,""en"",""pt-BR"")"),"Sacatepéquez")</f>
        <v>Sacatepéquez</v>
      </c>
    </row>
    <row r="1916">
      <c r="A1916" s="9" t="str">
        <f>IFERROR(__xludf.DUMMYFUNCTION("""COMPUTED_VALUE"""),"Quiché")</f>
        <v>Quiché</v>
      </c>
      <c r="B1916" s="9" t="str">
        <f>IFERROR(__xludf.DUMMYFUNCTION("""COMPUTED_VALUE"""),"gt-qc")</f>
        <v>gt-qc</v>
      </c>
      <c r="C1916" s="9" t="str">
        <f>IFERROR(__xludf.DUMMYFUNCTION("GOOGLETRANSLATE($A1916,""en"",""de"")"),"Quiche")</f>
        <v>Quiche</v>
      </c>
      <c r="D1916" s="9" t="str">
        <f>IFERROR(__xludf.DUMMYFUNCTION("GOOGLETRANSLATE($A1916,""en"",""fr"")"),"Quiche")</f>
        <v>Quiche</v>
      </c>
      <c r="E1916" s="9" t="str">
        <f>IFERROR(__xludf.DUMMYFUNCTION("GOOGLETRANSLATE($A1916,""en"",""es"")"),"Quiche")</f>
        <v>Quiche</v>
      </c>
      <c r="F1916" s="9" t="str">
        <f>IFERROR(__xludf.DUMMYFUNCTION("GOOGLETRANSLATE($A1916,""en"",""it"")"),"Quiche")</f>
        <v>Quiche</v>
      </c>
      <c r="G1916" s="9" t="str">
        <f>IFERROR(__xludf.DUMMYFUNCTION("GOOGLETRANSLATE($A1916,""en"",""zh-cn"")"),"乳蛋饼")</f>
        <v>乳蛋饼</v>
      </c>
      <c r="H1916" s="9" t="str">
        <f>IFERROR(__xludf.DUMMYFUNCTION("GOOGLETRANSLATE($A1916,""en"",""ja"")"),"キッシュ")</f>
        <v>キッシュ</v>
      </c>
      <c r="I1916" s="9" t="str">
        <f>IFERROR(__xludf.DUMMYFUNCTION("GOOGLETRANSLATE($A1916,""en"",""ko"")"),"키셰")</f>
        <v>키셰</v>
      </c>
      <c r="J1916" s="9" t="str">
        <f>IFERROR(__xludf.DUMMYFUNCTION("GOOGLETRANSLATE($A1916,""en"",""pt-BR"")"),"Quiche")</f>
        <v>Quiche</v>
      </c>
    </row>
    <row r="1917">
      <c r="A1917" s="9" t="str">
        <f>IFERROR(__xludf.DUMMYFUNCTION("""COMPUTED_VALUE"""),"Petén")</f>
        <v>Petén</v>
      </c>
      <c r="B1917" s="9" t="str">
        <f>IFERROR(__xludf.DUMMYFUNCTION("""COMPUTED_VALUE"""),"gt-pe")</f>
        <v>gt-pe</v>
      </c>
      <c r="C1917" s="9" t="str">
        <f>IFERROR(__xludf.DUMMYFUNCTION("GOOGLETRANSLATE($A1917,""en"",""de"")"),"Petén")</f>
        <v>Petén</v>
      </c>
      <c r="D1917" s="9" t="str">
        <f>IFERROR(__xludf.DUMMYFUNCTION("GOOGLETRANSLATE($A1917,""en"",""fr"")"),"Petén")</f>
        <v>Petén</v>
      </c>
      <c r="E1917" s="9" t="str">
        <f>IFERROR(__xludf.DUMMYFUNCTION("GOOGLETRANSLATE($A1917,""en"",""es"")"),"Petén")</f>
        <v>Petén</v>
      </c>
      <c r="F1917" s="9" t="str">
        <f>IFERROR(__xludf.DUMMYFUNCTION("GOOGLETRANSLATE($A1917,""en"",""it"")"),"Petén")</f>
        <v>Petén</v>
      </c>
      <c r="G1917" s="9" t="str">
        <f>IFERROR(__xludf.DUMMYFUNCTION("GOOGLETRANSLATE($A1917,""en"",""zh-cn"")"),"佩滕")</f>
        <v>佩滕</v>
      </c>
      <c r="H1917" s="9" t="str">
        <f>IFERROR(__xludf.DUMMYFUNCTION("GOOGLETRANSLATE($A1917,""en"",""ja"")"),"ペテン")</f>
        <v>ペテン</v>
      </c>
      <c r="I1917" s="9" t="str">
        <f>IFERROR(__xludf.DUMMYFUNCTION("GOOGLETRANSLATE($A1917,""en"",""ko"")"),"페텐")</f>
        <v>페텐</v>
      </c>
      <c r="J1917" s="9" t="str">
        <f>IFERROR(__xludf.DUMMYFUNCTION("GOOGLETRANSLATE($A1917,""en"",""pt-BR"")"),"Petén")</f>
        <v>Petén</v>
      </c>
    </row>
    <row r="1918">
      <c r="A1918" s="9" t="str">
        <f>IFERROR(__xludf.DUMMYFUNCTION("""COMPUTED_VALUE"""),"San Marcos")</f>
        <v>San Marcos</v>
      </c>
      <c r="B1918" s="9" t="str">
        <f>IFERROR(__xludf.DUMMYFUNCTION("""COMPUTED_VALUE"""),"gt-sm")</f>
        <v>gt-sm</v>
      </c>
      <c r="C1918" s="9" t="str">
        <f>IFERROR(__xludf.DUMMYFUNCTION("GOOGLETRANSLATE($A1918,""en"",""de"")"),"San Marcos")</f>
        <v>San Marcos</v>
      </c>
      <c r="D1918" s="9" t="str">
        <f>IFERROR(__xludf.DUMMYFUNCTION("GOOGLETRANSLATE($A1918,""en"",""fr"")"),"Saint-Marc")</f>
        <v>Saint-Marc</v>
      </c>
      <c r="E1918" s="9" t="str">
        <f>IFERROR(__xludf.DUMMYFUNCTION("GOOGLETRANSLATE($A1918,""en"",""es"")"),"San Marcos")</f>
        <v>San Marcos</v>
      </c>
      <c r="F1918" s="9" t="str">
        <f>IFERROR(__xludf.DUMMYFUNCTION("GOOGLETRANSLATE($A1918,""en"",""it"")"),"San Marco")</f>
        <v>San Marco</v>
      </c>
      <c r="G1918" s="9" t="str">
        <f>IFERROR(__xludf.DUMMYFUNCTION("GOOGLETRANSLATE($A1918,""en"",""zh-cn"")"),"圣马科斯")</f>
        <v>圣马科斯</v>
      </c>
      <c r="H1918" s="9" t="str">
        <f>IFERROR(__xludf.DUMMYFUNCTION("GOOGLETRANSLATE($A1918,""en"",""ja"")"),"サンマルコス")</f>
        <v>サンマルコス</v>
      </c>
      <c r="I1918" s="9" t="str">
        <f>IFERROR(__xludf.DUMMYFUNCTION("GOOGLETRANSLATE($A1918,""en"",""ko"")"),"샌 마르코스")</f>
        <v>샌 마르코스</v>
      </c>
      <c r="J1918" s="9" t="str">
        <f>IFERROR(__xludf.DUMMYFUNCTION("GOOGLETRANSLATE($A1918,""en"",""pt-BR"")"),"São Marcos")</f>
        <v>São Marcos</v>
      </c>
    </row>
    <row r="1919">
      <c r="A1919" s="9" t="str">
        <f>IFERROR(__xludf.DUMMYFUNCTION("""COMPUTED_VALUE"""),"Quetzaltenango")</f>
        <v>Quetzaltenango</v>
      </c>
      <c r="B1919" s="9" t="str">
        <f>IFERROR(__xludf.DUMMYFUNCTION("""COMPUTED_VALUE"""),"gt-qz")</f>
        <v>gt-qz</v>
      </c>
      <c r="C1919" s="9" t="str">
        <f>IFERROR(__xludf.DUMMYFUNCTION("GOOGLETRANSLATE($A1919,""en"",""de"")"),"Quetzaltenango")</f>
        <v>Quetzaltenango</v>
      </c>
      <c r="D1919" s="9" t="str">
        <f>IFERROR(__xludf.DUMMYFUNCTION("GOOGLETRANSLATE($A1919,""en"",""fr"")"),"Quetzaltenango")</f>
        <v>Quetzaltenango</v>
      </c>
      <c r="E1919" s="9" t="str">
        <f>IFERROR(__xludf.DUMMYFUNCTION("GOOGLETRANSLATE($A1919,""en"",""es"")"),"Quetzaltenango")</f>
        <v>Quetzaltenango</v>
      </c>
      <c r="F1919" s="9" t="str">
        <f>IFERROR(__xludf.DUMMYFUNCTION("GOOGLETRANSLATE($A1919,""en"",""it"")"),"Quetzaltenango")</f>
        <v>Quetzaltenango</v>
      </c>
      <c r="G1919" s="9" t="str">
        <f>IFERROR(__xludf.DUMMYFUNCTION("GOOGLETRANSLATE($A1919,""en"",""zh-cn"")"),"克萨尔特南戈")</f>
        <v>克萨尔特南戈</v>
      </c>
      <c r="H1919" s="9" t="str">
        <f>IFERROR(__xludf.DUMMYFUNCTION("GOOGLETRANSLATE($A1919,""en"",""ja"")"),"ケツァルテナンゴ")</f>
        <v>ケツァルテナンゴ</v>
      </c>
      <c r="I1919" s="9" t="str">
        <f>IFERROR(__xludf.DUMMYFUNCTION("GOOGLETRANSLATE($A1919,""en"",""ko"")"),"케찰테낭고")</f>
        <v>케찰테낭고</v>
      </c>
      <c r="J1919" s="9" t="str">
        <f>IFERROR(__xludf.DUMMYFUNCTION("GOOGLETRANSLATE($A1919,""en"",""pt-BR"")"),"Quetzaltenango")</f>
        <v>Quetzaltenango</v>
      </c>
    </row>
    <row r="1920">
      <c r="A1920" s="9" t="str">
        <f>IFERROR(__xludf.DUMMYFUNCTION("""COMPUTED_VALUE"""),"Sololá")</f>
        <v>Sololá</v>
      </c>
      <c r="B1920" s="9" t="str">
        <f>IFERROR(__xludf.DUMMYFUNCTION("""COMPUTED_VALUE"""),"gt-so")</f>
        <v>gt-so</v>
      </c>
      <c r="C1920" s="9" t="str">
        <f>IFERROR(__xludf.DUMMYFUNCTION("GOOGLETRANSLATE($A1920,""en"",""de"")"),"Sololá")</f>
        <v>Sololá</v>
      </c>
      <c r="D1920" s="9" t="str">
        <f>IFERROR(__xludf.DUMMYFUNCTION("GOOGLETRANSLATE($A1920,""en"",""fr"")"),"Solola")</f>
        <v>Solola</v>
      </c>
      <c r="E1920" s="9" t="str">
        <f>IFERROR(__xludf.DUMMYFUNCTION("GOOGLETRANSLATE($A1920,""en"",""es"")"),"Sololá")</f>
        <v>Sololá</v>
      </c>
      <c r="F1920" s="9" t="str">
        <f>IFERROR(__xludf.DUMMYFUNCTION("GOOGLETRANSLATE($A1920,""en"",""it"")"),"Solola")</f>
        <v>Solola</v>
      </c>
      <c r="G1920" s="9" t="str">
        <f>IFERROR(__xludf.DUMMYFUNCTION("GOOGLETRANSLATE($A1920,""en"",""zh-cn"")"),"索洛拉")</f>
        <v>索洛拉</v>
      </c>
      <c r="H1920" s="9" t="str">
        <f>IFERROR(__xludf.DUMMYFUNCTION("GOOGLETRANSLATE($A1920,""en"",""ja"")"),"ソロラ")</f>
        <v>ソロラ</v>
      </c>
      <c r="I1920" s="9" t="str">
        <f>IFERROR(__xludf.DUMMYFUNCTION("GOOGLETRANSLATE($A1920,""en"",""ko"")"),"솔로라")</f>
        <v>솔로라</v>
      </c>
      <c r="J1920" s="9" t="str">
        <f>IFERROR(__xludf.DUMMYFUNCTION("GOOGLETRANSLATE($A1920,""en"",""pt-BR"")"),"Sololá")</f>
        <v>Sololá</v>
      </c>
    </row>
    <row r="1921">
      <c r="A1921" s="9" t="str">
        <f>IFERROR(__xludf.DUMMYFUNCTION("""COMPUTED_VALUE"""),"Totonicapán")</f>
        <v>Totonicapán</v>
      </c>
      <c r="B1921" s="9" t="str">
        <f>IFERROR(__xludf.DUMMYFUNCTION("""COMPUTED_VALUE"""),"gt-to")</f>
        <v>gt-to</v>
      </c>
      <c r="C1921" s="9" t="str">
        <f>IFERROR(__xludf.DUMMYFUNCTION("GOOGLETRANSLATE($A1921,""en"",""de"")"),"Totonicapán")</f>
        <v>Totonicapán</v>
      </c>
      <c r="D1921" s="9" t="str">
        <f>IFERROR(__xludf.DUMMYFUNCTION("GOOGLETRANSLATE($A1921,""en"",""fr"")"),"Totonicapán")</f>
        <v>Totonicapán</v>
      </c>
      <c r="E1921" s="9" t="str">
        <f>IFERROR(__xludf.DUMMYFUNCTION("GOOGLETRANSLATE($A1921,""en"",""es"")"),"totonicapan")</f>
        <v>totonicapan</v>
      </c>
      <c r="F1921" s="9" t="str">
        <f>IFERROR(__xludf.DUMMYFUNCTION("GOOGLETRANSLATE($A1921,""en"",""it"")"),"Totonicapán")</f>
        <v>Totonicapán</v>
      </c>
      <c r="G1921" s="9" t="str">
        <f>IFERROR(__xludf.DUMMYFUNCTION("GOOGLETRANSLATE($A1921,""en"",""zh-cn"")"),"托托尼卡潘")</f>
        <v>托托尼卡潘</v>
      </c>
      <c r="H1921" s="9" t="str">
        <f>IFERROR(__xludf.DUMMYFUNCTION("GOOGLETRANSLATE($A1921,""en"",""ja"")"),"トトニカパン")</f>
        <v>トトニカパン</v>
      </c>
      <c r="I1921" s="9" t="str">
        <f>IFERROR(__xludf.DUMMYFUNCTION("GOOGLETRANSLATE($A1921,""en"",""ko"")"),"토토니카판")</f>
        <v>토토니카판</v>
      </c>
      <c r="J1921" s="9" t="str">
        <f>IFERROR(__xludf.DUMMYFUNCTION("GOOGLETRANSLATE($A1921,""en"",""pt-BR"")"),"Totonicapán")</f>
        <v>Totonicapán</v>
      </c>
    </row>
    <row r="1922">
      <c r="A1922" s="9" t="str">
        <f>IFERROR(__xludf.DUMMYFUNCTION("""COMPUTED_VALUE"""),"Huehuetenango")</f>
        <v>Huehuetenango</v>
      </c>
      <c r="B1922" s="9" t="str">
        <f>IFERROR(__xludf.DUMMYFUNCTION("""COMPUTED_VALUE"""),"gt-hu")</f>
        <v>gt-hu</v>
      </c>
      <c r="C1922" s="9" t="str">
        <f>IFERROR(__xludf.DUMMYFUNCTION("GOOGLETRANSLATE($A1922,""en"",""de"")"),"Huehuetenango")</f>
        <v>Huehuetenango</v>
      </c>
      <c r="D1922" s="9" t="str">
        <f>IFERROR(__xludf.DUMMYFUNCTION("GOOGLETRANSLATE($A1922,""en"",""fr"")"),"Huehuetenango")</f>
        <v>Huehuetenango</v>
      </c>
      <c r="E1922" s="9" t="str">
        <f>IFERROR(__xludf.DUMMYFUNCTION("GOOGLETRANSLATE($A1922,""en"",""es"")"),"Huehuetenango")</f>
        <v>Huehuetenango</v>
      </c>
      <c r="F1922" s="9" t="str">
        <f>IFERROR(__xludf.DUMMYFUNCTION("GOOGLETRANSLATE($A1922,""en"",""it"")"),"Huehuetenango")</f>
        <v>Huehuetenango</v>
      </c>
      <c r="G1922" s="9" t="str">
        <f>IFERROR(__xludf.DUMMYFUNCTION("GOOGLETRANSLATE($A1922,""en"",""zh-cn"")"),"韦韦特南戈")</f>
        <v>韦韦特南戈</v>
      </c>
      <c r="H1922" s="9" t="str">
        <f>IFERROR(__xludf.DUMMYFUNCTION("GOOGLETRANSLATE($A1922,""en"",""ja"")"),"ウェウェテナンゴ")</f>
        <v>ウェウェテナンゴ</v>
      </c>
      <c r="I1922" s="9" t="str">
        <f>IFERROR(__xludf.DUMMYFUNCTION("GOOGLETRANSLATE($A1922,""en"",""ko"")"),"후에우에테낭고")</f>
        <v>후에우에테낭고</v>
      </c>
      <c r="J1922" s="9" t="str">
        <f>IFERROR(__xludf.DUMMYFUNCTION("GOOGLETRANSLATE($A1922,""en"",""pt-BR"")"),"Huehuetenango")</f>
        <v>Huehuetenango</v>
      </c>
    </row>
    <row r="1923">
      <c r="A1923" s="9" t="str">
        <f>IFERROR(__xludf.DUMMYFUNCTION("""COMPUTED_VALUE"""),"Izabal")</f>
        <v>Izabal</v>
      </c>
      <c r="B1923" s="9" t="str">
        <f>IFERROR(__xludf.DUMMYFUNCTION("""COMPUTED_VALUE"""),"gt-iz")</f>
        <v>gt-iz</v>
      </c>
      <c r="C1923" s="9" t="str">
        <f>IFERROR(__xludf.DUMMYFUNCTION("GOOGLETRANSLATE($A1923,""en"",""de"")"),"Izabal")</f>
        <v>Izabal</v>
      </c>
      <c r="D1923" s="9" t="str">
        <f>IFERROR(__xludf.DUMMYFUNCTION("GOOGLETRANSLATE($A1923,""en"",""fr"")"),"Izabal")</f>
        <v>Izabal</v>
      </c>
      <c r="E1923" s="9" t="str">
        <f>IFERROR(__xludf.DUMMYFUNCTION("GOOGLETRANSLATE($A1923,""en"",""es"")"),"Izabal")</f>
        <v>Izabal</v>
      </c>
      <c r="F1923" s="9" t="str">
        <f>IFERROR(__xludf.DUMMYFUNCTION("GOOGLETRANSLATE($A1923,""en"",""it"")"),"Izabal")</f>
        <v>Izabal</v>
      </c>
      <c r="G1923" s="9" t="str">
        <f>IFERROR(__xludf.DUMMYFUNCTION("GOOGLETRANSLATE($A1923,""en"",""zh-cn"")"),"伊萨巴尔")</f>
        <v>伊萨巴尔</v>
      </c>
      <c r="H1923" s="9" t="str">
        <f>IFERROR(__xludf.DUMMYFUNCTION("GOOGLETRANSLATE($A1923,""en"",""ja"")"),"イザバル")</f>
        <v>イザバル</v>
      </c>
      <c r="I1923" s="9" t="str">
        <f>IFERROR(__xludf.DUMMYFUNCTION("GOOGLETRANSLATE($A1923,""en"",""ko"")"),"이사발")</f>
        <v>이사발</v>
      </c>
      <c r="J1923" s="9" t="str">
        <f>IFERROR(__xludf.DUMMYFUNCTION("GOOGLETRANSLATE($A1923,""en"",""pt-BR"")"),"Izabal")</f>
        <v>Izabal</v>
      </c>
    </row>
    <row r="1924">
      <c r="A1924" s="9" t="str">
        <f>IFERROR(__xludf.DUMMYFUNCTION("""COMPUTED_VALUE"""),"Zacapa")</f>
        <v>Zacapa</v>
      </c>
      <c r="B1924" s="9" t="str">
        <f>IFERROR(__xludf.DUMMYFUNCTION("""COMPUTED_VALUE"""),"gt-za")</f>
        <v>gt-za</v>
      </c>
      <c r="C1924" s="9" t="str">
        <f>IFERROR(__xludf.DUMMYFUNCTION("GOOGLETRANSLATE($A1924,""en"",""de"")"),"Zacapa")</f>
        <v>Zacapa</v>
      </c>
      <c r="D1924" s="9" t="str">
        <f>IFERROR(__xludf.DUMMYFUNCTION("GOOGLETRANSLATE($A1924,""en"",""fr"")"),"Zacapá")</f>
        <v>Zacapá</v>
      </c>
      <c r="E1924" s="9" t="str">
        <f>IFERROR(__xludf.DUMMYFUNCTION("GOOGLETRANSLATE($A1924,""en"",""es"")"),"Zacapa")</f>
        <v>Zacapa</v>
      </c>
      <c r="F1924" s="9" t="str">
        <f>IFERROR(__xludf.DUMMYFUNCTION("GOOGLETRANSLATE($A1924,""en"",""it"")"),"Zacapa")</f>
        <v>Zacapa</v>
      </c>
      <c r="G1924" s="9" t="str">
        <f>IFERROR(__xludf.DUMMYFUNCTION("GOOGLETRANSLATE($A1924,""en"",""zh-cn"")"),"萨卡帕")</f>
        <v>萨卡帕</v>
      </c>
      <c r="H1924" s="9" t="str">
        <f>IFERROR(__xludf.DUMMYFUNCTION("GOOGLETRANSLATE($A1924,""en"",""ja"")"),"サカパ")</f>
        <v>サカパ</v>
      </c>
      <c r="I1924" s="9" t="str">
        <f>IFERROR(__xludf.DUMMYFUNCTION("GOOGLETRANSLATE($A1924,""en"",""ko"")"),"자카파")</f>
        <v>자카파</v>
      </c>
      <c r="J1924" s="9" t="str">
        <f>IFERROR(__xludf.DUMMYFUNCTION("GOOGLETRANSLATE($A1924,""en"",""pt-BR"")"),"Zacapa")</f>
        <v>Zacapa</v>
      </c>
    </row>
    <row r="1925">
      <c r="A1925" s="9" t="str">
        <f>IFERROR(__xludf.DUMMYFUNCTION("""COMPUTED_VALUE"""),"Suchitepéquez")</f>
        <v>Suchitepéquez</v>
      </c>
      <c r="B1925" s="9" t="str">
        <f>IFERROR(__xludf.DUMMYFUNCTION("""COMPUTED_VALUE"""),"gt-su")</f>
        <v>gt-su</v>
      </c>
      <c r="C1925" s="9" t="str">
        <f>IFERROR(__xludf.DUMMYFUNCTION("GOOGLETRANSLATE($A1925,""en"",""de"")"),"Suchitepéquez")</f>
        <v>Suchitepéquez</v>
      </c>
      <c r="D1925" s="9" t="str">
        <f>IFERROR(__xludf.DUMMYFUNCTION("GOOGLETRANSLATE($A1925,""en"",""fr"")"),"Suchitepéquez")</f>
        <v>Suchitepéquez</v>
      </c>
      <c r="E1925" s="9" t="str">
        <f>IFERROR(__xludf.DUMMYFUNCTION("GOOGLETRANSLATE($A1925,""en"",""es"")"),"Suchitepéquez")</f>
        <v>Suchitepéquez</v>
      </c>
      <c r="F1925" s="9" t="str">
        <f>IFERROR(__xludf.DUMMYFUNCTION("GOOGLETRANSLATE($A1925,""en"",""it"")"),"Suchitepequez")</f>
        <v>Suchitepequez</v>
      </c>
      <c r="G1925" s="9" t="str">
        <f>IFERROR(__xludf.DUMMYFUNCTION("GOOGLETRANSLATE($A1925,""en"",""zh-cn"")"),"苏奇特佩克斯")</f>
        <v>苏奇特佩克斯</v>
      </c>
      <c r="H1925" s="9" t="str">
        <f>IFERROR(__xludf.DUMMYFUNCTION("GOOGLETRANSLATE($A1925,""en"",""ja"")"),"スチテペケス")</f>
        <v>スチテペケス</v>
      </c>
      <c r="I1925" s="9" t="str">
        <f>IFERROR(__xludf.DUMMYFUNCTION("GOOGLETRANSLATE($A1925,""en"",""ko"")"),"수치테페케스")</f>
        <v>수치테페케스</v>
      </c>
      <c r="J1925" s="9" t="str">
        <f>IFERROR(__xludf.DUMMYFUNCTION("GOOGLETRANSLATE($A1925,""en"",""pt-BR"")"),"Suchitepéquez")</f>
        <v>Suchitepéquez</v>
      </c>
    </row>
    <row r="1926">
      <c r="A1926" s="9" t="str">
        <f>IFERROR(__xludf.DUMMYFUNCTION("""COMPUTED_VALUE"""),"Dubréka")</f>
        <v>Dubréka</v>
      </c>
      <c r="B1926" s="9" t="str">
        <f>IFERROR(__xludf.DUMMYFUNCTION("""COMPUTED_VALUE"""),"gn-du")</f>
        <v>gn-du</v>
      </c>
      <c r="C1926" s="9" t="str">
        <f>IFERROR(__xludf.DUMMYFUNCTION("GOOGLETRANSLATE($A1926,""en"",""de"")"),"Dubréka")</f>
        <v>Dubréka</v>
      </c>
      <c r="D1926" s="9" t="str">
        <f>IFERROR(__xludf.DUMMYFUNCTION("GOOGLETRANSLATE($A1926,""en"",""fr"")"),"Dubréka")</f>
        <v>Dubréka</v>
      </c>
      <c r="E1926" s="9" t="str">
        <f>IFERROR(__xludf.DUMMYFUNCTION("GOOGLETRANSLATE($A1926,""en"",""es"")"),"Dubreka")</f>
        <v>Dubreka</v>
      </c>
      <c r="F1926" s="9" t="str">
        <f>IFERROR(__xludf.DUMMYFUNCTION("GOOGLETRANSLATE($A1926,""en"",""it"")"),"Dubreka")</f>
        <v>Dubreka</v>
      </c>
      <c r="G1926" s="9" t="str">
        <f>IFERROR(__xludf.DUMMYFUNCTION("GOOGLETRANSLATE($A1926,""en"",""zh-cn"")"),"杜布雷卡")</f>
        <v>杜布雷卡</v>
      </c>
      <c r="H1926" s="9" t="str">
        <f>IFERROR(__xludf.DUMMYFUNCTION("GOOGLETRANSLATE($A1926,""en"",""ja"")"),"ドゥブレカ")</f>
        <v>ドゥブレカ</v>
      </c>
      <c r="I1926" s="9" t="str">
        <f>IFERROR(__xludf.DUMMYFUNCTION("GOOGLETRANSLATE($A1926,""en"",""ko"")"),"두브레카")</f>
        <v>두브레카</v>
      </c>
      <c r="J1926" s="9" t="str">
        <f>IFERROR(__xludf.DUMMYFUNCTION("GOOGLETRANSLATE($A1926,""en"",""pt-BR"")"),"Dubreka")</f>
        <v>Dubreka</v>
      </c>
    </row>
    <row r="1927">
      <c r="A1927" s="9" t="str">
        <f>IFERROR(__xludf.DUMMYFUNCTION("""COMPUTED_VALUE"""),"Kankan (Region)")</f>
        <v>Kankan (Region)</v>
      </c>
      <c r="B1927" s="9" t="str">
        <f>IFERROR(__xludf.DUMMYFUNCTION("""COMPUTED_VALUE"""),"gn-k")</f>
        <v>gn-k</v>
      </c>
      <c r="C1927" s="9" t="str">
        <f>IFERROR(__xludf.DUMMYFUNCTION("GOOGLETRANSLATE($A1927,""en"",""de"")"),"Kankan (Region)")</f>
        <v>Kankan (Region)</v>
      </c>
      <c r="D1927" s="9" t="str">
        <f>IFERROR(__xludf.DUMMYFUNCTION("GOOGLETRANSLATE($A1927,""en"",""fr"")"),"Kankan (Région)")</f>
        <v>Kankan (Région)</v>
      </c>
      <c r="E1927" s="9" t="str">
        <f>IFERROR(__xludf.DUMMYFUNCTION("GOOGLETRANSLATE($A1927,""en"",""es"")"),"Kankan (Región)")</f>
        <v>Kankan (Región)</v>
      </c>
      <c r="F1927" s="9" t="str">
        <f>IFERROR(__xludf.DUMMYFUNCTION("GOOGLETRANSLATE($A1927,""en"",""it"")"),"Kankan (Regione)")</f>
        <v>Kankan (Regione)</v>
      </c>
      <c r="G1927" s="9" t="str">
        <f>IFERROR(__xludf.DUMMYFUNCTION("GOOGLETRANSLATE($A1927,""en"",""zh-cn"")"),"康康（地区）")</f>
        <v>康康（地区）</v>
      </c>
      <c r="H1927" s="9" t="str">
        <f>IFERROR(__xludf.DUMMYFUNCTION("GOOGLETRANSLATE($A1927,""en"",""ja"")"),"カンカン（地域）")</f>
        <v>カンカン（地域）</v>
      </c>
      <c r="I1927" s="9" t="str">
        <f>IFERROR(__xludf.DUMMYFUNCTION("GOOGLETRANSLATE($A1927,""en"",""ko"")"),"칸칸(지역)")</f>
        <v>칸칸(지역)</v>
      </c>
      <c r="J1927" s="9" t="str">
        <f>IFERROR(__xludf.DUMMYFUNCTION("GOOGLETRANSLATE($A1927,""en"",""pt-BR"")"),"Kankan (Região)")</f>
        <v>Kankan (Região)</v>
      </c>
    </row>
    <row r="1928">
      <c r="A1928" s="9" t="str">
        <f>IFERROR(__xludf.DUMMYFUNCTION("""COMPUTED_VALUE"""),"Dabola")</f>
        <v>Dabola</v>
      </c>
      <c r="B1928" s="9" t="str">
        <f>IFERROR(__xludf.DUMMYFUNCTION("""COMPUTED_VALUE"""),"gn-db")</f>
        <v>gn-db</v>
      </c>
      <c r="C1928" s="9" t="str">
        <f>IFERROR(__xludf.DUMMYFUNCTION("GOOGLETRANSLATE($A1928,""en"",""de"")"),"Dabola")</f>
        <v>Dabola</v>
      </c>
      <c r="D1928" s="9" t="str">
        <f>IFERROR(__xludf.DUMMYFUNCTION("GOOGLETRANSLATE($A1928,""en"",""fr"")"),"Dabola")</f>
        <v>Dabola</v>
      </c>
      <c r="E1928" s="9" t="str">
        <f>IFERROR(__xludf.DUMMYFUNCTION("GOOGLETRANSLATE($A1928,""en"",""es"")"),"dabola")</f>
        <v>dabola</v>
      </c>
      <c r="F1928" s="9" t="str">
        <f>IFERROR(__xludf.DUMMYFUNCTION("GOOGLETRANSLATE($A1928,""en"",""it"")"),"Dabola")</f>
        <v>Dabola</v>
      </c>
      <c r="G1928" s="9" t="str">
        <f>IFERROR(__xludf.DUMMYFUNCTION("GOOGLETRANSLATE($A1928,""en"",""zh-cn"")"),"达博拉")</f>
        <v>达博拉</v>
      </c>
      <c r="H1928" s="9" t="str">
        <f>IFERROR(__xludf.DUMMYFUNCTION("GOOGLETRANSLATE($A1928,""en"",""ja"")"),"ダボラ")</f>
        <v>ダボラ</v>
      </c>
      <c r="I1928" s="9" t="str">
        <f>IFERROR(__xludf.DUMMYFUNCTION("GOOGLETRANSLATE($A1928,""en"",""ko"")"),"다볼라")</f>
        <v>다볼라</v>
      </c>
      <c r="J1928" s="9" t="str">
        <f>IFERROR(__xludf.DUMMYFUNCTION("GOOGLETRANSLATE($A1928,""en"",""pt-BR"")"),"Dábola")</f>
        <v>Dábola</v>
      </c>
    </row>
    <row r="1929">
      <c r="A1929" s="9" t="str">
        <f>IFERROR(__xludf.DUMMYFUNCTION("""COMPUTED_VALUE"""),"Mandiana")</f>
        <v>Mandiana</v>
      </c>
      <c r="B1929" s="9" t="str">
        <f>IFERROR(__xludf.DUMMYFUNCTION("""COMPUTED_VALUE"""),"gn-md")</f>
        <v>gn-md</v>
      </c>
      <c r="C1929" s="9" t="str">
        <f>IFERROR(__xludf.DUMMYFUNCTION("GOOGLETRANSLATE($A1929,""en"",""de"")"),"Mandiana")</f>
        <v>Mandiana</v>
      </c>
      <c r="D1929" s="9" t="str">
        <f>IFERROR(__xludf.DUMMYFUNCTION("GOOGLETRANSLATE($A1929,""en"",""fr"")"),"Mandiana")</f>
        <v>Mandiana</v>
      </c>
      <c r="E1929" s="9" t="str">
        <f>IFERROR(__xludf.DUMMYFUNCTION("GOOGLETRANSLATE($A1929,""en"",""es"")"),"Mandiana")</f>
        <v>Mandiana</v>
      </c>
      <c r="F1929" s="9" t="str">
        <f>IFERROR(__xludf.DUMMYFUNCTION("GOOGLETRANSLATE($A1929,""en"",""it"")"),"Mandiana")</f>
        <v>Mandiana</v>
      </c>
      <c r="G1929" s="9" t="str">
        <f>IFERROR(__xludf.DUMMYFUNCTION("GOOGLETRANSLATE($A1929,""en"",""zh-cn"")"),"曼迪亚纳")</f>
        <v>曼迪亚纳</v>
      </c>
      <c r="H1929" s="9" t="str">
        <f>IFERROR(__xludf.DUMMYFUNCTION("GOOGLETRANSLATE($A1929,""en"",""ja"")"),"マンディアナ")</f>
        <v>マンディアナ</v>
      </c>
      <c r="I1929" s="9" t="str">
        <f>IFERROR(__xludf.DUMMYFUNCTION("GOOGLETRANSLATE($A1929,""en"",""ko"")"),"만디아나")</f>
        <v>만디아나</v>
      </c>
      <c r="J1929" s="9" t="str">
        <f>IFERROR(__xludf.DUMMYFUNCTION("GOOGLETRANSLATE($A1929,""en"",""pt-BR"")"),"Mandiana")</f>
        <v>Mandiana</v>
      </c>
    </row>
    <row r="1930">
      <c r="A1930" s="9" t="str">
        <f>IFERROR(__xludf.DUMMYFUNCTION("""COMPUTED_VALUE"""),"Mali")</f>
        <v>Mali</v>
      </c>
      <c r="B1930" s="9" t="str">
        <f>IFERROR(__xludf.DUMMYFUNCTION("""COMPUTED_VALUE"""),"gn-ml")</f>
        <v>gn-ml</v>
      </c>
      <c r="C1930" s="9" t="str">
        <f>IFERROR(__xludf.DUMMYFUNCTION("GOOGLETRANSLATE($A1930,""en"",""de"")"),"Mali")</f>
        <v>Mali</v>
      </c>
      <c r="D1930" s="9" t="str">
        <f>IFERROR(__xludf.DUMMYFUNCTION("GOOGLETRANSLATE($A1930,""en"",""fr"")"),"Mali")</f>
        <v>Mali</v>
      </c>
      <c r="E1930" s="9" t="str">
        <f>IFERROR(__xludf.DUMMYFUNCTION("GOOGLETRANSLATE($A1930,""en"",""es"")"),"Malí")</f>
        <v>Malí</v>
      </c>
      <c r="F1930" s="9" t="str">
        <f>IFERROR(__xludf.DUMMYFUNCTION("GOOGLETRANSLATE($A1930,""en"",""it"")"),"Mali")</f>
        <v>Mali</v>
      </c>
      <c r="G1930" s="9" t="str">
        <f>IFERROR(__xludf.DUMMYFUNCTION("GOOGLETRANSLATE($A1930,""en"",""zh-cn"")"),"马里")</f>
        <v>马里</v>
      </c>
      <c r="H1930" s="9" t="str">
        <f>IFERROR(__xludf.DUMMYFUNCTION("GOOGLETRANSLATE($A1930,""en"",""ja"")"),"マリ")</f>
        <v>マリ</v>
      </c>
      <c r="I1930" s="9" t="str">
        <f>IFERROR(__xludf.DUMMYFUNCTION("GOOGLETRANSLATE($A1930,""en"",""ko"")"),"말리")</f>
        <v>말리</v>
      </c>
      <c r="J1930" s="9" t="str">
        <f>IFERROR(__xludf.DUMMYFUNCTION("GOOGLETRANSLATE($A1930,""en"",""pt-BR"")"),"Mali")</f>
        <v>Mali</v>
      </c>
    </row>
    <row r="1931">
      <c r="A1931" s="9" t="str">
        <f>IFERROR(__xludf.DUMMYFUNCTION("""COMPUTED_VALUE"""),"Kouroussa")</f>
        <v>Kouroussa</v>
      </c>
      <c r="B1931" s="9" t="str">
        <f>IFERROR(__xludf.DUMMYFUNCTION("""COMPUTED_VALUE"""),"gn-ko")</f>
        <v>gn-ko</v>
      </c>
      <c r="C1931" s="9" t="str">
        <f>IFERROR(__xludf.DUMMYFUNCTION("GOOGLETRANSLATE($A1931,""en"",""de"")"),"Kouroussa")</f>
        <v>Kouroussa</v>
      </c>
      <c r="D1931" s="9" t="str">
        <f>IFERROR(__xludf.DUMMYFUNCTION("GOOGLETRANSLATE($A1931,""en"",""fr"")"),"Kouroussa")</f>
        <v>Kouroussa</v>
      </c>
      <c r="E1931" s="9" t="str">
        <f>IFERROR(__xludf.DUMMYFUNCTION("GOOGLETRANSLATE($A1931,""en"",""es"")"),"Kurusa")</f>
        <v>Kurusa</v>
      </c>
      <c r="F1931" s="9" t="str">
        <f>IFERROR(__xludf.DUMMYFUNCTION("GOOGLETRANSLATE($A1931,""en"",""it"")"),"Kouroussa")</f>
        <v>Kouroussa</v>
      </c>
      <c r="G1931" s="9" t="str">
        <f>IFERROR(__xludf.DUMMYFUNCTION("GOOGLETRANSLATE($A1931,""en"",""zh-cn"")"),"库鲁萨")</f>
        <v>库鲁萨</v>
      </c>
      <c r="H1931" s="9" t="str">
        <f>IFERROR(__xludf.DUMMYFUNCTION("GOOGLETRANSLATE($A1931,""en"",""ja"")"),"クールサ")</f>
        <v>クールサ</v>
      </c>
      <c r="I1931" s="9" t="str">
        <f>IFERROR(__xludf.DUMMYFUNCTION("GOOGLETRANSLATE($A1931,""en"",""ko"")"),"쿠루사")</f>
        <v>쿠루사</v>
      </c>
      <c r="J1931" s="9" t="str">
        <f>IFERROR(__xludf.DUMMYFUNCTION("GOOGLETRANSLATE($A1931,""en"",""pt-BR"")"),"Kouroussa")</f>
        <v>Kouroussa</v>
      </c>
    </row>
    <row r="1932">
      <c r="A1932" s="9" t="str">
        <f>IFERROR(__xludf.DUMMYFUNCTION("""COMPUTED_VALUE"""),"Dalaba")</f>
        <v>Dalaba</v>
      </c>
      <c r="B1932" s="9" t="str">
        <f>IFERROR(__xludf.DUMMYFUNCTION("""COMPUTED_VALUE"""),"gn-dl")</f>
        <v>gn-dl</v>
      </c>
      <c r="C1932" s="9" t="str">
        <f>IFERROR(__xludf.DUMMYFUNCTION("GOOGLETRANSLATE($A1932,""en"",""de"")"),"Dalaba")</f>
        <v>Dalaba</v>
      </c>
      <c r="D1932" s="9" t="str">
        <f>IFERROR(__xludf.DUMMYFUNCTION("GOOGLETRANSLATE($A1932,""en"",""fr"")"),"Dalaba")</f>
        <v>Dalaba</v>
      </c>
      <c r="E1932" s="9" t="str">
        <f>IFERROR(__xludf.DUMMYFUNCTION("GOOGLETRANSLATE($A1932,""en"",""es"")"),"Dalaba")</f>
        <v>Dalaba</v>
      </c>
      <c r="F1932" s="9" t="str">
        <f>IFERROR(__xludf.DUMMYFUNCTION("GOOGLETRANSLATE($A1932,""en"",""it"")"),"Dalaba")</f>
        <v>Dalaba</v>
      </c>
      <c r="G1932" s="9" t="str">
        <f>IFERROR(__xludf.DUMMYFUNCTION("GOOGLETRANSLATE($A1932,""en"",""zh-cn"")"),"达拉巴")</f>
        <v>达拉巴</v>
      </c>
      <c r="H1932" s="9" t="str">
        <f>IFERROR(__xludf.DUMMYFUNCTION("GOOGLETRANSLATE($A1932,""en"",""ja"")"),"ダラバ")</f>
        <v>ダラバ</v>
      </c>
      <c r="I1932" s="9" t="str">
        <f>IFERROR(__xludf.DUMMYFUNCTION("GOOGLETRANSLATE($A1932,""en"",""ko"")"),"달라바")</f>
        <v>달라바</v>
      </c>
      <c r="J1932" s="9" t="str">
        <f>IFERROR(__xludf.DUMMYFUNCTION("GOOGLETRANSLATE($A1932,""en"",""pt-BR"")"),"Dalaba")</f>
        <v>Dalaba</v>
      </c>
    </row>
    <row r="1933">
      <c r="A1933" s="9" t="str">
        <f>IFERROR(__xludf.DUMMYFUNCTION("""COMPUTED_VALUE"""),"Boffa")</f>
        <v>Boffa</v>
      </c>
      <c r="B1933" s="9" t="str">
        <f>IFERROR(__xludf.DUMMYFUNCTION("""COMPUTED_VALUE"""),"gn-bf")</f>
        <v>gn-bf</v>
      </c>
      <c r="C1933" s="9" t="str">
        <f>IFERROR(__xludf.DUMMYFUNCTION("GOOGLETRANSLATE($A1933,""en"",""de"")"),"Boffa")</f>
        <v>Boffa</v>
      </c>
      <c r="D1933" s="9" t="str">
        <f>IFERROR(__xludf.DUMMYFUNCTION("GOOGLETRANSLATE($A1933,""en"",""fr"")"),"Boffa")</f>
        <v>Boffa</v>
      </c>
      <c r="E1933" s="9" t="str">
        <f>IFERROR(__xludf.DUMMYFUNCTION("GOOGLETRANSLATE($A1933,""en"",""es"")"),"bofa")</f>
        <v>bofa</v>
      </c>
      <c r="F1933" s="9" t="str">
        <f>IFERROR(__xludf.DUMMYFUNCTION("GOOGLETRANSLATE($A1933,""en"",""it"")"),"Boffa")</f>
        <v>Boffa</v>
      </c>
      <c r="G1933" s="9" t="str">
        <f>IFERROR(__xludf.DUMMYFUNCTION("GOOGLETRANSLATE($A1933,""en"",""zh-cn"")"),"博法")</f>
        <v>博法</v>
      </c>
      <c r="H1933" s="9" t="str">
        <f>IFERROR(__xludf.DUMMYFUNCTION("GOOGLETRANSLATE($A1933,""en"",""ja"")"),"ボッファ")</f>
        <v>ボッファ</v>
      </c>
      <c r="I1933" s="9" t="str">
        <f>IFERROR(__xludf.DUMMYFUNCTION("GOOGLETRANSLATE($A1933,""en"",""ko"")"),"보파")</f>
        <v>보파</v>
      </c>
      <c r="J1933" s="9" t="str">
        <f>IFERROR(__xludf.DUMMYFUNCTION("GOOGLETRANSLATE($A1933,""en"",""pt-BR"")"),"Boffa")</f>
        <v>Boffa</v>
      </c>
    </row>
    <row r="1934">
      <c r="A1934" s="9" t="str">
        <f>IFERROR(__xludf.DUMMYFUNCTION("""COMPUTED_VALUE"""),"Forécariah")</f>
        <v>Forécariah</v>
      </c>
      <c r="B1934" s="9" t="str">
        <f>IFERROR(__xludf.DUMMYFUNCTION("""COMPUTED_VALUE"""),"gn-fo")</f>
        <v>gn-fo</v>
      </c>
      <c r="C1934" s="9" t="str">
        <f>IFERROR(__xludf.DUMMYFUNCTION("GOOGLETRANSLATE($A1934,""en"",""de"")"),"Forécariah")</f>
        <v>Forécariah</v>
      </c>
      <c r="D1934" s="9" t="str">
        <f>IFERROR(__xludf.DUMMYFUNCTION("GOOGLETRANSLATE($A1934,""en"",""fr"")"),"Forécariah")</f>
        <v>Forécariah</v>
      </c>
      <c r="E1934" s="9" t="str">
        <f>IFERROR(__xludf.DUMMYFUNCTION("GOOGLETRANSLATE($A1934,""en"",""es"")"),"Forécariah")</f>
        <v>Forécariah</v>
      </c>
      <c r="F1934" s="9" t="str">
        <f>IFERROR(__xludf.DUMMYFUNCTION("GOOGLETRANSLATE($A1934,""en"",""it"")"),"Forécariah")</f>
        <v>Forécariah</v>
      </c>
      <c r="G1934" s="9" t="str">
        <f>IFERROR(__xludf.DUMMYFUNCTION("GOOGLETRANSLATE($A1934,""en"",""zh-cn"")"),"福雷卡里亚")</f>
        <v>福雷卡里亚</v>
      </c>
      <c r="H1934" s="9" t="str">
        <f>IFERROR(__xludf.DUMMYFUNCTION("GOOGLETRANSLATE($A1934,""en"",""ja"")"),"フォレカリア")</f>
        <v>フォレカリア</v>
      </c>
      <c r="I1934" s="9" t="str">
        <f>IFERROR(__xludf.DUMMYFUNCTION("GOOGLETRANSLATE($A1934,""en"",""ko"")"),"포레카리아")</f>
        <v>포레카리아</v>
      </c>
      <c r="J1934" s="9" t="str">
        <f>IFERROR(__xludf.DUMMYFUNCTION("GOOGLETRANSLATE($A1934,""en"",""pt-BR"")"),"Forécariah")</f>
        <v>Forécariah</v>
      </c>
    </row>
    <row r="1935">
      <c r="A1935" s="9" t="str">
        <f>IFERROR(__xludf.DUMMYFUNCTION("""COMPUTED_VALUE"""),"Macenta")</f>
        <v>Macenta</v>
      </c>
      <c r="B1935" s="9" t="str">
        <f>IFERROR(__xludf.DUMMYFUNCTION("""COMPUTED_VALUE"""),"gn-mc")</f>
        <v>gn-mc</v>
      </c>
      <c r="C1935" s="9" t="str">
        <f>IFERROR(__xludf.DUMMYFUNCTION("GOOGLETRANSLATE($A1935,""en"",""de"")"),"Macenta")</f>
        <v>Macenta</v>
      </c>
      <c r="D1935" s="9" t="str">
        <f>IFERROR(__xludf.DUMMYFUNCTION("GOOGLETRANSLATE($A1935,""en"",""fr"")"),"Macenta")</f>
        <v>Macenta</v>
      </c>
      <c r="E1935" s="9" t="str">
        <f>IFERROR(__xludf.DUMMYFUNCTION("GOOGLETRANSLATE($A1935,""en"",""es"")"),"macenta")</f>
        <v>macenta</v>
      </c>
      <c r="F1935" s="9" t="str">
        <f>IFERROR(__xludf.DUMMYFUNCTION("GOOGLETRANSLATE($A1935,""en"",""it"")"),"Macenta")</f>
        <v>Macenta</v>
      </c>
      <c r="G1935" s="9" t="str">
        <f>IFERROR(__xludf.DUMMYFUNCTION("GOOGLETRANSLATE($A1935,""en"",""zh-cn"")"),"马森塔")</f>
        <v>马森塔</v>
      </c>
      <c r="H1935" s="9" t="str">
        <f>IFERROR(__xludf.DUMMYFUNCTION("GOOGLETRANSLATE($A1935,""en"",""ja"")"),"マセンタ")</f>
        <v>マセンタ</v>
      </c>
      <c r="I1935" s="9" t="str">
        <f>IFERROR(__xludf.DUMMYFUNCTION("GOOGLETRANSLATE($A1935,""en"",""ko"")"),"마센타")</f>
        <v>마센타</v>
      </c>
      <c r="J1935" s="9" t="str">
        <f>IFERROR(__xludf.DUMMYFUNCTION("GOOGLETRANSLATE($A1935,""en"",""pt-BR"")"),"Macenta")</f>
        <v>Macenta</v>
      </c>
    </row>
    <row r="1936">
      <c r="A1936" s="9" t="str">
        <f>IFERROR(__xludf.DUMMYFUNCTION("""COMPUTED_VALUE"""),"Boké Prefecture")</f>
        <v>Boké Prefecture</v>
      </c>
      <c r="B1936" s="9" t="str">
        <f>IFERROR(__xludf.DUMMYFUNCTION("""COMPUTED_VALUE"""),"gn-bk")</f>
        <v>gn-bk</v>
      </c>
      <c r="C1936" s="9" t="str">
        <f>IFERROR(__xludf.DUMMYFUNCTION("GOOGLETRANSLATE($A1936,""en"",""de"")"),"Präfektur Boké")</f>
        <v>Präfektur Boké</v>
      </c>
      <c r="D1936" s="9" t="str">
        <f>IFERROR(__xludf.DUMMYFUNCTION("GOOGLETRANSLATE($A1936,""en"",""fr"")"),"Préfecture de Boké")</f>
        <v>Préfecture de Boké</v>
      </c>
      <c r="E1936" s="9" t="str">
        <f>IFERROR(__xludf.DUMMYFUNCTION("GOOGLETRANSLATE($A1936,""en"",""es"")"),"Prefectura de Boke")</f>
        <v>Prefectura de Boke</v>
      </c>
      <c r="F1936" s="9" t="str">
        <f>IFERROR(__xludf.DUMMYFUNCTION("GOOGLETRANSLATE($A1936,""en"",""it"")"),"Prefettura di Boké")</f>
        <v>Prefettura di Boké</v>
      </c>
      <c r="G1936" s="9" t="str">
        <f>IFERROR(__xludf.DUMMYFUNCTION("GOOGLETRANSLATE($A1936,""en"",""zh-cn"")"),"博凯县")</f>
        <v>博凯县</v>
      </c>
      <c r="H1936" s="9" t="str">
        <f>IFERROR(__xludf.DUMMYFUNCTION("GOOGLETRANSLATE($A1936,""en"",""ja"")"),"ボケ県")</f>
        <v>ボケ県</v>
      </c>
      <c r="I1936" s="9" t="str">
        <f>IFERROR(__xludf.DUMMYFUNCTION("GOOGLETRANSLATE($A1936,""en"",""ko"")"),"보케현")</f>
        <v>보케현</v>
      </c>
      <c r="J1936" s="9" t="str">
        <f>IFERROR(__xludf.DUMMYFUNCTION("GOOGLETRANSLATE($A1936,""en"",""pt-BR"")"),"Prefeitura de Boké")</f>
        <v>Prefeitura de Boké</v>
      </c>
    </row>
    <row r="1937">
      <c r="A1937" s="9" t="str">
        <f>IFERROR(__xludf.DUMMYFUNCTION("""COMPUTED_VALUE"""),"Koubia")</f>
        <v>Koubia</v>
      </c>
      <c r="B1937" s="9" t="str">
        <f>IFERROR(__xludf.DUMMYFUNCTION("""COMPUTED_VALUE"""),"gn-kb")</f>
        <v>gn-kb</v>
      </c>
      <c r="C1937" s="9" t="str">
        <f>IFERROR(__xludf.DUMMYFUNCTION("GOOGLETRANSLATE($A1937,""en"",""de"")"),"Koubia")</f>
        <v>Koubia</v>
      </c>
      <c r="D1937" s="9" t="str">
        <f>IFERROR(__xludf.DUMMYFUNCTION("GOOGLETRANSLATE($A1937,""en"",""fr"")"),"Koubia")</f>
        <v>Koubia</v>
      </c>
      <c r="E1937" s="9" t="str">
        <f>IFERROR(__xludf.DUMMYFUNCTION("GOOGLETRANSLATE($A1937,""en"",""es"")"),"Kubia")</f>
        <v>Kubia</v>
      </c>
      <c r="F1937" s="9" t="str">
        <f>IFERROR(__xludf.DUMMYFUNCTION("GOOGLETRANSLATE($A1937,""en"",""it"")"),"Koubia")</f>
        <v>Koubia</v>
      </c>
      <c r="G1937" s="9" t="str">
        <f>IFERROR(__xludf.DUMMYFUNCTION("GOOGLETRANSLATE($A1937,""en"",""zh-cn"")"),"库比亚")</f>
        <v>库比亚</v>
      </c>
      <c r="H1937" s="9" t="str">
        <f>IFERROR(__xludf.DUMMYFUNCTION("GOOGLETRANSLATE($A1937,""en"",""ja"")"),"クビア")</f>
        <v>クビア</v>
      </c>
      <c r="I1937" s="9" t="str">
        <f>IFERROR(__xludf.DUMMYFUNCTION("GOOGLETRANSLATE($A1937,""en"",""ko"")"),"쿠비아")</f>
        <v>쿠비아</v>
      </c>
      <c r="J1937" s="9" t="str">
        <f>IFERROR(__xludf.DUMMYFUNCTION("GOOGLETRANSLATE($A1937,""en"",""pt-BR"")"),"Koubia")</f>
        <v>Koubia</v>
      </c>
    </row>
    <row r="1938">
      <c r="A1938" s="9" t="str">
        <f>IFERROR(__xludf.DUMMYFUNCTION("""COMPUTED_VALUE"""),"Boké")</f>
        <v>Boké</v>
      </c>
      <c r="B1938" s="9" t="str">
        <f>IFERROR(__xludf.DUMMYFUNCTION("""COMPUTED_VALUE"""),"gn-b")</f>
        <v>gn-b</v>
      </c>
      <c r="C1938" s="9" t="str">
        <f>IFERROR(__xludf.DUMMYFUNCTION("GOOGLETRANSLATE($A1938,""en"",""de"")"),"Boke")</f>
        <v>Boke</v>
      </c>
      <c r="D1938" s="9" t="str">
        <f>IFERROR(__xludf.DUMMYFUNCTION("GOOGLETRANSLATE($A1938,""en"",""fr"")"),"Boké")</f>
        <v>Boké</v>
      </c>
      <c r="E1938" s="9" t="str">
        <f>IFERROR(__xludf.DUMMYFUNCTION("GOOGLETRANSLATE($A1938,""en"",""es"")"),"boke")</f>
        <v>boke</v>
      </c>
      <c r="F1938" s="9" t="str">
        <f>IFERROR(__xludf.DUMMYFUNCTION("GOOGLETRANSLATE($A1938,""en"",""it"")"),"Boke")</f>
        <v>Boke</v>
      </c>
      <c r="G1938" s="9" t="str">
        <f>IFERROR(__xludf.DUMMYFUNCTION("GOOGLETRANSLATE($A1938,""en"",""zh-cn"")"),"博凯")</f>
        <v>博凯</v>
      </c>
      <c r="H1938" s="9" t="str">
        <f>IFERROR(__xludf.DUMMYFUNCTION("GOOGLETRANSLATE($A1938,""en"",""ja"")"),"ボケ")</f>
        <v>ボケ</v>
      </c>
      <c r="I1938" s="9" t="str">
        <f>IFERROR(__xludf.DUMMYFUNCTION("GOOGLETRANSLATE($A1938,""en"",""ko"")"),"보케")</f>
        <v>보케</v>
      </c>
      <c r="J1938" s="9" t="str">
        <f>IFERROR(__xludf.DUMMYFUNCTION("GOOGLETRANSLATE($A1938,""en"",""pt-BR"")"),"Boké")</f>
        <v>Boké</v>
      </c>
    </row>
    <row r="1939">
      <c r="A1939" s="9" t="str">
        <f>IFERROR(__xludf.DUMMYFUNCTION("""COMPUTED_VALUE"""),"Faranah")</f>
        <v>Faranah</v>
      </c>
      <c r="B1939" s="9" t="str">
        <f>IFERROR(__xludf.DUMMYFUNCTION("""COMPUTED_VALUE"""),"gn-f")</f>
        <v>gn-f</v>
      </c>
      <c r="C1939" s="9" t="str">
        <f>IFERROR(__xludf.DUMMYFUNCTION("GOOGLETRANSLATE($A1939,""en"",""de"")"),"Faranah")</f>
        <v>Faranah</v>
      </c>
      <c r="D1939" s="9" t="str">
        <f>IFERROR(__xludf.DUMMYFUNCTION("GOOGLETRANSLATE($A1939,""en"",""fr"")"),"Faranah")</f>
        <v>Faranah</v>
      </c>
      <c r="E1939" s="9" t="str">
        <f>IFERROR(__xludf.DUMMYFUNCTION("GOOGLETRANSLATE($A1939,""en"",""es"")"),"Faranah")</f>
        <v>Faranah</v>
      </c>
      <c r="F1939" s="9" t="str">
        <f>IFERROR(__xludf.DUMMYFUNCTION("GOOGLETRANSLATE($A1939,""en"",""it"")"),"Faranah")</f>
        <v>Faranah</v>
      </c>
      <c r="G1939" s="9" t="str">
        <f>IFERROR(__xludf.DUMMYFUNCTION("GOOGLETRANSLATE($A1939,""en"",""zh-cn"")"),"法拉纳")</f>
        <v>法拉纳</v>
      </c>
      <c r="H1939" s="9" t="str">
        <f>IFERROR(__xludf.DUMMYFUNCTION("GOOGLETRANSLATE($A1939,""en"",""ja"")"),"ファラナ")</f>
        <v>ファラナ</v>
      </c>
      <c r="I1939" s="9" t="str">
        <f>IFERROR(__xludf.DUMMYFUNCTION("GOOGLETRANSLATE($A1939,""en"",""ko"")"),"파라나")</f>
        <v>파라나</v>
      </c>
      <c r="J1939" s="9" t="str">
        <f>IFERROR(__xludf.DUMMYFUNCTION("GOOGLETRANSLATE($A1939,""en"",""pt-BR"")"),"Faranah")</f>
        <v>Faranah</v>
      </c>
    </row>
    <row r="1940">
      <c r="A1940" s="9" t="str">
        <f>IFERROR(__xludf.DUMMYFUNCTION("""COMPUTED_VALUE"""),"Kissidougou")</f>
        <v>Kissidougou</v>
      </c>
      <c r="B1940" s="9" t="str">
        <f>IFERROR(__xludf.DUMMYFUNCTION("""COMPUTED_VALUE"""),"gn-ks")</f>
        <v>gn-ks</v>
      </c>
      <c r="C1940" s="9" t="str">
        <f>IFERROR(__xludf.DUMMYFUNCTION("GOOGLETRANSLATE($A1940,""en"",""de"")"),"Kissidougou")</f>
        <v>Kissidougou</v>
      </c>
      <c r="D1940" s="9" t="str">
        <f>IFERROR(__xludf.DUMMYFUNCTION("GOOGLETRANSLATE($A1940,""en"",""fr"")"),"Kissidougou")</f>
        <v>Kissidougou</v>
      </c>
      <c r="E1940" s="9" t="str">
        <f>IFERROR(__xludf.DUMMYFUNCTION("GOOGLETRANSLATE($A1940,""en"",""es"")"),"Kissidougou")</f>
        <v>Kissidougou</v>
      </c>
      <c r="F1940" s="9" t="str">
        <f>IFERROR(__xludf.DUMMYFUNCTION("GOOGLETRANSLATE($A1940,""en"",""it"")"),"Kissidougou")</f>
        <v>Kissidougou</v>
      </c>
      <c r="G1940" s="9" t="str">
        <f>IFERROR(__xludf.DUMMYFUNCTION("GOOGLETRANSLATE($A1940,""en"",""zh-cn"")"),"基西杜古")</f>
        <v>基西杜古</v>
      </c>
      <c r="H1940" s="9" t="str">
        <f>IFERROR(__xludf.DUMMYFUNCTION("GOOGLETRANSLATE($A1940,""en"",""ja"")"),"キシドグー")</f>
        <v>キシドグー</v>
      </c>
      <c r="I1940" s="9" t="str">
        <f>IFERROR(__xludf.DUMMYFUNCTION("GOOGLETRANSLATE($A1940,""en"",""ko"")"),"키시두구")</f>
        <v>키시두구</v>
      </c>
      <c r="J1940" s="9" t="str">
        <f>IFERROR(__xludf.DUMMYFUNCTION("GOOGLETRANSLATE($A1940,""en"",""pt-BR"")"),"Kissidougou")</f>
        <v>Kissidougou</v>
      </c>
    </row>
    <row r="1941">
      <c r="A1941" s="9" t="str">
        <f>IFERROR(__xludf.DUMMYFUNCTION("""COMPUTED_VALUE"""),"Mamou Prefecture")</f>
        <v>Mamou Prefecture</v>
      </c>
      <c r="B1941" s="9" t="str">
        <f>IFERROR(__xludf.DUMMYFUNCTION("""COMPUTED_VALUE"""),"gn-mm")</f>
        <v>gn-mm</v>
      </c>
      <c r="C1941" s="9" t="str">
        <f>IFERROR(__xludf.DUMMYFUNCTION("GOOGLETRANSLATE($A1941,""en"",""de"")"),"Präfektur Mamou")</f>
        <v>Präfektur Mamou</v>
      </c>
      <c r="D1941" s="9" t="str">
        <f>IFERROR(__xludf.DUMMYFUNCTION("GOOGLETRANSLATE($A1941,""en"",""fr"")"),"Préfecture de Mamou")</f>
        <v>Préfecture de Mamou</v>
      </c>
      <c r="E1941" s="9" t="str">
        <f>IFERROR(__xludf.DUMMYFUNCTION("GOOGLETRANSLATE($A1941,""en"",""es"")"),"Prefectura de Mamou")</f>
        <v>Prefectura de Mamou</v>
      </c>
      <c r="F1941" s="9" t="str">
        <f>IFERROR(__xludf.DUMMYFUNCTION("GOOGLETRANSLATE($A1941,""en"",""it"")"),"Prefettura di Mamou")</f>
        <v>Prefettura di Mamou</v>
      </c>
      <c r="G1941" s="9" t="str">
        <f>IFERROR(__xludf.DUMMYFUNCTION("GOOGLETRANSLATE($A1941,""en"",""zh-cn"")"),"马武县")</f>
        <v>马武县</v>
      </c>
      <c r="H1941" s="9" t="str">
        <f>IFERROR(__xludf.DUMMYFUNCTION("GOOGLETRANSLATE($A1941,""en"",""ja"")"),"まもう県")</f>
        <v>まもう県</v>
      </c>
      <c r="I1941" s="9" t="str">
        <f>IFERROR(__xludf.DUMMYFUNCTION("GOOGLETRANSLATE($A1941,""en"",""ko"")"),"마모우현")</f>
        <v>마모우현</v>
      </c>
      <c r="J1941" s="9" t="str">
        <f>IFERROR(__xludf.DUMMYFUNCTION("GOOGLETRANSLATE($A1941,""en"",""pt-BR"")"),"Prefeitura de Mamou")</f>
        <v>Prefeitura de Mamou</v>
      </c>
    </row>
    <row r="1942">
      <c r="A1942" s="9" t="str">
        <f>IFERROR(__xludf.DUMMYFUNCTION("""COMPUTED_VALUE"""),"Siguiri")</f>
        <v>Siguiri</v>
      </c>
      <c r="B1942" s="9" t="str">
        <f>IFERROR(__xludf.DUMMYFUNCTION("""COMPUTED_VALUE"""),"gn-si")</f>
        <v>gn-si</v>
      </c>
      <c r="C1942" s="9" t="str">
        <f>IFERROR(__xludf.DUMMYFUNCTION("GOOGLETRANSLATE($A1942,""en"",""de"")"),"Siguiri")</f>
        <v>Siguiri</v>
      </c>
      <c r="D1942" s="9" t="str">
        <f>IFERROR(__xludf.DUMMYFUNCTION("GOOGLETRANSLATE($A1942,""en"",""fr"")"),"Siguiri")</f>
        <v>Siguiri</v>
      </c>
      <c r="E1942" s="9" t="str">
        <f>IFERROR(__xludf.DUMMYFUNCTION("GOOGLETRANSLATE($A1942,""en"",""es"")"),"Siguiri")</f>
        <v>Siguiri</v>
      </c>
      <c r="F1942" s="9" t="str">
        <f>IFERROR(__xludf.DUMMYFUNCTION("GOOGLETRANSLATE($A1942,""en"",""it"")"),"Siguiri")</f>
        <v>Siguiri</v>
      </c>
      <c r="G1942" s="9" t="str">
        <f>IFERROR(__xludf.DUMMYFUNCTION("GOOGLETRANSLATE($A1942,""en"",""zh-cn"")"),"西吉里")</f>
        <v>西吉里</v>
      </c>
      <c r="H1942" s="9" t="str">
        <f>IFERROR(__xludf.DUMMYFUNCTION("GOOGLETRANSLATE($A1942,""en"",""ja"")"),"シギリ")</f>
        <v>シギリ</v>
      </c>
      <c r="I1942" s="9" t="str">
        <f>IFERROR(__xludf.DUMMYFUNCTION("GOOGLETRANSLATE($A1942,""en"",""ko"")"),"시기리")</f>
        <v>시기리</v>
      </c>
      <c r="J1942" s="9" t="str">
        <f>IFERROR(__xludf.DUMMYFUNCTION("GOOGLETRANSLATE($A1942,""en"",""pt-BR"")"),"Siguiri")</f>
        <v>Siguiri</v>
      </c>
    </row>
    <row r="1943">
      <c r="A1943" s="9" t="str">
        <f>IFERROR(__xludf.DUMMYFUNCTION("""COMPUTED_VALUE"""),"Lélouma")</f>
        <v>Lélouma</v>
      </c>
      <c r="B1943" s="9" t="str">
        <f>IFERROR(__xludf.DUMMYFUNCTION("""COMPUTED_VALUE"""),"gn-le")</f>
        <v>gn-le</v>
      </c>
      <c r="C1943" s="9" t="str">
        <f>IFERROR(__xludf.DUMMYFUNCTION("GOOGLETRANSLATE($A1943,""en"",""de"")"),"Lélouma")</f>
        <v>Lélouma</v>
      </c>
      <c r="D1943" s="9" t="str">
        <f>IFERROR(__xludf.DUMMYFUNCTION("GOOGLETRANSLATE($A1943,""en"",""fr"")"),"Lélouma")</f>
        <v>Lélouma</v>
      </c>
      <c r="E1943" s="9" t="str">
        <f>IFERROR(__xludf.DUMMYFUNCTION("GOOGLETRANSLATE($A1943,""en"",""es"")"),"lelouma")</f>
        <v>lelouma</v>
      </c>
      <c r="F1943" s="9" t="str">
        <f>IFERROR(__xludf.DUMMYFUNCTION("GOOGLETRANSLATE($A1943,""en"",""it"")"),"Lélouma")</f>
        <v>Lélouma</v>
      </c>
      <c r="G1943" s="9" t="str">
        <f>IFERROR(__xludf.DUMMYFUNCTION("GOOGLETRANSLATE($A1943,""en"",""zh-cn"")"),"勒卢马")</f>
        <v>勒卢马</v>
      </c>
      <c r="H1943" s="9" t="str">
        <f>IFERROR(__xludf.DUMMYFUNCTION("GOOGLETRANSLATE($A1943,""en"",""ja"")"),"レルーマ")</f>
        <v>レルーマ</v>
      </c>
      <c r="I1943" s="9" t="str">
        <f>IFERROR(__xludf.DUMMYFUNCTION("GOOGLETRANSLATE($A1943,""en"",""ko"")"),"렐루마")</f>
        <v>렐루마</v>
      </c>
      <c r="J1943" s="9" t="str">
        <f>IFERROR(__xludf.DUMMYFUNCTION("GOOGLETRANSLATE($A1943,""en"",""pt-BR"")"),"Lélouma")</f>
        <v>Lélouma</v>
      </c>
    </row>
    <row r="1944">
      <c r="A1944" s="9" t="str">
        <f>IFERROR(__xludf.DUMMYFUNCTION("""COMPUTED_VALUE"""),"Lola")</f>
        <v>Lola</v>
      </c>
      <c r="B1944" s="9" t="str">
        <f>IFERROR(__xludf.DUMMYFUNCTION("""COMPUTED_VALUE"""),"gn-lo")</f>
        <v>gn-lo</v>
      </c>
      <c r="C1944" s="9" t="str">
        <f>IFERROR(__xludf.DUMMYFUNCTION("GOOGLETRANSLATE($A1944,""en"",""de"")"),"Lola")</f>
        <v>Lola</v>
      </c>
      <c r="D1944" s="9" t="str">
        <f>IFERROR(__xludf.DUMMYFUNCTION("GOOGLETRANSLATE($A1944,""en"",""fr"")"),"Lola")</f>
        <v>Lola</v>
      </c>
      <c r="E1944" s="9" t="str">
        <f>IFERROR(__xludf.DUMMYFUNCTION("GOOGLETRANSLATE($A1944,""en"",""es"")"),"lola")</f>
        <v>lola</v>
      </c>
      <c r="F1944" s="9" t="str">
        <f>IFERROR(__xludf.DUMMYFUNCTION("GOOGLETRANSLATE($A1944,""en"",""it"")"),"Lola")</f>
        <v>Lola</v>
      </c>
      <c r="G1944" s="9" t="str">
        <f>IFERROR(__xludf.DUMMYFUNCTION("GOOGLETRANSLATE($A1944,""en"",""zh-cn"")"),"罗拉")</f>
        <v>罗拉</v>
      </c>
      <c r="H1944" s="9" t="str">
        <f>IFERROR(__xludf.DUMMYFUNCTION("GOOGLETRANSLATE($A1944,""en"",""ja"")"),"ローラ")</f>
        <v>ローラ</v>
      </c>
      <c r="I1944" s="9" t="str">
        <f>IFERROR(__xludf.DUMMYFUNCTION("GOOGLETRANSLATE($A1944,""en"",""ko"")"),"롤라")</f>
        <v>롤라</v>
      </c>
      <c r="J1944" s="9" t="str">
        <f>IFERROR(__xludf.DUMMYFUNCTION("GOOGLETRANSLATE($A1944,""en"",""pt-BR"")"),"Lola")</f>
        <v>Lola</v>
      </c>
    </row>
    <row r="1945">
      <c r="A1945" s="9" t="str">
        <f>IFERROR(__xludf.DUMMYFUNCTION("""COMPUTED_VALUE"""),"Pita")</f>
        <v>Pita</v>
      </c>
      <c r="B1945" s="9" t="str">
        <f>IFERROR(__xludf.DUMMYFUNCTION("""COMPUTED_VALUE"""),"gn-pi")</f>
        <v>gn-pi</v>
      </c>
      <c r="C1945" s="9" t="str">
        <f>IFERROR(__xludf.DUMMYFUNCTION("GOOGLETRANSLATE($A1945,""en"",""de"")"),"Pita")</f>
        <v>Pita</v>
      </c>
      <c r="D1945" s="9" t="str">
        <f>IFERROR(__xludf.DUMMYFUNCTION("GOOGLETRANSLATE($A1945,""en"",""fr"")"),"Pita")</f>
        <v>Pita</v>
      </c>
      <c r="E1945" s="9" t="str">
        <f>IFERROR(__xludf.DUMMYFUNCTION("GOOGLETRANSLATE($A1945,""en"",""es"")"),"Agave")</f>
        <v>Agave</v>
      </c>
      <c r="F1945" s="9" t="str">
        <f>IFERROR(__xludf.DUMMYFUNCTION("GOOGLETRANSLATE($A1945,""en"",""it"")"),"Pita")</f>
        <v>Pita</v>
      </c>
      <c r="G1945" s="9" t="str">
        <f>IFERROR(__xludf.DUMMYFUNCTION("GOOGLETRANSLATE($A1945,""en"",""zh-cn"")"),"皮塔饼")</f>
        <v>皮塔饼</v>
      </c>
      <c r="H1945" s="9" t="str">
        <f>IFERROR(__xludf.DUMMYFUNCTION("GOOGLETRANSLATE($A1945,""en"",""ja"")"),"ピタ")</f>
        <v>ピタ</v>
      </c>
      <c r="I1945" s="9" t="str">
        <f>IFERROR(__xludf.DUMMYFUNCTION("GOOGLETRANSLATE($A1945,""en"",""ko"")"),"피타")</f>
        <v>피타</v>
      </c>
      <c r="J1945" s="9" t="str">
        <f>IFERROR(__xludf.DUMMYFUNCTION("GOOGLETRANSLATE($A1945,""en"",""pt-BR"")"),"Pita")</f>
        <v>Pita</v>
      </c>
    </row>
    <row r="1946">
      <c r="A1946" s="9" t="str">
        <f>IFERROR(__xludf.DUMMYFUNCTION("""COMPUTED_VALUE"""),"Nzérékoré Region")</f>
        <v>Nzérékoré Region</v>
      </c>
      <c r="B1946" s="9" t="str">
        <f>IFERROR(__xludf.DUMMYFUNCTION("""COMPUTED_VALUE"""),"gn-n")</f>
        <v>gn-n</v>
      </c>
      <c r="C1946" s="9" t="str">
        <f>IFERROR(__xludf.DUMMYFUNCTION("GOOGLETRANSLATE($A1946,""en"",""de"")"),"Nzérékoré-Region")</f>
        <v>Nzérékoré-Region</v>
      </c>
      <c r="D1946" s="9" t="str">
        <f>IFERROR(__xludf.DUMMYFUNCTION("GOOGLETRANSLATE($A1946,""en"",""fr"")"),"Région de Nzérékoré")</f>
        <v>Région de Nzérékoré</v>
      </c>
      <c r="E1946" s="9" t="str">
        <f>IFERROR(__xludf.DUMMYFUNCTION("GOOGLETRANSLATE($A1946,""en"",""es"")"),"Región de Nzerékoré")</f>
        <v>Región de Nzerékoré</v>
      </c>
      <c r="F1946" s="9" t="str">
        <f>IFERROR(__xludf.DUMMYFUNCTION("GOOGLETRANSLATE($A1946,""en"",""it"")"),"Regione di Nzérékoré")</f>
        <v>Regione di Nzérékoré</v>
      </c>
      <c r="G1946" s="9" t="str">
        <f>IFERROR(__xludf.DUMMYFUNCTION("GOOGLETRANSLATE($A1946,""en"",""zh-cn"")"),"恩泽雷科雷地区")</f>
        <v>恩泽雷科雷地区</v>
      </c>
      <c r="H1946" s="9" t="str">
        <f>IFERROR(__xludf.DUMMYFUNCTION("GOOGLETRANSLATE($A1946,""en"",""ja"")"),"ンゼレコレ州")</f>
        <v>ンゼレコレ州</v>
      </c>
      <c r="I1946" s="9" t="str">
        <f>IFERROR(__xludf.DUMMYFUNCTION("GOOGLETRANSLATE($A1946,""en"",""ko"")"),"은제레코레 지역")</f>
        <v>은제레코레 지역</v>
      </c>
      <c r="J1946" s="9" t="str">
        <f>IFERROR(__xludf.DUMMYFUNCTION("GOOGLETRANSLATE($A1946,""en"",""pt-BR"")"),"Região de Nzerékoré")</f>
        <v>Região de Nzerékoré</v>
      </c>
    </row>
    <row r="1947">
      <c r="A1947" s="9" t="str">
        <f>IFERROR(__xludf.DUMMYFUNCTION("""COMPUTED_VALUE"""),"Guékédou")</f>
        <v>Guékédou</v>
      </c>
      <c r="B1947" s="9" t="str">
        <f>IFERROR(__xludf.DUMMYFUNCTION("""COMPUTED_VALUE"""),"gn-gu")</f>
        <v>gn-gu</v>
      </c>
      <c r="C1947" s="9" t="str">
        <f>IFERROR(__xludf.DUMMYFUNCTION("GOOGLETRANSLATE($A1947,""en"",""de"")"),"Guékédou")</f>
        <v>Guékédou</v>
      </c>
      <c r="D1947" s="9" t="str">
        <f>IFERROR(__xludf.DUMMYFUNCTION("GOOGLETRANSLATE($A1947,""en"",""fr"")"),"Guékédou")</f>
        <v>Guékédou</v>
      </c>
      <c r="E1947" s="9" t="str">
        <f>IFERROR(__xludf.DUMMYFUNCTION("GOOGLETRANSLATE($A1947,""en"",""es"")"),"Guékedou")</f>
        <v>Guékedou</v>
      </c>
      <c r="F1947" s="9" t="str">
        <f>IFERROR(__xludf.DUMMYFUNCTION("GOOGLETRANSLATE($A1947,""en"",""it"")"),"Guékédou")</f>
        <v>Guékédou</v>
      </c>
      <c r="G1947" s="9" t="str">
        <f>IFERROR(__xludf.DUMMYFUNCTION("GOOGLETRANSLATE($A1947,""en"",""zh-cn"")"),"盖克杜")</f>
        <v>盖克杜</v>
      </c>
      <c r="H1947" s="9" t="str">
        <f>IFERROR(__xludf.DUMMYFUNCTION("GOOGLETRANSLATE($A1947,""en"",""ja"")"),"ゲケドゥ")</f>
        <v>ゲケドゥ</v>
      </c>
      <c r="I1947" s="9" t="str">
        <f>IFERROR(__xludf.DUMMYFUNCTION("GOOGLETRANSLATE($A1947,""en"",""ko"")"),"게케두")</f>
        <v>게케두</v>
      </c>
      <c r="J1947" s="9" t="str">
        <f>IFERROR(__xludf.DUMMYFUNCTION("GOOGLETRANSLATE($A1947,""en"",""pt-BR"")"),"Guékédou")</f>
        <v>Guékédou</v>
      </c>
    </row>
    <row r="1948">
      <c r="A1948" s="9" t="str">
        <f>IFERROR(__xludf.DUMMYFUNCTION("""COMPUTED_VALUE"""),"Kindia (Region)")</f>
        <v>Kindia (Region)</v>
      </c>
      <c r="B1948" s="9" t="str">
        <f>IFERROR(__xludf.DUMMYFUNCTION("""COMPUTED_VALUE"""),"gn-d")</f>
        <v>gn-d</v>
      </c>
      <c r="C1948" s="9" t="str">
        <f>IFERROR(__xludf.DUMMYFUNCTION("GOOGLETRANSLATE($A1948,""en"",""de"")"),"Kindia (Region)")</f>
        <v>Kindia (Region)</v>
      </c>
      <c r="D1948" s="9" t="str">
        <f>IFERROR(__xludf.DUMMYFUNCTION("GOOGLETRANSLATE($A1948,""en"",""fr"")"),"Kindia (Région)")</f>
        <v>Kindia (Région)</v>
      </c>
      <c r="E1948" s="9" t="str">
        <f>IFERROR(__xludf.DUMMYFUNCTION("GOOGLETRANSLATE($A1948,""en"",""es"")"),"Kindia (Región)")</f>
        <v>Kindia (Región)</v>
      </c>
      <c r="F1948" s="9" t="str">
        <f>IFERROR(__xludf.DUMMYFUNCTION("GOOGLETRANSLATE($A1948,""en"",""it"")"),"Kindia (Regione)")</f>
        <v>Kindia (Regione)</v>
      </c>
      <c r="G1948" s="9" t="str">
        <f>IFERROR(__xludf.DUMMYFUNCTION("GOOGLETRANSLATE($A1948,""en"",""zh-cn"")"),"金迪亚（地区）")</f>
        <v>金迪亚（地区）</v>
      </c>
      <c r="H1948" s="9" t="str">
        <f>IFERROR(__xludf.DUMMYFUNCTION("GOOGLETRANSLATE($A1948,""en"",""ja"")"),"キンディア (地域)")</f>
        <v>キンディア (地域)</v>
      </c>
      <c r="I1948" s="9" t="str">
        <f>IFERROR(__xludf.DUMMYFUNCTION("GOOGLETRANSLATE($A1948,""en"",""ko"")"),"킨디아(지역)")</f>
        <v>킨디아(지역)</v>
      </c>
      <c r="J1948" s="9" t="str">
        <f>IFERROR(__xludf.DUMMYFUNCTION("GOOGLETRANSLATE($A1948,""en"",""pt-BR"")"),"Kindia (Região)")</f>
        <v>Kindia (Região)</v>
      </c>
    </row>
    <row r="1949">
      <c r="A1949" s="9" t="str">
        <f>IFERROR(__xludf.DUMMYFUNCTION("""COMPUTED_VALUE"""),"Yomou")</f>
        <v>Yomou</v>
      </c>
      <c r="B1949" s="9" t="str">
        <f>IFERROR(__xludf.DUMMYFUNCTION("""COMPUTED_VALUE"""),"gn-yo")</f>
        <v>gn-yo</v>
      </c>
      <c r="C1949" s="9" t="str">
        <f>IFERROR(__xludf.DUMMYFUNCTION("GOOGLETRANSLATE($A1949,""en"",""de"")"),"Yomou")</f>
        <v>Yomou</v>
      </c>
      <c r="D1949" s="9" t="str">
        <f>IFERROR(__xludf.DUMMYFUNCTION("GOOGLETRANSLATE($A1949,""en"",""fr"")"),"Yomou")</f>
        <v>Yomou</v>
      </c>
      <c r="E1949" s="9" t="str">
        <f>IFERROR(__xludf.DUMMYFUNCTION("GOOGLETRANSLATE($A1949,""en"",""es"")"),"Yomo")</f>
        <v>Yomo</v>
      </c>
      <c r="F1949" s="9" t="str">
        <f>IFERROR(__xludf.DUMMYFUNCTION("GOOGLETRANSLATE($A1949,""en"",""it"")"),"Yomou")</f>
        <v>Yomou</v>
      </c>
      <c r="G1949" s="9" t="str">
        <f>IFERROR(__xludf.DUMMYFUNCTION("GOOGLETRANSLATE($A1949,""en"",""zh-cn"")"),"尤莫")</f>
        <v>尤莫</v>
      </c>
      <c r="H1949" s="9" t="str">
        <f>IFERROR(__xludf.DUMMYFUNCTION("GOOGLETRANSLATE($A1949,""en"",""ja"")"),"よもう")</f>
        <v>よもう</v>
      </c>
      <c r="I1949" s="9" t="str">
        <f>IFERROR(__xludf.DUMMYFUNCTION("GOOGLETRANSLATE($A1949,""en"",""ko"")"),"요무")</f>
        <v>요무</v>
      </c>
      <c r="J1949" s="9" t="str">
        <f>IFERROR(__xludf.DUMMYFUNCTION("GOOGLETRANSLATE($A1949,""en"",""pt-BR"")"),"Yomou")</f>
        <v>Yomou</v>
      </c>
    </row>
    <row r="1950">
      <c r="A1950" s="9" t="str">
        <f>IFERROR(__xludf.DUMMYFUNCTION("""COMPUTED_VALUE"""),"Dinguiraye")</f>
        <v>Dinguiraye</v>
      </c>
      <c r="B1950" s="9" t="str">
        <f>IFERROR(__xludf.DUMMYFUNCTION("""COMPUTED_VALUE"""),"gn-di")</f>
        <v>gn-di</v>
      </c>
      <c r="C1950" s="9" t="str">
        <f>IFERROR(__xludf.DUMMYFUNCTION("GOOGLETRANSLATE($A1950,""en"",""de"")"),"Dinguiraye")</f>
        <v>Dinguiraye</v>
      </c>
      <c r="D1950" s="9" t="str">
        <f>IFERROR(__xludf.DUMMYFUNCTION("GOOGLETRANSLATE($A1950,""en"",""fr"")"),"Dinguiraye")</f>
        <v>Dinguiraye</v>
      </c>
      <c r="E1950" s="9" t="str">
        <f>IFERROR(__xludf.DUMMYFUNCTION("GOOGLETRANSLATE($A1950,""en"",""es"")"),"Dinguiraye")</f>
        <v>Dinguiraye</v>
      </c>
      <c r="F1950" s="9" t="str">
        <f>IFERROR(__xludf.DUMMYFUNCTION("GOOGLETRANSLATE($A1950,""en"",""it"")"),"Dinguiraye")</f>
        <v>Dinguiraye</v>
      </c>
      <c r="G1950" s="9" t="str">
        <f>IFERROR(__xludf.DUMMYFUNCTION("GOOGLETRANSLATE($A1950,""en"",""zh-cn"")"),"丁吉拉耶")</f>
        <v>丁吉拉耶</v>
      </c>
      <c r="H1950" s="9" t="str">
        <f>IFERROR(__xludf.DUMMYFUNCTION("GOOGLETRANSLATE($A1950,""en"",""ja"")"),"ディンギライ")</f>
        <v>ディンギライ</v>
      </c>
      <c r="I1950" s="9" t="str">
        <f>IFERROR(__xludf.DUMMYFUNCTION("GOOGLETRANSLATE($A1950,""en"",""ko"")"),"딩기라이예")</f>
        <v>딩기라이예</v>
      </c>
      <c r="J1950" s="9" t="str">
        <f>IFERROR(__xludf.DUMMYFUNCTION("GOOGLETRANSLATE($A1950,""en"",""pt-BR"")"),"Dinguiraye")</f>
        <v>Dinguiraye</v>
      </c>
    </row>
    <row r="1951">
      <c r="A1951" s="9" t="str">
        <f>IFERROR(__xludf.DUMMYFUNCTION("""COMPUTED_VALUE"""),"Gaoual")</f>
        <v>Gaoual</v>
      </c>
      <c r="B1951" s="9" t="str">
        <f>IFERROR(__xludf.DUMMYFUNCTION("""COMPUTED_VALUE"""),"gn-ga")</f>
        <v>gn-ga</v>
      </c>
      <c r="C1951" s="9" t="str">
        <f>IFERROR(__xludf.DUMMYFUNCTION("GOOGLETRANSLATE($A1951,""en"",""de"")"),"Gaoual")</f>
        <v>Gaoual</v>
      </c>
      <c r="D1951" s="9" t="str">
        <f>IFERROR(__xludf.DUMMYFUNCTION("GOOGLETRANSLATE($A1951,""en"",""fr"")"),"Gaoual")</f>
        <v>Gaoual</v>
      </c>
      <c r="E1951" s="9" t="str">
        <f>IFERROR(__xludf.DUMMYFUNCTION("GOOGLETRANSLATE($A1951,""en"",""es"")"),"Gaoual")</f>
        <v>Gaoual</v>
      </c>
      <c r="F1951" s="9" t="str">
        <f>IFERROR(__xludf.DUMMYFUNCTION("GOOGLETRANSLATE($A1951,""en"",""it"")"),"Gaoual")</f>
        <v>Gaoual</v>
      </c>
      <c r="G1951" s="9" t="str">
        <f>IFERROR(__xludf.DUMMYFUNCTION("GOOGLETRANSLATE($A1951,""en"",""zh-cn"")"),"加瓦尔")</f>
        <v>加瓦尔</v>
      </c>
      <c r="H1951" s="9" t="str">
        <f>IFERROR(__xludf.DUMMYFUNCTION("GOOGLETRANSLATE($A1951,""en"",""ja"")"),"ガオアル")</f>
        <v>ガオアル</v>
      </c>
      <c r="I1951" s="9" t="str">
        <f>IFERROR(__xludf.DUMMYFUNCTION("GOOGLETRANSLATE($A1951,""en"",""ko"")"),"가우알")</f>
        <v>가우알</v>
      </c>
      <c r="J1951" s="9" t="str">
        <f>IFERROR(__xludf.DUMMYFUNCTION("GOOGLETRANSLATE($A1951,""en"",""pt-BR"")"),"Gaoual")</f>
        <v>Gaoual</v>
      </c>
    </row>
    <row r="1952">
      <c r="A1952" s="9" t="str">
        <f>IFERROR(__xludf.DUMMYFUNCTION("""COMPUTED_VALUE"""),"Nzérékoré Prefecture")</f>
        <v>Nzérékoré Prefecture</v>
      </c>
      <c r="B1952" s="9" t="str">
        <f>IFERROR(__xludf.DUMMYFUNCTION("""COMPUTED_VALUE"""),"gn-nz")</f>
        <v>gn-nz</v>
      </c>
      <c r="C1952" s="9" t="str">
        <f>IFERROR(__xludf.DUMMYFUNCTION("GOOGLETRANSLATE($A1952,""en"",""de"")"),"Präfektur Nzérékoré")</f>
        <v>Präfektur Nzérékoré</v>
      </c>
      <c r="D1952" s="9" t="str">
        <f>IFERROR(__xludf.DUMMYFUNCTION("GOOGLETRANSLATE($A1952,""en"",""fr"")"),"Préfecture de Nzérékoré")</f>
        <v>Préfecture de Nzérékoré</v>
      </c>
      <c r="E1952" s="9" t="str">
        <f>IFERROR(__xludf.DUMMYFUNCTION("GOOGLETRANSLATE($A1952,""en"",""es"")"),"Prefectura de Nzerékoré")</f>
        <v>Prefectura de Nzerékoré</v>
      </c>
      <c r="F1952" s="9" t="str">
        <f>IFERROR(__xludf.DUMMYFUNCTION("GOOGLETRANSLATE($A1952,""en"",""it"")"),"Prefettura di Nzérékoré")</f>
        <v>Prefettura di Nzérékoré</v>
      </c>
      <c r="G1952" s="9" t="str">
        <f>IFERROR(__xludf.DUMMYFUNCTION("GOOGLETRANSLATE($A1952,""en"",""zh-cn"")"),"恩泽雷科雷省")</f>
        <v>恩泽雷科雷省</v>
      </c>
      <c r="H1952" s="9" t="str">
        <f>IFERROR(__xludf.DUMMYFUNCTION("GOOGLETRANSLATE($A1952,""en"",""ja"")"),"ンゼレコレ県")</f>
        <v>ンゼレコレ県</v>
      </c>
      <c r="I1952" s="9" t="str">
        <f>IFERROR(__xludf.DUMMYFUNCTION("GOOGLETRANSLATE($A1952,""en"",""ko"")"),"은제레코레 현")</f>
        <v>은제레코레 현</v>
      </c>
      <c r="J1952" s="9" t="str">
        <f>IFERROR(__xludf.DUMMYFUNCTION("GOOGLETRANSLATE($A1952,""en"",""pt-BR"")"),"Prefeitura de Nzérékoré")</f>
        <v>Prefeitura de Nzérékoré</v>
      </c>
    </row>
    <row r="1953">
      <c r="A1953" s="9" t="str">
        <f>IFERROR(__xludf.DUMMYFUNCTION("""COMPUTED_VALUE"""),"Beyla")</f>
        <v>Beyla</v>
      </c>
      <c r="B1953" s="9" t="str">
        <f>IFERROR(__xludf.DUMMYFUNCTION("""COMPUTED_VALUE"""),"gn-be")</f>
        <v>gn-be</v>
      </c>
      <c r="C1953" s="9" t="str">
        <f>IFERROR(__xludf.DUMMYFUNCTION("GOOGLETRANSLATE($A1953,""en"",""de"")"),"Beyla")</f>
        <v>Beyla</v>
      </c>
      <c r="D1953" s="9" t="str">
        <f>IFERROR(__xludf.DUMMYFUNCTION("GOOGLETRANSLATE($A1953,""en"",""fr"")"),"Beyla")</f>
        <v>Beyla</v>
      </c>
      <c r="E1953" s="9" t="str">
        <f>IFERROR(__xludf.DUMMYFUNCTION("GOOGLETRANSLATE($A1953,""en"",""es"")"),"Beyla")</f>
        <v>Beyla</v>
      </c>
      <c r="F1953" s="9" t="str">
        <f>IFERROR(__xludf.DUMMYFUNCTION("GOOGLETRANSLATE($A1953,""en"",""it"")"),"Beyla")</f>
        <v>Beyla</v>
      </c>
      <c r="G1953" s="9" t="str">
        <f>IFERROR(__xludf.DUMMYFUNCTION("GOOGLETRANSLATE($A1953,""en"",""zh-cn"")"),"贝拉")</f>
        <v>贝拉</v>
      </c>
      <c r="H1953" s="9" t="str">
        <f>IFERROR(__xludf.DUMMYFUNCTION("GOOGLETRANSLATE($A1953,""en"",""ja"")"),"ベイラ")</f>
        <v>ベイラ</v>
      </c>
      <c r="I1953" s="9" t="str">
        <f>IFERROR(__xludf.DUMMYFUNCTION("GOOGLETRANSLATE($A1953,""en"",""ko"")"),"베일라")</f>
        <v>베일라</v>
      </c>
      <c r="J1953" s="9" t="str">
        <f>IFERROR(__xludf.DUMMYFUNCTION("GOOGLETRANSLATE($A1953,""en"",""pt-BR"")"),"Beyla")</f>
        <v>Beyla</v>
      </c>
    </row>
    <row r="1954">
      <c r="A1954" s="9" t="str">
        <f>IFERROR(__xludf.DUMMYFUNCTION("""COMPUTED_VALUE"""),"Fria")</f>
        <v>Fria</v>
      </c>
      <c r="B1954" s="9" t="str">
        <f>IFERROR(__xludf.DUMMYFUNCTION("""COMPUTED_VALUE"""),"gn-fr")</f>
        <v>gn-fr</v>
      </c>
      <c r="C1954" s="9" t="str">
        <f>IFERROR(__xludf.DUMMYFUNCTION("GOOGLETRANSLATE($A1954,""en"",""de"")"),"Fria")</f>
        <v>Fria</v>
      </c>
      <c r="D1954" s="9" t="str">
        <f>IFERROR(__xludf.DUMMYFUNCTION("GOOGLETRANSLATE($A1954,""en"",""fr"")"),"Fria")</f>
        <v>Fria</v>
      </c>
      <c r="E1954" s="9" t="str">
        <f>IFERROR(__xludf.DUMMYFUNCTION("GOOGLETRANSLATE($A1954,""en"",""es"")"),"Fría")</f>
        <v>Fría</v>
      </c>
      <c r="F1954" s="9" t="str">
        <f>IFERROR(__xludf.DUMMYFUNCTION("GOOGLETRANSLATE($A1954,""en"",""it"")"),"Fria")</f>
        <v>Fria</v>
      </c>
      <c r="G1954" s="9" t="str">
        <f>IFERROR(__xludf.DUMMYFUNCTION("GOOGLETRANSLATE($A1954,""en"",""zh-cn"")"),"弗里亚")</f>
        <v>弗里亚</v>
      </c>
      <c r="H1954" s="9" t="str">
        <f>IFERROR(__xludf.DUMMYFUNCTION("GOOGLETRANSLATE($A1954,""en"",""ja"")"),"フリア")</f>
        <v>フリア</v>
      </c>
      <c r="I1954" s="9" t="str">
        <f>IFERROR(__xludf.DUMMYFUNCTION("GOOGLETRANSLATE($A1954,""en"",""ko"")"),"프리아")</f>
        <v>프리아</v>
      </c>
      <c r="J1954" s="9" t="str">
        <f>IFERROR(__xludf.DUMMYFUNCTION("GOOGLETRANSLATE($A1954,""en"",""pt-BR"")"),"Fria")</f>
        <v>Fria</v>
      </c>
    </row>
    <row r="1955">
      <c r="A1955" s="9" t="str">
        <f>IFERROR(__xludf.DUMMYFUNCTION("""COMPUTED_VALUE"""),"Coyah")</f>
        <v>Coyah</v>
      </c>
      <c r="B1955" s="9" t="str">
        <f>IFERROR(__xludf.DUMMYFUNCTION("""COMPUTED_VALUE"""),"gn-co")</f>
        <v>gn-co</v>
      </c>
      <c r="C1955" s="9" t="str">
        <f>IFERROR(__xludf.DUMMYFUNCTION("GOOGLETRANSLATE($A1955,""en"",""de"")"),"Coyah")</f>
        <v>Coyah</v>
      </c>
      <c r="D1955" s="9" t="str">
        <f>IFERROR(__xludf.DUMMYFUNCTION("GOOGLETRANSLATE($A1955,""en"",""fr"")"),"Coyah")</f>
        <v>Coyah</v>
      </c>
      <c r="E1955" s="9" t="str">
        <f>IFERROR(__xludf.DUMMYFUNCTION("GOOGLETRANSLATE($A1955,""en"",""es"")"),"coya")</f>
        <v>coya</v>
      </c>
      <c r="F1955" s="9" t="str">
        <f>IFERROR(__xludf.DUMMYFUNCTION("GOOGLETRANSLATE($A1955,""en"",""it"")"),"Coyah")</f>
        <v>Coyah</v>
      </c>
      <c r="G1955" s="9" t="str">
        <f>IFERROR(__xludf.DUMMYFUNCTION("GOOGLETRANSLATE($A1955,""en"",""zh-cn"")"),"科亚")</f>
        <v>科亚</v>
      </c>
      <c r="H1955" s="9" t="str">
        <f>IFERROR(__xludf.DUMMYFUNCTION("GOOGLETRANSLATE($A1955,""en"",""ja"")"),"コヤ")</f>
        <v>コヤ</v>
      </c>
      <c r="I1955" s="9" t="str">
        <f>IFERROR(__xludf.DUMMYFUNCTION("GOOGLETRANSLATE($A1955,""en"",""ko"")"),"코야")</f>
        <v>코야</v>
      </c>
      <c r="J1955" s="9" t="str">
        <f>IFERROR(__xludf.DUMMYFUNCTION("GOOGLETRANSLATE($A1955,""en"",""pt-BR"")"),"Coyah")</f>
        <v>Coyah</v>
      </c>
    </row>
    <row r="1956">
      <c r="A1956" s="9" t="str">
        <f>IFERROR(__xludf.DUMMYFUNCTION("""COMPUTED_VALUE"""),"Labé (Region)")</f>
        <v>Labé (Region)</v>
      </c>
      <c r="B1956" s="9" t="str">
        <f>IFERROR(__xludf.DUMMYFUNCTION("""COMPUTED_VALUE"""),"gn-l")</f>
        <v>gn-l</v>
      </c>
      <c r="C1956" s="9" t="str">
        <f>IFERROR(__xludf.DUMMYFUNCTION("GOOGLETRANSLATE($A1956,""en"",""de"")"),"Labé (Region)")</f>
        <v>Labé (Region)</v>
      </c>
      <c r="D1956" s="9" t="str">
        <f>IFERROR(__xludf.DUMMYFUNCTION("GOOGLETRANSLATE($A1956,""en"",""fr"")"),"Labé (Région)")</f>
        <v>Labé (Région)</v>
      </c>
      <c r="E1956" s="9" t="str">
        <f>IFERROR(__xludf.DUMMYFUNCTION("GOOGLETRANSLATE($A1956,""en"",""es"")"),"Labé (Región)")</f>
        <v>Labé (Región)</v>
      </c>
      <c r="F1956" s="9" t="str">
        <f>IFERROR(__xludf.DUMMYFUNCTION("GOOGLETRANSLATE($A1956,""en"",""it"")"),"Labé (Regione)")</f>
        <v>Labé (Regione)</v>
      </c>
      <c r="G1956" s="9" t="str">
        <f>IFERROR(__xludf.DUMMYFUNCTION("GOOGLETRANSLATE($A1956,""en"",""zh-cn"")"),"拉贝（地区）")</f>
        <v>拉贝（地区）</v>
      </c>
      <c r="H1956" s="9" t="str">
        <f>IFERROR(__xludf.DUMMYFUNCTION("GOOGLETRANSLATE($A1956,""en"",""ja"")"),"ラベ (地域)")</f>
        <v>ラベ (地域)</v>
      </c>
      <c r="I1956" s="9" t="str">
        <f>IFERROR(__xludf.DUMMYFUNCTION("GOOGLETRANSLATE($A1956,""en"",""ko"")"),"라베(지역)")</f>
        <v>라베(지역)</v>
      </c>
      <c r="J1956" s="9" t="str">
        <f>IFERROR(__xludf.DUMMYFUNCTION("GOOGLETRANSLATE($A1956,""en"",""pt-BR"")"),"Labé (Região)")</f>
        <v>Labé (Região)</v>
      </c>
    </row>
    <row r="1957">
      <c r="A1957" s="9" t="str">
        <f>IFERROR(__xludf.DUMMYFUNCTION("""COMPUTED_VALUE"""),"Mamou")</f>
        <v>Mamou</v>
      </c>
      <c r="B1957" s="9" t="str">
        <f>IFERROR(__xludf.DUMMYFUNCTION("""COMPUTED_VALUE"""),"gn-m")</f>
        <v>gn-m</v>
      </c>
      <c r="C1957" s="9" t="str">
        <f>IFERROR(__xludf.DUMMYFUNCTION("GOOGLETRANSLATE($A1957,""en"",""de"")"),"Mamou")</f>
        <v>Mamou</v>
      </c>
      <c r="D1957" s="9" t="str">
        <f>IFERROR(__xludf.DUMMYFUNCTION("GOOGLETRANSLATE($A1957,""en"",""fr"")"),"Mamou")</f>
        <v>Mamou</v>
      </c>
      <c r="E1957" s="9" t="str">
        <f>IFERROR(__xludf.DUMMYFUNCTION("GOOGLETRANSLATE($A1957,""en"",""es"")"),"mamu")</f>
        <v>mamu</v>
      </c>
      <c r="F1957" s="9" t="str">
        <f>IFERROR(__xludf.DUMMYFUNCTION("GOOGLETRANSLATE($A1957,""en"",""it"")"),"Mamou")</f>
        <v>Mamou</v>
      </c>
      <c r="G1957" s="9" t="str">
        <f>IFERROR(__xludf.DUMMYFUNCTION("GOOGLETRANSLATE($A1957,""en"",""zh-cn"")"),"马穆")</f>
        <v>马穆</v>
      </c>
      <c r="H1957" s="9" t="str">
        <f>IFERROR(__xludf.DUMMYFUNCTION("GOOGLETRANSLATE($A1957,""en"",""ja"")"),"マモウ")</f>
        <v>マモウ</v>
      </c>
      <c r="I1957" s="9" t="str">
        <f>IFERROR(__xludf.DUMMYFUNCTION("GOOGLETRANSLATE($A1957,""en"",""ko"")"),"마모우")</f>
        <v>마모우</v>
      </c>
      <c r="J1957" s="9" t="str">
        <f>IFERROR(__xludf.DUMMYFUNCTION("GOOGLETRANSLATE($A1957,""en"",""pt-BR"")"),"Mamou")</f>
        <v>Mamou</v>
      </c>
    </row>
    <row r="1958">
      <c r="A1958" s="9" t="str">
        <f>IFERROR(__xludf.DUMMYFUNCTION("""COMPUTED_VALUE"""),"Tougué")</f>
        <v>Tougué</v>
      </c>
      <c r="B1958" s="9" t="str">
        <f>IFERROR(__xludf.DUMMYFUNCTION("""COMPUTED_VALUE"""),"gn-to")</f>
        <v>gn-to</v>
      </c>
      <c r="C1958" s="9" t="str">
        <f>IFERROR(__xludf.DUMMYFUNCTION("GOOGLETRANSLATE($A1958,""en"",""de"")"),"Tougué")</f>
        <v>Tougué</v>
      </c>
      <c r="D1958" s="9" t="str">
        <f>IFERROR(__xludf.DUMMYFUNCTION("GOOGLETRANSLATE($A1958,""en"",""fr"")"),"Tougué")</f>
        <v>Tougué</v>
      </c>
      <c r="E1958" s="9" t="str">
        <f>IFERROR(__xludf.DUMMYFUNCTION("GOOGLETRANSLATE($A1958,""en"",""es"")"),"Tougué")</f>
        <v>Tougué</v>
      </c>
      <c r="F1958" s="9" t="str">
        <f>IFERROR(__xludf.DUMMYFUNCTION("GOOGLETRANSLATE($A1958,""en"",""it"")"),"Tougué")</f>
        <v>Tougué</v>
      </c>
      <c r="G1958" s="9" t="str">
        <f>IFERROR(__xludf.DUMMYFUNCTION("GOOGLETRANSLATE($A1958,""en"",""zh-cn"")"),"图盖")</f>
        <v>图盖</v>
      </c>
      <c r="H1958" s="9" t="str">
        <f>IFERROR(__xludf.DUMMYFUNCTION("GOOGLETRANSLATE($A1958,""en"",""ja"")"),"トゥゲ")</f>
        <v>トゥゲ</v>
      </c>
      <c r="I1958" s="9" t="str">
        <f>IFERROR(__xludf.DUMMYFUNCTION("GOOGLETRANSLATE($A1958,""en"",""ko"")"),"투게")</f>
        <v>투게</v>
      </c>
      <c r="J1958" s="9" t="str">
        <f>IFERROR(__xludf.DUMMYFUNCTION("GOOGLETRANSLATE($A1958,""en"",""pt-BR"")"),"Tougué")</f>
        <v>Tougué</v>
      </c>
    </row>
    <row r="1959">
      <c r="A1959" s="9" t="str">
        <f>IFERROR(__xludf.DUMMYFUNCTION("""COMPUTED_VALUE"""),"Conakry")</f>
        <v>Conakry</v>
      </c>
      <c r="B1959" s="9" t="str">
        <f>IFERROR(__xludf.DUMMYFUNCTION("""COMPUTED_VALUE"""),"gn-c")</f>
        <v>gn-c</v>
      </c>
      <c r="C1959" s="9" t="str">
        <f>IFERROR(__xludf.DUMMYFUNCTION("GOOGLETRANSLATE($A1959,""en"",""de"")"),"Conakry")</f>
        <v>Conakry</v>
      </c>
      <c r="D1959" s="9" t="str">
        <f>IFERROR(__xludf.DUMMYFUNCTION("GOOGLETRANSLATE($A1959,""en"",""fr"")"),"Conakry")</f>
        <v>Conakry</v>
      </c>
      <c r="E1959" s="9" t="str">
        <f>IFERROR(__xludf.DUMMYFUNCTION("GOOGLETRANSLATE($A1959,""en"",""es"")"),"Conakri")</f>
        <v>Conakri</v>
      </c>
      <c r="F1959" s="9" t="str">
        <f>IFERROR(__xludf.DUMMYFUNCTION("GOOGLETRANSLATE($A1959,""en"",""it"")"),"Conakry")</f>
        <v>Conakry</v>
      </c>
      <c r="G1959" s="9" t="str">
        <f>IFERROR(__xludf.DUMMYFUNCTION("GOOGLETRANSLATE($A1959,""en"",""zh-cn"")"),"科纳克里")</f>
        <v>科纳克里</v>
      </c>
      <c r="H1959" s="9" t="str">
        <f>IFERROR(__xludf.DUMMYFUNCTION("GOOGLETRANSLATE($A1959,""en"",""ja"")"),"コナクリ")</f>
        <v>コナクリ</v>
      </c>
      <c r="I1959" s="9" t="str">
        <f>IFERROR(__xludf.DUMMYFUNCTION("GOOGLETRANSLATE($A1959,""en"",""ko"")"),"코나크리")</f>
        <v>코나크리</v>
      </c>
      <c r="J1959" s="9" t="str">
        <f>IFERROR(__xludf.DUMMYFUNCTION("GOOGLETRANSLATE($A1959,""en"",""pt-BR"")"),"Conacri")</f>
        <v>Conacri</v>
      </c>
    </row>
    <row r="1960">
      <c r="A1960" s="9" t="str">
        <f>IFERROR(__xludf.DUMMYFUNCTION("""COMPUTED_VALUE"""),"Kankan Prefecture")</f>
        <v>Kankan Prefecture</v>
      </c>
      <c r="B1960" s="9" t="str">
        <f>IFERROR(__xludf.DUMMYFUNCTION("""COMPUTED_VALUE"""),"gn-ka")</f>
        <v>gn-ka</v>
      </c>
      <c r="C1960" s="9" t="str">
        <f>IFERROR(__xludf.DUMMYFUNCTION("GOOGLETRANSLATE($A1960,""en"",""de"")"),"Präfektur Kankan")</f>
        <v>Präfektur Kankan</v>
      </c>
      <c r="D1960" s="9" t="str">
        <f>IFERROR(__xludf.DUMMYFUNCTION("GOOGLETRANSLATE($A1960,""en"",""fr"")"),"Préfecture de Kankan")</f>
        <v>Préfecture de Kankan</v>
      </c>
      <c r="E1960" s="9" t="str">
        <f>IFERROR(__xludf.DUMMYFUNCTION("GOOGLETRANSLATE($A1960,""en"",""es"")"),"Prefectura de Kankan")</f>
        <v>Prefectura de Kankan</v>
      </c>
      <c r="F1960" s="9" t="str">
        <f>IFERROR(__xludf.DUMMYFUNCTION("GOOGLETRANSLATE($A1960,""en"",""it"")"),"Prefettura di Kankan")</f>
        <v>Prefettura di Kankan</v>
      </c>
      <c r="G1960" s="9" t="str">
        <f>IFERROR(__xludf.DUMMYFUNCTION("GOOGLETRANSLATE($A1960,""en"",""zh-cn"")"),"康康县")</f>
        <v>康康县</v>
      </c>
      <c r="H1960" s="9" t="str">
        <f>IFERROR(__xludf.DUMMYFUNCTION("GOOGLETRANSLATE($A1960,""en"",""ja"")"),"カンカン県")</f>
        <v>カンカン県</v>
      </c>
      <c r="I1960" s="9" t="str">
        <f>IFERROR(__xludf.DUMMYFUNCTION("GOOGLETRANSLATE($A1960,""en"",""ko"")"),"간칸현")</f>
        <v>간칸현</v>
      </c>
      <c r="J1960" s="9" t="str">
        <f>IFERROR(__xludf.DUMMYFUNCTION("GOOGLETRANSLATE($A1960,""en"",""pt-BR"")"),"Prefeitura de Kankan")</f>
        <v>Prefeitura de Kankan</v>
      </c>
    </row>
    <row r="1961">
      <c r="A1961" s="9" t="str">
        <f>IFERROR(__xludf.DUMMYFUNCTION("""COMPUTED_VALUE"""),"Télimélé")</f>
        <v>Télimélé</v>
      </c>
      <c r="B1961" s="9" t="str">
        <f>IFERROR(__xludf.DUMMYFUNCTION("""COMPUTED_VALUE"""),"gn-te")</f>
        <v>gn-te</v>
      </c>
      <c r="C1961" s="9" t="str">
        <f>IFERROR(__xludf.DUMMYFUNCTION("GOOGLETRANSLATE($A1961,""en"",""de"")"),"Télimélé")</f>
        <v>Télimélé</v>
      </c>
      <c r="D1961" s="9" t="str">
        <f>IFERROR(__xludf.DUMMYFUNCTION("GOOGLETRANSLATE($A1961,""en"",""fr"")"),"Télimélé")</f>
        <v>Télimélé</v>
      </c>
      <c r="E1961" s="9" t="str">
        <f>IFERROR(__xludf.DUMMYFUNCTION("GOOGLETRANSLATE($A1961,""en"",""es"")"),"Télimélé")</f>
        <v>Télimélé</v>
      </c>
      <c r="F1961" s="9" t="str">
        <f>IFERROR(__xludf.DUMMYFUNCTION("GOOGLETRANSLATE($A1961,""en"",""it"")"),"Télimélé")</f>
        <v>Télimélé</v>
      </c>
      <c r="G1961" s="9" t="str">
        <f>IFERROR(__xludf.DUMMYFUNCTION("GOOGLETRANSLATE($A1961,""en"",""zh-cn"")"),"泰利美莱")</f>
        <v>泰利美莱</v>
      </c>
      <c r="H1961" s="9" t="str">
        <f>IFERROR(__xludf.DUMMYFUNCTION("GOOGLETRANSLATE($A1961,""en"",""ja"")"),"テリメレ")</f>
        <v>テリメレ</v>
      </c>
      <c r="I1961" s="9" t="str">
        <f>IFERROR(__xludf.DUMMYFUNCTION("GOOGLETRANSLATE($A1961,""en"",""ko"")"),"테리멜레")</f>
        <v>테리멜레</v>
      </c>
      <c r="J1961" s="9" t="str">
        <f>IFERROR(__xludf.DUMMYFUNCTION("GOOGLETRANSLATE($A1961,""en"",""pt-BR"")"),"Télimélé")</f>
        <v>Télimélé</v>
      </c>
    </row>
    <row r="1962">
      <c r="A1962" s="9" t="str">
        <f>IFERROR(__xludf.DUMMYFUNCTION("""COMPUTED_VALUE"""),"Kindia Prefecture")</f>
        <v>Kindia Prefecture</v>
      </c>
      <c r="B1962" s="9" t="str">
        <f>IFERROR(__xludf.DUMMYFUNCTION("""COMPUTED_VALUE"""),"gn-kd")</f>
        <v>gn-kd</v>
      </c>
      <c r="C1962" s="9" t="str">
        <f>IFERROR(__xludf.DUMMYFUNCTION("GOOGLETRANSLATE($A1962,""en"",""de"")"),"Präfektur Kindia")</f>
        <v>Präfektur Kindia</v>
      </c>
      <c r="D1962" s="9" t="str">
        <f>IFERROR(__xludf.DUMMYFUNCTION("GOOGLETRANSLATE($A1962,""en"",""fr"")"),"Préfecture de Kindia")</f>
        <v>Préfecture de Kindia</v>
      </c>
      <c r="E1962" s="9" t="str">
        <f>IFERROR(__xludf.DUMMYFUNCTION("GOOGLETRANSLATE($A1962,""en"",""es"")"),"Prefectura de Kindia")</f>
        <v>Prefectura de Kindia</v>
      </c>
      <c r="F1962" s="9" t="str">
        <f>IFERROR(__xludf.DUMMYFUNCTION("GOOGLETRANSLATE($A1962,""en"",""it"")"),"Prefettura di Kindia")</f>
        <v>Prefettura di Kindia</v>
      </c>
      <c r="G1962" s="9" t="str">
        <f>IFERROR(__xludf.DUMMYFUNCTION("GOOGLETRANSLATE($A1962,""en"",""zh-cn"")"),"金迪亚县")</f>
        <v>金迪亚县</v>
      </c>
      <c r="H1962" s="9" t="str">
        <f>IFERROR(__xludf.DUMMYFUNCTION("GOOGLETRANSLATE($A1962,""en"",""ja"")"),"キンディア県")</f>
        <v>キンディア県</v>
      </c>
      <c r="I1962" s="9" t="str">
        <f>IFERROR(__xludf.DUMMYFUNCTION("GOOGLETRANSLATE($A1962,""en"",""ko"")"),"킨디아현")</f>
        <v>킨디아현</v>
      </c>
      <c r="J1962" s="9" t="str">
        <f>IFERROR(__xludf.DUMMYFUNCTION("GOOGLETRANSLATE($A1962,""en"",""pt-BR"")"),"Prefeitura de Kindia")</f>
        <v>Prefeitura de Kindia</v>
      </c>
    </row>
    <row r="1963">
      <c r="A1963" s="9" t="str">
        <f>IFERROR(__xludf.DUMMYFUNCTION("""COMPUTED_VALUE"""),"Koundara")</f>
        <v>Koundara</v>
      </c>
      <c r="B1963" s="9" t="str">
        <f>IFERROR(__xludf.DUMMYFUNCTION("""COMPUTED_VALUE"""),"gn-kn")</f>
        <v>gn-kn</v>
      </c>
      <c r="C1963" s="9" t="str">
        <f>IFERROR(__xludf.DUMMYFUNCTION("GOOGLETRANSLATE($A1963,""en"",""de"")"),"Koundara")</f>
        <v>Koundara</v>
      </c>
      <c r="D1963" s="9" t="str">
        <f>IFERROR(__xludf.DUMMYFUNCTION("GOOGLETRANSLATE($A1963,""en"",""fr"")"),"Koundara")</f>
        <v>Koundara</v>
      </c>
      <c r="E1963" s="9" t="str">
        <f>IFERROR(__xludf.DUMMYFUNCTION("GOOGLETRANSLATE($A1963,""en"",""es"")"),"Koundara")</f>
        <v>Koundara</v>
      </c>
      <c r="F1963" s="9" t="str">
        <f>IFERROR(__xludf.DUMMYFUNCTION("GOOGLETRANSLATE($A1963,""en"",""it"")"),"Koundara")</f>
        <v>Koundara</v>
      </c>
      <c r="G1963" s="9" t="str">
        <f>IFERROR(__xludf.DUMMYFUNCTION("GOOGLETRANSLATE($A1963,""en"",""zh-cn"")"),"昆达拉")</f>
        <v>昆达拉</v>
      </c>
      <c r="H1963" s="9" t="str">
        <f>IFERROR(__xludf.DUMMYFUNCTION("GOOGLETRANSLATE($A1963,""en"",""ja"")"),"クンダラ")</f>
        <v>クンダラ</v>
      </c>
      <c r="I1963" s="9" t="str">
        <f>IFERROR(__xludf.DUMMYFUNCTION("GOOGLETRANSLATE($A1963,""en"",""ko"")"),"쿤다라")</f>
        <v>쿤다라</v>
      </c>
      <c r="J1963" s="9" t="str">
        <f>IFERROR(__xludf.DUMMYFUNCTION("GOOGLETRANSLATE($A1963,""en"",""pt-BR"")"),"Koundara")</f>
        <v>Koundara</v>
      </c>
    </row>
    <row r="1964">
      <c r="A1964" s="9" t="str">
        <f>IFERROR(__xludf.DUMMYFUNCTION("""COMPUTED_VALUE"""),"Kérouané")</f>
        <v>Kérouané</v>
      </c>
      <c r="B1964" s="9" t="str">
        <f>IFERROR(__xludf.DUMMYFUNCTION("""COMPUTED_VALUE"""),"gn-ke")</f>
        <v>gn-ke</v>
      </c>
      <c r="C1964" s="9" t="str">
        <f>IFERROR(__xludf.DUMMYFUNCTION("GOOGLETRANSLATE($A1964,""en"",""de"")"),"Kérouané")</f>
        <v>Kérouané</v>
      </c>
      <c r="D1964" s="9" t="str">
        <f>IFERROR(__xludf.DUMMYFUNCTION("GOOGLETRANSLATE($A1964,""en"",""fr"")"),"Kérouane")</f>
        <v>Kérouane</v>
      </c>
      <c r="E1964" s="9" t="str">
        <f>IFERROR(__xludf.DUMMYFUNCTION("GOOGLETRANSLATE($A1964,""en"",""es"")"),"Kérouané")</f>
        <v>Kérouané</v>
      </c>
      <c r="F1964" s="9" t="str">
        <f>IFERROR(__xludf.DUMMYFUNCTION("GOOGLETRANSLATE($A1964,""en"",""it"")"),"Kérouane")</f>
        <v>Kérouane</v>
      </c>
      <c r="G1964" s="9" t="str">
        <f>IFERROR(__xludf.DUMMYFUNCTION("GOOGLETRANSLATE($A1964,""en"",""zh-cn"")"),"凯鲁瓦内")</f>
        <v>凯鲁瓦内</v>
      </c>
      <c r="H1964" s="9" t="str">
        <f>IFERROR(__xludf.DUMMYFUNCTION("GOOGLETRANSLATE($A1964,""en"",""ja"")"),"ケルアン")</f>
        <v>ケルアン</v>
      </c>
      <c r="I1964" s="9" t="str">
        <f>IFERROR(__xludf.DUMMYFUNCTION("GOOGLETRANSLATE($A1964,""en"",""ko"")"),"케루아네")</f>
        <v>케루아네</v>
      </c>
      <c r="J1964" s="9" t="str">
        <f>IFERROR(__xludf.DUMMYFUNCTION("GOOGLETRANSLATE($A1964,""en"",""pt-BR"")"),"Kérouané")</f>
        <v>Kérouané</v>
      </c>
    </row>
    <row r="1965">
      <c r="A1965" s="9" t="str">
        <f>IFERROR(__xludf.DUMMYFUNCTION("""COMPUTED_VALUE"""),"Faranah Prefecture")</f>
        <v>Faranah Prefecture</v>
      </c>
      <c r="B1965" s="9" t="str">
        <f>IFERROR(__xludf.DUMMYFUNCTION("""COMPUTED_VALUE"""),"gn-fa")</f>
        <v>gn-fa</v>
      </c>
      <c r="C1965" s="9" t="str">
        <f>IFERROR(__xludf.DUMMYFUNCTION("GOOGLETRANSLATE($A1965,""en"",""de"")"),"Präfektur Faranah")</f>
        <v>Präfektur Faranah</v>
      </c>
      <c r="D1965" s="9" t="str">
        <f>IFERROR(__xludf.DUMMYFUNCTION("GOOGLETRANSLATE($A1965,""en"",""fr"")"),"Préfecture de Faranah")</f>
        <v>Préfecture de Faranah</v>
      </c>
      <c r="E1965" s="9" t="str">
        <f>IFERROR(__xludf.DUMMYFUNCTION("GOOGLETRANSLATE($A1965,""en"",""es"")"),"Prefectura de Faranah")</f>
        <v>Prefectura de Faranah</v>
      </c>
      <c r="F1965" s="9" t="str">
        <f>IFERROR(__xludf.DUMMYFUNCTION("GOOGLETRANSLATE($A1965,""en"",""it"")"),"Prefettura di Faranah")</f>
        <v>Prefettura di Faranah</v>
      </c>
      <c r="G1965" s="9" t="str">
        <f>IFERROR(__xludf.DUMMYFUNCTION("GOOGLETRANSLATE($A1965,""en"",""zh-cn"")"),"法拉纳县")</f>
        <v>法拉纳县</v>
      </c>
      <c r="H1965" s="9" t="str">
        <f>IFERROR(__xludf.DUMMYFUNCTION("GOOGLETRANSLATE($A1965,""en"",""ja"")"),"ファラナ県")</f>
        <v>ファラナ県</v>
      </c>
      <c r="I1965" s="9" t="str">
        <f>IFERROR(__xludf.DUMMYFUNCTION("GOOGLETRANSLATE($A1965,""en"",""ko"")"),"파라나현")</f>
        <v>파라나현</v>
      </c>
      <c r="J1965" s="9" t="str">
        <f>IFERROR(__xludf.DUMMYFUNCTION("GOOGLETRANSLATE($A1965,""en"",""pt-BR"")"),"Prefeitura de Faranah")</f>
        <v>Prefeitura de Faranah</v>
      </c>
    </row>
    <row r="1966">
      <c r="A1966" s="9" t="str">
        <f>IFERROR(__xludf.DUMMYFUNCTION("""COMPUTED_VALUE"""),"Labé Prefecture")</f>
        <v>Labé Prefecture</v>
      </c>
      <c r="B1966" s="9" t="str">
        <f>IFERROR(__xludf.DUMMYFUNCTION("""COMPUTED_VALUE"""),"gn-la")</f>
        <v>gn-la</v>
      </c>
      <c r="C1966" s="9" t="str">
        <f>IFERROR(__xludf.DUMMYFUNCTION("GOOGLETRANSLATE($A1966,""en"",""de"")"),"Präfektur Labé")</f>
        <v>Präfektur Labé</v>
      </c>
      <c r="D1966" s="9" t="str">
        <f>IFERROR(__xludf.DUMMYFUNCTION("GOOGLETRANSLATE($A1966,""en"",""fr"")"),"Préfecture de Labé")</f>
        <v>Préfecture de Labé</v>
      </c>
      <c r="E1966" s="9" t="str">
        <f>IFERROR(__xludf.DUMMYFUNCTION("GOOGLETRANSLATE($A1966,""en"",""es"")"),"Prefectura de Labé")</f>
        <v>Prefectura de Labé</v>
      </c>
      <c r="F1966" s="9" t="str">
        <f>IFERROR(__xludf.DUMMYFUNCTION("GOOGLETRANSLATE($A1966,""en"",""it"")"),"Prefettura di Labé")</f>
        <v>Prefettura di Labé</v>
      </c>
      <c r="G1966" s="9" t="str">
        <f>IFERROR(__xludf.DUMMYFUNCTION("GOOGLETRANSLATE($A1966,""en"",""zh-cn"")"),"拉贝县")</f>
        <v>拉贝县</v>
      </c>
      <c r="H1966" s="9" t="str">
        <f>IFERROR(__xludf.DUMMYFUNCTION("GOOGLETRANSLATE($A1966,""en"",""ja"")"),"ラベ県")</f>
        <v>ラベ県</v>
      </c>
      <c r="I1966" s="9" t="str">
        <f>IFERROR(__xludf.DUMMYFUNCTION("GOOGLETRANSLATE($A1966,""en"",""ko"")"),"라베현")</f>
        <v>라베현</v>
      </c>
      <c r="J1966" s="9" t="str">
        <f>IFERROR(__xludf.DUMMYFUNCTION("GOOGLETRANSLATE($A1966,""en"",""pt-BR"")"),"Prefeitura de Labé")</f>
        <v>Prefeitura de Labé</v>
      </c>
    </row>
    <row r="1967">
      <c r="A1967" s="9" t="str">
        <f>IFERROR(__xludf.DUMMYFUNCTION("""COMPUTED_VALUE"""),"Leste")</f>
        <v>Leste</v>
      </c>
      <c r="B1967" s="9" t="str">
        <f>IFERROR(__xludf.DUMMYFUNCTION("""COMPUTED_VALUE"""),"gw-l")</f>
        <v>gw-l</v>
      </c>
      <c r="C1967" s="9" t="str">
        <f>IFERROR(__xludf.DUMMYFUNCTION("GOOGLETRANSLATE($A1967,""en"",""de"")"),"Leste")</f>
        <v>Leste</v>
      </c>
      <c r="D1967" s="9" t="str">
        <f>IFERROR(__xludf.DUMMYFUNCTION("GOOGLETRANSLATE($A1967,""en"",""fr"")"),"Leste")</f>
        <v>Leste</v>
      </c>
      <c r="E1967" s="9" t="str">
        <f>IFERROR(__xludf.DUMMYFUNCTION("GOOGLETRANSLATE($A1967,""en"",""es"")"),"Este")</f>
        <v>Este</v>
      </c>
      <c r="F1967" s="9" t="str">
        <f>IFERROR(__xludf.DUMMYFUNCTION("GOOGLETRANSLATE($A1967,""en"",""it"")"),"Est")</f>
        <v>Est</v>
      </c>
      <c r="G1967" s="9" t="str">
        <f>IFERROR(__xludf.DUMMYFUNCTION("GOOGLETRANSLATE($A1967,""en"",""zh-cn"")"),"莱斯特")</f>
        <v>莱斯特</v>
      </c>
      <c r="H1967" s="9" t="str">
        <f>IFERROR(__xludf.DUMMYFUNCTION("GOOGLETRANSLATE($A1967,""en"",""ja"")"),"レステ")</f>
        <v>レステ</v>
      </c>
      <c r="I1967" s="9" t="str">
        <f>IFERROR(__xludf.DUMMYFUNCTION("GOOGLETRANSLATE($A1967,""en"",""ko"")"),"레스테")</f>
        <v>레스테</v>
      </c>
      <c r="J1967" s="9" t="str">
        <f>IFERROR(__xludf.DUMMYFUNCTION("GOOGLETRANSLATE($A1967,""en"",""pt-BR"")"),"leste")</f>
        <v>leste</v>
      </c>
    </row>
    <row r="1968">
      <c r="A1968" s="9" t="str">
        <f>IFERROR(__xludf.DUMMYFUNCTION("""COMPUTED_VALUE"""),"Bafatá")</f>
        <v>Bafatá</v>
      </c>
      <c r="B1968" s="9" t="str">
        <f>IFERROR(__xludf.DUMMYFUNCTION("""COMPUTED_VALUE"""),"gw-ba")</f>
        <v>gw-ba</v>
      </c>
      <c r="C1968" s="9" t="str">
        <f>IFERROR(__xludf.DUMMYFUNCTION("GOOGLETRANSLATE($A1968,""en"",""de"")"),"Bafatá")</f>
        <v>Bafatá</v>
      </c>
      <c r="D1968" s="9" t="str">
        <f>IFERROR(__xludf.DUMMYFUNCTION("GOOGLETRANSLATE($A1968,""en"",""fr"")"),"Bafata")</f>
        <v>Bafata</v>
      </c>
      <c r="E1968" s="9" t="str">
        <f>IFERROR(__xludf.DUMMYFUNCTION("GOOGLETRANSLATE($A1968,""en"",""es"")"),"Bafatá")</f>
        <v>Bafatá</v>
      </c>
      <c r="F1968" s="9" t="str">
        <f>IFERROR(__xludf.DUMMYFUNCTION("GOOGLETRANSLATE($A1968,""en"",""it"")"),"Bafatá")</f>
        <v>Bafatá</v>
      </c>
      <c r="G1968" s="9" t="str">
        <f>IFERROR(__xludf.DUMMYFUNCTION("GOOGLETRANSLATE($A1968,""en"",""zh-cn"")"),"巴法塔")</f>
        <v>巴法塔</v>
      </c>
      <c r="H1968" s="9" t="str">
        <f>IFERROR(__xludf.DUMMYFUNCTION("GOOGLETRANSLATE($A1968,""en"",""ja"")"),"バファタ")</f>
        <v>バファタ</v>
      </c>
      <c r="I1968" s="9" t="str">
        <f>IFERROR(__xludf.DUMMYFUNCTION("GOOGLETRANSLATE($A1968,""en"",""ko"")"),"바파타")</f>
        <v>바파타</v>
      </c>
      <c r="J1968" s="9" t="str">
        <f>IFERROR(__xludf.DUMMYFUNCTION("GOOGLETRANSLATE($A1968,""en"",""pt-BR"")"),"Bafatá")</f>
        <v>Bafatá</v>
      </c>
    </row>
    <row r="1969">
      <c r="A1969" s="9" t="str">
        <f>IFERROR(__xludf.DUMMYFUNCTION("""COMPUTED_VALUE"""),"Sul")</f>
        <v>Sul</v>
      </c>
      <c r="B1969" s="9" t="str">
        <f>IFERROR(__xludf.DUMMYFUNCTION("""COMPUTED_VALUE"""),"gw-s")</f>
        <v>gw-s</v>
      </c>
      <c r="C1969" s="9" t="str">
        <f>IFERROR(__xludf.DUMMYFUNCTION("GOOGLETRANSLATE($A1969,""en"",""de"")"),"Sul")</f>
        <v>Sul</v>
      </c>
      <c r="D1969" s="9" t="str">
        <f>IFERROR(__xludf.DUMMYFUNCTION("GOOGLETRANSLATE($A1969,""en"",""fr"")"),"Sul")</f>
        <v>Sul</v>
      </c>
      <c r="E1969" s="9" t="str">
        <f>IFERROR(__xludf.DUMMYFUNCTION("GOOGLETRANSLATE($A1969,""en"",""es"")"),"sur")</f>
        <v>sur</v>
      </c>
      <c r="F1969" s="9" t="str">
        <f>IFERROR(__xludf.DUMMYFUNCTION("GOOGLETRANSLATE($A1969,""en"",""it"")"),"Sul")</f>
        <v>Sul</v>
      </c>
      <c r="G1969" s="9" t="str">
        <f>IFERROR(__xludf.DUMMYFUNCTION("GOOGLETRANSLATE($A1969,""en"",""zh-cn"")"),"苏尔")</f>
        <v>苏尔</v>
      </c>
      <c r="H1969" s="9" t="str">
        <f>IFERROR(__xludf.DUMMYFUNCTION("GOOGLETRANSLATE($A1969,""en"",""ja"")"),"スル")</f>
        <v>スル</v>
      </c>
      <c r="I1969" s="9" t="str">
        <f>IFERROR(__xludf.DUMMYFUNCTION("GOOGLETRANSLATE($A1969,""en"",""ko"")"),"술")</f>
        <v>술</v>
      </c>
      <c r="J1969" s="9" t="str">
        <f>IFERROR(__xludf.DUMMYFUNCTION("GOOGLETRANSLATE($A1969,""en"",""pt-BR"")"),"Sul")</f>
        <v>Sul</v>
      </c>
    </row>
    <row r="1970">
      <c r="A1970" s="9" t="str">
        <f>IFERROR(__xludf.DUMMYFUNCTION("""COMPUTED_VALUE"""),"Quinara")</f>
        <v>Quinara</v>
      </c>
      <c r="B1970" s="9" t="str">
        <f>IFERROR(__xludf.DUMMYFUNCTION("""COMPUTED_VALUE"""),"gw-qu")</f>
        <v>gw-qu</v>
      </c>
      <c r="C1970" s="9" t="str">
        <f>IFERROR(__xludf.DUMMYFUNCTION("GOOGLETRANSLATE($A1970,""en"",""de"")"),"Quinara")</f>
        <v>Quinara</v>
      </c>
      <c r="D1970" s="9" t="str">
        <f>IFERROR(__xludf.DUMMYFUNCTION("GOOGLETRANSLATE($A1970,""en"",""fr"")"),"Quinara")</f>
        <v>Quinara</v>
      </c>
      <c r="E1970" s="9" t="str">
        <f>IFERROR(__xludf.DUMMYFUNCTION("GOOGLETRANSLATE($A1970,""en"",""es"")"),"quinara")</f>
        <v>quinara</v>
      </c>
      <c r="F1970" s="9" t="str">
        <f>IFERROR(__xludf.DUMMYFUNCTION("GOOGLETRANSLATE($A1970,""en"",""it"")"),"Quinara")</f>
        <v>Quinara</v>
      </c>
      <c r="G1970" s="9" t="str">
        <f>IFERROR(__xludf.DUMMYFUNCTION("GOOGLETRANSLATE($A1970,""en"",""zh-cn"")"),"奎纳拉")</f>
        <v>奎纳拉</v>
      </c>
      <c r="H1970" s="9" t="str">
        <f>IFERROR(__xludf.DUMMYFUNCTION("GOOGLETRANSLATE($A1970,""en"",""ja"")"),"キナラ")</f>
        <v>キナラ</v>
      </c>
      <c r="I1970" s="9" t="str">
        <f>IFERROR(__xludf.DUMMYFUNCTION("GOOGLETRANSLATE($A1970,""en"",""ko"")"),"퀴나라")</f>
        <v>퀴나라</v>
      </c>
      <c r="J1970" s="9" t="str">
        <f>IFERROR(__xludf.DUMMYFUNCTION("GOOGLETRANSLATE($A1970,""en"",""pt-BR"")"),"Quinara")</f>
        <v>Quinara</v>
      </c>
    </row>
    <row r="1971">
      <c r="A1971" s="9" t="str">
        <f>IFERROR(__xludf.DUMMYFUNCTION("""COMPUTED_VALUE"""),"Oio")</f>
        <v>Oio</v>
      </c>
      <c r="B1971" s="9" t="str">
        <f>IFERROR(__xludf.DUMMYFUNCTION("""COMPUTED_VALUE"""),"gw-oi")</f>
        <v>gw-oi</v>
      </c>
      <c r="C1971" s="9" t="str">
        <f>IFERROR(__xludf.DUMMYFUNCTION("GOOGLETRANSLATE($A1971,""en"",""de"")"),"Oio")</f>
        <v>Oio</v>
      </c>
      <c r="D1971" s="9" t="str">
        <f>IFERROR(__xludf.DUMMYFUNCTION("GOOGLETRANSLATE($A1971,""en"",""fr"")"),"Oio")</f>
        <v>Oio</v>
      </c>
      <c r="E1971" s="9" t="str">
        <f>IFERROR(__xludf.DUMMYFUNCTION("GOOGLETRANSLATE($A1971,""en"",""es"")"),"Oio")</f>
        <v>Oio</v>
      </c>
      <c r="F1971" s="9" t="str">
        <f>IFERROR(__xludf.DUMMYFUNCTION("GOOGLETRANSLATE($A1971,""en"",""it"")"),"Oio")</f>
        <v>Oio</v>
      </c>
      <c r="G1971" s="9" t="str">
        <f>IFERROR(__xludf.DUMMYFUNCTION("GOOGLETRANSLATE($A1971,""en"",""zh-cn"")"),"大尾")</f>
        <v>大尾</v>
      </c>
      <c r="H1971" s="9" t="str">
        <f>IFERROR(__xludf.DUMMYFUNCTION("GOOGLETRANSLATE($A1971,""en"",""ja"")"),"オーイオ")</f>
        <v>オーイオ</v>
      </c>
      <c r="I1971" s="9" t="str">
        <f>IFERROR(__xludf.DUMMYFUNCTION("GOOGLETRANSLATE($A1971,""en"",""ko"")"),"오이오")</f>
        <v>오이오</v>
      </c>
      <c r="J1971" s="9" t="str">
        <f>IFERROR(__xludf.DUMMYFUNCTION("GOOGLETRANSLATE($A1971,""en"",""pt-BR"")"),"Óio")</f>
        <v>Óio</v>
      </c>
    </row>
    <row r="1972">
      <c r="A1972" s="9" t="str">
        <f>IFERROR(__xludf.DUMMYFUNCTION("""COMPUTED_VALUE"""),"Biombo")</f>
        <v>Biombo</v>
      </c>
      <c r="B1972" s="9" t="str">
        <f>IFERROR(__xludf.DUMMYFUNCTION("""COMPUTED_VALUE"""),"gw-bm")</f>
        <v>gw-bm</v>
      </c>
      <c r="C1972" s="9" t="str">
        <f>IFERROR(__xludf.DUMMYFUNCTION("GOOGLETRANSLATE($A1972,""en"",""de"")"),"Biombo")</f>
        <v>Biombo</v>
      </c>
      <c r="D1972" s="9" t="str">
        <f>IFERROR(__xludf.DUMMYFUNCTION("GOOGLETRANSLATE($A1972,""en"",""fr"")"),"Biombo")</f>
        <v>Biombo</v>
      </c>
      <c r="E1972" s="9" t="str">
        <f>IFERROR(__xludf.DUMMYFUNCTION("GOOGLETRANSLATE($A1972,""en"",""es"")"),"Biombo")</f>
        <v>Biombo</v>
      </c>
      <c r="F1972" s="9" t="str">
        <f>IFERROR(__xludf.DUMMYFUNCTION("GOOGLETRANSLATE($A1972,""en"",""it"")"),"Biombo")</f>
        <v>Biombo</v>
      </c>
      <c r="G1972" s="9" t="str">
        <f>IFERROR(__xludf.DUMMYFUNCTION("GOOGLETRANSLATE($A1972,""en"",""zh-cn"")"),"比翁博")</f>
        <v>比翁博</v>
      </c>
      <c r="H1972" s="9" t="str">
        <f>IFERROR(__xludf.DUMMYFUNCTION("GOOGLETRANSLATE($A1972,""en"",""ja"")"),"ビオンボ")</f>
        <v>ビオンボ</v>
      </c>
      <c r="I1972" s="9" t="str">
        <f>IFERROR(__xludf.DUMMYFUNCTION("GOOGLETRANSLATE($A1972,""en"",""ko"")"),"비옴보")</f>
        <v>비옴보</v>
      </c>
      <c r="J1972" s="9" t="str">
        <f>IFERROR(__xludf.DUMMYFUNCTION("GOOGLETRANSLATE($A1972,""en"",""pt-BR"")"),"Biombo")</f>
        <v>Biombo</v>
      </c>
    </row>
    <row r="1973">
      <c r="A1973" s="9" t="str">
        <f>IFERROR(__xludf.DUMMYFUNCTION("""COMPUTED_VALUE"""),"Bissau")</f>
        <v>Bissau</v>
      </c>
      <c r="B1973" s="9" t="str">
        <f>IFERROR(__xludf.DUMMYFUNCTION("""COMPUTED_VALUE"""),"gw-bs")</f>
        <v>gw-bs</v>
      </c>
      <c r="C1973" s="9" t="str">
        <f>IFERROR(__xludf.DUMMYFUNCTION("GOOGLETRANSLATE($A1973,""en"",""de"")"),"Bissau")</f>
        <v>Bissau</v>
      </c>
      <c r="D1973" s="9" t="str">
        <f>IFERROR(__xludf.DUMMYFUNCTION("GOOGLETRANSLATE($A1973,""en"",""fr"")"),"Bissau")</f>
        <v>Bissau</v>
      </c>
      <c r="E1973" s="9" t="str">
        <f>IFERROR(__xludf.DUMMYFUNCTION("GOOGLETRANSLATE($A1973,""en"",""es"")"),"Bisáu")</f>
        <v>Bisáu</v>
      </c>
      <c r="F1973" s="9" t="str">
        <f>IFERROR(__xludf.DUMMYFUNCTION("GOOGLETRANSLATE($A1973,""en"",""it"")"),"Bissau")</f>
        <v>Bissau</v>
      </c>
      <c r="G1973" s="9" t="str">
        <f>IFERROR(__xludf.DUMMYFUNCTION("GOOGLETRANSLATE($A1973,""en"",""zh-cn"")"),"比绍")</f>
        <v>比绍</v>
      </c>
      <c r="H1973" s="9" t="str">
        <f>IFERROR(__xludf.DUMMYFUNCTION("GOOGLETRANSLATE($A1973,""en"",""ja"")"),"ビサウ")</f>
        <v>ビサウ</v>
      </c>
      <c r="I1973" s="9" t="str">
        <f>IFERROR(__xludf.DUMMYFUNCTION("GOOGLETRANSLATE($A1973,""en"",""ko"")"),"비사우")</f>
        <v>비사우</v>
      </c>
      <c r="J1973" s="9" t="str">
        <f>IFERROR(__xludf.DUMMYFUNCTION("GOOGLETRANSLATE($A1973,""en"",""pt-BR"")"),"Bissau")</f>
        <v>Bissau</v>
      </c>
    </row>
    <row r="1974">
      <c r="A1974" s="9" t="str">
        <f>IFERROR(__xludf.DUMMYFUNCTION("""COMPUTED_VALUE"""),"Bolama")</f>
        <v>Bolama</v>
      </c>
      <c r="B1974" s="9" t="str">
        <f>IFERROR(__xludf.DUMMYFUNCTION("""COMPUTED_VALUE"""),"gw-bl")</f>
        <v>gw-bl</v>
      </c>
      <c r="C1974" s="9" t="str">
        <f>IFERROR(__xludf.DUMMYFUNCTION("GOOGLETRANSLATE($A1974,""en"",""de"")"),"Bolama")</f>
        <v>Bolama</v>
      </c>
      <c r="D1974" s="9" t="str">
        <f>IFERROR(__xludf.DUMMYFUNCTION("GOOGLETRANSLATE($A1974,""en"",""fr"")"),"Bolama")</f>
        <v>Bolama</v>
      </c>
      <c r="E1974" s="9" t="str">
        <f>IFERROR(__xludf.DUMMYFUNCTION("GOOGLETRANSLATE($A1974,""en"",""es"")"),"Bolama")</f>
        <v>Bolama</v>
      </c>
      <c r="F1974" s="9" t="str">
        <f>IFERROR(__xludf.DUMMYFUNCTION("GOOGLETRANSLATE($A1974,""en"",""it"")"),"Bolama")</f>
        <v>Bolama</v>
      </c>
      <c r="G1974" s="9" t="str">
        <f>IFERROR(__xludf.DUMMYFUNCTION("GOOGLETRANSLATE($A1974,""en"",""zh-cn"")"),"博拉马")</f>
        <v>博拉马</v>
      </c>
      <c r="H1974" s="9" t="str">
        <f>IFERROR(__xludf.DUMMYFUNCTION("GOOGLETRANSLATE($A1974,""en"",""ja"")"),"ボラマ")</f>
        <v>ボラマ</v>
      </c>
      <c r="I1974" s="9" t="str">
        <f>IFERROR(__xludf.DUMMYFUNCTION("GOOGLETRANSLATE($A1974,""en"",""ko"")"),"볼라마")</f>
        <v>볼라마</v>
      </c>
      <c r="J1974" s="9" t="str">
        <f>IFERROR(__xludf.DUMMYFUNCTION("GOOGLETRANSLATE($A1974,""en"",""pt-BR"")"),"Bolama")</f>
        <v>Bolama</v>
      </c>
    </row>
    <row r="1975">
      <c r="A1975" s="9" t="str">
        <f>IFERROR(__xludf.DUMMYFUNCTION("""COMPUTED_VALUE"""),"Tombali")</f>
        <v>Tombali</v>
      </c>
      <c r="B1975" s="9" t="str">
        <f>IFERROR(__xludf.DUMMYFUNCTION("""COMPUTED_VALUE"""),"gw-to")</f>
        <v>gw-to</v>
      </c>
      <c r="C1975" s="9" t="str">
        <f>IFERROR(__xludf.DUMMYFUNCTION("GOOGLETRANSLATE($A1975,""en"",""de"")"),"Tombali")</f>
        <v>Tombali</v>
      </c>
      <c r="D1975" s="9" t="str">
        <f>IFERROR(__xludf.DUMMYFUNCTION("GOOGLETRANSLATE($A1975,""en"",""fr"")"),"Tombali")</f>
        <v>Tombali</v>
      </c>
      <c r="E1975" s="9" t="str">
        <f>IFERROR(__xludf.DUMMYFUNCTION("GOOGLETRANSLATE($A1975,""en"",""es"")"),"tombalí")</f>
        <v>tombalí</v>
      </c>
      <c r="F1975" s="9" t="str">
        <f>IFERROR(__xludf.DUMMYFUNCTION("GOOGLETRANSLATE($A1975,""en"",""it"")"),"Tombali")</f>
        <v>Tombali</v>
      </c>
      <c r="G1975" s="9" t="str">
        <f>IFERROR(__xludf.DUMMYFUNCTION("GOOGLETRANSLATE($A1975,""en"",""zh-cn"")"),"通巴里")</f>
        <v>通巴里</v>
      </c>
      <c r="H1975" s="9" t="str">
        <f>IFERROR(__xludf.DUMMYFUNCTION("GOOGLETRANSLATE($A1975,""en"",""ja"")"),"トンバリ")</f>
        <v>トンバリ</v>
      </c>
      <c r="I1975" s="9" t="str">
        <f>IFERROR(__xludf.DUMMYFUNCTION("GOOGLETRANSLATE($A1975,""en"",""ko"")"),"톰발리")</f>
        <v>톰발리</v>
      </c>
      <c r="J1975" s="9" t="str">
        <f>IFERROR(__xludf.DUMMYFUNCTION("GOOGLETRANSLATE($A1975,""en"",""pt-BR"")"),"Tombali")</f>
        <v>Tombali</v>
      </c>
    </row>
    <row r="1976">
      <c r="A1976" s="9" t="str">
        <f>IFERROR(__xludf.DUMMYFUNCTION("""COMPUTED_VALUE"""),"Cacheu")</f>
        <v>Cacheu</v>
      </c>
      <c r="B1976" s="9" t="str">
        <f>IFERROR(__xludf.DUMMYFUNCTION("""COMPUTED_VALUE"""),"gw-ca")</f>
        <v>gw-ca</v>
      </c>
      <c r="C1976" s="9" t="str">
        <f>IFERROR(__xludf.DUMMYFUNCTION("GOOGLETRANSLATE($A1976,""en"",""de"")"),"Cacheu")</f>
        <v>Cacheu</v>
      </c>
      <c r="D1976" s="9" t="str">
        <f>IFERROR(__xludf.DUMMYFUNCTION("GOOGLETRANSLATE($A1976,""en"",""fr"")"),"Cacheu")</f>
        <v>Cacheu</v>
      </c>
      <c r="E1976" s="9" t="str">
        <f>IFERROR(__xludf.DUMMYFUNCTION("GOOGLETRANSLATE($A1976,""en"",""es"")"),"caché")</f>
        <v>caché</v>
      </c>
      <c r="F1976" s="9" t="str">
        <f>IFERROR(__xludf.DUMMYFUNCTION("GOOGLETRANSLATE($A1976,""en"",""it"")"),"Cacheu")</f>
        <v>Cacheu</v>
      </c>
      <c r="G1976" s="9" t="str">
        <f>IFERROR(__xludf.DUMMYFUNCTION("GOOGLETRANSLATE($A1976,""en"",""zh-cn"")"),"卡舍乌")</f>
        <v>卡舍乌</v>
      </c>
      <c r="H1976" s="9" t="str">
        <f>IFERROR(__xludf.DUMMYFUNCTION("GOOGLETRANSLATE($A1976,""en"",""ja"")"),"カシュー")</f>
        <v>カシュー</v>
      </c>
      <c r="I1976" s="9" t="str">
        <f>IFERROR(__xludf.DUMMYFUNCTION("GOOGLETRANSLATE($A1976,""en"",""ko"")"),"카슈")</f>
        <v>카슈</v>
      </c>
      <c r="J1976" s="9" t="str">
        <f>IFERROR(__xludf.DUMMYFUNCTION("GOOGLETRANSLATE($A1976,""en"",""pt-BR"")"),"Cacheu")</f>
        <v>Cacheu</v>
      </c>
    </row>
    <row r="1977">
      <c r="A1977" s="9" t="str">
        <f>IFERROR(__xludf.DUMMYFUNCTION("""COMPUTED_VALUE"""),"Gabú")</f>
        <v>Gabú</v>
      </c>
      <c r="B1977" s="9" t="str">
        <f>IFERROR(__xludf.DUMMYFUNCTION("""COMPUTED_VALUE"""),"gw-ga")</f>
        <v>gw-ga</v>
      </c>
      <c r="C1977" s="9" t="str">
        <f>IFERROR(__xludf.DUMMYFUNCTION("GOOGLETRANSLATE($A1977,""en"",""de"")"),"Gabu")</f>
        <v>Gabu</v>
      </c>
      <c r="D1977" s="9" t="str">
        <f>IFERROR(__xludf.DUMMYFUNCTION("GOOGLETRANSLATE($A1977,""en"",""fr"")"),"Gabú")</f>
        <v>Gabú</v>
      </c>
      <c r="E1977" s="9" t="str">
        <f>IFERROR(__xludf.DUMMYFUNCTION("GOOGLETRANSLATE($A1977,""en"",""es"")"),"Gabú")</f>
        <v>Gabú</v>
      </c>
      <c r="F1977" s="9" t="str">
        <f>IFERROR(__xludf.DUMMYFUNCTION("GOOGLETRANSLATE($A1977,""en"",""it"")"),"Gabu")</f>
        <v>Gabu</v>
      </c>
      <c r="G1977" s="9" t="str">
        <f>IFERROR(__xludf.DUMMYFUNCTION("GOOGLETRANSLATE($A1977,""en"",""zh-cn"")"),"加布")</f>
        <v>加布</v>
      </c>
      <c r="H1977" s="9" t="str">
        <f>IFERROR(__xludf.DUMMYFUNCTION("GOOGLETRANSLATE($A1977,""en"",""ja"")"),"ガブ")</f>
        <v>ガブ</v>
      </c>
      <c r="I1977" s="9" t="str">
        <f>IFERROR(__xludf.DUMMYFUNCTION("GOOGLETRANSLATE($A1977,""en"",""ko"")"),"가부")</f>
        <v>가부</v>
      </c>
      <c r="J1977" s="9" t="str">
        <f>IFERROR(__xludf.DUMMYFUNCTION("GOOGLETRANSLATE($A1977,""en"",""pt-BR"")"),"Gabú")</f>
        <v>Gabú</v>
      </c>
    </row>
    <row r="1978">
      <c r="A1978" s="9" t="str">
        <f>IFERROR(__xludf.DUMMYFUNCTION("""COMPUTED_VALUE"""),"Norte")</f>
        <v>Norte</v>
      </c>
      <c r="B1978" s="9" t="str">
        <f>IFERROR(__xludf.DUMMYFUNCTION("""COMPUTED_VALUE"""),"gw-n")</f>
        <v>gw-n</v>
      </c>
      <c r="C1978" s="9" t="str">
        <f>IFERROR(__xludf.DUMMYFUNCTION("GOOGLETRANSLATE($A1978,""en"",""de"")"),"Norte")</f>
        <v>Norte</v>
      </c>
      <c r="D1978" s="9" t="str">
        <f>IFERROR(__xludf.DUMMYFUNCTION("GOOGLETRANSLATE($A1978,""en"",""fr"")"),"Nord")</f>
        <v>Nord</v>
      </c>
      <c r="E1978" s="9" t="str">
        <f>IFERROR(__xludf.DUMMYFUNCTION("GOOGLETRANSLATE($A1978,""en"",""es"")"),"Norte")</f>
        <v>Norte</v>
      </c>
      <c r="F1978" s="9" t="str">
        <f>IFERROR(__xludf.DUMMYFUNCTION("GOOGLETRANSLATE($A1978,""en"",""it"")"),"Nord")</f>
        <v>Nord</v>
      </c>
      <c r="G1978" s="9" t="str">
        <f>IFERROR(__xludf.DUMMYFUNCTION("GOOGLETRANSLATE($A1978,""en"",""zh-cn"")"),"北")</f>
        <v>北</v>
      </c>
      <c r="H1978" s="9" t="str">
        <f>IFERROR(__xludf.DUMMYFUNCTION("GOOGLETRANSLATE($A1978,""en"",""ja"")"),"ノルテ")</f>
        <v>ノルテ</v>
      </c>
      <c r="I1978" s="9" t="str">
        <f>IFERROR(__xludf.DUMMYFUNCTION("GOOGLETRANSLATE($A1978,""en"",""ko"")"),"노르테")</f>
        <v>노르테</v>
      </c>
      <c r="J1978" s="9" t="str">
        <f>IFERROR(__xludf.DUMMYFUNCTION("GOOGLETRANSLATE($A1978,""en"",""pt-BR"")"),"Norte")</f>
        <v>Norte</v>
      </c>
    </row>
    <row r="1979">
      <c r="A1979" s="9" t="str">
        <f>IFERROR(__xludf.DUMMYFUNCTION("""COMPUTED_VALUE"""),"Demerara-Mahaica")</f>
        <v>Demerara-Mahaica</v>
      </c>
      <c r="B1979" s="9" t="str">
        <f>IFERROR(__xludf.DUMMYFUNCTION("""COMPUTED_VALUE"""),"gy-de")</f>
        <v>gy-de</v>
      </c>
      <c r="C1979" s="9" t="str">
        <f>IFERROR(__xludf.DUMMYFUNCTION("GOOGLETRANSLATE($A1979,""en"",""de"")"),"Demerara-Mahaica")</f>
        <v>Demerara-Mahaica</v>
      </c>
      <c r="D1979" s="9" t="str">
        <f>IFERROR(__xludf.DUMMYFUNCTION("GOOGLETRANSLATE($A1979,""en"",""fr"")"),"Demerara-Mahaica")</f>
        <v>Demerara-Mahaica</v>
      </c>
      <c r="E1979" s="9" t="str">
        <f>IFERROR(__xludf.DUMMYFUNCTION("GOOGLETRANSLATE($A1979,""en"",""es"")"),"Demerara-Mahaica")</f>
        <v>Demerara-Mahaica</v>
      </c>
      <c r="F1979" s="9" t="str">
        <f>IFERROR(__xludf.DUMMYFUNCTION("GOOGLETRANSLATE($A1979,""en"",""it"")"),"Demerara-Mahaica")</f>
        <v>Demerara-Mahaica</v>
      </c>
      <c r="G1979" s="9" t="str">
        <f>IFERROR(__xludf.DUMMYFUNCTION("GOOGLETRANSLATE($A1979,""en"",""zh-cn"")"),"德梅拉拉-马海卡")</f>
        <v>德梅拉拉-马海卡</v>
      </c>
      <c r="H1979" s="9" t="str">
        <f>IFERROR(__xludf.DUMMYFUNCTION("GOOGLETRANSLATE($A1979,""en"",""ja"")"),"デメララ-マハイカ")</f>
        <v>デメララ-マハイカ</v>
      </c>
      <c r="I1979" s="9" t="str">
        <f>IFERROR(__xludf.DUMMYFUNCTION("GOOGLETRANSLATE($A1979,""en"",""ko"")"),"데메라라-마하이카")</f>
        <v>데메라라-마하이카</v>
      </c>
      <c r="J1979" s="9" t="str">
        <f>IFERROR(__xludf.DUMMYFUNCTION("GOOGLETRANSLATE($A1979,""en"",""pt-BR"")"),"Demerara-Mahaica")</f>
        <v>Demerara-Mahaica</v>
      </c>
    </row>
    <row r="1980">
      <c r="A1980" s="9" t="str">
        <f>IFERROR(__xludf.DUMMYFUNCTION("""COMPUTED_VALUE"""),"Mahaica-Berbice")</f>
        <v>Mahaica-Berbice</v>
      </c>
      <c r="B1980" s="9" t="str">
        <f>IFERROR(__xludf.DUMMYFUNCTION("""COMPUTED_VALUE"""),"gy-ma")</f>
        <v>gy-ma</v>
      </c>
      <c r="C1980" s="9" t="str">
        <f>IFERROR(__xludf.DUMMYFUNCTION("GOOGLETRANSLATE($A1980,""en"",""de"")"),"Mahaica-Berbice")</f>
        <v>Mahaica-Berbice</v>
      </c>
      <c r="D1980" s="9" t="str">
        <f>IFERROR(__xludf.DUMMYFUNCTION("GOOGLETRANSLATE($A1980,""en"",""fr"")"),"Mahaica-Berbice")</f>
        <v>Mahaica-Berbice</v>
      </c>
      <c r="E1980" s="9" t="str">
        <f>IFERROR(__xludf.DUMMYFUNCTION("GOOGLETRANSLATE($A1980,""en"",""es"")"),"Mahaica-Berbice")</f>
        <v>Mahaica-Berbice</v>
      </c>
      <c r="F1980" s="9" t="str">
        <f>IFERROR(__xludf.DUMMYFUNCTION("GOOGLETRANSLATE($A1980,""en"",""it"")"),"Mahaica-Berbice")</f>
        <v>Mahaica-Berbice</v>
      </c>
      <c r="G1980" s="9" t="str">
        <f>IFERROR(__xludf.DUMMYFUNCTION("GOOGLETRANSLATE($A1980,""en"",""zh-cn"")"),"马海卡-伯比斯")</f>
        <v>马海卡-伯比斯</v>
      </c>
      <c r="H1980" s="9" t="str">
        <f>IFERROR(__xludf.DUMMYFUNCTION("GOOGLETRANSLATE($A1980,""en"",""ja"")"),"マハイカ - ベルビツェ")</f>
        <v>マハイカ - ベルビツェ</v>
      </c>
      <c r="I1980" s="9" t="str">
        <f>IFERROR(__xludf.DUMMYFUNCTION("GOOGLETRANSLATE($A1980,""en"",""ko"")"),"마하이카-버비스")</f>
        <v>마하이카-버비스</v>
      </c>
      <c r="J1980" s="9" t="str">
        <f>IFERROR(__xludf.DUMMYFUNCTION("GOOGLETRANSLATE($A1980,""en"",""pt-BR"")"),"Mahaica-Berbice")</f>
        <v>Mahaica-Berbice</v>
      </c>
    </row>
    <row r="1981">
      <c r="A1981" s="9" t="str">
        <f>IFERROR(__xludf.DUMMYFUNCTION("""COMPUTED_VALUE"""),"Upper Takutu-Upper Essequibo")</f>
        <v>Upper Takutu-Upper Essequibo</v>
      </c>
      <c r="B1981" s="9" t="str">
        <f>IFERROR(__xludf.DUMMYFUNCTION("""COMPUTED_VALUE"""),"gy-ut")</f>
        <v>gy-ut</v>
      </c>
      <c r="C1981" s="9" t="str">
        <f>IFERROR(__xludf.DUMMYFUNCTION("GOOGLETRANSLATE($A1981,""en"",""de"")"),"Oberes Takutu-Oberes Essequibo")</f>
        <v>Oberes Takutu-Oberes Essequibo</v>
      </c>
      <c r="D1981" s="9" t="str">
        <f>IFERROR(__xludf.DUMMYFUNCTION("GOOGLETRANSLATE($A1981,""en"",""fr"")"),"Haut Takutu-Haut Essequibo")</f>
        <v>Haut Takutu-Haut Essequibo</v>
      </c>
      <c r="E1981" s="9" t="str">
        <f>IFERROR(__xludf.DUMMYFUNCTION("GOOGLETRANSLATE($A1981,""en"",""es"")"),"Alto Takutu-Alto Esequibo")</f>
        <v>Alto Takutu-Alto Esequibo</v>
      </c>
      <c r="F1981" s="9" t="str">
        <f>IFERROR(__xludf.DUMMYFUNCTION("GOOGLETRANSLATE($A1981,""en"",""it"")"),"Takutu superiore-Essequibo superiore")</f>
        <v>Takutu superiore-Essequibo superiore</v>
      </c>
      <c r="G1981" s="9" t="str">
        <f>IFERROR(__xludf.DUMMYFUNCTION("GOOGLETRANSLATE($A1981,""en"",""zh-cn"")"),"上塔库图-上埃塞奎博")</f>
        <v>上塔库图-上埃塞奎博</v>
      </c>
      <c r="H1981" s="9" t="str">
        <f>IFERROR(__xludf.DUMMYFUNCTION("GOOGLETRANSLATE($A1981,""en"",""ja"")"),"上部タクトゥ - 上部エセキボ")</f>
        <v>上部タクトゥ - 上部エセキボ</v>
      </c>
      <c r="I1981" s="9" t="str">
        <f>IFERROR(__xludf.DUMMYFUNCTION("GOOGLETRANSLATE($A1981,""en"",""ko"")"),"어퍼 타쿠투-어퍼 에세퀴보")</f>
        <v>어퍼 타쿠투-어퍼 에세퀴보</v>
      </c>
      <c r="J1981" s="9" t="str">
        <f>IFERROR(__xludf.DUMMYFUNCTION("GOOGLETRANSLATE($A1981,""en"",""pt-BR"")"),"Alto Takutu-Alto Essequibo")</f>
        <v>Alto Takutu-Alto Essequibo</v>
      </c>
    </row>
    <row r="1982">
      <c r="A1982" s="9" t="str">
        <f>IFERROR(__xludf.DUMMYFUNCTION("""COMPUTED_VALUE"""),"Pomeroon-Supenaam")</f>
        <v>Pomeroon-Supenaam</v>
      </c>
      <c r="B1982" s="9" t="str">
        <f>IFERROR(__xludf.DUMMYFUNCTION("""COMPUTED_VALUE"""),"gy-pm")</f>
        <v>gy-pm</v>
      </c>
      <c r="C1982" s="9" t="str">
        <f>IFERROR(__xludf.DUMMYFUNCTION("GOOGLETRANSLATE($A1982,""en"",""de"")"),"Pomeroon-Supenaam")</f>
        <v>Pomeroon-Supenaam</v>
      </c>
      <c r="D1982" s="9" t="str">
        <f>IFERROR(__xludf.DUMMYFUNCTION("GOOGLETRANSLATE($A1982,""en"",""fr"")"),"Pomeroon-Supenaam")</f>
        <v>Pomeroon-Supenaam</v>
      </c>
      <c r="E1982" s="9" t="str">
        <f>IFERROR(__xludf.DUMMYFUNCTION("GOOGLETRANSLATE($A1982,""en"",""es"")"),"Pomeroon-Supenaam")</f>
        <v>Pomeroon-Supenaam</v>
      </c>
      <c r="F1982" s="9" t="str">
        <f>IFERROR(__xludf.DUMMYFUNCTION("GOOGLETRANSLATE($A1982,""en"",""it"")"),"Pomeroon-Supenaam")</f>
        <v>Pomeroon-Supenaam</v>
      </c>
      <c r="G1982" s="9" t="str">
        <f>IFERROR(__xludf.DUMMYFUNCTION("GOOGLETRANSLATE($A1982,""en"",""zh-cn"")"),"波默隆-苏佩纳姆")</f>
        <v>波默隆-苏佩纳姆</v>
      </c>
      <c r="H1982" s="9" t="str">
        <f>IFERROR(__xludf.DUMMYFUNCTION("GOOGLETRANSLATE($A1982,""en"",""ja"")"),"ポメルーン・スペナム")</f>
        <v>ポメルーン・スペナム</v>
      </c>
      <c r="I1982" s="9" t="str">
        <f>IFERROR(__xludf.DUMMYFUNCTION("GOOGLETRANSLATE($A1982,""en"",""ko"")"),"포메룬-수페남")</f>
        <v>포메룬-수페남</v>
      </c>
      <c r="J1982" s="9" t="str">
        <f>IFERROR(__xludf.DUMMYFUNCTION("GOOGLETRANSLATE($A1982,""en"",""pt-BR"")"),"Pomeroon-Supenaam")</f>
        <v>Pomeroon-Supenaam</v>
      </c>
    </row>
    <row r="1983">
      <c r="A1983" s="9" t="str">
        <f>IFERROR(__xludf.DUMMYFUNCTION("""COMPUTED_VALUE"""),"Cuyuni-Mazaruni")</f>
        <v>Cuyuni-Mazaruni</v>
      </c>
      <c r="B1983" s="9" t="str">
        <f>IFERROR(__xludf.DUMMYFUNCTION("""COMPUTED_VALUE"""),"gy-cu")</f>
        <v>gy-cu</v>
      </c>
      <c r="C1983" s="9" t="str">
        <f>IFERROR(__xludf.DUMMYFUNCTION("GOOGLETRANSLATE($A1983,""en"",""de"")"),"Cuyuni-Mazaruni")</f>
        <v>Cuyuni-Mazaruni</v>
      </c>
      <c r="D1983" s="9" t="str">
        <f>IFERROR(__xludf.DUMMYFUNCTION("GOOGLETRANSLATE($A1983,""en"",""fr"")"),"Cuyuni-Mazaruni")</f>
        <v>Cuyuni-Mazaruni</v>
      </c>
      <c r="E1983" s="9" t="str">
        <f>IFERROR(__xludf.DUMMYFUNCTION("GOOGLETRANSLATE($A1983,""en"",""es"")"),"Cuyuní-Mazaruní")</f>
        <v>Cuyuní-Mazaruní</v>
      </c>
      <c r="F1983" s="9" t="str">
        <f>IFERROR(__xludf.DUMMYFUNCTION("GOOGLETRANSLATE($A1983,""en"",""it"")"),"Cuyuni-Mazaruni")</f>
        <v>Cuyuni-Mazaruni</v>
      </c>
      <c r="G1983" s="9" t="str">
        <f>IFERROR(__xludf.DUMMYFUNCTION("GOOGLETRANSLATE($A1983,""en"",""zh-cn"")"),"库尤尼-马扎鲁尼")</f>
        <v>库尤尼-马扎鲁尼</v>
      </c>
      <c r="H1983" s="9" t="str">
        <f>IFERROR(__xludf.DUMMYFUNCTION("GOOGLETRANSLATE($A1983,""en"",""ja"")"),"クユニ・マザルニ")</f>
        <v>クユニ・マザルニ</v>
      </c>
      <c r="I1983" s="9" t="str">
        <f>IFERROR(__xludf.DUMMYFUNCTION("GOOGLETRANSLATE($A1983,""en"",""ko"")"),"쿠유니-마자루니")</f>
        <v>쿠유니-마자루니</v>
      </c>
      <c r="J1983" s="9" t="str">
        <f>IFERROR(__xludf.DUMMYFUNCTION("GOOGLETRANSLATE($A1983,""en"",""pt-BR"")"),"Cuyuni-Mazaruni")</f>
        <v>Cuyuni-Mazaruni</v>
      </c>
    </row>
    <row r="1984">
      <c r="A1984" s="9" t="str">
        <f>IFERROR(__xludf.DUMMYFUNCTION("""COMPUTED_VALUE"""),"East Berbice-Corentyne")</f>
        <v>East Berbice-Corentyne</v>
      </c>
      <c r="B1984" s="9" t="str">
        <f>IFERROR(__xludf.DUMMYFUNCTION("""COMPUTED_VALUE"""),"gy-eb")</f>
        <v>gy-eb</v>
      </c>
      <c r="C1984" s="9" t="str">
        <f>IFERROR(__xludf.DUMMYFUNCTION("GOOGLETRANSLATE($A1984,""en"",""de"")"),"Ost-Berbice-Corentyne")</f>
        <v>Ost-Berbice-Corentyne</v>
      </c>
      <c r="D1984" s="9" t="str">
        <f>IFERROR(__xludf.DUMMYFUNCTION("GOOGLETRANSLATE($A1984,""en"",""fr"")"),"Berbice Est-Corentyne")</f>
        <v>Berbice Est-Corentyne</v>
      </c>
      <c r="E1984" s="9" t="str">
        <f>IFERROR(__xludf.DUMMYFUNCTION("GOOGLETRANSLATE($A1984,""en"",""es"")"),"Berbice Oriental-Corentyne")</f>
        <v>Berbice Oriental-Corentyne</v>
      </c>
      <c r="F1984" s="9" t="str">
        <f>IFERROR(__xludf.DUMMYFUNCTION("GOOGLETRANSLATE($A1984,""en"",""it"")"),"Berbice Est-Corentyne")</f>
        <v>Berbice Est-Corentyne</v>
      </c>
      <c r="G1984" s="9" t="str">
        <f>IFERROR(__xludf.DUMMYFUNCTION("GOOGLETRANSLATE($A1984,""en"",""zh-cn"")"),"东伯比斯-科兰泰恩")</f>
        <v>东伯比斯-科兰泰恩</v>
      </c>
      <c r="H1984" s="9" t="str">
        <f>IFERROR(__xludf.DUMMYFUNCTION("GOOGLETRANSLATE($A1984,""en"",""ja"")"),"イースト バービス - コレンティン")</f>
        <v>イースト バービス - コレンティン</v>
      </c>
      <c r="I1984" s="9" t="str">
        <f>IFERROR(__xludf.DUMMYFUNCTION("GOOGLETRANSLATE($A1984,""en"",""ko"")"),"이스트 버비스-코렌타인")</f>
        <v>이스트 버비스-코렌타인</v>
      </c>
      <c r="J1984" s="9" t="str">
        <f>IFERROR(__xludf.DUMMYFUNCTION("GOOGLETRANSLATE($A1984,""en"",""pt-BR"")"),"Berbice Oriental-Corentyne")</f>
        <v>Berbice Oriental-Corentyne</v>
      </c>
    </row>
    <row r="1985">
      <c r="A1985" s="9" t="str">
        <f>IFERROR(__xludf.DUMMYFUNCTION("""COMPUTED_VALUE"""),"Essequibo Islands-West Demerara")</f>
        <v>Essequibo Islands-West Demerara</v>
      </c>
      <c r="B1985" s="9" t="str">
        <f>IFERROR(__xludf.DUMMYFUNCTION("""COMPUTED_VALUE"""),"gy-es")</f>
        <v>gy-es</v>
      </c>
      <c r="C1985" s="9" t="str">
        <f>IFERROR(__xludf.DUMMYFUNCTION("GOOGLETRANSLATE($A1985,""en"",""de"")"),"Essequibo-Inseln-West-Demerara")</f>
        <v>Essequibo-Inseln-West-Demerara</v>
      </c>
      <c r="D1985" s="9" t="str">
        <f>IFERROR(__xludf.DUMMYFUNCTION("GOOGLETRANSLATE($A1985,""en"",""fr"")"),"Îles Essequibo-Demerara occidental")</f>
        <v>Îles Essequibo-Demerara occidental</v>
      </c>
      <c r="E1985" s="9" t="str">
        <f>IFERROR(__xludf.DUMMYFUNCTION("GOOGLETRANSLATE($A1985,""en"",""es"")"),"Islas Esequibo-Demerara Occidental")</f>
        <v>Islas Esequibo-Demerara Occidental</v>
      </c>
      <c r="F1985" s="9" t="str">
        <f>IFERROR(__xludf.DUMMYFUNCTION("GOOGLETRANSLATE($A1985,""en"",""it"")"),"Isole Essequibo-Demerara occidentale")</f>
        <v>Isole Essequibo-Demerara occidentale</v>
      </c>
      <c r="G1985" s="9" t="str">
        <f>IFERROR(__xludf.DUMMYFUNCTION("GOOGLETRANSLATE($A1985,""en"",""zh-cn"")"),"埃塞奎博群岛-西德梅拉拉")</f>
        <v>埃塞奎博群岛-西德梅拉拉</v>
      </c>
      <c r="H1985" s="9" t="str">
        <f>IFERROR(__xludf.DUMMYFUNCTION("GOOGLETRANSLATE($A1985,""en"",""ja"")"),"エセキボ諸島 - 西デメララ")</f>
        <v>エセキボ諸島 - 西デメララ</v>
      </c>
      <c r="I1985" s="9" t="str">
        <f>IFERROR(__xludf.DUMMYFUNCTION("GOOGLETRANSLATE($A1985,""en"",""ko"")"),"에세퀴보 제도-웨스트 데메라라")</f>
        <v>에세퀴보 제도-웨스트 데메라라</v>
      </c>
      <c r="J1985" s="9" t="str">
        <f>IFERROR(__xludf.DUMMYFUNCTION("GOOGLETRANSLATE($A1985,""en"",""pt-BR"")"),"Ilhas Essequibo-Demerara Ocidental")</f>
        <v>Ilhas Essequibo-Demerara Ocidental</v>
      </c>
    </row>
    <row r="1986">
      <c r="A1986" s="9" t="str">
        <f>IFERROR(__xludf.DUMMYFUNCTION("""COMPUTED_VALUE"""),"Potaro-Siparuni")</f>
        <v>Potaro-Siparuni</v>
      </c>
      <c r="B1986" s="9" t="str">
        <f>IFERROR(__xludf.DUMMYFUNCTION("""COMPUTED_VALUE"""),"gy-pt")</f>
        <v>gy-pt</v>
      </c>
      <c r="C1986" s="9" t="str">
        <f>IFERROR(__xludf.DUMMYFUNCTION("GOOGLETRANSLATE($A1986,""en"",""de"")"),"Potaro-Siparuni")</f>
        <v>Potaro-Siparuni</v>
      </c>
      <c r="D1986" s="9" t="str">
        <f>IFERROR(__xludf.DUMMYFUNCTION("GOOGLETRANSLATE($A1986,""en"",""fr"")"),"Potaro-Siparuni")</f>
        <v>Potaro-Siparuni</v>
      </c>
      <c r="E1986" s="9" t="str">
        <f>IFERROR(__xludf.DUMMYFUNCTION("GOOGLETRANSLATE($A1986,""en"",""es"")"),"Potaro-Siparuni")</f>
        <v>Potaro-Siparuni</v>
      </c>
      <c r="F1986" s="9" t="str">
        <f>IFERROR(__xludf.DUMMYFUNCTION("GOOGLETRANSLATE($A1986,""en"",""it"")"),"Potaro-Siparuni")</f>
        <v>Potaro-Siparuni</v>
      </c>
      <c r="G1986" s="9" t="str">
        <f>IFERROR(__xludf.DUMMYFUNCTION("GOOGLETRANSLATE($A1986,""en"",""zh-cn"")"),"波塔罗-西帕鲁尼")</f>
        <v>波塔罗-西帕鲁尼</v>
      </c>
      <c r="H1986" s="9" t="str">
        <f>IFERROR(__xludf.DUMMYFUNCTION("GOOGLETRANSLATE($A1986,""en"",""ja"")"),"ポタロ・シパルニ")</f>
        <v>ポタロ・シパルニ</v>
      </c>
      <c r="I1986" s="9" t="str">
        <f>IFERROR(__xludf.DUMMYFUNCTION("GOOGLETRANSLATE($A1986,""en"",""ko"")"),"포타로시파루니")</f>
        <v>포타로시파루니</v>
      </c>
      <c r="J1986" s="9" t="str">
        <f>IFERROR(__xludf.DUMMYFUNCTION("GOOGLETRANSLATE($A1986,""en"",""pt-BR"")"),"Potaro-Siparuni")</f>
        <v>Potaro-Siparuni</v>
      </c>
    </row>
    <row r="1987">
      <c r="A1987" s="9" t="str">
        <f>IFERROR(__xludf.DUMMYFUNCTION("""COMPUTED_VALUE"""),"Upper Demerara-Berbice")</f>
        <v>Upper Demerara-Berbice</v>
      </c>
      <c r="B1987" s="9" t="str">
        <f>IFERROR(__xludf.DUMMYFUNCTION("""COMPUTED_VALUE"""),"gy-ud")</f>
        <v>gy-ud</v>
      </c>
      <c r="C1987" s="9" t="str">
        <f>IFERROR(__xludf.DUMMYFUNCTION("GOOGLETRANSLATE($A1987,""en"",""de"")"),"Oberes Demerara-Berbice")</f>
        <v>Oberes Demerara-Berbice</v>
      </c>
      <c r="D1987" s="9" t="str">
        <f>IFERROR(__xludf.DUMMYFUNCTION("GOOGLETRANSLATE($A1987,""en"",""fr"")"),"Haut Demerara-Berbice")</f>
        <v>Haut Demerara-Berbice</v>
      </c>
      <c r="E1987" s="9" t="str">
        <f>IFERROR(__xludf.DUMMYFUNCTION("GOOGLETRANSLATE($A1987,""en"",""es"")"),"Alto Demerara-Berbice")</f>
        <v>Alto Demerara-Berbice</v>
      </c>
      <c r="F1987" s="9" t="str">
        <f>IFERROR(__xludf.DUMMYFUNCTION("GOOGLETRANSLATE($A1987,""en"",""it"")"),"Alta Demerara-Berbice")</f>
        <v>Alta Demerara-Berbice</v>
      </c>
      <c r="G1987" s="9" t="str">
        <f>IFERROR(__xludf.DUMMYFUNCTION("GOOGLETRANSLATE($A1987,""en"",""zh-cn"")"),"上德梅拉拉-伯比斯")</f>
        <v>上德梅拉拉-伯比斯</v>
      </c>
      <c r="H1987" s="9" t="str">
        <f>IFERROR(__xludf.DUMMYFUNCTION("GOOGLETRANSLATE($A1987,""en"",""ja"")"),"アッパー デメララ - ベルビツェ")</f>
        <v>アッパー デメララ - ベルビツェ</v>
      </c>
      <c r="I1987" s="9" t="str">
        <f>IFERROR(__xludf.DUMMYFUNCTION("GOOGLETRANSLATE($A1987,""en"",""ko"")"),"어퍼 데메라라-버비스")</f>
        <v>어퍼 데메라라-버비스</v>
      </c>
      <c r="J1987" s="9" t="str">
        <f>IFERROR(__xludf.DUMMYFUNCTION("GOOGLETRANSLATE($A1987,""en"",""pt-BR"")"),"Alto Demerara-Berbice")</f>
        <v>Alto Demerara-Berbice</v>
      </c>
    </row>
    <row r="1988">
      <c r="A1988" s="9" t="str">
        <f>IFERROR(__xludf.DUMMYFUNCTION("""COMPUTED_VALUE"""),"Barima-Waini")</f>
        <v>Barima-Waini</v>
      </c>
      <c r="B1988" s="9" t="str">
        <f>IFERROR(__xludf.DUMMYFUNCTION("""COMPUTED_VALUE"""),"gy-ba")</f>
        <v>gy-ba</v>
      </c>
      <c r="C1988" s="9" t="str">
        <f>IFERROR(__xludf.DUMMYFUNCTION("GOOGLETRANSLATE($A1988,""en"",""de"")"),"Barima-Waini")</f>
        <v>Barima-Waini</v>
      </c>
      <c r="D1988" s="9" t="str">
        <f>IFERROR(__xludf.DUMMYFUNCTION("GOOGLETRANSLATE($A1988,""en"",""fr"")"),"Barima-Waini")</f>
        <v>Barima-Waini</v>
      </c>
      <c r="E1988" s="9" t="str">
        <f>IFERROR(__xludf.DUMMYFUNCTION("GOOGLETRANSLATE($A1988,""en"",""es"")"),"Barima-Waini")</f>
        <v>Barima-Waini</v>
      </c>
      <c r="F1988" s="9" t="str">
        <f>IFERROR(__xludf.DUMMYFUNCTION("GOOGLETRANSLATE($A1988,""en"",""it"")"),"Barima-Waini")</f>
        <v>Barima-Waini</v>
      </c>
      <c r="G1988" s="9" t="str">
        <f>IFERROR(__xludf.DUMMYFUNCTION("GOOGLETRANSLATE($A1988,""en"",""zh-cn"")"),"巴里马-瓦伊尼")</f>
        <v>巴里马-瓦伊尼</v>
      </c>
      <c r="H1988" s="9" t="str">
        <f>IFERROR(__xludf.DUMMYFUNCTION("GOOGLETRANSLATE($A1988,""en"",""ja"")"),"バリマワイニ")</f>
        <v>バリマワイニ</v>
      </c>
      <c r="I1988" s="9" t="str">
        <f>IFERROR(__xludf.DUMMYFUNCTION("GOOGLETRANSLATE($A1988,""en"",""ko"")"),"바리마-와이니")</f>
        <v>바리마-와이니</v>
      </c>
      <c r="J1988" s="9" t="str">
        <f>IFERROR(__xludf.DUMMYFUNCTION("GOOGLETRANSLATE($A1988,""en"",""pt-BR"")"),"Barima-Waini")</f>
        <v>Barima-Waini</v>
      </c>
    </row>
    <row r="1989">
      <c r="A1989" s="9" t="str">
        <f>IFERROR(__xludf.DUMMYFUNCTION("""COMPUTED_VALUE"""),"Ouest (HT)")</f>
        <v>Ouest (HT)</v>
      </c>
      <c r="B1989" s="9" t="str">
        <f>IFERROR(__xludf.DUMMYFUNCTION("""COMPUTED_VALUE"""),"ht-ou")</f>
        <v>ht-ou</v>
      </c>
      <c r="C1989" s="9" t="str">
        <f>IFERROR(__xludf.DUMMYFUNCTION("GOOGLETRANSLATE($A1989,""en"",""de"")"),"Ouest (HT)")</f>
        <v>Ouest (HT)</v>
      </c>
      <c r="D1989" s="9" t="str">
        <f>IFERROR(__xludf.DUMMYFUNCTION("GOOGLETRANSLATE($A1989,""en"",""fr"")"),"Ouest (HT)")</f>
        <v>Ouest (HT)</v>
      </c>
      <c r="E1989" s="9" t="str">
        <f>IFERROR(__xludf.DUMMYFUNCTION("GOOGLETRANSLATE($A1989,""en"",""es"")"),"Oeste (HT)")</f>
        <v>Oeste (HT)</v>
      </c>
      <c r="F1989" s="9" t="str">
        <f>IFERROR(__xludf.DUMMYFUNCTION("GOOGLETRANSLATE($A1989,""en"",""it"")"),"Ouest (HT)")</f>
        <v>Ouest (HT)</v>
      </c>
      <c r="G1989" s="9" t="str">
        <f>IFERROR(__xludf.DUMMYFUNCTION("GOOGLETRANSLATE($A1989,""en"",""zh-cn"")"),"西部 (HT)")</f>
        <v>西部 (HT)</v>
      </c>
      <c r="H1989" s="9" t="str">
        <f>IFERROR(__xludf.DUMMYFUNCTION("GOOGLETRANSLATE($A1989,""en"",""ja"")"),"西部 (HT)")</f>
        <v>西部 (HT)</v>
      </c>
      <c r="I1989" s="9" t="str">
        <f>IFERROR(__xludf.DUMMYFUNCTION("GOOGLETRANSLATE($A1989,""en"",""ko"")"),"서부(HT)")</f>
        <v>서부(HT)</v>
      </c>
      <c r="J1989" s="9" t="str">
        <f>IFERROR(__xludf.DUMMYFUNCTION("GOOGLETRANSLATE($A1989,""en"",""pt-BR"")"),"Oeste (HT)")</f>
        <v>Oeste (HT)</v>
      </c>
    </row>
    <row r="1990">
      <c r="A1990" s="9" t="str">
        <f>IFERROR(__xludf.DUMMYFUNCTION("""COMPUTED_VALUE"""),"Sud (HT)")</f>
        <v>Sud (HT)</v>
      </c>
      <c r="B1990" s="9" t="str">
        <f>IFERROR(__xludf.DUMMYFUNCTION("""COMPUTED_VALUE"""),"ht-sd")</f>
        <v>ht-sd</v>
      </c>
      <c r="C1990" s="9" t="str">
        <f>IFERROR(__xludf.DUMMYFUNCTION("GOOGLETRANSLATE($A1990,""en"",""de"")"),"Sud (HT)")</f>
        <v>Sud (HT)</v>
      </c>
      <c r="D1990" s="9" t="str">
        <f>IFERROR(__xludf.DUMMYFUNCTION("GOOGLETRANSLATE($A1990,""en"",""fr"")"),"Sud (HT)")</f>
        <v>Sud (HT)</v>
      </c>
      <c r="E1990" s="9" t="str">
        <f>IFERROR(__xludf.DUMMYFUNCTION("GOOGLETRANSLATE($A1990,""en"",""es"")"),"Sur (HT)")</f>
        <v>Sur (HT)</v>
      </c>
      <c r="F1990" s="9" t="str">
        <f>IFERROR(__xludf.DUMMYFUNCTION("GOOGLETRANSLATE($A1990,""en"",""it"")"),"Sud (HT)")</f>
        <v>Sud (HT)</v>
      </c>
      <c r="G1990" s="9" t="str">
        <f>IFERROR(__xludf.DUMMYFUNCTION("GOOGLETRANSLATE($A1990,""en"",""zh-cn"")"),"南 (HT)")</f>
        <v>南 (HT)</v>
      </c>
      <c r="H1990" s="9" t="str">
        <f>IFERROR(__xludf.DUMMYFUNCTION("GOOGLETRANSLATE($A1990,""en"",""ja"")"),"シュッド(HT)")</f>
        <v>シュッド(HT)</v>
      </c>
      <c r="I1990" s="9" t="str">
        <f>IFERROR(__xludf.DUMMYFUNCTION("GOOGLETRANSLATE($A1990,""en"",""ko"")"),"수드(HT)")</f>
        <v>수드(HT)</v>
      </c>
      <c r="J1990" s="9" t="str">
        <f>IFERROR(__xludf.DUMMYFUNCTION("GOOGLETRANSLATE($A1990,""en"",""pt-BR"")"),"Sul (HT)")</f>
        <v>Sul (HT)</v>
      </c>
    </row>
    <row r="1991">
      <c r="A1991" s="9" t="str">
        <f>IFERROR(__xludf.DUMMYFUNCTION("""COMPUTED_VALUE"""),"Nord-Est")</f>
        <v>Nord-Est</v>
      </c>
      <c r="B1991" s="9" t="str">
        <f>IFERROR(__xludf.DUMMYFUNCTION("""COMPUTED_VALUE"""),"ht-ne")</f>
        <v>ht-ne</v>
      </c>
      <c r="C1991" s="9" t="str">
        <f>IFERROR(__xludf.DUMMYFUNCTION("GOOGLETRANSLATE($A1991,""en"",""de"")"),"Nord-Ost")</f>
        <v>Nord-Ost</v>
      </c>
      <c r="D1991" s="9" t="str">
        <f>IFERROR(__xludf.DUMMYFUNCTION("GOOGLETRANSLATE($A1991,""en"",""fr"")"),"Nord-Est")</f>
        <v>Nord-Est</v>
      </c>
      <c r="E1991" s="9" t="str">
        <f>IFERROR(__xludf.DUMMYFUNCTION("GOOGLETRANSLATE($A1991,""en"",""es"")"),"Nordeste")</f>
        <v>Nordeste</v>
      </c>
      <c r="F1991" s="9" t="str">
        <f>IFERROR(__xludf.DUMMYFUNCTION("GOOGLETRANSLATE($A1991,""en"",""it"")"),"Nord-Est")</f>
        <v>Nord-Est</v>
      </c>
      <c r="G1991" s="9" t="str">
        <f>IFERROR(__xludf.DUMMYFUNCTION("GOOGLETRANSLATE($A1991,""en"",""zh-cn"")"),"东北")</f>
        <v>东北</v>
      </c>
      <c r="H1991" s="9" t="str">
        <f>IFERROR(__xludf.DUMMYFUNCTION("GOOGLETRANSLATE($A1991,""en"",""ja"")"),"ノールエスト")</f>
        <v>ノールエスト</v>
      </c>
      <c r="I1991" s="9" t="str">
        <f>IFERROR(__xludf.DUMMYFUNCTION("GOOGLETRANSLATE($A1991,""en"",""ko"")"),"북동쪽")</f>
        <v>북동쪽</v>
      </c>
      <c r="J1991" s="9" t="str">
        <f>IFERROR(__xludf.DUMMYFUNCTION("GOOGLETRANSLATE($A1991,""en"",""pt-BR"")"),"Nordeste")</f>
        <v>Nordeste</v>
      </c>
    </row>
    <row r="1992">
      <c r="A1992" s="9" t="str">
        <f>IFERROR(__xludf.DUMMYFUNCTION("""COMPUTED_VALUE"""),"Sud-Est")</f>
        <v>Sud-Est</v>
      </c>
      <c r="B1992" s="9" t="str">
        <f>IFERROR(__xludf.DUMMYFUNCTION("""COMPUTED_VALUE"""),"ht-se")</f>
        <v>ht-se</v>
      </c>
      <c r="C1992" s="9" t="str">
        <f>IFERROR(__xludf.DUMMYFUNCTION("GOOGLETRANSLATE($A1992,""en"",""de"")"),"Sud-Est")</f>
        <v>Sud-Est</v>
      </c>
      <c r="D1992" s="9" t="str">
        <f>IFERROR(__xludf.DUMMYFUNCTION("GOOGLETRANSLATE($A1992,""en"",""fr"")"),"Sud-Est")</f>
        <v>Sud-Est</v>
      </c>
      <c r="E1992" s="9" t="str">
        <f>IFERROR(__xludf.DUMMYFUNCTION("GOOGLETRANSLATE($A1992,""en"",""es"")"),"Sudeste")</f>
        <v>Sudeste</v>
      </c>
      <c r="F1992" s="9" t="str">
        <f>IFERROR(__xludf.DUMMYFUNCTION("GOOGLETRANSLATE($A1992,""en"",""it"")"),"Sud-Est")</f>
        <v>Sud-Est</v>
      </c>
      <c r="G1992" s="9" t="str">
        <f>IFERROR(__xludf.DUMMYFUNCTION("GOOGLETRANSLATE($A1992,""en"",""zh-cn"")"),"南-东")</f>
        <v>南-东</v>
      </c>
      <c r="H1992" s="9" t="str">
        <f>IFERROR(__xludf.DUMMYFUNCTION("GOOGLETRANSLATE($A1992,""en"",""ja"")"),"シュッドエスト")</f>
        <v>シュッドエスト</v>
      </c>
      <c r="I1992" s="9" t="str">
        <f>IFERROR(__xludf.DUMMYFUNCTION("GOOGLETRANSLATE($A1992,""en"",""ko"")"),"수드-에스트")</f>
        <v>수드-에스트</v>
      </c>
      <c r="J1992" s="9" t="str">
        <f>IFERROR(__xludf.DUMMYFUNCTION("GOOGLETRANSLATE($A1992,""en"",""pt-BR"")"),"Sudeste")</f>
        <v>Sudeste</v>
      </c>
    </row>
    <row r="1993">
      <c r="A1993" s="9" t="str">
        <f>IFERROR(__xludf.DUMMYFUNCTION("""COMPUTED_VALUE"""),"Centre (HT)")</f>
        <v>Centre (HT)</v>
      </c>
      <c r="B1993" s="9" t="str">
        <f>IFERROR(__xludf.DUMMYFUNCTION("""COMPUTED_VALUE"""),"ht-ce")</f>
        <v>ht-ce</v>
      </c>
      <c r="C1993" s="9" t="str">
        <f>IFERROR(__xludf.DUMMYFUNCTION("GOOGLETRANSLATE($A1993,""en"",""de"")"),"Zentrum (HT)")</f>
        <v>Zentrum (HT)</v>
      </c>
      <c r="D1993" s="9" t="str">
        <f>IFERROR(__xludf.DUMMYFUNCTION("GOOGLETRANSLATE($A1993,""en"",""fr"")"),"Centre (HT)")</f>
        <v>Centre (HT)</v>
      </c>
      <c r="E1993" s="9" t="str">
        <f>IFERROR(__xludf.DUMMYFUNCTION("GOOGLETRANSLATE($A1993,""en"",""es"")"),"Centro (HT)")</f>
        <v>Centro (HT)</v>
      </c>
      <c r="F1993" s="9" t="str">
        <f>IFERROR(__xludf.DUMMYFUNCTION("GOOGLETRANSLATE($A1993,""en"",""it"")"),"Centro (HT)")</f>
        <v>Centro (HT)</v>
      </c>
      <c r="G1993" s="9" t="str">
        <f>IFERROR(__xludf.DUMMYFUNCTION("GOOGLETRANSLATE($A1993,""en"",""zh-cn"")"),"中心（HT）")</f>
        <v>中心（HT）</v>
      </c>
      <c r="H1993" s="9" t="str">
        <f>IFERROR(__xludf.DUMMYFUNCTION("GOOGLETRANSLATE($A1993,""en"",""ja"")"),"センター(HT)")</f>
        <v>センター(HT)</v>
      </c>
      <c r="I1993" s="9" t="str">
        <f>IFERROR(__xludf.DUMMYFUNCTION("GOOGLETRANSLATE($A1993,""en"",""ko"")"),"센터(HT)")</f>
        <v>센터(HT)</v>
      </c>
      <c r="J1993" s="9" t="str">
        <f>IFERROR(__xludf.DUMMYFUNCTION("GOOGLETRANSLATE($A1993,""en"",""pt-BR"")"),"Centro (HT)")</f>
        <v>Centro (HT)</v>
      </c>
    </row>
    <row r="1994">
      <c r="A1994" s="9" t="str">
        <f>IFERROR(__xludf.DUMMYFUNCTION("""COMPUTED_VALUE"""),"Nord (HT)")</f>
        <v>Nord (HT)</v>
      </c>
      <c r="B1994" s="9" t="str">
        <f>IFERROR(__xludf.DUMMYFUNCTION("""COMPUTED_VALUE"""),"ht-nd")</f>
        <v>ht-nd</v>
      </c>
      <c r="C1994" s="9" t="str">
        <f>IFERROR(__xludf.DUMMYFUNCTION("GOOGLETRANSLATE($A1994,""en"",""de"")"),"Nord (HT)")</f>
        <v>Nord (HT)</v>
      </c>
      <c r="D1994" s="9" t="str">
        <f>IFERROR(__xludf.DUMMYFUNCTION("GOOGLETRANSLATE($A1994,""en"",""fr"")"),"Nord (HT)")</f>
        <v>Nord (HT)</v>
      </c>
      <c r="E1994" s="9" t="str">
        <f>IFERROR(__xludf.DUMMYFUNCTION("GOOGLETRANSLATE($A1994,""en"",""es"")"),"Norte (HT)")</f>
        <v>Norte (HT)</v>
      </c>
      <c r="F1994" s="9" t="str">
        <f>IFERROR(__xludf.DUMMYFUNCTION("GOOGLETRANSLATE($A1994,""en"",""it"")"),"Nord (HT)")</f>
        <v>Nord (HT)</v>
      </c>
      <c r="G1994" s="9" t="str">
        <f>IFERROR(__xludf.DUMMYFUNCTION("GOOGLETRANSLATE($A1994,""en"",""zh-cn"")"),"北 (HT)")</f>
        <v>北 (HT)</v>
      </c>
      <c r="H1994" s="9" t="str">
        <f>IFERROR(__xludf.DUMMYFUNCTION("GOOGLETRANSLATE($A1994,""en"",""ja"")"),"ノルド (HT)")</f>
        <v>ノルド (HT)</v>
      </c>
      <c r="I1994" s="9" t="str">
        <f>IFERROR(__xludf.DUMMYFUNCTION("GOOGLETRANSLATE($A1994,""en"",""ko"")"),"노드(HT)")</f>
        <v>노드(HT)</v>
      </c>
      <c r="J1994" s="9" t="str">
        <f>IFERROR(__xludf.DUMMYFUNCTION("GOOGLETRANSLATE($A1994,""en"",""pt-BR"")"),"Norte (HT)")</f>
        <v>Norte (HT)</v>
      </c>
    </row>
    <row r="1995">
      <c r="A1995" s="9" t="str">
        <f>IFERROR(__xludf.DUMMYFUNCTION("""COMPUTED_VALUE"""),"Nord-Ouest")</f>
        <v>Nord-Ouest</v>
      </c>
      <c r="B1995" s="9" t="str">
        <f>IFERROR(__xludf.DUMMYFUNCTION("""COMPUTED_VALUE"""),"ht-no")</f>
        <v>ht-no</v>
      </c>
      <c r="C1995" s="9" t="str">
        <f>IFERROR(__xludf.DUMMYFUNCTION("GOOGLETRANSLATE($A1995,""en"",""de"")"),"Nord-Ost")</f>
        <v>Nord-Ost</v>
      </c>
      <c r="D1995" s="9" t="str">
        <f>IFERROR(__xludf.DUMMYFUNCTION("GOOGLETRANSLATE($A1995,""en"",""fr"")"),"Nord-Ouest")</f>
        <v>Nord-Ouest</v>
      </c>
      <c r="E1995" s="9" t="str">
        <f>IFERROR(__xludf.DUMMYFUNCTION("GOOGLETRANSLATE($A1995,""en"",""es"")"),"Nordeste")</f>
        <v>Nordeste</v>
      </c>
      <c r="F1995" s="9" t="str">
        <f>IFERROR(__xludf.DUMMYFUNCTION("GOOGLETRANSLATE($A1995,""en"",""it"")"),"Nord-Ovest")</f>
        <v>Nord-Ovest</v>
      </c>
      <c r="G1995" s="9" t="str">
        <f>IFERROR(__xludf.DUMMYFUNCTION("GOOGLETRANSLATE($A1995,""en"",""zh-cn"")"),"西北地区")</f>
        <v>西北地区</v>
      </c>
      <c r="H1995" s="9" t="str">
        <f>IFERROR(__xludf.DUMMYFUNCTION("GOOGLETRANSLATE($A1995,""en"",""ja"")"),"北西")</f>
        <v>北西</v>
      </c>
      <c r="I1995" s="9" t="str">
        <f>IFERROR(__xludf.DUMMYFUNCTION("GOOGLETRANSLATE($A1995,""en"",""ko"")"),"북서쪽")</f>
        <v>북서쪽</v>
      </c>
      <c r="J1995" s="9" t="str">
        <f>IFERROR(__xludf.DUMMYFUNCTION("GOOGLETRANSLATE($A1995,""en"",""pt-BR"")"),"Norte-Oeste")</f>
        <v>Norte-Oeste</v>
      </c>
    </row>
    <row r="1996">
      <c r="A1996" s="9" t="str">
        <f>IFERROR(__xludf.DUMMYFUNCTION("""COMPUTED_VALUE"""),"Artibonite")</f>
        <v>Artibonite</v>
      </c>
      <c r="B1996" s="9" t="str">
        <f>IFERROR(__xludf.DUMMYFUNCTION("""COMPUTED_VALUE"""),"ht-ar")</f>
        <v>ht-ar</v>
      </c>
      <c r="C1996" s="9" t="str">
        <f>IFERROR(__xludf.DUMMYFUNCTION("GOOGLETRANSLATE($A1996,""en"",""de"")"),"Artibonit")</f>
        <v>Artibonit</v>
      </c>
      <c r="D1996" s="9" t="str">
        <f>IFERROR(__xludf.DUMMYFUNCTION("GOOGLETRANSLATE($A1996,""en"",""fr"")"),"Artibonite")</f>
        <v>Artibonite</v>
      </c>
      <c r="E1996" s="9" t="str">
        <f>IFERROR(__xludf.DUMMYFUNCTION("GOOGLETRANSLATE($A1996,""en"",""es"")"),"artibonita")</f>
        <v>artibonita</v>
      </c>
      <c r="F1996" s="9" t="str">
        <f>IFERROR(__xludf.DUMMYFUNCTION("GOOGLETRANSLATE($A1996,""en"",""it"")"),"Artibonite")</f>
        <v>Artibonite</v>
      </c>
      <c r="G1996" s="9" t="str">
        <f>IFERROR(__xludf.DUMMYFUNCTION("GOOGLETRANSLATE($A1996,""en"",""zh-cn"")"),"阿蒂博尼特")</f>
        <v>阿蒂博尼特</v>
      </c>
      <c r="H1996" s="9" t="str">
        <f>IFERROR(__xludf.DUMMYFUNCTION("GOOGLETRANSLATE($A1996,""en"",""ja"")"),"アルチボナイト")</f>
        <v>アルチボナイト</v>
      </c>
      <c r="I1996" s="9" t="str">
        <f>IFERROR(__xludf.DUMMYFUNCTION("GOOGLETRANSLATE($A1996,""en"",""ko"")"),"아티보나이트")</f>
        <v>아티보나이트</v>
      </c>
      <c r="J1996" s="9" t="str">
        <f>IFERROR(__xludf.DUMMYFUNCTION("GOOGLETRANSLATE($A1996,""en"",""pt-BR"")"),"Artibonita")</f>
        <v>Artibonita</v>
      </c>
    </row>
    <row r="1997">
      <c r="A1997" s="9" t="str">
        <f>IFERROR(__xludf.DUMMYFUNCTION("""COMPUTED_VALUE"""),"Nippes")</f>
        <v>Nippes</v>
      </c>
      <c r="B1997" s="9" t="str">
        <f>IFERROR(__xludf.DUMMYFUNCTION("""COMPUTED_VALUE"""),"ht-ni")</f>
        <v>ht-ni</v>
      </c>
      <c r="C1997" s="9" t="str">
        <f>IFERROR(__xludf.DUMMYFUNCTION("GOOGLETRANSLATE($A1997,""en"",""de"")"),"Nippes")</f>
        <v>Nippes</v>
      </c>
      <c r="D1997" s="9" t="str">
        <f>IFERROR(__xludf.DUMMYFUNCTION("GOOGLETRANSLATE($A1997,""en"",""fr"")"),"Mamelons")</f>
        <v>Mamelons</v>
      </c>
      <c r="E1997" s="9" t="str">
        <f>IFERROR(__xludf.DUMMYFUNCTION("GOOGLETRANSLATE($A1997,""en"",""es"")"),"pezones")</f>
        <v>pezones</v>
      </c>
      <c r="F1997" s="9" t="str">
        <f>IFERROR(__xludf.DUMMYFUNCTION("GOOGLETRANSLATE($A1997,""en"",""it"")"),"Nippes")</f>
        <v>Nippes</v>
      </c>
      <c r="G1997" s="9" t="str">
        <f>IFERROR(__xludf.DUMMYFUNCTION("GOOGLETRANSLATE($A1997,""en"",""zh-cn"")"),"尼普斯")</f>
        <v>尼普斯</v>
      </c>
      <c r="H1997" s="9" t="str">
        <f>IFERROR(__xludf.DUMMYFUNCTION("GOOGLETRANSLATE($A1997,""en"",""ja"")"),"ニッペス")</f>
        <v>ニッペス</v>
      </c>
      <c r="I1997" s="9" t="str">
        <f>IFERROR(__xludf.DUMMYFUNCTION("GOOGLETRANSLATE($A1997,""en"",""ko"")"),"니플")</f>
        <v>니플</v>
      </c>
      <c r="J1997" s="9" t="str">
        <f>IFERROR(__xludf.DUMMYFUNCTION("GOOGLETRANSLATE($A1997,""en"",""pt-BR"")"),"Nippes")</f>
        <v>Nippes</v>
      </c>
    </row>
    <row r="1998">
      <c r="A1998" s="9" t="str">
        <f>IFERROR(__xludf.DUMMYFUNCTION("""COMPUTED_VALUE"""),"Grande-Anse")</f>
        <v>Grande-Anse</v>
      </c>
      <c r="B1998" s="9" t="str">
        <f>IFERROR(__xludf.DUMMYFUNCTION("""COMPUTED_VALUE"""),"ht-ga")</f>
        <v>ht-ga</v>
      </c>
      <c r="C1998" s="9" t="str">
        <f>IFERROR(__xludf.DUMMYFUNCTION("GOOGLETRANSLATE($A1998,""en"",""de"")"),"Grande-Anse")</f>
        <v>Grande-Anse</v>
      </c>
      <c r="D1998" s="9" t="str">
        <f>IFERROR(__xludf.DUMMYFUNCTION("GOOGLETRANSLATE($A1998,""en"",""fr"")"),"Grande Anse")</f>
        <v>Grande Anse</v>
      </c>
      <c r="E1998" s="9" t="str">
        <f>IFERROR(__xludf.DUMMYFUNCTION("GOOGLETRANSLATE($A1998,""en"",""es"")"),"Grande-Anse")</f>
        <v>Grande-Anse</v>
      </c>
      <c r="F1998" s="9" t="str">
        <f>IFERROR(__xludf.DUMMYFUNCTION("GOOGLETRANSLATE($A1998,""en"",""it"")"),"Grande-Anse")</f>
        <v>Grande-Anse</v>
      </c>
      <c r="G1998" s="9" t="str">
        <f>IFERROR(__xludf.DUMMYFUNCTION("GOOGLETRANSLATE($A1998,""en"",""zh-cn"")"),"格兰德安斯")</f>
        <v>格兰德安斯</v>
      </c>
      <c r="H1998" s="9" t="str">
        <f>IFERROR(__xludf.DUMMYFUNCTION("GOOGLETRANSLATE($A1998,""en"",""ja"")"),"グランアンス")</f>
        <v>グランアンス</v>
      </c>
      <c r="I1998" s="9" t="str">
        <f>IFERROR(__xludf.DUMMYFUNCTION("GOOGLETRANSLATE($A1998,""en"",""ko"")"),"그란데 안세")</f>
        <v>그란데 안세</v>
      </c>
      <c r="J1998" s="9" t="str">
        <f>IFERROR(__xludf.DUMMYFUNCTION("GOOGLETRANSLATE($A1998,""en"",""pt-BR"")"),"Grande Anse")</f>
        <v>Grande Anse</v>
      </c>
    </row>
    <row r="1999">
      <c r="A1999" s="9" t="str">
        <f>IFERROR(__xludf.DUMMYFUNCTION("""COMPUTED_VALUE"""),"Yoro")</f>
        <v>Yoro</v>
      </c>
      <c r="B1999" s="9" t="str">
        <f>IFERROR(__xludf.DUMMYFUNCTION("""COMPUTED_VALUE"""),"hn-yo")</f>
        <v>hn-yo</v>
      </c>
      <c r="C1999" s="9" t="str">
        <f>IFERROR(__xludf.DUMMYFUNCTION("GOOGLETRANSLATE($A1999,""en"",""de"")"),"Yoro")</f>
        <v>Yoro</v>
      </c>
      <c r="D1999" s="9" t="str">
        <f>IFERROR(__xludf.DUMMYFUNCTION("GOOGLETRANSLATE($A1999,""en"",""fr"")"),"Yoro")</f>
        <v>Yoro</v>
      </c>
      <c r="E1999" s="9" t="str">
        <f>IFERROR(__xludf.DUMMYFUNCTION("GOOGLETRANSLATE($A1999,""en"",""es"")"),"yoro")</f>
        <v>yoro</v>
      </c>
      <c r="F1999" s="9" t="str">
        <f>IFERROR(__xludf.DUMMYFUNCTION("GOOGLETRANSLATE($A1999,""en"",""it"")"),"Yoro")</f>
        <v>Yoro</v>
      </c>
      <c r="G1999" s="9" t="str">
        <f>IFERROR(__xludf.DUMMYFUNCTION("GOOGLETRANSLATE($A1999,""en"",""zh-cn"")"),"养老")</f>
        <v>养老</v>
      </c>
      <c r="H1999" s="9" t="str">
        <f>IFERROR(__xludf.DUMMYFUNCTION("GOOGLETRANSLATE($A1999,""en"",""ja"")"),"養老")</f>
        <v>養老</v>
      </c>
      <c r="I1999" s="9" t="str">
        <f>IFERROR(__xludf.DUMMYFUNCTION("GOOGLETRANSLATE($A1999,""en"",""ko"")"),"요로")</f>
        <v>요로</v>
      </c>
      <c r="J1999" s="9" t="str">
        <f>IFERROR(__xludf.DUMMYFUNCTION("GOOGLETRANSLATE($A1999,""en"",""pt-BR"")"),"Yoro")</f>
        <v>Yoro</v>
      </c>
    </row>
    <row r="2000">
      <c r="A2000" s="9" t="str">
        <f>IFERROR(__xludf.DUMMYFUNCTION("""COMPUTED_VALUE"""),"Comayagua")</f>
        <v>Comayagua</v>
      </c>
      <c r="B2000" s="9" t="str">
        <f>IFERROR(__xludf.DUMMYFUNCTION("""COMPUTED_VALUE"""),"hn-cm")</f>
        <v>hn-cm</v>
      </c>
      <c r="C2000" s="9" t="str">
        <f>IFERROR(__xludf.DUMMYFUNCTION("GOOGLETRANSLATE($A2000,""en"",""de"")"),"Comayagua")</f>
        <v>Comayagua</v>
      </c>
      <c r="D2000" s="9" t="str">
        <f>IFERROR(__xludf.DUMMYFUNCTION("GOOGLETRANSLATE($A2000,""en"",""fr"")"),"Comayagua")</f>
        <v>Comayagua</v>
      </c>
      <c r="E2000" s="9" t="str">
        <f>IFERROR(__xludf.DUMMYFUNCTION("GOOGLETRANSLATE($A2000,""en"",""es"")"),"Comayagua")</f>
        <v>Comayagua</v>
      </c>
      <c r="F2000" s="9" t="str">
        <f>IFERROR(__xludf.DUMMYFUNCTION("GOOGLETRANSLATE($A2000,""en"",""it"")"),"Comayagua")</f>
        <v>Comayagua</v>
      </c>
      <c r="G2000" s="9" t="str">
        <f>IFERROR(__xludf.DUMMYFUNCTION("GOOGLETRANSLATE($A2000,""en"",""zh-cn"")"),"科马亚瓜")</f>
        <v>科马亚瓜</v>
      </c>
      <c r="H2000" s="9" t="str">
        <f>IFERROR(__xludf.DUMMYFUNCTION("GOOGLETRANSLATE($A2000,""en"",""ja"")"),"コマヤグア")</f>
        <v>コマヤグア</v>
      </c>
      <c r="I2000" s="9" t="str">
        <f>IFERROR(__xludf.DUMMYFUNCTION("GOOGLETRANSLATE($A2000,""en"",""ko"")"),"코마야과")</f>
        <v>코마야과</v>
      </c>
      <c r="J2000" s="9" t="str">
        <f>IFERROR(__xludf.DUMMYFUNCTION("GOOGLETRANSLATE($A2000,""en"",""pt-BR"")"),"Comayagua")</f>
        <v>Comayagua</v>
      </c>
    </row>
    <row r="2001">
      <c r="A2001" s="9" t="str">
        <f>IFERROR(__xludf.DUMMYFUNCTION("""COMPUTED_VALUE"""),"Islas de la Bahía")</f>
        <v>Islas de la Bahía</v>
      </c>
      <c r="B2001" s="9" t="str">
        <f>IFERROR(__xludf.DUMMYFUNCTION("""COMPUTED_VALUE"""),"hn-ib")</f>
        <v>hn-ib</v>
      </c>
      <c r="C2001" s="9" t="str">
        <f>IFERROR(__xludf.DUMMYFUNCTION("GOOGLETRANSLATE($A2001,""en"",""de"")"),"Islas de la Bahía")</f>
        <v>Islas de la Bahía</v>
      </c>
      <c r="D2001" s="9" t="str">
        <f>IFERROR(__xludf.DUMMYFUNCTION("GOOGLETRANSLATE($A2001,""en"",""fr"")"),"Îles de la Baie")</f>
        <v>Îles de la Baie</v>
      </c>
      <c r="E2001" s="9" t="str">
        <f>IFERROR(__xludf.DUMMYFUNCTION("GOOGLETRANSLATE($A2001,""en"",""es"")"),"islas de la bahia")</f>
        <v>islas de la bahia</v>
      </c>
      <c r="F2001" s="9" t="str">
        <f>IFERROR(__xludf.DUMMYFUNCTION("GOOGLETRANSLATE($A2001,""en"",""it"")"),"Isole della Baia")</f>
        <v>Isole della Baia</v>
      </c>
      <c r="G2001" s="9" t="str">
        <f>IFERROR(__xludf.DUMMYFUNCTION("GOOGLETRANSLATE($A2001,""en"",""zh-cn"")"),"巴伊亚群岛")</f>
        <v>巴伊亚群岛</v>
      </c>
      <c r="H2001" s="9" t="str">
        <f>IFERROR(__xludf.DUMMYFUNCTION("GOOGLETRANSLATE($A2001,""en"",""ja"")"),"バイア島")</f>
        <v>バイア島</v>
      </c>
      <c r="I2001" s="9" t="str">
        <f>IFERROR(__xludf.DUMMYFUNCTION("GOOGLETRANSLATE($A2001,""en"",""ko"")"),"이슬라 데 라 바이아")</f>
        <v>이슬라 데 라 바이아</v>
      </c>
      <c r="J2001" s="9" t="str">
        <f>IFERROR(__xludf.DUMMYFUNCTION("GOOGLETRANSLATE($A2001,""en"",""pt-BR"")"),"Ilhas da Bahia")</f>
        <v>Ilhas da Bahia</v>
      </c>
    </row>
    <row r="2002">
      <c r="A2002" s="9" t="str">
        <f>IFERROR(__xludf.DUMMYFUNCTION("""COMPUTED_VALUE"""),"Gracias a Dios")</f>
        <v>Gracias a Dios</v>
      </c>
      <c r="B2002" s="9" t="str">
        <f>IFERROR(__xludf.DUMMYFUNCTION("""COMPUTED_VALUE"""),"hn-gd")</f>
        <v>hn-gd</v>
      </c>
      <c r="C2002" s="9" t="str">
        <f>IFERROR(__xludf.DUMMYFUNCTION("GOOGLETRANSLATE($A2002,""en"",""de"")"),"Gracias a Dios")</f>
        <v>Gracias a Dios</v>
      </c>
      <c r="D2002" s="9" t="str">
        <f>IFERROR(__xludf.DUMMYFUNCTION("GOOGLETRANSLATE($A2002,""en"",""fr"")"),"Merci à Dios")</f>
        <v>Merci à Dios</v>
      </c>
      <c r="E2002" s="9" t="str">
        <f>IFERROR(__xludf.DUMMYFUNCTION("GOOGLETRANSLATE($A2002,""en"",""es"")"),"Gracias a Dios")</f>
        <v>Gracias a Dios</v>
      </c>
      <c r="F2002" s="9" t="str">
        <f>IFERROR(__xludf.DUMMYFUNCTION("GOOGLETRANSLATE($A2002,""en"",""it"")"),"Grazie a Dios")</f>
        <v>Grazie a Dios</v>
      </c>
      <c r="G2002" s="9" t="str">
        <f>IFERROR(__xludf.DUMMYFUNCTION("GOOGLETRANSLATE($A2002,""en"",""zh-cn"")"),"感谢迪奥斯")</f>
        <v>感谢迪奥斯</v>
      </c>
      <c r="H2002" s="9" t="str">
        <f>IFERROR(__xludf.DUMMYFUNCTION("GOOGLETRANSLATE($A2002,""en"",""ja"")"),"グラシアスとディオス")</f>
        <v>グラシアスとディオス</v>
      </c>
      <c r="I2002" s="9" t="str">
        <f>IFERROR(__xludf.DUMMYFUNCTION("GOOGLETRANSLATE($A2002,""en"",""ko"")"),"그라시아스 아 디오스")</f>
        <v>그라시아스 아 디오스</v>
      </c>
      <c r="J2002" s="9" t="str">
        <f>IFERROR(__xludf.DUMMYFUNCTION("GOOGLETRANSLATE($A2002,""en"",""pt-BR"")"),"Obrigado a Deus")</f>
        <v>Obrigado a Deus</v>
      </c>
    </row>
    <row r="2003">
      <c r="A2003" s="9" t="str">
        <f>IFERROR(__xludf.DUMMYFUNCTION("""COMPUTED_VALUE"""),"Lempira")</f>
        <v>Lempira</v>
      </c>
      <c r="B2003" s="9" t="str">
        <f>IFERROR(__xludf.DUMMYFUNCTION("""COMPUTED_VALUE"""),"hn-le")</f>
        <v>hn-le</v>
      </c>
      <c r="C2003" s="9" t="str">
        <f>IFERROR(__xludf.DUMMYFUNCTION("GOOGLETRANSLATE($A2003,""en"",""de"")"),"Lempira")</f>
        <v>Lempira</v>
      </c>
      <c r="D2003" s="9" t="str">
        <f>IFERROR(__xludf.DUMMYFUNCTION("GOOGLETRANSLATE($A2003,""en"",""fr"")"),"Lempira")</f>
        <v>Lempira</v>
      </c>
      <c r="E2003" s="9" t="str">
        <f>IFERROR(__xludf.DUMMYFUNCTION("GOOGLETRANSLATE($A2003,""en"",""es"")"),"Lempira")</f>
        <v>Lempira</v>
      </c>
      <c r="F2003" s="9" t="str">
        <f>IFERROR(__xludf.DUMMYFUNCTION("GOOGLETRANSLATE($A2003,""en"",""it"")"),"Lempira")</f>
        <v>Lempira</v>
      </c>
      <c r="G2003" s="9" t="str">
        <f>IFERROR(__xludf.DUMMYFUNCTION("GOOGLETRANSLATE($A2003,""en"",""zh-cn"")"),"伦皮拉")</f>
        <v>伦皮拉</v>
      </c>
      <c r="H2003" s="9" t="str">
        <f>IFERROR(__xludf.DUMMYFUNCTION("GOOGLETRANSLATE($A2003,""en"",""ja"")"),"レンピラ")</f>
        <v>レンピラ</v>
      </c>
      <c r="I2003" s="9" t="str">
        <f>IFERROR(__xludf.DUMMYFUNCTION("GOOGLETRANSLATE($A2003,""en"",""ko"")"),"렘피라")</f>
        <v>렘피라</v>
      </c>
      <c r="J2003" s="9" t="str">
        <f>IFERROR(__xludf.DUMMYFUNCTION("GOOGLETRANSLATE($A2003,""en"",""pt-BR"")"),"Lempira")</f>
        <v>Lempira</v>
      </c>
    </row>
    <row r="2004">
      <c r="A2004" s="9" t="str">
        <f>IFERROR(__xludf.DUMMYFUNCTION("""COMPUTED_VALUE"""),"Choluteca")</f>
        <v>Choluteca</v>
      </c>
      <c r="B2004" s="9" t="str">
        <f>IFERROR(__xludf.DUMMYFUNCTION("""COMPUTED_VALUE"""),"hn-ch")</f>
        <v>hn-ch</v>
      </c>
      <c r="C2004" s="9" t="str">
        <f>IFERROR(__xludf.DUMMYFUNCTION("GOOGLETRANSLATE($A2004,""en"",""de"")"),"Choluteca")</f>
        <v>Choluteca</v>
      </c>
      <c r="D2004" s="9" t="str">
        <f>IFERROR(__xludf.DUMMYFUNCTION("GOOGLETRANSLATE($A2004,""en"",""fr"")"),"Cholutèque")</f>
        <v>Cholutèque</v>
      </c>
      <c r="E2004" s="9" t="str">
        <f>IFERROR(__xludf.DUMMYFUNCTION("GOOGLETRANSLATE($A2004,""en"",""es"")"),"Choluteca")</f>
        <v>Choluteca</v>
      </c>
      <c r="F2004" s="9" t="str">
        <f>IFERROR(__xludf.DUMMYFUNCTION("GOOGLETRANSLATE($A2004,""en"",""it"")"),"Choluteca")</f>
        <v>Choluteca</v>
      </c>
      <c r="G2004" s="9" t="str">
        <f>IFERROR(__xludf.DUMMYFUNCTION("GOOGLETRANSLATE($A2004,""en"",""zh-cn"")"),"乔卢特卡")</f>
        <v>乔卢特卡</v>
      </c>
      <c r="H2004" s="9" t="str">
        <f>IFERROR(__xludf.DUMMYFUNCTION("GOOGLETRANSLATE($A2004,""en"",""ja"")"),"チョルテカ")</f>
        <v>チョルテカ</v>
      </c>
      <c r="I2004" s="9" t="str">
        <f>IFERROR(__xludf.DUMMYFUNCTION("GOOGLETRANSLATE($A2004,""en"",""ko"")"),"촐루테카")</f>
        <v>촐루테카</v>
      </c>
      <c r="J2004" s="9" t="str">
        <f>IFERROR(__xludf.DUMMYFUNCTION("GOOGLETRANSLATE($A2004,""en"",""pt-BR"")"),"Choluteca")</f>
        <v>Choluteca</v>
      </c>
    </row>
    <row r="2005">
      <c r="A2005" s="9" t="str">
        <f>IFERROR(__xludf.DUMMYFUNCTION("""COMPUTED_VALUE"""),"Colón (HN)")</f>
        <v>Colón (HN)</v>
      </c>
      <c r="B2005" s="9" t="str">
        <f>IFERROR(__xludf.DUMMYFUNCTION("""COMPUTED_VALUE"""),"hn-cl")</f>
        <v>hn-cl</v>
      </c>
      <c r="C2005" s="9" t="str">
        <f>IFERROR(__xludf.DUMMYFUNCTION("GOOGLETRANSLATE($A2005,""en"",""de"")"),"Colón (HN)")</f>
        <v>Colón (HN)</v>
      </c>
      <c r="D2005" s="9" t="str">
        <f>IFERROR(__xludf.DUMMYFUNCTION("GOOGLETRANSLATE($A2005,""en"",""fr"")"),"Colón (HN)")</f>
        <v>Colón (HN)</v>
      </c>
      <c r="E2005" s="9" t="str">
        <f>IFERROR(__xludf.DUMMYFUNCTION("GOOGLETRANSLATE($A2005,""en"",""es"")"),"Colón (HN)")</f>
        <v>Colón (HN)</v>
      </c>
      <c r="F2005" s="9" t="str">
        <f>IFERROR(__xludf.DUMMYFUNCTION("GOOGLETRANSLATE($A2005,""en"",""it"")"),"Colon (HN)")</f>
        <v>Colon (HN)</v>
      </c>
      <c r="G2005" s="9" t="str">
        <f>IFERROR(__xludf.DUMMYFUNCTION("GOOGLETRANSLATE($A2005,""en"",""zh-cn"")"),"科隆 (HN)")</f>
        <v>科隆 (HN)</v>
      </c>
      <c r="H2005" s="9" t="str">
        <f>IFERROR(__xludf.DUMMYFUNCTION("GOOGLETRANSLATE($A2005,""en"",""ja"")"),"コロン (HN)")</f>
        <v>コロン (HN)</v>
      </c>
      <c r="I2005" s="9" t="str">
        <f>IFERROR(__xludf.DUMMYFUNCTION("GOOGLETRANSLATE($A2005,""en"",""ko"")"),"콜론(HN)")</f>
        <v>콜론(HN)</v>
      </c>
      <c r="J2005" s="9" t="str">
        <f>IFERROR(__xludf.DUMMYFUNCTION("GOOGLETRANSLATE($A2005,""en"",""pt-BR"")"),"Colón (HN)")</f>
        <v>Colón (HN)</v>
      </c>
    </row>
    <row r="2006">
      <c r="A2006" s="9" t="str">
        <f>IFERROR(__xludf.DUMMYFUNCTION("""COMPUTED_VALUE"""),"Copán")</f>
        <v>Copán</v>
      </c>
      <c r="B2006" s="9" t="str">
        <f>IFERROR(__xludf.DUMMYFUNCTION("""COMPUTED_VALUE"""),"hn-cp")</f>
        <v>hn-cp</v>
      </c>
      <c r="C2006" s="9" t="str">
        <f>IFERROR(__xludf.DUMMYFUNCTION("GOOGLETRANSLATE($A2006,""en"",""de"")"),"Copán")</f>
        <v>Copán</v>
      </c>
      <c r="D2006" s="9" t="str">
        <f>IFERROR(__xludf.DUMMYFUNCTION("GOOGLETRANSLATE($A2006,""en"",""fr"")"),"Copán")</f>
        <v>Copán</v>
      </c>
      <c r="E2006" s="9" t="str">
        <f>IFERROR(__xludf.DUMMYFUNCTION("GOOGLETRANSLATE($A2006,""en"",""es"")"),"Copán")</f>
        <v>Copán</v>
      </c>
      <c r="F2006" s="9" t="str">
        <f>IFERROR(__xludf.DUMMYFUNCTION("GOOGLETRANSLATE($A2006,""en"",""it"")"),"Copán")</f>
        <v>Copán</v>
      </c>
      <c r="G2006" s="9" t="str">
        <f>IFERROR(__xludf.DUMMYFUNCTION("GOOGLETRANSLATE($A2006,""en"",""zh-cn"")"),"科潘")</f>
        <v>科潘</v>
      </c>
      <c r="H2006" s="9" t="str">
        <f>IFERROR(__xludf.DUMMYFUNCTION("GOOGLETRANSLATE($A2006,""en"",""ja"")"),"コパン")</f>
        <v>コパン</v>
      </c>
      <c r="I2006" s="9" t="str">
        <f>IFERROR(__xludf.DUMMYFUNCTION("GOOGLETRANSLATE($A2006,""en"",""ko"")"),"코판")</f>
        <v>코판</v>
      </c>
      <c r="J2006" s="9" t="str">
        <f>IFERROR(__xludf.DUMMYFUNCTION("GOOGLETRANSLATE($A2006,""en"",""pt-BR"")"),"Copán")</f>
        <v>Copán</v>
      </c>
    </row>
    <row r="2007">
      <c r="A2007" s="9" t="str">
        <f>IFERROR(__xludf.DUMMYFUNCTION("""COMPUTED_VALUE"""),"Cortés")</f>
        <v>Cortés</v>
      </c>
      <c r="B2007" s="9" t="str">
        <f>IFERROR(__xludf.DUMMYFUNCTION("""COMPUTED_VALUE"""),"hn-cr")</f>
        <v>hn-cr</v>
      </c>
      <c r="C2007" s="9" t="str">
        <f>IFERROR(__xludf.DUMMYFUNCTION("GOOGLETRANSLATE($A2007,""en"",""de"")"),"Cortés")</f>
        <v>Cortés</v>
      </c>
      <c r="D2007" s="9" t="str">
        <f>IFERROR(__xludf.DUMMYFUNCTION("GOOGLETRANSLATE($A2007,""en"",""fr"")"),"Cortés")</f>
        <v>Cortés</v>
      </c>
      <c r="E2007" s="9" t="str">
        <f>IFERROR(__xludf.DUMMYFUNCTION("GOOGLETRANSLATE($A2007,""en"",""es"")"),"Cortés")</f>
        <v>Cortés</v>
      </c>
      <c r="F2007" s="9" t="str">
        <f>IFERROR(__xludf.DUMMYFUNCTION("GOOGLETRANSLATE($A2007,""en"",""it"")"),"Cortes")</f>
        <v>Cortes</v>
      </c>
      <c r="G2007" s="9" t="str">
        <f>IFERROR(__xludf.DUMMYFUNCTION("GOOGLETRANSLATE($A2007,""en"",""zh-cn"")"),"科尔特斯")</f>
        <v>科尔特斯</v>
      </c>
      <c r="H2007" s="9" t="str">
        <f>IFERROR(__xludf.DUMMYFUNCTION("GOOGLETRANSLATE($A2007,""en"",""ja"")"),"コルテス")</f>
        <v>コルテス</v>
      </c>
      <c r="I2007" s="9" t="str">
        <f>IFERROR(__xludf.DUMMYFUNCTION("GOOGLETRANSLATE($A2007,""en"",""ko"")"),"코르테스")</f>
        <v>코르테스</v>
      </c>
      <c r="J2007" s="9" t="str">
        <f>IFERROR(__xludf.DUMMYFUNCTION("GOOGLETRANSLATE($A2007,""en"",""pt-BR"")"),"Cortes")</f>
        <v>Cortes</v>
      </c>
    </row>
    <row r="2008">
      <c r="A2008" s="9" t="str">
        <f>IFERROR(__xludf.DUMMYFUNCTION("""COMPUTED_VALUE"""),"Atlántida")</f>
        <v>Atlántida</v>
      </c>
      <c r="B2008" s="9" t="str">
        <f>IFERROR(__xludf.DUMMYFUNCTION("""COMPUTED_VALUE"""),"hn-at")</f>
        <v>hn-at</v>
      </c>
      <c r="C2008" s="9" t="str">
        <f>IFERROR(__xludf.DUMMYFUNCTION("GOOGLETRANSLATE($A2008,""en"",""de"")"),"Atlántida")</f>
        <v>Atlántida</v>
      </c>
      <c r="D2008" s="9" t="str">
        <f>IFERROR(__xludf.DUMMYFUNCTION("GOOGLETRANSLATE($A2008,""en"",""fr"")"),"Atlantide")</f>
        <v>Atlantide</v>
      </c>
      <c r="E2008" s="9" t="str">
        <f>IFERROR(__xludf.DUMMYFUNCTION("GOOGLETRANSLATE($A2008,""en"",""es"")"),"Atlántida")</f>
        <v>Atlántida</v>
      </c>
      <c r="F2008" s="9" t="str">
        <f>IFERROR(__xludf.DUMMYFUNCTION("GOOGLETRANSLATE($A2008,""en"",""it"")"),"Atlantida")</f>
        <v>Atlantida</v>
      </c>
      <c r="G2008" s="9" t="str">
        <f>IFERROR(__xludf.DUMMYFUNCTION("GOOGLETRANSLATE($A2008,""en"",""zh-cn"")"),"亚特兰蒂斯达")</f>
        <v>亚特兰蒂斯达</v>
      </c>
      <c r="H2008" s="9" t="str">
        <f>IFERROR(__xludf.DUMMYFUNCTION("GOOGLETRANSLATE($A2008,""en"",""ja"")"),"アトランティダ")</f>
        <v>アトランティダ</v>
      </c>
      <c r="I2008" s="9" t="str">
        <f>IFERROR(__xludf.DUMMYFUNCTION("GOOGLETRANSLATE($A2008,""en"",""ko"")"),"아틀란티다")</f>
        <v>아틀란티다</v>
      </c>
      <c r="J2008" s="9" t="str">
        <f>IFERROR(__xludf.DUMMYFUNCTION("GOOGLETRANSLATE($A2008,""en"",""pt-BR"")"),"Atlántida")</f>
        <v>Atlántida</v>
      </c>
    </row>
    <row r="2009">
      <c r="A2009" s="9" t="str">
        <f>IFERROR(__xludf.DUMMYFUNCTION("""COMPUTED_VALUE"""),"Ocotepeque")</f>
        <v>Ocotepeque</v>
      </c>
      <c r="B2009" s="9" t="str">
        <f>IFERROR(__xludf.DUMMYFUNCTION("""COMPUTED_VALUE"""),"hn-oc")</f>
        <v>hn-oc</v>
      </c>
      <c r="C2009" s="9" t="str">
        <f>IFERROR(__xludf.DUMMYFUNCTION("GOOGLETRANSLATE($A2009,""en"",""de"")"),"Ocotepeque")</f>
        <v>Ocotepeque</v>
      </c>
      <c r="D2009" s="9" t="str">
        <f>IFERROR(__xludf.DUMMYFUNCTION("GOOGLETRANSLATE($A2009,""en"",""fr"")"),"Ocotepeque")</f>
        <v>Ocotepeque</v>
      </c>
      <c r="E2009" s="9" t="str">
        <f>IFERROR(__xludf.DUMMYFUNCTION("GOOGLETRANSLATE($A2009,""en"",""es"")"),"Ocotepeque")</f>
        <v>Ocotepeque</v>
      </c>
      <c r="F2009" s="9" t="str">
        <f>IFERROR(__xludf.DUMMYFUNCTION("GOOGLETRANSLATE($A2009,""en"",""it"")"),"Ocotepeque")</f>
        <v>Ocotepeque</v>
      </c>
      <c r="G2009" s="9" t="str">
        <f>IFERROR(__xludf.DUMMYFUNCTION("GOOGLETRANSLATE($A2009,""en"",""zh-cn"")"),"奥科特佩克")</f>
        <v>奥科特佩克</v>
      </c>
      <c r="H2009" s="9" t="str">
        <f>IFERROR(__xludf.DUMMYFUNCTION("GOOGLETRANSLATE($A2009,""en"",""ja"")"),"オコテペケ")</f>
        <v>オコテペケ</v>
      </c>
      <c r="I2009" s="9" t="str">
        <f>IFERROR(__xludf.DUMMYFUNCTION("GOOGLETRANSLATE($A2009,""en"",""ko"")"),"옥테페케")</f>
        <v>옥테페케</v>
      </c>
      <c r="J2009" s="9" t="str">
        <f>IFERROR(__xludf.DUMMYFUNCTION("GOOGLETRANSLATE($A2009,""en"",""pt-BR"")"),"Ocotepeque")</f>
        <v>Ocotepeque</v>
      </c>
    </row>
    <row r="2010">
      <c r="A2010" s="9" t="str">
        <f>IFERROR(__xludf.DUMMYFUNCTION("""COMPUTED_VALUE"""),"Valle")</f>
        <v>Valle</v>
      </c>
      <c r="B2010" s="9" t="str">
        <f>IFERROR(__xludf.DUMMYFUNCTION("""COMPUTED_VALUE"""),"hn-va")</f>
        <v>hn-va</v>
      </c>
      <c r="C2010" s="9" t="str">
        <f>IFERROR(__xludf.DUMMYFUNCTION("GOOGLETRANSLATE($A2010,""en"",""de"")"),"Valle")</f>
        <v>Valle</v>
      </c>
      <c r="D2010" s="9" t="str">
        <f>IFERROR(__xludf.DUMMYFUNCTION("GOOGLETRANSLATE($A2010,""en"",""fr"")"),"Vallée")</f>
        <v>Vallée</v>
      </c>
      <c r="E2010" s="9" t="str">
        <f>IFERROR(__xludf.DUMMYFUNCTION("GOOGLETRANSLATE($A2010,""en"",""es"")"),"valle")</f>
        <v>valle</v>
      </c>
      <c r="F2010" s="9" t="str">
        <f>IFERROR(__xludf.DUMMYFUNCTION("GOOGLETRANSLATE($A2010,""en"",""it"")"),"Valle")</f>
        <v>Valle</v>
      </c>
      <c r="G2010" s="9" t="str">
        <f>IFERROR(__xludf.DUMMYFUNCTION("GOOGLETRANSLATE($A2010,""en"",""zh-cn"")"),"瓦莱")</f>
        <v>瓦莱</v>
      </c>
      <c r="H2010" s="9" t="str">
        <f>IFERROR(__xludf.DUMMYFUNCTION("GOOGLETRANSLATE($A2010,""en"",""ja"")"),"ヴァジェ")</f>
        <v>ヴァジェ</v>
      </c>
      <c r="I2010" s="9" t="str">
        <f>IFERROR(__xludf.DUMMYFUNCTION("GOOGLETRANSLATE($A2010,""en"",""ko"")"),"발레")</f>
        <v>발레</v>
      </c>
      <c r="J2010" s="9" t="str">
        <f>IFERROR(__xludf.DUMMYFUNCTION("GOOGLETRANSLATE($A2010,""en"",""pt-BR"")"),"Vale")</f>
        <v>Vale</v>
      </c>
    </row>
    <row r="2011">
      <c r="A2011" s="9" t="str">
        <f>IFERROR(__xludf.DUMMYFUNCTION("""COMPUTED_VALUE"""),"Francisco Morazán")</f>
        <v>Francisco Morazán</v>
      </c>
      <c r="B2011" s="9" t="str">
        <f>IFERROR(__xludf.DUMMYFUNCTION("""COMPUTED_VALUE"""),"hn-fm")</f>
        <v>hn-fm</v>
      </c>
      <c r="C2011" s="9" t="str">
        <f>IFERROR(__xludf.DUMMYFUNCTION("GOOGLETRANSLATE($A2011,""en"",""de"")"),"Francisco Morazán")</f>
        <v>Francisco Morazán</v>
      </c>
      <c r="D2011" s="9" t="str">
        <f>IFERROR(__xludf.DUMMYFUNCTION("GOOGLETRANSLATE($A2011,""en"",""fr"")"),"Francisco Morazan")</f>
        <v>Francisco Morazan</v>
      </c>
      <c r="E2011" s="9" t="str">
        <f>IFERROR(__xludf.DUMMYFUNCTION("GOOGLETRANSLATE($A2011,""en"",""es"")"),"Francisco Morazan")</f>
        <v>Francisco Morazan</v>
      </c>
      <c r="F2011" s="9" t="str">
        <f>IFERROR(__xludf.DUMMYFUNCTION("GOOGLETRANSLATE($A2011,""en"",""it"")"),"Francisco Morazan")</f>
        <v>Francisco Morazan</v>
      </c>
      <c r="G2011" s="9" t="str">
        <f>IFERROR(__xludf.DUMMYFUNCTION("GOOGLETRANSLATE($A2011,""en"",""zh-cn"")"),"弗朗西斯科·莫拉桑")</f>
        <v>弗朗西斯科·莫拉桑</v>
      </c>
      <c r="H2011" s="9" t="str">
        <f>IFERROR(__xludf.DUMMYFUNCTION("GOOGLETRANSLATE($A2011,""en"",""ja"")"),"フランシスコ・モラサン")</f>
        <v>フランシスコ・モラサン</v>
      </c>
      <c r="I2011" s="9" t="str">
        <f>IFERROR(__xludf.DUMMYFUNCTION("GOOGLETRANSLATE($A2011,""en"",""ko"")"),"프란시스코 모라잔")</f>
        <v>프란시스코 모라잔</v>
      </c>
      <c r="J2011" s="9" t="str">
        <f>IFERROR(__xludf.DUMMYFUNCTION("GOOGLETRANSLATE($A2011,""en"",""pt-BR"")"),"Francisco Morazan")</f>
        <v>Francisco Morazan</v>
      </c>
    </row>
    <row r="2012">
      <c r="A2012" s="9" t="str">
        <f>IFERROR(__xludf.DUMMYFUNCTION("""COMPUTED_VALUE"""),"El Paraíso")</f>
        <v>El Paraíso</v>
      </c>
      <c r="B2012" s="9" t="str">
        <f>IFERROR(__xludf.DUMMYFUNCTION("""COMPUTED_VALUE"""),"hn-ep")</f>
        <v>hn-ep</v>
      </c>
      <c r="C2012" s="9" t="str">
        <f>IFERROR(__xludf.DUMMYFUNCTION("GOOGLETRANSLATE($A2012,""en"",""de"")"),"El Paraíso")</f>
        <v>El Paraíso</v>
      </c>
      <c r="D2012" s="9" t="str">
        <f>IFERROR(__xludf.DUMMYFUNCTION("GOOGLETRANSLATE($A2012,""en"",""fr"")"),"El Paraíso")</f>
        <v>El Paraíso</v>
      </c>
      <c r="E2012" s="9" t="str">
        <f>IFERROR(__xludf.DUMMYFUNCTION("GOOGLETRANSLATE($A2012,""en"",""es"")"),"El Paraíso")</f>
        <v>El Paraíso</v>
      </c>
      <c r="F2012" s="9" t="str">
        <f>IFERROR(__xludf.DUMMYFUNCTION("GOOGLETRANSLATE($A2012,""en"",""it"")"),"El Paraíso")</f>
        <v>El Paraíso</v>
      </c>
      <c r="G2012" s="9" t="str">
        <f>IFERROR(__xludf.DUMMYFUNCTION("GOOGLETRANSLATE($A2012,""en"",""zh-cn"")"),"埃尔帕拉伊索")</f>
        <v>埃尔帕拉伊索</v>
      </c>
      <c r="H2012" s="9" t="str">
        <f>IFERROR(__xludf.DUMMYFUNCTION("GOOGLETRANSLATE($A2012,""en"",""ja"")"),"エル・パライソ")</f>
        <v>エル・パライソ</v>
      </c>
      <c r="I2012" s="9" t="str">
        <f>IFERROR(__xludf.DUMMYFUNCTION("GOOGLETRANSLATE($A2012,""en"",""ko"")"),"엘 파라이소")</f>
        <v>엘 파라이소</v>
      </c>
      <c r="J2012" s="9" t="str">
        <f>IFERROR(__xludf.DUMMYFUNCTION("GOOGLETRANSLATE($A2012,""en"",""pt-BR"")"),"El Paraíso")</f>
        <v>El Paraíso</v>
      </c>
    </row>
    <row r="2013">
      <c r="A2013" s="9" t="str">
        <f>IFERROR(__xludf.DUMMYFUNCTION("""COMPUTED_VALUE"""),"Santa Bárbara")</f>
        <v>Santa Bárbara</v>
      </c>
      <c r="B2013" s="9" t="str">
        <f>IFERROR(__xludf.DUMMYFUNCTION("""COMPUTED_VALUE"""),"hn-sb")</f>
        <v>hn-sb</v>
      </c>
      <c r="C2013" s="9" t="str">
        <f>IFERROR(__xludf.DUMMYFUNCTION("GOOGLETRANSLATE($A2013,""en"",""de"")"),"Santa Bárbara")</f>
        <v>Santa Bárbara</v>
      </c>
      <c r="D2013" s="9" t="str">
        <f>IFERROR(__xludf.DUMMYFUNCTION("GOOGLETRANSLATE($A2013,""en"",""fr"")"),"Santa Barbara")</f>
        <v>Santa Barbara</v>
      </c>
      <c r="E2013" s="9" t="str">
        <f>IFERROR(__xludf.DUMMYFUNCTION("GOOGLETRANSLATE($A2013,""en"",""es"")"),"Santa Bárbara")</f>
        <v>Santa Bárbara</v>
      </c>
      <c r="F2013" s="9" t="str">
        <f>IFERROR(__xludf.DUMMYFUNCTION("GOOGLETRANSLATE($A2013,""en"",""it"")"),"Santa Barbara")</f>
        <v>Santa Barbara</v>
      </c>
      <c r="G2013" s="9" t="str">
        <f>IFERROR(__xludf.DUMMYFUNCTION("GOOGLETRANSLATE($A2013,""en"",""zh-cn"")"),"圣巴巴拉")</f>
        <v>圣巴巴拉</v>
      </c>
      <c r="H2013" s="9" t="str">
        <f>IFERROR(__xludf.DUMMYFUNCTION("GOOGLETRANSLATE($A2013,""en"",""ja"")"),"サンタバーバラ")</f>
        <v>サンタバーバラ</v>
      </c>
      <c r="I2013" s="9" t="str">
        <f>IFERROR(__xludf.DUMMYFUNCTION("GOOGLETRANSLATE($A2013,""en"",""ko"")"),"산타바바라")</f>
        <v>산타바바라</v>
      </c>
      <c r="J2013" s="9" t="str">
        <f>IFERROR(__xludf.DUMMYFUNCTION("GOOGLETRANSLATE($A2013,""en"",""pt-BR"")"),"Santa Bárbara")</f>
        <v>Santa Bárbara</v>
      </c>
    </row>
    <row r="2014">
      <c r="A2014" s="9" t="str">
        <f>IFERROR(__xludf.DUMMYFUNCTION("""COMPUTED_VALUE"""),"Intibucá")</f>
        <v>Intibucá</v>
      </c>
      <c r="B2014" s="9" t="str">
        <f>IFERROR(__xludf.DUMMYFUNCTION("""COMPUTED_VALUE"""),"hn-in")</f>
        <v>hn-in</v>
      </c>
      <c r="C2014" s="9" t="str">
        <f>IFERROR(__xludf.DUMMYFUNCTION("GOOGLETRANSLATE($A2014,""en"",""de"")"),"Intibucá")</f>
        <v>Intibucá</v>
      </c>
      <c r="D2014" s="9" t="str">
        <f>IFERROR(__xludf.DUMMYFUNCTION("GOOGLETRANSLATE($A2014,""en"",""fr"")"),"Intibuca")</f>
        <v>Intibuca</v>
      </c>
      <c r="E2014" s="9" t="str">
        <f>IFERROR(__xludf.DUMMYFUNCTION("GOOGLETRANSLATE($A2014,""en"",""es"")"),"Intibucá")</f>
        <v>Intibucá</v>
      </c>
      <c r="F2014" s="9" t="str">
        <f>IFERROR(__xludf.DUMMYFUNCTION("GOOGLETRANSLATE($A2014,""en"",""it"")"),"Intibuca")</f>
        <v>Intibuca</v>
      </c>
      <c r="G2014" s="9" t="str">
        <f>IFERROR(__xludf.DUMMYFUNCTION("GOOGLETRANSLATE($A2014,""en"",""zh-cn"")"),"因蒂布卡")</f>
        <v>因蒂布卡</v>
      </c>
      <c r="H2014" s="9" t="str">
        <f>IFERROR(__xludf.DUMMYFUNCTION("GOOGLETRANSLATE($A2014,""en"",""ja"")"),"インティブカ")</f>
        <v>インティブカ</v>
      </c>
      <c r="I2014" s="9" t="str">
        <f>IFERROR(__xludf.DUMMYFUNCTION("GOOGLETRANSLATE($A2014,""en"",""ko"")"),"인티부카")</f>
        <v>인티부카</v>
      </c>
      <c r="J2014" s="9" t="str">
        <f>IFERROR(__xludf.DUMMYFUNCTION("GOOGLETRANSLATE($A2014,""en"",""pt-BR"")"),"Intibucá")</f>
        <v>Intibucá</v>
      </c>
    </row>
    <row r="2015">
      <c r="A2015" s="9" t="str">
        <f>IFERROR(__xludf.DUMMYFUNCTION("""COMPUTED_VALUE"""),"Olancho")</f>
        <v>Olancho</v>
      </c>
      <c r="B2015" s="9" t="str">
        <f>IFERROR(__xludf.DUMMYFUNCTION("""COMPUTED_VALUE"""),"hn-ol")</f>
        <v>hn-ol</v>
      </c>
      <c r="C2015" s="9" t="str">
        <f>IFERROR(__xludf.DUMMYFUNCTION("GOOGLETRANSLATE($A2015,""en"",""de"")"),"Olancho")</f>
        <v>Olancho</v>
      </c>
      <c r="D2015" s="9" t="str">
        <f>IFERROR(__xludf.DUMMYFUNCTION("GOOGLETRANSLATE($A2015,""en"",""fr"")"),"Olancho")</f>
        <v>Olancho</v>
      </c>
      <c r="E2015" s="9" t="str">
        <f>IFERROR(__xludf.DUMMYFUNCTION("GOOGLETRANSLATE($A2015,""en"",""es"")"),"Olancho")</f>
        <v>Olancho</v>
      </c>
      <c r="F2015" s="9" t="str">
        <f>IFERROR(__xludf.DUMMYFUNCTION("GOOGLETRANSLATE($A2015,""en"",""it"")"),"Olancho")</f>
        <v>Olancho</v>
      </c>
      <c r="G2015" s="9" t="str">
        <f>IFERROR(__xludf.DUMMYFUNCTION("GOOGLETRANSLATE($A2015,""en"",""zh-cn"")"),"奥兰乔")</f>
        <v>奥兰乔</v>
      </c>
      <c r="H2015" s="9" t="str">
        <f>IFERROR(__xludf.DUMMYFUNCTION("GOOGLETRANSLATE($A2015,""en"",""ja"")"),"オランチョ")</f>
        <v>オランチョ</v>
      </c>
      <c r="I2015" s="9" t="str">
        <f>IFERROR(__xludf.DUMMYFUNCTION("GOOGLETRANSLATE($A2015,""en"",""ko"")"),"올란초")</f>
        <v>올란초</v>
      </c>
      <c r="J2015" s="9" t="str">
        <f>IFERROR(__xludf.DUMMYFUNCTION("GOOGLETRANSLATE($A2015,""en"",""pt-BR"")"),"Olancho")</f>
        <v>Olancho</v>
      </c>
    </row>
    <row r="2016">
      <c r="A2016" s="9" t="str">
        <f>IFERROR(__xludf.DUMMYFUNCTION("""COMPUTED_VALUE"""),"La Paz (HN)")</f>
        <v>La Paz (HN)</v>
      </c>
      <c r="B2016" s="9" t="str">
        <f>IFERROR(__xludf.DUMMYFUNCTION("""COMPUTED_VALUE"""),"hn-lp")</f>
        <v>hn-lp</v>
      </c>
      <c r="C2016" s="9" t="str">
        <f>IFERROR(__xludf.DUMMYFUNCTION("GOOGLETRANSLATE($A2016,""en"",""de"")"),"La Paz (HN)")</f>
        <v>La Paz (HN)</v>
      </c>
      <c r="D2016" s="9" t="str">
        <f>IFERROR(__xludf.DUMMYFUNCTION("GOOGLETRANSLATE($A2016,""en"",""fr"")"),"La Paz (HN)")</f>
        <v>La Paz (HN)</v>
      </c>
      <c r="E2016" s="9" t="str">
        <f>IFERROR(__xludf.DUMMYFUNCTION("GOOGLETRANSLATE($A2016,""en"",""es"")"),"La Paz (HN)")</f>
        <v>La Paz (HN)</v>
      </c>
      <c r="F2016" s="9" t="str">
        <f>IFERROR(__xludf.DUMMYFUNCTION("GOOGLETRANSLATE($A2016,""en"",""it"")"),"La Paz (HN)")</f>
        <v>La Paz (HN)</v>
      </c>
      <c r="G2016" s="9" t="str">
        <f>IFERROR(__xludf.DUMMYFUNCTION("GOOGLETRANSLATE($A2016,""en"",""zh-cn"")"),"拉巴斯 (HN)")</f>
        <v>拉巴斯 (HN)</v>
      </c>
      <c r="H2016" s="9" t="str">
        <f>IFERROR(__xludf.DUMMYFUNCTION("GOOGLETRANSLATE($A2016,""en"",""ja"")"),"ラパス (HN)")</f>
        <v>ラパス (HN)</v>
      </c>
      <c r="I2016" s="9" t="str">
        <f>IFERROR(__xludf.DUMMYFUNCTION("GOOGLETRANSLATE($A2016,""en"",""ko"")"),"라파스(HN)")</f>
        <v>라파스(HN)</v>
      </c>
      <c r="J2016" s="9" t="str">
        <f>IFERROR(__xludf.DUMMYFUNCTION("GOOGLETRANSLATE($A2016,""en"",""pt-BR"")"),"La Paz (HN)")</f>
        <v>La Paz (HN)</v>
      </c>
    </row>
    <row r="2017">
      <c r="A2017" s="9" t="str">
        <f>IFERROR(__xludf.DUMMYFUNCTION("""COMPUTED_VALUE"""),"Hong Kong Island")</f>
        <v>Hong Kong Island</v>
      </c>
      <c r="B2017" s="9" t="str">
        <f>IFERROR(__xludf.DUMMYFUNCTION("""COMPUTED_VALUE"""),"hk-hk")</f>
        <v>hk-hk</v>
      </c>
      <c r="C2017" s="9" t="str">
        <f>IFERROR(__xludf.DUMMYFUNCTION("GOOGLETRANSLATE($A2017,""en"",""de"")"),"Hongkong-Insel")</f>
        <v>Hongkong-Insel</v>
      </c>
      <c r="D2017" s="9" t="str">
        <f>IFERROR(__xludf.DUMMYFUNCTION("GOOGLETRANSLATE($A2017,""en"",""fr"")"),"Île de Hong Kong")</f>
        <v>Île de Hong Kong</v>
      </c>
      <c r="E2017" s="9" t="str">
        <f>IFERROR(__xludf.DUMMYFUNCTION("GOOGLETRANSLATE($A2017,""en"",""es"")"),"Isla de Hong Kong")</f>
        <v>Isla de Hong Kong</v>
      </c>
      <c r="F2017" s="9" t="str">
        <f>IFERROR(__xludf.DUMMYFUNCTION("GOOGLETRANSLATE($A2017,""en"",""it"")"),"Isola di Hong Kong")</f>
        <v>Isola di Hong Kong</v>
      </c>
      <c r="G2017" s="9" t="str">
        <f>IFERROR(__xludf.DUMMYFUNCTION("GOOGLETRANSLATE($A2017,""en"",""zh-cn"")"),"香港岛")</f>
        <v>香港岛</v>
      </c>
      <c r="H2017" s="9" t="str">
        <f>IFERROR(__xludf.DUMMYFUNCTION("GOOGLETRANSLATE($A2017,""en"",""ja"")"),"香港島")</f>
        <v>香港島</v>
      </c>
      <c r="I2017" s="9" t="str">
        <f>IFERROR(__xludf.DUMMYFUNCTION("GOOGLETRANSLATE($A2017,""en"",""ko"")"),"홍콩섬")</f>
        <v>홍콩섬</v>
      </c>
      <c r="J2017" s="9" t="str">
        <f>IFERROR(__xludf.DUMMYFUNCTION("GOOGLETRANSLATE($A2017,""en"",""pt-BR"")"),"Ilha de Hong Kong")</f>
        <v>Ilha de Hong Kong</v>
      </c>
    </row>
    <row r="2018">
      <c r="A2018" s="9" t="str">
        <f>IFERROR(__xludf.DUMMYFUNCTION("""COMPUTED_VALUE"""),"Kowloon")</f>
        <v>Kowloon</v>
      </c>
      <c r="B2018" s="9" t="str">
        <f>IFERROR(__xludf.DUMMYFUNCTION("""COMPUTED_VALUE"""),"hk-kln")</f>
        <v>hk-kln</v>
      </c>
      <c r="C2018" s="9" t="str">
        <f>IFERROR(__xludf.DUMMYFUNCTION("GOOGLETRANSLATE($A2018,""en"",""de"")"),"Kowloon")</f>
        <v>Kowloon</v>
      </c>
      <c r="D2018" s="9" t="str">
        <f>IFERROR(__xludf.DUMMYFUNCTION("GOOGLETRANSLATE($A2018,""en"",""fr"")"),"Kowloon")</f>
        <v>Kowloon</v>
      </c>
      <c r="E2018" s="9" t="str">
        <f>IFERROR(__xludf.DUMMYFUNCTION("GOOGLETRANSLATE($A2018,""en"",""es"")"),"Kowloon")</f>
        <v>Kowloon</v>
      </c>
      <c r="F2018" s="9" t="str">
        <f>IFERROR(__xludf.DUMMYFUNCTION("GOOGLETRANSLATE($A2018,""en"",""it"")"),"Kowloon")</f>
        <v>Kowloon</v>
      </c>
      <c r="G2018" s="9" t="str">
        <f>IFERROR(__xludf.DUMMYFUNCTION("GOOGLETRANSLATE($A2018,""en"",""zh-cn"")"),"九龙")</f>
        <v>九龙</v>
      </c>
      <c r="H2018" s="9" t="str">
        <f>IFERROR(__xludf.DUMMYFUNCTION("GOOGLETRANSLATE($A2018,""en"",""ja"")"),"九龍")</f>
        <v>九龍</v>
      </c>
      <c r="I2018" s="9" t="str">
        <f>IFERROR(__xludf.DUMMYFUNCTION("GOOGLETRANSLATE($A2018,""en"",""ko"")"),"구룡")</f>
        <v>구룡</v>
      </c>
      <c r="J2018" s="9" t="str">
        <f>IFERROR(__xludf.DUMMYFUNCTION("GOOGLETRANSLATE($A2018,""en"",""pt-BR"")"),"Kowloon")</f>
        <v>Kowloon</v>
      </c>
    </row>
    <row r="2019">
      <c r="A2019" s="9" t="str">
        <f>IFERROR(__xludf.DUMMYFUNCTION("""COMPUTED_VALUE"""),"New Territories")</f>
        <v>New Territories</v>
      </c>
      <c r="B2019" s="9" t="str">
        <f>IFERROR(__xludf.DUMMYFUNCTION("""COMPUTED_VALUE"""),"hk-nt")</f>
        <v>hk-nt</v>
      </c>
      <c r="C2019" s="9" t="str">
        <f>IFERROR(__xludf.DUMMYFUNCTION("GOOGLETRANSLATE($A2019,""en"",""de"")"),"Neue Gebiete")</f>
        <v>Neue Gebiete</v>
      </c>
      <c r="D2019" s="9" t="str">
        <f>IFERROR(__xludf.DUMMYFUNCTION("GOOGLETRANSLATE($A2019,""en"",""fr"")"),"Nouveaux territoires")</f>
        <v>Nouveaux territoires</v>
      </c>
      <c r="E2019" s="9" t="str">
        <f>IFERROR(__xludf.DUMMYFUNCTION("GOOGLETRANSLATE($A2019,""en"",""es"")"),"Nuevos Territorios")</f>
        <v>Nuevos Territorios</v>
      </c>
      <c r="F2019" s="9" t="str">
        <f>IFERROR(__xludf.DUMMYFUNCTION("GOOGLETRANSLATE($A2019,""en"",""it"")"),"Nuovi territori")</f>
        <v>Nuovi territori</v>
      </c>
      <c r="G2019" s="9" t="str">
        <f>IFERROR(__xludf.DUMMYFUNCTION("GOOGLETRANSLATE($A2019,""en"",""zh-cn"")"),"新界区")</f>
        <v>新界区</v>
      </c>
      <c r="H2019" s="9" t="str">
        <f>IFERROR(__xludf.DUMMYFUNCTION("GOOGLETRANSLATE($A2019,""en"",""ja"")"),"新しい領域")</f>
        <v>新しい領域</v>
      </c>
      <c r="I2019" s="9" t="str">
        <f>IFERROR(__xludf.DUMMYFUNCTION("GOOGLETRANSLATE($A2019,""en"",""ko"")"),"새로운 영토")</f>
        <v>새로운 영토</v>
      </c>
      <c r="J2019" s="9" t="str">
        <f>IFERROR(__xludf.DUMMYFUNCTION("GOOGLETRANSLATE($A2019,""en"",""pt-BR"")"),"Novos Territórios")</f>
        <v>Novos Territórios</v>
      </c>
    </row>
    <row r="2020">
      <c r="A2020" s="9" t="str">
        <f>IFERROR(__xludf.DUMMYFUNCTION("""COMPUTED_VALUE"""),"Kaposvár")</f>
        <v>Kaposvár</v>
      </c>
      <c r="B2020" s="9" t="str">
        <f>IFERROR(__xludf.DUMMYFUNCTION("""COMPUTED_VALUE"""),"hu-kv")</f>
        <v>hu-kv</v>
      </c>
      <c r="C2020" s="9" t="str">
        <f>IFERROR(__xludf.DUMMYFUNCTION("GOOGLETRANSLATE($A2020,""en"",""de"")"),"Kaposvár")</f>
        <v>Kaposvár</v>
      </c>
      <c r="D2020" s="9" t="str">
        <f>IFERROR(__xludf.DUMMYFUNCTION("GOOGLETRANSLATE($A2020,""en"",""fr"")"),"Kaposvar")</f>
        <v>Kaposvar</v>
      </c>
      <c r="E2020" s="9" t="str">
        <f>IFERROR(__xludf.DUMMYFUNCTION("GOOGLETRANSLATE($A2020,""en"",""es"")"),"Kaposvár")</f>
        <v>Kaposvár</v>
      </c>
      <c r="F2020" s="9" t="str">
        <f>IFERROR(__xludf.DUMMYFUNCTION("GOOGLETRANSLATE($A2020,""en"",""it"")"),"Kaposvár")</f>
        <v>Kaposvár</v>
      </c>
      <c r="G2020" s="9" t="str">
        <f>IFERROR(__xludf.DUMMYFUNCTION("GOOGLETRANSLATE($A2020,""en"",""zh-cn"")"),"考波什堡")</f>
        <v>考波什堡</v>
      </c>
      <c r="H2020" s="9" t="str">
        <f>IFERROR(__xludf.DUMMYFUNCTION("GOOGLETRANSLATE($A2020,""en"",""ja"")"),"カポシュヴァール")</f>
        <v>カポシュヴァール</v>
      </c>
      <c r="I2020" s="9" t="str">
        <f>IFERROR(__xludf.DUMMYFUNCTION("GOOGLETRANSLATE($A2020,""en"",""ko"")"),"카포스바르")</f>
        <v>카포스바르</v>
      </c>
      <c r="J2020" s="9" t="str">
        <f>IFERROR(__xludf.DUMMYFUNCTION("GOOGLETRANSLATE($A2020,""en"",""pt-BR"")"),"Kaposvár")</f>
        <v>Kaposvár</v>
      </c>
    </row>
    <row r="2021">
      <c r="A2021" s="9" t="str">
        <f>IFERROR(__xludf.DUMMYFUNCTION("""COMPUTED_VALUE"""),"Kecskemét")</f>
        <v>Kecskemét</v>
      </c>
      <c r="B2021" s="9" t="str">
        <f>IFERROR(__xludf.DUMMYFUNCTION("""COMPUTED_VALUE"""),"hu-km")</f>
        <v>hu-km</v>
      </c>
      <c r="C2021" s="9" t="str">
        <f>IFERROR(__xludf.DUMMYFUNCTION("GOOGLETRANSLATE($A2021,""en"",""de"")"),"Kecskemét")</f>
        <v>Kecskemét</v>
      </c>
      <c r="D2021" s="9" t="str">
        <f>IFERROR(__xludf.DUMMYFUNCTION("GOOGLETRANSLATE($A2021,""en"",""fr"")"),"Kecskemét")</f>
        <v>Kecskemét</v>
      </c>
      <c r="E2021" s="9" t="str">
        <f>IFERROR(__xludf.DUMMYFUNCTION("GOOGLETRANSLATE($A2021,""en"",""es"")"),"Kecskemét")</f>
        <v>Kecskemét</v>
      </c>
      <c r="F2021" s="9" t="str">
        <f>IFERROR(__xludf.DUMMYFUNCTION("GOOGLETRANSLATE($A2021,""en"",""it"")"),"Kecskemét")</f>
        <v>Kecskemét</v>
      </c>
      <c r="G2021" s="9" t="str">
        <f>IFERROR(__xludf.DUMMYFUNCTION("GOOGLETRANSLATE($A2021,""en"",""zh-cn"")"),"凯奇凯梅特")</f>
        <v>凯奇凯梅特</v>
      </c>
      <c r="H2021" s="9" t="str">
        <f>IFERROR(__xludf.DUMMYFUNCTION("GOOGLETRANSLATE($A2021,""en"",""ja"")"),"ケチケメート")</f>
        <v>ケチケメート</v>
      </c>
      <c r="I2021" s="9" t="str">
        <f>IFERROR(__xludf.DUMMYFUNCTION("GOOGLETRANSLATE($A2021,""en"",""ko"")"),"케치케메트")</f>
        <v>케치케메트</v>
      </c>
      <c r="J2021" s="9" t="str">
        <f>IFERROR(__xludf.DUMMYFUNCTION("GOOGLETRANSLATE($A2021,""en"",""pt-BR"")"),"Kecskemét")</f>
        <v>Kecskemét</v>
      </c>
    </row>
    <row r="2022">
      <c r="A2022" s="9" t="str">
        <f>IFERROR(__xludf.DUMMYFUNCTION("""COMPUTED_VALUE"""),"Miskolc")</f>
        <v>Miskolc</v>
      </c>
      <c r="B2022" s="9" t="str">
        <f>IFERROR(__xludf.DUMMYFUNCTION("""COMPUTED_VALUE"""),"hu-mi")</f>
        <v>hu-mi</v>
      </c>
      <c r="C2022" s="9" t="str">
        <f>IFERROR(__xludf.DUMMYFUNCTION("GOOGLETRANSLATE($A2022,""en"",""de"")"),"Miskolc")</f>
        <v>Miskolc</v>
      </c>
      <c r="D2022" s="9" t="str">
        <f>IFERROR(__xludf.DUMMYFUNCTION("GOOGLETRANSLATE($A2022,""en"",""fr"")"),"Miskolc")</f>
        <v>Miskolc</v>
      </c>
      <c r="E2022" s="9" t="str">
        <f>IFERROR(__xludf.DUMMYFUNCTION("GOOGLETRANSLATE($A2022,""en"",""es"")"),"Miskolc")</f>
        <v>Miskolc</v>
      </c>
      <c r="F2022" s="9" t="str">
        <f>IFERROR(__xludf.DUMMYFUNCTION("GOOGLETRANSLATE($A2022,""en"",""it"")"),"Miskolc")</f>
        <v>Miskolc</v>
      </c>
      <c r="G2022" s="9" t="str">
        <f>IFERROR(__xludf.DUMMYFUNCTION("GOOGLETRANSLATE($A2022,""en"",""zh-cn"")"),"米什科尔茨")</f>
        <v>米什科尔茨</v>
      </c>
      <c r="H2022" s="9" t="str">
        <f>IFERROR(__xludf.DUMMYFUNCTION("GOOGLETRANSLATE($A2022,""en"",""ja"")"),"ミシュコルツ")</f>
        <v>ミシュコルツ</v>
      </c>
      <c r="I2022" s="9" t="str">
        <f>IFERROR(__xludf.DUMMYFUNCTION("GOOGLETRANSLATE($A2022,""en"",""ko"")"),"미슈콜츠")</f>
        <v>미슈콜츠</v>
      </c>
      <c r="J2022" s="9" t="str">
        <f>IFERROR(__xludf.DUMMYFUNCTION("GOOGLETRANSLATE($A2022,""en"",""pt-BR"")"),"Miskolc")</f>
        <v>Miskolc</v>
      </c>
    </row>
    <row r="2023">
      <c r="A2023" s="9" t="str">
        <f>IFERROR(__xludf.DUMMYFUNCTION("""COMPUTED_VALUE"""),"Nagykanizsa")</f>
        <v>Nagykanizsa</v>
      </c>
      <c r="B2023" s="9" t="str">
        <f>IFERROR(__xludf.DUMMYFUNCTION("""COMPUTED_VALUE"""),"hu-nk")</f>
        <v>hu-nk</v>
      </c>
      <c r="C2023" s="9" t="str">
        <f>IFERROR(__xludf.DUMMYFUNCTION("GOOGLETRANSLATE($A2023,""en"",""de"")"),"Nagykanizsa")</f>
        <v>Nagykanizsa</v>
      </c>
      <c r="D2023" s="9" t="str">
        <f>IFERROR(__xludf.DUMMYFUNCTION("GOOGLETRANSLATE($A2023,""en"",""fr"")"),"Nagykanizsa")</f>
        <v>Nagykanizsa</v>
      </c>
      <c r="E2023" s="9" t="str">
        <f>IFERROR(__xludf.DUMMYFUNCTION("GOOGLETRANSLATE($A2023,""en"",""es"")"),"Nagykanizsa")</f>
        <v>Nagykanizsa</v>
      </c>
      <c r="F2023" s="9" t="str">
        <f>IFERROR(__xludf.DUMMYFUNCTION("GOOGLETRANSLATE($A2023,""en"",""it"")"),"Nagykanizsa")</f>
        <v>Nagykanizsa</v>
      </c>
      <c r="G2023" s="9" t="str">
        <f>IFERROR(__xludf.DUMMYFUNCTION("GOOGLETRANSLATE($A2023,""en"",""zh-cn"")"),"瑙吉考尼饶")</f>
        <v>瑙吉考尼饶</v>
      </c>
      <c r="H2023" s="9" t="str">
        <f>IFERROR(__xludf.DUMMYFUNCTION("GOOGLETRANSLATE($A2023,""en"",""ja"")"),"ナジカニザ")</f>
        <v>ナジカニザ</v>
      </c>
      <c r="I2023" s="9" t="str">
        <f>IFERROR(__xludf.DUMMYFUNCTION("GOOGLETRANSLATE($A2023,""en"",""ko"")"),"너기카니자")</f>
        <v>너기카니자</v>
      </c>
      <c r="J2023" s="9" t="str">
        <f>IFERROR(__xludf.DUMMYFUNCTION("GOOGLETRANSLATE($A2023,""en"",""pt-BR"")"),"Nagykanizsa")</f>
        <v>Nagykanizsa</v>
      </c>
    </row>
    <row r="2024">
      <c r="A2024" s="9" t="str">
        <f>IFERROR(__xludf.DUMMYFUNCTION("""COMPUTED_VALUE"""),"Eger")</f>
        <v>Eger</v>
      </c>
      <c r="B2024" s="9" t="str">
        <f>IFERROR(__xludf.DUMMYFUNCTION("""COMPUTED_VALUE"""),"hu-eg")</f>
        <v>hu-eg</v>
      </c>
      <c r="C2024" s="9" t="str">
        <f>IFERROR(__xludf.DUMMYFUNCTION("GOOGLETRANSLATE($A2024,""en"",""de"")"),"Eger")</f>
        <v>Eger</v>
      </c>
      <c r="D2024" s="9" t="str">
        <f>IFERROR(__xludf.DUMMYFUNCTION("GOOGLETRANSLATE($A2024,""en"",""fr"")"),"Éger")</f>
        <v>Éger</v>
      </c>
      <c r="E2024" s="9" t="str">
        <f>IFERROR(__xludf.DUMMYFUNCTION("GOOGLETRANSLATE($A2024,""en"",""es"")"),"Eger")</f>
        <v>Eger</v>
      </c>
      <c r="F2024" s="9" t="str">
        <f>IFERROR(__xludf.DUMMYFUNCTION("GOOGLETRANSLATE($A2024,""en"",""it"")"),"Eger")</f>
        <v>Eger</v>
      </c>
      <c r="G2024" s="9" t="str">
        <f>IFERROR(__xludf.DUMMYFUNCTION("GOOGLETRANSLATE($A2024,""en"",""zh-cn"")"),"埃格尔")</f>
        <v>埃格尔</v>
      </c>
      <c r="H2024" s="9" t="str">
        <f>IFERROR(__xludf.DUMMYFUNCTION("GOOGLETRANSLATE($A2024,""en"",""ja"")"),"エゲル")</f>
        <v>エゲル</v>
      </c>
      <c r="I2024" s="9" t="str">
        <f>IFERROR(__xludf.DUMMYFUNCTION("GOOGLETRANSLATE($A2024,""en"",""ko"")"),"에게르")</f>
        <v>에게르</v>
      </c>
      <c r="J2024" s="9" t="str">
        <f>IFERROR(__xludf.DUMMYFUNCTION("GOOGLETRANSLATE($A2024,""en"",""pt-BR"")"),"Éger")</f>
        <v>Éger</v>
      </c>
    </row>
    <row r="2025">
      <c r="A2025" s="9" t="str">
        <f>IFERROR(__xludf.DUMMYFUNCTION("""COMPUTED_VALUE"""),"Érd")</f>
        <v>Érd</v>
      </c>
      <c r="B2025" s="9" t="str">
        <f>IFERROR(__xludf.DUMMYFUNCTION("""COMPUTED_VALUE"""),"hu-er")</f>
        <v>hu-er</v>
      </c>
      <c r="C2025" s="9" t="str">
        <f>IFERROR(__xludf.DUMMYFUNCTION("GOOGLETRANSLATE($A2025,""en"",""de"")"),"Érd")</f>
        <v>Érd</v>
      </c>
      <c r="D2025" s="9" t="str">
        <f>IFERROR(__xludf.DUMMYFUNCTION("GOOGLETRANSLATE($A2025,""en"",""fr"")"),"Érd")</f>
        <v>Érd</v>
      </c>
      <c r="E2025" s="9" t="str">
        <f>IFERROR(__xludf.DUMMYFUNCTION("GOOGLETRANSLATE($A2025,""en"",""es"")"),"Érd")</f>
        <v>Érd</v>
      </c>
      <c r="F2025" s="9" t="str">
        <f>IFERROR(__xludf.DUMMYFUNCTION("GOOGLETRANSLATE($A2025,""en"",""it"")"),"Érd")</f>
        <v>Érd</v>
      </c>
      <c r="G2025" s="9" t="str">
        <f>IFERROR(__xludf.DUMMYFUNCTION("GOOGLETRANSLATE($A2025,""en"",""zh-cn"")"),"埃德")</f>
        <v>埃德</v>
      </c>
      <c r="H2025" s="9" t="str">
        <f>IFERROR(__xludf.DUMMYFUNCTION("GOOGLETRANSLATE($A2025,""en"",""ja"")"),"エルド")</f>
        <v>エルド</v>
      </c>
      <c r="I2025" s="9" t="str">
        <f>IFERROR(__xludf.DUMMYFUNCTION("GOOGLETRANSLATE($A2025,""en"",""ko"")"),"에르드")</f>
        <v>에르드</v>
      </c>
      <c r="J2025" s="9" t="str">
        <f>IFERROR(__xludf.DUMMYFUNCTION("GOOGLETRANSLATE($A2025,""en"",""pt-BR"")"),"Érd")</f>
        <v>Érd</v>
      </c>
    </row>
    <row r="2026">
      <c r="A2026" s="9" t="str">
        <f>IFERROR(__xludf.DUMMYFUNCTION("""COMPUTED_VALUE"""),"Győr")</f>
        <v>Győr</v>
      </c>
      <c r="B2026" s="9" t="str">
        <f>IFERROR(__xludf.DUMMYFUNCTION("""COMPUTED_VALUE"""),"hu-gy")</f>
        <v>hu-gy</v>
      </c>
      <c r="C2026" s="9" t="str">
        <f>IFERROR(__xludf.DUMMYFUNCTION("GOOGLETRANSLATE($A2026,""en"",""de"")"),"Győr")</f>
        <v>Győr</v>
      </c>
      <c r="D2026" s="9" t="str">
        <f>IFERROR(__xludf.DUMMYFUNCTION("GOOGLETRANSLATE($A2026,""en"",""fr"")"),"Győr")</f>
        <v>Győr</v>
      </c>
      <c r="E2026" s="9" t="str">
        <f>IFERROR(__xludf.DUMMYFUNCTION("GOOGLETRANSLATE($A2026,""en"",""es"")"),"Győr")</f>
        <v>Győr</v>
      </c>
      <c r="F2026" s="9" t="str">
        <f>IFERROR(__xludf.DUMMYFUNCTION("GOOGLETRANSLATE($A2026,""en"",""it"")"),"Győr")</f>
        <v>Győr</v>
      </c>
      <c r="G2026" s="9" t="str">
        <f>IFERROR(__xludf.DUMMYFUNCTION("GOOGLETRANSLATE($A2026,""en"",""zh-cn"")"),"杰尔")</f>
        <v>杰尔</v>
      </c>
      <c r="H2026" s="9" t="str">
        <f>IFERROR(__xludf.DUMMYFUNCTION("GOOGLETRANSLATE($A2026,""en"",""ja"")"),"ジェール")</f>
        <v>ジェール</v>
      </c>
      <c r="I2026" s="9" t="str">
        <f>IFERROR(__xludf.DUMMYFUNCTION("GOOGLETRANSLATE($A2026,""en"",""ko"")"),"죄르")</f>
        <v>죄르</v>
      </c>
      <c r="J2026" s="9" t="str">
        <f>IFERROR(__xludf.DUMMYFUNCTION("GOOGLETRANSLATE($A2026,""en"",""pt-BR"")"),"Győr")</f>
        <v>Győr</v>
      </c>
    </row>
    <row r="2027">
      <c r="A2027" s="9" t="str">
        <f>IFERROR(__xludf.DUMMYFUNCTION("""COMPUTED_VALUE"""),"Hódmezővásárhely")</f>
        <v>Hódmezővásárhely</v>
      </c>
      <c r="B2027" s="9" t="str">
        <f>IFERROR(__xludf.DUMMYFUNCTION("""COMPUTED_VALUE"""),"hu-hv")</f>
        <v>hu-hv</v>
      </c>
      <c r="C2027" s="9" t="str">
        <f>IFERROR(__xludf.DUMMYFUNCTION("GOOGLETRANSLATE($A2027,""en"",""de"")"),"Hódmezővásárhely")</f>
        <v>Hódmezővásárhely</v>
      </c>
      <c r="D2027" s="9" t="str">
        <f>IFERROR(__xludf.DUMMYFUNCTION("GOOGLETRANSLATE($A2027,""en"",""fr"")"),"Hódmezővásárhely")</f>
        <v>Hódmezővásárhely</v>
      </c>
      <c r="E2027" s="9" t="str">
        <f>IFERROR(__xludf.DUMMYFUNCTION("GOOGLETRANSLATE($A2027,""en"",""es"")"),"Hódmezővásárhely")</f>
        <v>Hódmezővásárhely</v>
      </c>
      <c r="F2027" s="9" t="str">
        <f>IFERROR(__xludf.DUMMYFUNCTION("GOOGLETRANSLATE($A2027,""en"",""it"")"),"Hódmezővásárhely")</f>
        <v>Hódmezővásárhely</v>
      </c>
      <c r="G2027" s="9" t="str">
        <f>IFERROR(__xludf.DUMMYFUNCTION("GOOGLETRANSLATE($A2027,""en"",""zh-cn"")"),"霍德梅兹瓦萨赫伊")</f>
        <v>霍德梅兹瓦萨赫伊</v>
      </c>
      <c r="H2027" s="9" t="str">
        <f>IFERROR(__xludf.DUMMYFUNCTION("GOOGLETRANSLATE($A2027,""en"",""ja"")"),"ホドメズヴァーシャールヘイ")</f>
        <v>ホドメズヴァーシャールヘイ</v>
      </c>
      <c r="I2027" s="9" t="str">
        <f>IFERROR(__xludf.DUMMYFUNCTION("GOOGLETRANSLATE($A2027,""en"",""ko"")"),"Hódmezóvásárhely")</f>
        <v>Hódmezóvásárhely</v>
      </c>
      <c r="J2027" s="9" t="str">
        <f>IFERROR(__xludf.DUMMYFUNCTION("GOOGLETRANSLATE($A2027,""en"",""pt-BR"")"),"Hódmezővásárhely")</f>
        <v>Hódmezővásárhely</v>
      </c>
    </row>
    <row r="2028">
      <c r="A2028" s="9" t="str">
        <f>IFERROR(__xludf.DUMMYFUNCTION("""COMPUTED_VALUE"""),"Békéscsaba")</f>
        <v>Békéscsaba</v>
      </c>
      <c r="B2028" s="9" t="str">
        <f>IFERROR(__xludf.DUMMYFUNCTION("""COMPUTED_VALUE"""),"hu-bc")</f>
        <v>hu-bc</v>
      </c>
      <c r="C2028" s="9" t="str">
        <f>IFERROR(__xludf.DUMMYFUNCTION("GOOGLETRANSLATE($A2028,""en"",""de"")"),"Békéscsaba")</f>
        <v>Békéscsaba</v>
      </c>
      <c r="D2028" s="9" t="str">
        <f>IFERROR(__xludf.DUMMYFUNCTION("GOOGLETRANSLATE($A2028,""en"",""fr"")"),"Békéscsaba")</f>
        <v>Békéscsaba</v>
      </c>
      <c r="E2028" s="9" t="str">
        <f>IFERROR(__xludf.DUMMYFUNCTION("GOOGLETRANSLATE($A2028,""en"",""es"")"),"Békéscsaba")</f>
        <v>Békéscsaba</v>
      </c>
      <c r="F2028" s="9" t="str">
        <f>IFERROR(__xludf.DUMMYFUNCTION("GOOGLETRANSLATE($A2028,""en"",""it"")"),"Békéscsaba")</f>
        <v>Békéscsaba</v>
      </c>
      <c r="G2028" s="9" t="str">
        <f>IFERROR(__xludf.DUMMYFUNCTION("GOOGLETRANSLATE($A2028,""en"",""zh-cn"")"),"贝凯什克萨巴")</f>
        <v>贝凯什克萨巴</v>
      </c>
      <c r="H2028" s="9" t="str">
        <f>IFERROR(__xludf.DUMMYFUNCTION("GOOGLETRANSLATE($A2028,""en"",""ja"")"),"ベケシュサバ")</f>
        <v>ベケシュサバ</v>
      </c>
      <c r="I2028" s="9" t="str">
        <f>IFERROR(__xludf.DUMMYFUNCTION("GOOGLETRANSLATE($A2028,""en"",""ko"")"),"베케스크사바")</f>
        <v>베케스크사바</v>
      </c>
      <c r="J2028" s="9" t="str">
        <f>IFERROR(__xludf.DUMMYFUNCTION("GOOGLETRANSLATE($A2028,""en"",""pt-BR"")"),"Békéscsaba")</f>
        <v>Békéscsaba</v>
      </c>
    </row>
    <row r="2029">
      <c r="A2029" s="9" t="str">
        <f>IFERROR(__xludf.DUMMYFUNCTION("""COMPUTED_VALUE"""),"Debrecen")</f>
        <v>Debrecen</v>
      </c>
      <c r="B2029" s="9" t="str">
        <f>IFERROR(__xludf.DUMMYFUNCTION("""COMPUTED_VALUE"""),"hu-de")</f>
        <v>hu-de</v>
      </c>
      <c r="C2029" s="9" t="str">
        <f>IFERROR(__xludf.DUMMYFUNCTION("GOOGLETRANSLATE($A2029,""en"",""de"")"),"Debrecen")</f>
        <v>Debrecen</v>
      </c>
      <c r="D2029" s="9" t="str">
        <f>IFERROR(__xludf.DUMMYFUNCTION("GOOGLETRANSLATE($A2029,""en"",""fr"")"),"Débrecen")</f>
        <v>Débrecen</v>
      </c>
      <c r="E2029" s="9" t="str">
        <f>IFERROR(__xludf.DUMMYFUNCTION("GOOGLETRANSLATE($A2029,""en"",""es"")"),"Debrecen")</f>
        <v>Debrecen</v>
      </c>
      <c r="F2029" s="9" t="str">
        <f>IFERROR(__xludf.DUMMYFUNCTION("GOOGLETRANSLATE($A2029,""en"",""it"")"),"Debrecen")</f>
        <v>Debrecen</v>
      </c>
      <c r="G2029" s="9" t="str">
        <f>IFERROR(__xludf.DUMMYFUNCTION("GOOGLETRANSLATE($A2029,""en"",""zh-cn"")"),"德布勒森")</f>
        <v>德布勒森</v>
      </c>
      <c r="H2029" s="9" t="str">
        <f>IFERROR(__xludf.DUMMYFUNCTION("GOOGLETRANSLATE($A2029,""en"",""ja"")"),"デブレツェン")</f>
        <v>デブレツェン</v>
      </c>
      <c r="I2029" s="9" t="str">
        <f>IFERROR(__xludf.DUMMYFUNCTION("GOOGLETRANSLATE($A2029,""en"",""ko"")"),"데브레첸")</f>
        <v>데브레첸</v>
      </c>
      <c r="J2029" s="9" t="str">
        <f>IFERROR(__xludf.DUMMYFUNCTION("GOOGLETRANSLATE($A2029,""en"",""pt-BR"")"),"Debrecen")</f>
        <v>Debrecen</v>
      </c>
    </row>
    <row r="2030">
      <c r="A2030" s="9" t="str">
        <f>IFERROR(__xludf.DUMMYFUNCTION("""COMPUTED_VALUE"""),"Dunaújváros")</f>
        <v>Dunaújváros</v>
      </c>
      <c r="B2030" s="9" t="str">
        <f>IFERROR(__xludf.DUMMYFUNCTION("""COMPUTED_VALUE"""),"hu-du")</f>
        <v>hu-du</v>
      </c>
      <c r="C2030" s="9" t="str">
        <f>IFERROR(__xludf.DUMMYFUNCTION("GOOGLETRANSLATE($A2030,""en"",""de"")"),"Dunaújváros")</f>
        <v>Dunaújváros</v>
      </c>
      <c r="D2030" s="9" t="str">
        <f>IFERROR(__xludf.DUMMYFUNCTION("GOOGLETRANSLATE($A2030,""en"",""fr"")"),"Dunaujváros")</f>
        <v>Dunaujváros</v>
      </c>
      <c r="E2030" s="9" t="str">
        <f>IFERROR(__xludf.DUMMYFUNCTION("GOOGLETRANSLATE($A2030,""en"",""es"")"),"Dunaújváros")</f>
        <v>Dunaújváros</v>
      </c>
      <c r="F2030" s="9" t="str">
        <f>IFERROR(__xludf.DUMMYFUNCTION("GOOGLETRANSLATE($A2030,""en"",""it"")"),"Dunaújváros")</f>
        <v>Dunaújváros</v>
      </c>
      <c r="G2030" s="9" t="str">
        <f>IFERROR(__xludf.DUMMYFUNCTION("GOOGLETRANSLATE($A2030,""en"",""zh-cn"")"),"多瑙新城")</f>
        <v>多瑙新城</v>
      </c>
      <c r="H2030" s="9" t="str">
        <f>IFERROR(__xludf.DUMMYFUNCTION("GOOGLETRANSLATE($A2030,""en"",""ja"")"),"ドゥナウージヴァーロシュ")</f>
        <v>ドゥナウージヴァーロシュ</v>
      </c>
      <c r="I2030" s="9" t="str">
        <f>IFERROR(__xludf.DUMMYFUNCTION("GOOGLETRANSLATE($A2030,""en"",""ko"")"),"두나우이바로스")</f>
        <v>두나우이바로스</v>
      </c>
      <c r="J2030" s="9" t="str">
        <f>IFERROR(__xludf.DUMMYFUNCTION("GOOGLETRANSLATE($A2030,""en"",""pt-BR"")"),"Dunaújváros")</f>
        <v>Dunaújváros</v>
      </c>
    </row>
    <row r="2031">
      <c r="A2031" s="9" t="str">
        <f>IFERROR(__xludf.DUMMYFUNCTION("""COMPUTED_VALUE"""),"Nyíregyháza")</f>
        <v>Nyíregyháza</v>
      </c>
      <c r="B2031" s="9" t="str">
        <f>IFERROR(__xludf.DUMMYFUNCTION("""COMPUTED_VALUE"""),"hu-ny")</f>
        <v>hu-ny</v>
      </c>
      <c r="C2031" s="9" t="str">
        <f>IFERROR(__xludf.DUMMYFUNCTION("GOOGLETRANSLATE($A2031,""en"",""de"")"),"Nyíregyháza")</f>
        <v>Nyíregyháza</v>
      </c>
      <c r="D2031" s="9" t="str">
        <f>IFERROR(__xludf.DUMMYFUNCTION("GOOGLETRANSLATE($A2031,""en"",""fr"")"),"Nyíregyháza")</f>
        <v>Nyíregyháza</v>
      </c>
      <c r="E2031" s="9" t="str">
        <f>IFERROR(__xludf.DUMMYFUNCTION("GOOGLETRANSLATE($A2031,""en"",""es"")"),"Nyíregyháza")</f>
        <v>Nyíregyháza</v>
      </c>
      <c r="F2031" s="9" t="str">
        <f>IFERROR(__xludf.DUMMYFUNCTION("GOOGLETRANSLATE($A2031,""en"",""it"")"),"Nyíregyháza")</f>
        <v>Nyíregyháza</v>
      </c>
      <c r="G2031" s="9" t="str">
        <f>IFERROR(__xludf.DUMMYFUNCTION("GOOGLETRANSLATE($A2031,""en"",""zh-cn"")"),"尼赖吉哈佐")</f>
        <v>尼赖吉哈佐</v>
      </c>
      <c r="H2031" s="9" t="str">
        <f>IFERROR(__xludf.DUMMYFUNCTION("GOOGLETRANSLATE($A2031,""en"",""ja"")"),"ニーレジハーザ")</f>
        <v>ニーレジハーザ</v>
      </c>
      <c r="I2031" s="9" t="str">
        <f>IFERROR(__xludf.DUMMYFUNCTION("GOOGLETRANSLATE($A2031,""en"",""ko"")"),"니레지하자")</f>
        <v>니레지하자</v>
      </c>
      <c r="J2031" s="9" t="str">
        <f>IFERROR(__xludf.DUMMYFUNCTION("GOOGLETRANSLATE($A2031,""en"",""pt-BR"")"),"Nyíregyháza")</f>
        <v>Nyíregyháza</v>
      </c>
    </row>
    <row r="2032">
      <c r="A2032" s="9" t="str">
        <f>IFERROR(__xludf.DUMMYFUNCTION("""COMPUTED_VALUE"""),"Baranya")</f>
        <v>Baranya</v>
      </c>
      <c r="B2032" s="9" t="str">
        <f>IFERROR(__xludf.DUMMYFUNCTION("""COMPUTED_VALUE"""),"hu-ba")</f>
        <v>hu-ba</v>
      </c>
      <c r="C2032" s="9" t="str">
        <f>IFERROR(__xludf.DUMMYFUNCTION("GOOGLETRANSLATE($A2032,""en"",""de"")"),"Baranya")</f>
        <v>Baranya</v>
      </c>
      <c r="D2032" s="9" t="str">
        <f>IFERROR(__xludf.DUMMYFUNCTION("GOOGLETRANSLATE($A2032,""en"",""fr"")"),"Baranya")</f>
        <v>Baranya</v>
      </c>
      <c r="E2032" s="9" t="str">
        <f>IFERROR(__xludf.DUMMYFUNCTION("GOOGLETRANSLATE($A2032,""en"",""es"")"),"Baranya")</f>
        <v>Baranya</v>
      </c>
      <c r="F2032" s="9" t="str">
        <f>IFERROR(__xludf.DUMMYFUNCTION("GOOGLETRANSLATE($A2032,""en"",""it"")"),"Baranja")</f>
        <v>Baranja</v>
      </c>
      <c r="G2032" s="9" t="str">
        <f>IFERROR(__xludf.DUMMYFUNCTION("GOOGLETRANSLATE($A2032,""en"",""zh-cn"")"),"巴兰尼亚")</f>
        <v>巴兰尼亚</v>
      </c>
      <c r="H2032" s="9" t="str">
        <f>IFERROR(__xludf.DUMMYFUNCTION("GOOGLETRANSLATE($A2032,""en"",""ja"")"),"バラニヤ")</f>
        <v>バラニヤ</v>
      </c>
      <c r="I2032" s="9" t="str">
        <f>IFERROR(__xludf.DUMMYFUNCTION("GOOGLETRANSLATE($A2032,""en"",""ko"")"),"바라냐")</f>
        <v>바라냐</v>
      </c>
      <c r="J2032" s="9" t="str">
        <f>IFERROR(__xludf.DUMMYFUNCTION("GOOGLETRANSLATE($A2032,""en"",""pt-BR"")"),"Barânia")</f>
        <v>Barânia</v>
      </c>
    </row>
    <row r="2033">
      <c r="A2033" s="9" t="str">
        <f>IFERROR(__xludf.DUMMYFUNCTION("""COMPUTED_VALUE"""),"Békés")</f>
        <v>Békés</v>
      </c>
      <c r="B2033" s="9" t="str">
        <f>IFERROR(__xludf.DUMMYFUNCTION("""COMPUTED_VALUE"""),"hu-be")</f>
        <v>hu-be</v>
      </c>
      <c r="C2033" s="9" t="str">
        <f>IFERROR(__xludf.DUMMYFUNCTION("GOOGLETRANSLATE($A2033,""en"",""de"")"),"Békés")</f>
        <v>Békés</v>
      </c>
      <c r="D2033" s="9" t="str">
        <f>IFERROR(__xludf.DUMMYFUNCTION("GOOGLETRANSLATE($A2033,""en"",""fr"")"),"Békés")</f>
        <v>Békés</v>
      </c>
      <c r="E2033" s="9" t="str">
        <f>IFERROR(__xludf.DUMMYFUNCTION("GOOGLETRANSLATE($A2033,""en"",""es"")"),"Békés")</f>
        <v>Békés</v>
      </c>
      <c r="F2033" s="9" t="str">
        <f>IFERROR(__xludf.DUMMYFUNCTION("GOOGLETRANSLATE($A2033,""en"",""it"")"),"Békés")</f>
        <v>Békés</v>
      </c>
      <c r="G2033" s="9" t="str">
        <f>IFERROR(__xludf.DUMMYFUNCTION("GOOGLETRANSLATE($A2033,""en"",""zh-cn"")"),"贝克斯")</f>
        <v>贝克斯</v>
      </c>
      <c r="H2033" s="9" t="str">
        <f>IFERROR(__xludf.DUMMYFUNCTION("GOOGLETRANSLATE($A2033,""en"",""ja"")"),"ベケス")</f>
        <v>ベケス</v>
      </c>
      <c r="I2033" s="9" t="str">
        <f>IFERROR(__xludf.DUMMYFUNCTION("GOOGLETRANSLATE($A2033,""en"",""ko"")"),"베케스")</f>
        <v>베케스</v>
      </c>
      <c r="J2033" s="9" t="str">
        <f>IFERROR(__xludf.DUMMYFUNCTION("GOOGLETRANSLATE($A2033,""en"",""pt-BR"")"),"Békés")</f>
        <v>Békés</v>
      </c>
    </row>
    <row r="2034">
      <c r="A2034" s="9" t="str">
        <f>IFERROR(__xludf.DUMMYFUNCTION("""COMPUTED_VALUE"""),"Borsod-Abaúj-Zemplén")</f>
        <v>Borsod-Abaúj-Zemplén</v>
      </c>
      <c r="B2034" s="9" t="str">
        <f>IFERROR(__xludf.DUMMYFUNCTION("""COMPUTED_VALUE"""),"hu-bz")</f>
        <v>hu-bz</v>
      </c>
      <c r="C2034" s="9" t="str">
        <f>IFERROR(__xludf.DUMMYFUNCTION("GOOGLETRANSLATE($A2034,""en"",""de"")"),"Borsod-Abaúj-Zemplén")</f>
        <v>Borsod-Abaúj-Zemplén</v>
      </c>
      <c r="D2034" s="9" t="str">
        <f>IFERROR(__xludf.DUMMYFUNCTION("GOOGLETRANSLATE($A2034,""en"",""fr"")"),"Borsod-Abaúj-Zemplén")</f>
        <v>Borsod-Abaúj-Zemplén</v>
      </c>
      <c r="E2034" s="9" t="str">
        <f>IFERROR(__xludf.DUMMYFUNCTION("GOOGLETRANSLATE($A2034,""en"",""es"")"),"Borsod-Abaúj-Zemplén")</f>
        <v>Borsod-Abaúj-Zemplén</v>
      </c>
      <c r="F2034" s="9" t="str">
        <f>IFERROR(__xludf.DUMMYFUNCTION("GOOGLETRANSLATE($A2034,""en"",""it"")"),"Borsod-Abaúj-Zemplén")</f>
        <v>Borsod-Abaúj-Zemplén</v>
      </c>
      <c r="G2034" s="9" t="str">
        <f>IFERROR(__xludf.DUMMYFUNCTION("GOOGLETRANSLATE($A2034,""en"",""zh-cn"")"),"包尔索德-阿包乌伊-曾普伦")</f>
        <v>包尔索德-阿包乌伊-曾普伦</v>
      </c>
      <c r="H2034" s="9" t="str">
        <f>IFERROR(__xludf.DUMMYFUNCTION("GOOGLETRANSLATE($A2034,""en"",""ja"")"),"ボルソド・アバウジ・ゼンプレン")</f>
        <v>ボルソド・アバウジ・ゼンプレン</v>
      </c>
      <c r="I2034" s="9" t="str">
        <f>IFERROR(__xludf.DUMMYFUNCTION("GOOGLETRANSLATE($A2034,""en"",""ko"")"),"보르소드-아바우즈-젬플렌")</f>
        <v>보르소드-아바우즈-젬플렌</v>
      </c>
      <c r="J2034" s="9" t="str">
        <f>IFERROR(__xludf.DUMMYFUNCTION("GOOGLETRANSLATE($A2034,""en"",""pt-BR"")"),"Borsod-Abaúj-Zemplén")</f>
        <v>Borsod-Abaúj-Zemplén</v>
      </c>
    </row>
    <row r="2035">
      <c r="A2035" s="9" t="str">
        <f>IFERROR(__xludf.DUMMYFUNCTION("""COMPUTED_VALUE"""),"Csongrád")</f>
        <v>Csongrád</v>
      </c>
      <c r="B2035" s="9" t="str">
        <f>IFERROR(__xludf.DUMMYFUNCTION("""COMPUTED_VALUE"""),"hu-cs")</f>
        <v>hu-cs</v>
      </c>
      <c r="C2035" s="9" t="str">
        <f>IFERROR(__xludf.DUMMYFUNCTION("GOOGLETRANSLATE($A2035,""en"",""de"")"),"Csongrád")</f>
        <v>Csongrád</v>
      </c>
      <c r="D2035" s="9" t="str">
        <f>IFERROR(__xludf.DUMMYFUNCTION("GOOGLETRANSLATE($A2035,""en"",""fr"")"),"Csongrad")</f>
        <v>Csongrad</v>
      </c>
      <c r="E2035" s="9" t="str">
        <f>IFERROR(__xludf.DUMMYFUNCTION("GOOGLETRANSLATE($A2035,""en"",""es"")"),"Csongrád")</f>
        <v>Csongrád</v>
      </c>
      <c r="F2035" s="9" t="str">
        <f>IFERROR(__xludf.DUMMYFUNCTION("GOOGLETRANSLATE($A2035,""en"",""it"")"),"Csongrád")</f>
        <v>Csongrád</v>
      </c>
      <c r="G2035" s="9" t="str">
        <f>IFERROR(__xludf.DUMMYFUNCTION("GOOGLETRANSLATE($A2035,""en"",""zh-cn"")"),"琼格拉德")</f>
        <v>琼格拉德</v>
      </c>
      <c r="H2035" s="9" t="str">
        <f>IFERROR(__xludf.DUMMYFUNCTION("GOOGLETRANSLATE($A2035,""en"",""ja"")"),"ソングラード")</f>
        <v>ソングラード</v>
      </c>
      <c r="I2035" s="9" t="str">
        <f>IFERROR(__xludf.DUMMYFUNCTION("GOOGLETRANSLATE($A2035,""en"",""ko"")"),"송그라드")</f>
        <v>송그라드</v>
      </c>
      <c r="J2035" s="9" t="str">
        <f>IFERROR(__xludf.DUMMYFUNCTION("GOOGLETRANSLATE($A2035,""en"",""pt-BR"")"),"Csongrád")</f>
        <v>Csongrád</v>
      </c>
    </row>
    <row r="2036">
      <c r="A2036" s="9" t="str">
        <f>IFERROR(__xludf.DUMMYFUNCTION("""COMPUTED_VALUE"""),"Budapest")</f>
        <v>Budapest</v>
      </c>
      <c r="B2036" s="9" t="str">
        <f>IFERROR(__xludf.DUMMYFUNCTION("""COMPUTED_VALUE"""),"hu-bu")</f>
        <v>hu-bu</v>
      </c>
      <c r="C2036" s="9" t="str">
        <f>IFERROR(__xludf.DUMMYFUNCTION("GOOGLETRANSLATE($A2036,""en"",""de"")"),"Budapest")</f>
        <v>Budapest</v>
      </c>
      <c r="D2036" s="9" t="str">
        <f>IFERROR(__xludf.DUMMYFUNCTION("GOOGLETRANSLATE($A2036,""en"",""fr"")"),"Budapest")</f>
        <v>Budapest</v>
      </c>
      <c r="E2036" s="9" t="str">
        <f>IFERROR(__xludf.DUMMYFUNCTION("GOOGLETRANSLATE($A2036,""en"",""es"")"),"budapest")</f>
        <v>budapest</v>
      </c>
      <c r="F2036" s="9" t="str">
        <f>IFERROR(__xludf.DUMMYFUNCTION("GOOGLETRANSLATE($A2036,""en"",""it"")"),"Budapest")</f>
        <v>Budapest</v>
      </c>
      <c r="G2036" s="9" t="str">
        <f>IFERROR(__xludf.DUMMYFUNCTION("GOOGLETRANSLATE($A2036,""en"",""zh-cn"")"),"布达佩斯")</f>
        <v>布达佩斯</v>
      </c>
      <c r="H2036" s="9" t="str">
        <f>IFERROR(__xludf.DUMMYFUNCTION("GOOGLETRANSLATE($A2036,""en"",""ja"")"),"ブダペスト")</f>
        <v>ブダペスト</v>
      </c>
      <c r="I2036" s="9" t="str">
        <f>IFERROR(__xludf.DUMMYFUNCTION("GOOGLETRANSLATE($A2036,""en"",""ko"")"),"부다페스트")</f>
        <v>부다페스트</v>
      </c>
      <c r="J2036" s="9" t="str">
        <f>IFERROR(__xludf.DUMMYFUNCTION("GOOGLETRANSLATE($A2036,""en"",""pt-BR"")"),"Budapeste")</f>
        <v>Budapeste</v>
      </c>
    </row>
    <row r="2037">
      <c r="A2037" s="9" t="str">
        <f>IFERROR(__xludf.DUMMYFUNCTION("""COMPUTED_VALUE"""),"Bács-Kiskun")</f>
        <v>Bács-Kiskun</v>
      </c>
      <c r="B2037" s="9" t="str">
        <f>IFERROR(__xludf.DUMMYFUNCTION("""COMPUTED_VALUE"""),"hu-bk")</f>
        <v>hu-bk</v>
      </c>
      <c r="C2037" s="9" t="str">
        <f>IFERROR(__xludf.DUMMYFUNCTION("GOOGLETRANSLATE($A2037,""en"",""de"")"),"Bács-Kiskun")</f>
        <v>Bács-Kiskun</v>
      </c>
      <c r="D2037" s="9" t="str">
        <f>IFERROR(__xludf.DUMMYFUNCTION("GOOGLETRANSLATE($A2037,""en"",""fr"")"),"Bacs-Kiskun")</f>
        <v>Bacs-Kiskun</v>
      </c>
      <c r="E2037" s="9" t="str">
        <f>IFERROR(__xludf.DUMMYFUNCTION("GOOGLETRANSLATE($A2037,""en"",""es"")"),"Bács-Kiskun")</f>
        <v>Bács-Kiskun</v>
      </c>
      <c r="F2037" s="9" t="str">
        <f>IFERROR(__xludf.DUMMYFUNCTION("GOOGLETRANSLATE($A2037,""en"",""it"")"),"Bács-Kiskun")</f>
        <v>Bács-Kiskun</v>
      </c>
      <c r="G2037" s="9" t="str">
        <f>IFERROR(__xludf.DUMMYFUNCTION("GOOGLETRANSLATE($A2037,""en"",""zh-cn"")"),"巴克斯-基斯昆")</f>
        <v>巴克斯-基斯昆</v>
      </c>
      <c r="H2037" s="9" t="str">
        <f>IFERROR(__xludf.DUMMYFUNCTION("GOOGLETRANSLATE($A2037,""en"",""ja"")"),"バックス・キスクン")</f>
        <v>バックス・キスクン</v>
      </c>
      <c r="I2037" s="9" t="str">
        <f>IFERROR(__xludf.DUMMYFUNCTION("GOOGLETRANSLATE($A2037,""en"",""ko"")"),"바치키스쿤")</f>
        <v>바치키스쿤</v>
      </c>
      <c r="J2037" s="9" t="str">
        <f>IFERROR(__xludf.DUMMYFUNCTION("GOOGLETRANSLATE($A2037,""en"",""pt-BR"")"),"Bács-Kiskun")</f>
        <v>Bács-Kiskun</v>
      </c>
    </row>
    <row r="2038">
      <c r="A2038" s="9" t="str">
        <f>IFERROR(__xludf.DUMMYFUNCTION("""COMPUTED_VALUE"""),"Jász-Nagykun-Szolnok")</f>
        <v>Jász-Nagykun-Szolnok</v>
      </c>
      <c r="B2038" s="9" t="str">
        <f>IFERROR(__xludf.DUMMYFUNCTION("""COMPUTED_VALUE"""),"hu-jn")</f>
        <v>hu-jn</v>
      </c>
      <c r="C2038" s="9" t="str">
        <f>IFERROR(__xludf.DUMMYFUNCTION("GOOGLETRANSLATE($A2038,""en"",""de"")"),"Jász-Nagykun-Szolnok")</f>
        <v>Jász-Nagykun-Szolnok</v>
      </c>
      <c r="D2038" s="9" t="str">
        <f>IFERROR(__xludf.DUMMYFUNCTION("GOOGLETRANSLATE($A2038,""en"",""fr"")"),"Jász-Nagykun-Szolnok")</f>
        <v>Jász-Nagykun-Szolnok</v>
      </c>
      <c r="E2038" s="9" t="str">
        <f>IFERROR(__xludf.DUMMYFUNCTION("GOOGLETRANSLATE($A2038,""en"",""es"")"),"Jász-Nagykun-Szolnok")</f>
        <v>Jász-Nagykun-Szolnok</v>
      </c>
      <c r="F2038" s="9" t="str">
        <f>IFERROR(__xludf.DUMMYFUNCTION("GOOGLETRANSLATE($A2038,""en"",""it"")"),"Jász-Nagykun-Szolnok")</f>
        <v>Jász-Nagykun-Szolnok</v>
      </c>
      <c r="G2038" s="9" t="str">
        <f>IFERROR(__xludf.DUMMYFUNCTION("GOOGLETRANSLATE($A2038,""en"",""zh-cn"")"),"贾斯·纳吉孔·索尔诺克")</f>
        <v>贾斯·纳吉孔·索尔诺克</v>
      </c>
      <c r="H2038" s="9" t="str">
        <f>IFERROR(__xludf.DUMMYFUNCTION("GOOGLETRANSLATE($A2038,""en"",""ja"")"),"ヤシュ・ナジクン・ソルノク")</f>
        <v>ヤシュ・ナジクン・ソルノク</v>
      </c>
      <c r="I2038" s="9" t="str">
        <f>IFERROR(__xludf.DUMMYFUNCTION("GOOGLETRANSLATE($A2038,""en"",""ko"")"),"야스-나기쿤-솔노크")</f>
        <v>야스-나기쿤-솔노크</v>
      </c>
      <c r="J2038" s="9" t="str">
        <f>IFERROR(__xludf.DUMMYFUNCTION("GOOGLETRANSLATE($A2038,""en"",""pt-BR"")"),"Jász-Nagykun-Szolnok")</f>
        <v>Jász-Nagykun-Szolnok</v>
      </c>
    </row>
    <row r="2039">
      <c r="A2039" s="9" t="str">
        <f>IFERROR(__xludf.DUMMYFUNCTION("""COMPUTED_VALUE"""),"Komárom-Esztergom")</f>
        <v>Komárom-Esztergom</v>
      </c>
      <c r="B2039" s="9" t="str">
        <f>IFERROR(__xludf.DUMMYFUNCTION("""COMPUTED_VALUE"""),"hu-ke")</f>
        <v>hu-ke</v>
      </c>
      <c r="C2039" s="9" t="str">
        <f>IFERROR(__xludf.DUMMYFUNCTION("GOOGLETRANSLATE($A2039,""en"",""de"")"),"Komárom-Esztergom")</f>
        <v>Komárom-Esztergom</v>
      </c>
      <c r="D2039" s="9" t="str">
        <f>IFERROR(__xludf.DUMMYFUNCTION("GOOGLETRANSLATE($A2039,""en"",""fr"")"),"Komárom-Esztergom")</f>
        <v>Komárom-Esztergom</v>
      </c>
      <c r="E2039" s="9" t="str">
        <f>IFERROR(__xludf.DUMMYFUNCTION("GOOGLETRANSLATE($A2039,""en"",""es"")"),"Komárom-Esztergom")</f>
        <v>Komárom-Esztergom</v>
      </c>
      <c r="F2039" s="9" t="str">
        <f>IFERROR(__xludf.DUMMYFUNCTION("GOOGLETRANSLATE($A2039,""en"",""it"")"),"Komarom-Esztergom")</f>
        <v>Komarom-Esztergom</v>
      </c>
      <c r="G2039" s="9" t="str">
        <f>IFERROR(__xludf.DUMMYFUNCTION("GOOGLETRANSLATE($A2039,""en"",""zh-cn"")"),"科马罗姆-埃斯泰尔戈姆")</f>
        <v>科马罗姆-埃斯泰尔戈姆</v>
      </c>
      <c r="H2039" s="9" t="str">
        <f>IFERROR(__xludf.DUMMYFUNCTION("GOOGLETRANSLATE($A2039,""en"",""ja"")"),"コマーロム・エステルゴム")</f>
        <v>コマーロム・エステルゴム</v>
      </c>
      <c r="I2039" s="9" t="str">
        <f>IFERROR(__xludf.DUMMYFUNCTION("GOOGLETRANSLATE($A2039,""en"",""ko"")"),"코마롬-에스테르곰")</f>
        <v>코마롬-에스테르곰</v>
      </c>
      <c r="J2039" s="9" t="str">
        <f>IFERROR(__xludf.DUMMYFUNCTION("GOOGLETRANSLATE($A2039,""en"",""pt-BR"")"),"Komárom-Esztergom")</f>
        <v>Komárom-Esztergom</v>
      </c>
    </row>
    <row r="2040">
      <c r="A2040" s="9" t="str">
        <f>IFERROR(__xludf.DUMMYFUNCTION("""COMPUTED_VALUE"""),"Nógrád")</f>
        <v>Nógrád</v>
      </c>
      <c r="B2040" s="9" t="str">
        <f>IFERROR(__xludf.DUMMYFUNCTION("""COMPUTED_VALUE"""),"hu-no")</f>
        <v>hu-no</v>
      </c>
      <c r="C2040" s="9" t="str">
        <f>IFERROR(__xludf.DUMMYFUNCTION("GOOGLETRANSLATE($A2040,""en"",""de"")"),"Nógrad")</f>
        <v>Nógrad</v>
      </c>
      <c r="D2040" s="9" t="str">
        <f>IFERROR(__xludf.DUMMYFUNCTION("GOOGLETRANSLATE($A2040,""en"",""fr"")"),"Nograd")</f>
        <v>Nograd</v>
      </c>
      <c r="E2040" s="9" t="str">
        <f>IFERROR(__xludf.DUMMYFUNCTION("GOOGLETRANSLATE($A2040,""en"",""es"")"),"Nográd")</f>
        <v>Nográd</v>
      </c>
      <c r="F2040" s="9" t="str">
        <f>IFERROR(__xludf.DUMMYFUNCTION("GOOGLETRANSLATE($A2040,""en"",""it"")"),"Nógrád")</f>
        <v>Nógrád</v>
      </c>
      <c r="G2040" s="9" t="str">
        <f>IFERROR(__xludf.DUMMYFUNCTION("GOOGLETRANSLATE($A2040,""en"",""zh-cn"")"),"诺格拉德")</f>
        <v>诺格拉德</v>
      </c>
      <c r="H2040" s="9" t="str">
        <f>IFERROR(__xludf.DUMMYFUNCTION("GOOGLETRANSLATE($A2040,""en"",""ja"")"),"ノグラド")</f>
        <v>ノグラド</v>
      </c>
      <c r="I2040" s="9" t="str">
        <f>IFERROR(__xludf.DUMMYFUNCTION("GOOGLETRANSLATE($A2040,""en"",""ko"")"),"노그라드")</f>
        <v>노그라드</v>
      </c>
      <c r="J2040" s="9" t="str">
        <f>IFERROR(__xludf.DUMMYFUNCTION("GOOGLETRANSLATE($A2040,""en"",""pt-BR"")"),"Nógrád")</f>
        <v>Nógrád</v>
      </c>
    </row>
    <row r="2041">
      <c r="A2041" s="9" t="str">
        <f>IFERROR(__xludf.DUMMYFUNCTION("""COMPUTED_VALUE"""),"Fejér")</f>
        <v>Fejér</v>
      </c>
      <c r="B2041" s="9" t="str">
        <f>IFERROR(__xludf.DUMMYFUNCTION("""COMPUTED_VALUE"""),"hu-fe")</f>
        <v>hu-fe</v>
      </c>
      <c r="C2041" s="9" t="str">
        <f>IFERROR(__xludf.DUMMYFUNCTION("GOOGLETRANSLATE($A2041,""en"",""de"")"),"Fejér")</f>
        <v>Fejér</v>
      </c>
      <c r="D2041" s="9" t="str">
        <f>IFERROR(__xludf.DUMMYFUNCTION("GOOGLETRANSLATE($A2041,""en"",""fr"")"),"Fejér")</f>
        <v>Fejér</v>
      </c>
      <c r="E2041" s="9" t="str">
        <f>IFERROR(__xludf.DUMMYFUNCTION("GOOGLETRANSLATE($A2041,""en"",""es"")"),"Fejér")</f>
        <v>Fejér</v>
      </c>
      <c r="F2041" s="9" t="str">
        <f>IFERROR(__xludf.DUMMYFUNCTION("GOOGLETRANSLATE($A2041,""en"",""it"")"),"Fejér")</f>
        <v>Fejér</v>
      </c>
      <c r="G2041" s="9" t="str">
        <f>IFERROR(__xludf.DUMMYFUNCTION("GOOGLETRANSLATE($A2041,""en"",""zh-cn"")"),"费耶尔")</f>
        <v>费耶尔</v>
      </c>
      <c r="H2041" s="9" t="str">
        <f>IFERROR(__xludf.DUMMYFUNCTION("GOOGLETRANSLATE($A2041,""en"",""ja"")"),"フェジェル")</f>
        <v>フェジェル</v>
      </c>
      <c r="I2041" s="9" t="str">
        <f>IFERROR(__xludf.DUMMYFUNCTION("GOOGLETRANSLATE($A2041,""en"",""ko"")"),"페제르")</f>
        <v>페제르</v>
      </c>
      <c r="J2041" s="9" t="str">
        <f>IFERROR(__xludf.DUMMYFUNCTION("GOOGLETRANSLATE($A2041,""en"",""pt-BR"")"),"Fejér")</f>
        <v>Fejér</v>
      </c>
    </row>
    <row r="2042">
      <c r="A2042" s="9" t="str">
        <f>IFERROR(__xludf.DUMMYFUNCTION("""COMPUTED_VALUE"""),"Győr-Moson-Sopron")</f>
        <v>Győr-Moson-Sopron</v>
      </c>
      <c r="B2042" s="9" t="str">
        <f>IFERROR(__xludf.DUMMYFUNCTION("""COMPUTED_VALUE"""),"hu-gs")</f>
        <v>hu-gs</v>
      </c>
      <c r="C2042" s="9" t="str">
        <f>IFERROR(__xludf.DUMMYFUNCTION("GOOGLETRANSLATE($A2042,""en"",""de"")"),"Győr-Moson-Sopron")</f>
        <v>Győr-Moson-Sopron</v>
      </c>
      <c r="D2042" s="9" t="str">
        <f>IFERROR(__xludf.DUMMYFUNCTION("GOOGLETRANSLATE($A2042,""en"",""fr"")"),"Győr-Moson-Sopron")</f>
        <v>Győr-Moson-Sopron</v>
      </c>
      <c r="E2042" s="9" t="str">
        <f>IFERROR(__xludf.DUMMYFUNCTION("GOOGLETRANSLATE($A2042,""en"",""es"")"),"Győr-Moson-Sopron")</f>
        <v>Győr-Moson-Sopron</v>
      </c>
      <c r="F2042" s="9" t="str">
        <f>IFERROR(__xludf.DUMMYFUNCTION("GOOGLETRANSLATE($A2042,""en"",""it"")"),"Győr-Moson-Sopron")</f>
        <v>Győr-Moson-Sopron</v>
      </c>
      <c r="G2042" s="9" t="str">
        <f>IFERROR(__xludf.DUMMYFUNCTION("GOOGLETRANSLATE($A2042,""en"",""zh-cn"")"),"杰尔-莫森-肖普朗")</f>
        <v>杰尔-莫森-肖普朗</v>
      </c>
      <c r="H2042" s="9" t="str">
        <f>IFERROR(__xludf.DUMMYFUNCTION("GOOGLETRANSLATE($A2042,""en"",""ja"")"),"ジェール・モソン・ショプロン")</f>
        <v>ジェール・モソン・ショプロン</v>
      </c>
      <c r="I2042" s="9" t="str">
        <f>IFERROR(__xludf.DUMMYFUNCTION("GOOGLETRANSLATE($A2042,""en"",""ko"")"),"죄르-모손-소프론")</f>
        <v>죄르-모손-소프론</v>
      </c>
      <c r="J2042" s="9" t="str">
        <f>IFERROR(__xludf.DUMMYFUNCTION("GOOGLETRANSLATE($A2042,""en"",""pt-BR"")"),"Győr-Moson-Sopron")</f>
        <v>Győr-Moson-Sopron</v>
      </c>
    </row>
    <row r="2043">
      <c r="A2043" s="9" t="str">
        <f>IFERROR(__xludf.DUMMYFUNCTION("""COMPUTED_VALUE"""),"Hajdú-Bihar")</f>
        <v>Hajdú-Bihar</v>
      </c>
      <c r="B2043" s="9" t="str">
        <f>IFERROR(__xludf.DUMMYFUNCTION("""COMPUTED_VALUE"""),"hu-hb")</f>
        <v>hu-hb</v>
      </c>
      <c r="C2043" s="9" t="str">
        <f>IFERROR(__xludf.DUMMYFUNCTION("GOOGLETRANSLATE($A2043,""en"",""de"")"),"Hajdú-Bihar")</f>
        <v>Hajdú-Bihar</v>
      </c>
      <c r="D2043" s="9" t="str">
        <f>IFERROR(__xludf.DUMMYFUNCTION("GOOGLETRANSLATE($A2043,""en"",""fr"")"),"Hajdu-Bihar")</f>
        <v>Hajdu-Bihar</v>
      </c>
      <c r="E2043" s="9" t="str">
        <f>IFERROR(__xludf.DUMMYFUNCTION("GOOGLETRANSLATE($A2043,""en"",""es"")"),"Hajdú-Bihar")</f>
        <v>Hajdú-Bihar</v>
      </c>
      <c r="F2043" s="9" t="str">
        <f>IFERROR(__xludf.DUMMYFUNCTION("GOOGLETRANSLATE($A2043,""en"",""it"")"),"Hajdu-Bihar")</f>
        <v>Hajdu-Bihar</v>
      </c>
      <c r="G2043" s="9" t="str">
        <f>IFERROR(__xludf.DUMMYFUNCTION("GOOGLETRANSLATE($A2043,""en"",""zh-cn"")"),"豪伊杜-比哈尔邦")</f>
        <v>豪伊杜-比哈尔邦</v>
      </c>
      <c r="H2043" s="9" t="str">
        <f>IFERROR(__xludf.DUMMYFUNCTION("GOOGLETRANSLATE($A2043,""en"",""ja"")"),"ハイドゥ ビハール州")</f>
        <v>ハイドゥ ビハール州</v>
      </c>
      <c r="I2043" s="9" t="str">
        <f>IFERROR(__xludf.DUMMYFUNCTION("GOOGLETRANSLATE($A2043,""en"",""ko"")"),"하이두-비하르")</f>
        <v>하이두-비하르</v>
      </c>
      <c r="J2043" s="9" t="str">
        <f>IFERROR(__xludf.DUMMYFUNCTION("GOOGLETRANSLATE($A2043,""en"",""pt-BR"")"),"Hajdú-Bihar")</f>
        <v>Hajdú-Bihar</v>
      </c>
    </row>
    <row r="2044">
      <c r="A2044" s="9" t="str">
        <f>IFERROR(__xludf.DUMMYFUNCTION("""COMPUTED_VALUE"""),"Heves")</f>
        <v>Heves</v>
      </c>
      <c r="B2044" s="9" t="str">
        <f>IFERROR(__xludf.DUMMYFUNCTION("""COMPUTED_VALUE"""),"hu-he")</f>
        <v>hu-he</v>
      </c>
      <c r="C2044" s="9" t="str">
        <f>IFERROR(__xludf.DUMMYFUNCTION("GOOGLETRANSLATE($A2044,""en"",""de"")"),"Heves")</f>
        <v>Heves</v>
      </c>
      <c r="D2044" s="9" t="str">
        <f>IFERROR(__xludf.DUMMYFUNCTION("GOOGLETRANSLATE($A2044,""en"",""fr"")"),"Héves")</f>
        <v>Héves</v>
      </c>
      <c r="E2044" s="9" t="str">
        <f>IFERROR(__xludf.DUMMYFUNCTION("GOOGLETRANSLATE($A2044,""en"",""es"")"),"heves")</f>
        <v>heves</v>
      </c>
      <c r="F2044" s="9" t="str">
        <f>IFERROR(__xludf.DUMMYFUNCTION("GOOGLETRANSLATE($A2044,""en"",""it"")"),"Heves")</f>
        <v>Heves</v>
      </c>
      <c r="G2044" s="9" t="str">
        <f>IFERROR(__xludf.DUMMYFUNCTION("GOOGLETRANSLATE($A2044,""en"",""zh-cn"")"),"赫维什")</f>
        <v>赫维什</v>
      </c>
      <c r="H2044" s="9" t="str">
        <f>IFERROR(__xludf.DUMMYFUNCTION("GOOGLETRANSLATE($A2044,""en"",""ja"")"),"ヘベス")</f>
        <v>ヘベス</v>
      </c>
      <c r="I2044" s="9" t="str">
        <f>IFERROR(__xludf.DUMMYFUNCTION("GOOGLETRANSLATE($A2044,""en"",""ko"")"),"헤베스")</f>
        <v>헤베스</v>
      </c>
      <c r="J2044" s="9" t="str">
        <f>IFERROR(__xludf.DUMMYFUNCTION("GOOGLETRANSLATE($A2044,""en"",""pt-BR"")"),"Heves")</f>
        <v>Heves</v>
      </c>
    </row>
    <row r="2045">
      <c r="A2045" s="9" t="str">
        <f>IFERROR(__xludf.DUMMYFUNCTION("""COMPUTED_VALUE"""),"Zala")</f>
        <v>Zala</v>
      </c>
      <c r="B2045" s="9" t="str">
        <f>IFERROR(__xludf.DUMMYFUNCTION("""COMPUTED_VALUE"""),"hu-za")</f>
        <v>hu-za</v>
      </c>
      <c r="C2045" s="9" t="str">
        <f>IFERROR(__xludf.DUMMYFUNCTION("GOOGLETRANSLATE($A2045,""en"",""de"")"),"Zala")</f>
        <v>Zala</v>
      </c>
      <c r="D2045" s="9" t="str">
        <f>IFERROR(__xludf.DUMMYFUNCTION("GOOGLETRANSLATE($A2045,""en"",""fr"")"),"Zala")</f>
        <v>Zala</v>
      </c>
      <c r="E2045" s="9" t="str">
        <f>IFERROR(__xludf.DUMMYFUNCTION("GOOGLETRANSLATE($A2045,""en"",""es"")"),"Zala")</f>
        <v>Zala</v>
      </c>
      <c r="F2045" s="9" t="str">
        <f>IFERROR(__xludf.DUMMYFUNCTION("GOOGLETRANSLATE($A2045,""en"",""it"")"),"Zala")</f>
        <v>Zala</v>
      </c>
      <c r="G2045" s="9" t="str">
        <f>IFERROR(__xludf.DUMMYFUNCTION("GOOGLETRANSLATE($A2045,""en"",""zh-cn"")"),"扎拉")</f>
        <v>扎拉</v>
      </c>
      <c r="H2045" s="9" t="str">
        <f>IFERROR(__xludf.DUMMYFUNCTION("GOOGLETRANSLATE($A2045,""en"",""ja"")"),"ザラ")</f>
        <v>ザラ</v>
      </c>
      <c r="I2045" s="9" t="str">
        <f>IFERROR(__xludf.DUMMYFUNCTION("GOOGLETRANSLATE($A2045,""en"",""ko"")"),"자라")</f>
        <v>자라</v>
      </c>
      <c r="J2045" s="9" t="str">
        <f>IFERROR(__xludf.DUMMYFUNCTION("GOOGLETRANSLATE($A2045,""en"",""pt-BR"")"),"Zala")</f>
        <v>Zala</v>
      </c>
    </row>
    <row r="2046">
      <c r="A2046" s="9" t="str">
        <f>IFERROR(__xludf.DUMMYFUNCTION("""COMPUTED_VALUE"""),"Szabolcs-Szatmár-Bereg")</f>
        <v>Szabolcs-Szatmár-Bereg</v>
      </c>
      <c r="B2046" s="9" t="str">
        <f>IFERROR(__xludf.DUMMYFUNCTION("""COMPUTED_VALUE"""),"hu-sz")</f>
        <v>hu-sz</v>
      </c>
      <c r="C2046" s="9" t="str">
        <f>IFERROR(__xludf.DUMMYFUNCTION("GOOGLETRANSLATE($A2046,""en"",""de"")"),"Szabolcs-Szatmár-Bereg")</f>
        <v>Szabolcs-Szatmár-Bereg</v>
      </c>
      <c r="D2046" s="9" t="str">
        <f>IFERROR(__xludf.DUMMYFUNCTION("GOOGLETRANSLATE($A2046,""en"",""fr"")"),"Szabolcs-Szatmár-Bereg")</f>
        <v>Szabolcs-Szatmár-Bereg</v>
      </c>
      <c r="E2046" s="9" t="str">
        <f>IFERROR(__xludf.DUMMYFUNCTION("GOOGLETRANSLATE($A2046,""en"",""es"")"),"Szabolcs-Szatmár-Bereg")</f>
        <v>Szabolcs-Szatmár-Bereg</v>
      </c>
      <c r="F2046" s="9" t="str">
        <f>IFERROR(__xludf.DUMMYFUNCTION("GOOGLETRANSLATE($A2046,""en"",""it"")"),"Szabolcs-Szatmár-Bereg")</f>
        <v>Szabolcs-Szatmár-Bereg</v>
      </c>
      <c r="G2046" s="9" t="str">
        <f>IFERROR(__xludf.DUMMYFUNCTION("GOOGLETRANSLATE($A2046,""en"",""zh-cn"")"),"萨博尔奇-萨特马尔-贝雷格")</f>
        <v>萨博尔奇-萨特马尔-贝雷格</v>
      </c>
      <c r="H2046" s="9" t="str">
        <f>IFERROR(__xludf.DUMMYFUNCTION("GOOGLETRANSLATE($A2046,""en"",""ja"")"),"シャボルチ・シャトマール・ベレグ")</f>
        <v>シャボルチ・シャトマール・ベレグ</v>
      </c>
      <c r="I2046" s="9" t="str">
        <f>IFERROR(__xludf.DUMMYFUNCTION("GOOGLETRANSLATE($A2046,""en"",""ko"")"),"Szabolcs-Szatmár-Bereg")</f>
        <v>Szabolcs-Szatmár-Bereg</v>
      </c>
      <c r="J2046" s="9" t="str">
        <f>IFERROR(__xludf.DUMMYFUNCTION("GOOGLETRANSLATE($A2046,""en"",""pt-BR"")"),"Szabolcs-Szatmár-Bereg")</f>
        <v>Szabolcs-Szatmár-Bereg</v>
      </c>
    </row>
    <row r="2047">
      <c r="A2047" s="9" t="str">
        <f>IFERROR(__xludf.DUMMYFUNCTION("""COMPUTED_VALUE"""),"Tolna")</f>
        <v>Tolna</v>
      </c>
      <c r="B2047" s="9" t="str">
        <f>IFERROR(__xludf.DUMMYFUNCTION("""COMPUTED_VALUE"""),"hu-to")</f>
        <v>hu-to</v>
      </c>
      <c r="C2047" s="9" t="str">
        <f>IFERROR(__xludf.DUMMYFUNCTION("GOOGLETRANSLATE($A2047,""en"",""de"")"),"Tolna")</f>
        <v>Tolna</v>
      </c>
      <c r="D2047" s="9" t="str">
        <f>IFERROR(__xludf.DUMMYFUNCTION("GOOGLETRANSLATE($A2047,""en"",""fr"")"),"Tolna")</f>
        <v>Tolna</v>
      </c>
      <c r="E2047" s="9" t="str">
        <f>IFERROR(__xludf.DUMMYFUNCTION("GOOGLETRANSLATE($A2047,""en"",""es"")"),"Tolná")</f>
        <v>Tolná</v>
      </c>
      <c r="F2047" s="9" t="str">
        <f>IFERROR(__xludf.DUMMYFUNCTION("GOOGLETRANSLATE($A2047,""en"",""it"")"),"Tolna")</f>
        <v>Tolna</v>
      </c>
      <c r="G2047" s="9" t="str">
        <f>IFERROR(__xludf.DUMMYFUNCTION("GOOGLETRANSLATE($A2047,""en"",""zh-cn"")"),"托尔纳")</f>
        <v>托尔纳</v>
      </c>
      <c r="H2047" s="9" t="str">
        <f>IFERROR(__xludf.DUMMYFUNCTION("GOOGLETRANSLATE($A2047,""en"",""ja"")"),"トルナ")</f>
        <v>トルナ</v>
      </c>
      <c r="I2047" s="9" t="str">
        <f>IFERROR(__xludf.DUMMYFUNCTION("GOOGLETRANSLATE($A2047,""en"",""ko"")"),"톨나")</f>
        <v>톨나</v>
      </c>
      <c r="J2047" s="9" t="str">
        <f>IFERROR(__xludf.DUMMYFUNCTION("GOOGLETRANSLATE($A2047,""en"",""pt-BR"")"),"Tolna")</f>
        <v>Tolna</v>
      </c>
    </row>
    <row r="2048">
      <c r="A2048" s="9" t="str">
        <f>IFERROR(__xludf.DUMMYFUNCTION("""COMPUTED_VALUE"""),"Vas")</f>
        <v>Vas</v>
      </c>
      <c r="B2048" s="9" t="str">
        <f>IFERROR(__xludf.DUMMYFUNCTION("""COMPUTED_VALUE"""),"hu-va")</f>
        <v>hu-va</v>
      </c>
      <c r="C2048" s="9" t="str">
        <f>IFERROR(__xludf.DUMMYFUNCTION("GOOGLETRANSLATE($A2048,""en"",""de"")"),"Vas")</f>
        <v>Vas</v>
      </c>
      <c r="D2048" s="9" t="str">
        <f>IFERROR(__xludf.DUMMYFUNCTION("GOOGLETRANSLATE($A2048,""en"",""fr"")"),"Vas")</f>
        <v>Vas</v>
      </c>
      <c r="E2048" s="9" t="str">
        <f>IFERROR(__xludf.DUMMYFUNCTION("GOOGLETRANSLATE($A2048,""en"",""es"")"),"vas")</f>
        <v>vas</v>
      </c>
      <c r="F2048" s="9" t="str">
        <f>IFERROR(__xludf.DUMMYFUNCTION("GOOGLETRANSLATE($A2048,""en"",""it"")"),"Vas")</f>
        <v>Vas</v>
      </c>
      <c r="G2048" s="9" t="str">
        <f>IFERROR(__xludf.DUMMYFUNCTION("GOOGLETRANSLATE($A2048,""en"",""zh-cn"")"),"瓦斯")</f>
        <v>瓦斯</v>
      </c>
      <c r="H2048" s="9" t="str">
        <f>IFERROR(__xludf.DUMMYFUNCTION("GOOGLETRANSLATE($A2048,""en"",""ja"")"),"ヴァス")</f>
        <v>ヴァス</v>
      </c>
      <c r="I2048" s="9" t="str">
        <f>IFERROR(__xludf.DUMMYFUNCTION("GOOGLETRANSLATE($A2048,""en"",""ko"")"),"바스")</f>
        <v>바스</v>
      </c>
      <c r="J2048" s="9" t="str">
        <f>IFERROR(__xludf.DUMMYFUNCTION("GOOGLETRANSLATE($A2048,""en"",""pt-BR"")"),"Vas")</f>
        <v>Vas</v>
      </c>
    </row>
    <row r="2049">
      <c r="A2049" s="9" t="str">
        <f>IFERROR(__xludf.DUMMYFUNCTION("""COMPUTED_VALUE"""),"Veszprém (County)")</f>
        <v>Veszprém (County)</v>
      </c>
      <c r="B2049" s="9" t="str">
        <f>IFERROR(__xludf.DUMMYFUNCTION("""COMPUTED_VALUE"""),"hu-ve")</f>
        <v>hu-ve</v>
      </c>
      <c r="C2049" s="9" t="str">
        <f>IFERROR(__xludf.DUMMYFUNCTION("GOOGLETRANSLATE($A2049,""en"",""de"")"),"Veszprém (Bezirk)")</f>
        <v>Veszprém (Bezirk)</v>
      </c>
      <c r="D2049" s="9" t="str">
        <f>IFERROR(__xludf.DUMMYFUNCTION("GOOGLETRANSLATE($A2049,""en"",""fr"")"),"Veszprém (Comté)")</f>
        <v>Veszprém (Comté)</v>
      </c>
      <c r="E2049" s="9" t="str">
        <f>IFERROR(__xludf.DUMMYFUNCTION("GOOGLETRANSLATE($A2049,""en"",""es"")"),"Veszprém (Condado)")</f>
        <v>Veszprém (Condado)</v>
      </c>
      <c r="F2049" s="9" t="str">
        <f>IFERROR(__xludf.DUMMYFUNCTION("GOOGLETRANSLATE($A2049,""en"",""it"")"),"Veszprem (Contea)")</f>
        <v>Veszprem (Contea)</v>
      </c>
      <c r="G2049" s="9" t="str">
        <f>IFERROR(__xludf.DUMMYFUNCTION("GOOGLETRANSLATE($A2049,""en"",""zh-cn"")"),"维斯普雷姆 (县)")</f>
        <v>维斯普雷姆 (县)</v>
      </c>
      <c r="H2049" s="9" t="str">
        <f>IFERROR(__xludf.DUMMYFUNCTION("GOOGLETRANSLATE($A2049,""en"",""ja"")"),"ヴェスプレーム (県)")</f>
        <v>ヴェスプレーム (県)</v>
      </c>
      <c r="I2049" s="9" t="str">
        <f>IFERROR(__xludf.DUMMYFUNCTION("GOOGLETRANSLATE($A2049,""en"",""ko"")"),"베스프렘(주)")</f>
        <v>베스프렘(주)</v>
      </c>
      <c r="J2049" s="9" t="str">
        <f>IFERROR(__xludf.DUMMYFUNCTION("GOOGLETRANSLATE($A2049,""en"",""pt-BR"")"),"Veszprém (condado)")</f>
        <v>Veszprém (condado)</v>
      </c>
    </row>
    <row r="2050">
      <c r="A2050" s="9" t="str">
        <f>IFERROR(__xludf.DUMMYFUNCTION("""COMPUTED_VALUE"""),"Szombathely")</f>
        <v>Szombathely</v>
      </c>
      <c r="B2050" s="9" t="str">
        <f>IFERROR(__xludf.DUMMYFUNCTION("""COMPUTED_VALUE"""),"hu-sh")</f>
        <v>hu-sh</v>
      </c>
      <c r="C2050" s="9" t="str">
        <f>IFERROR(__xludf.DUMMYFUNCTION("GOOGLETRANSLATE($A2050,""en"",""de"")"),"Szombathely")</f>
        <v>Szombathely</v>
      </c>
      <c r="D2050" s="9" t="str">
        <f>IFERROR(__xludf.DUMMYFUNCTION("GOOGLETRANSLATE($A2050,""en"",""fr"")"),"Szombathely")</f>
        <v>Szombathely</v>
      </c>
      <c r="E2050" s="9" t="str">
        <f>IFERROR(__xludf.DUMMYFUNCTION("GOOGLETRANSLATE($A2050,""en"",""es"")"),"Szombathely")</f>
        <v>Szombathely</v>
      </c>
      <c r="F2050" s="9" t="str">
        <f>IFERROR(__xludf.DUMMYFUNCTION("GOOGLETRANSLATE($A2050,""en"",""it"")"),"Szombathely")</f>
        <v>Szombathely</v>
      </c>
      <c r="G2050" s="9" t="str">
        <f>IFERROR(__xludf.DUMMYFUNCTION("GOOGLETRANSLATE($A2050,""en"",""zh-cn"")"),"松博特海伊")</f>
        <v>松博特海伊</v>
      </c>
      <c r="H2050" s="9" t="str">
        <f>IFERROR(__xludf.DUMMYFUNCTION("GOOGLETRANSLATE($A2050,""en"",""ja"")"),"ソンバトヘイ")</f>
        <v>ソンバトヘイ</v>
      </c>
      <c r="I2050" s="9" t="str">
        <f>IFERROR(__xludf.DUMMYFUNCTION("GOOGLETRANSLATE($A2050,""en"",""ko"")"),"솜바틀리")</f>
        <v>솜바틀리</v>
      </c>
      <c r="J2050" s="9" t="str">
        <f>IFERROR(__xludf.DUMMYFUNCTION("GOOGLETRANSLATE($A2050,""en"",""pt-BR"")"),"Szombathely")</f>
        <v>Szombathely</v>
      </c>
    </row>
    <row r="2051">
      <c r="A2051" s="9" t="str">
        <f>IFERROR(__xludf.DUMMYFUNCTION("""COMPUTED_VALUE"""),"Tatabánya")</f>
        <v>Tatabánya</v>
      </c>
      <c r="B2051" s="9" t="str">
        <f>IFERROR(__xludf.DUMMYFUNCTION("""COMPUTED_VALUE"""),"hu-tb")</f>
        <v>hu-tb</v>
      </c>
      <c r="C2051" s="9" t="str">
        <f>IFERROR(__xludf.DUMMYFUNCTION("GOOGLETRANSLATE($A2051,""en"",""de"")"),"Tatabánya")</f>
        <v>Tatabánya</v>
      </c>
      <c r="D2051" s="9" t="str">
        <f>IFERROR(__xludf.DUMMYFUNCTION("GOOGLETRANSLATE($A2051,""en"",""fr"")"),"Tatabanya")</f>
        <v>Tatabanya</v>
      </c>
      <c r="E2051" s="9" t="str">
        <f>IFERROR(__xludf.DUMMYFUNCTION("GOOGLETRANSLATE($A2051,""en"",""es"")"),"Tatabánya")</f>
        <v>Tatabánya</v>
      </c>
      <c r="F2051" s="9" t="str">
        <f>IFERROR(__xludf.DUMMYFUNCTION("GOOGLETRANSLATE($A2051,""en"",""it"")"),"Tatabanya")</f>
        <v>Tatabanya</v>
      </c>
      <c r="G2051" s="9" t="str">
        <f>IFERROR(__xludf.DUMMYFUNCTION("GOOGLETRANSLATE($A2051,""en"",""zh-cn"")"),"塔塔巴尼亚")</f>
        <v>塔塔巴尼亚</v>
      </c>
      <c r="H2051" s="9" t="str">
        <f>IFERROR(__xludf.DUMMYFUNCTION("GOOGLETRANSLATE($A2051,""en"",""ja"")"),"タタバーニャ")</f>
        <v>タタバーニャ</v>
      </c>
      <c r="I2051" s="9" t="str">
        <f>IFERROR(__xludf.DUMMYFUNCTION("GOOGLETRANSLATE($A2051,""en"",""ko"")"),"타타반야")</f>
        <v>타타반야</v>
      </c>
      <c r="J2051" s="9" t="str">
        <f>IFERROR(__xludf.DUMMYFUNCTION("GOOGLETRANSLATE($A2051,""en"",""pt-BR"")"),"Tatabánya")</f>
        <v>Tatabánya</v>
      </c>
    </row>
    <row r="2052">
      <c r="A2052" s="9" t="str">
        <f>IFERROR(__xludf.DUMMYFUNCTION("""COMPUTED_VALUE"""),"Veszprém (City)")</f>
        <v>Veszprém (City)</v>
      </c>
      <c r="B2052" s="9" t="str">
        <f>IFERROR(__xludf.DUMMYFUNCTION("""COMPUTED_VALUE"""),"hu-vm")</f>
        <v>hu-vm</v>
      </c>
      <c r="C2052" s="9" t="str">
        <f>IFERROR(__xludf.DUMMYFUNCTION("GOOGLETRANSLATE($A2052,""en"",""de"")"),"Veszprém (Stadt)")</f>
        <v>Veszprém (Stadt)</v>
      </c>
      <c r="D2052" s="9" t="str">
        <f>IFERROR(__xludf.DUMMYFUNCTION("GOOGLETRANSLATE($A2052,""en"",""fr"")"),"Veszprém (Ville)")</f>
        <v>Veszprém (Ville)</v>
      </c>
      <c r="E2052" s="9" t="str">
        <f>IFERROR(__xludf.DUMMYFUNCTION("GOOGLETRANSLATE($A2052,""en"",""es"")"),"Veszprém (Ciudad)")</f>
        <v>Veszprém (Ciudad)</v>
      </c>
      <c r="F2052" s="9" t="str">
        <f>IFERROR(__xludf.DUMMYFUNCTION("GOOGLETRANSLATE($A2052,""en"",""it"")"),"Veszprem (Città)")</f>
        <v>Veszprem (Città)</v>
      </c>
      <c r="G2052" s="9" t="str">
        <f>IFERROR(__xludf.DUMMYFUNCTION("GOOGLETRANSLATE($A2052,""en"",""zh-cn"")"),"维斯普雷姆 (城市)")</f>
        <v>维斯普雷姆 (城市)</v>
      </c>
      <c r="H2052" s="9" t="str">
        <f>IFERROR(__xludf.DUMMYFUNCTION("GOOGLETRANSLATE($A2052,""en"",""ja"")"),"ヴェスプレーム (都市)")</f>
        <v>ヴェスプレーム (都市)</v>
      </c>
      <c r="I2052" s="9" t="str">
        <f>IFERROR(__xludf.DUMMYFUNCTION("GOOGLETRANSLATE($A2052,""en"",""ko"")"),"베스프렘(도시)")</f>
        <v>베스프렘(도시)</v>
      </c>
      <c r="J2052" s="9" t="str">
        <f>IFERROR(__xludf.DUMMYFUNCTION("GOOGLETRANSLATE($A2052,""en"",""pt-BR"")"),"Veszprém (Cidade)")</f>
        <v>Veszprém (Cidade)</v>
      </c>
    </row>
    <row r="2053">
      <c r="A2053" s="9" t="str">
        <f>IFERROR(__xludf.DUMMYFUNCTION("""COMPUTED_VALUE"""),"Zalaegerszeg")</f>
        <v>Zalaegerszeg</v>
      </c>
      <c r="B2053" s="9" t="str">
        <f>IFERROR(__xludf.DUMMYFUNCTION("""COMPUTED_VALUE"""),"hu-ze")</f>
        <v>hu-ze</v>
      </c>
      <c r="C2053" s="9" t="str">
        <f>IFERROR(__xludf.DUMMYFUNCTION("GOOGLETRANSLATE($A2053,""en"",""de"")"),"Zalaegerszeg")</f>
        <v>Zalaegerszeg</v>
      </c>
      <c r="D2053" s="9" t="str">
        <f>IFERROR(__xludf.DUMMYFUNCTION("GOOGLETRANSLATE($A2053,""en"",""fr"")"),"Zalaegerszeg")</f>
        <v>Zalaegerszeg</v>
      </c>
      <c r="E2053" s="9" t="str">
        <f>IFERROR(__xludf.DUMMYFUNCTION("GOOGLETRANSLATE($A2053,""en"",""es"")"),"Zalaegerszeg")</f>
        <v>Zalaegerszeg</v>
      </c>
      <c r="F2053" s="9" t="str">
        <f>IFERROR(__xludf.DUMMYFUNCTION("GOOGLETRANSLATE($A2053,""en"",""it"")"),"Zalaegerszeg")</f>
        <v>Zalaegerszeg</v>
      </c>
      <c r="G2053" s="9" t="str">
        <f>IFERROR(__xludf.DUMMYFUNCTION("GOOGLETRANSLATE($A2053,""en"",""zh-cn"")"),"佐洛埃格塞格")</f>
        <v>佐洛埃格塞格</v>
      </c>
      <c r="H2053" s="9" t="str">
        <f>IFERROR(__xludf.DUMMYFUNCTION("GOOGLETRANSLATE($A2053,""en"",""ja"")"),"ザラガーセグ")</f>
        <v>ザラガーセグ</v>
      </c>
      <c r="I2053" s="9" t="str">
        <f>IFERROR(__xludf.DUMMYFUNCTION("GOOGLETRANSLATE($A2053,""en"",""ko"")"),"Zalaegerszeg")</f>
        <v>Zalaegerszeg</v>
      </c>
      <c r="J2053" s="9" t="str">
        <f>IFERROR(__xludf.DUMMYFUNCTION("GOOGLETRANSLATE($A2053,""en"",""pt-BR"")"),"Zalaegerszeg")</f>
        <v>Zalaegerszeg</v>
      </c>
    </row>
    <row r="2054">
      <c r="A2054" s="9" t="str">
        <f>IFERROR(__xludf.DUMMYFUNCTION("""COMPUTED_VALUE"""),"Szeged")</f>
        <v>Szeged</v>
      </c>
      <c r="B2054" s="9" t="str">
        <f>IFERROR(__xludf.DUMMYFUNCTION("""COMPUTED_VALUE"""),"hu-sd")</f>
        <v>hu-sd</v>
      </c>
      <c r="C2054" s="9" t="str">
        <f>IFERROR(__xludf.DUMMYFUNCTION("GOOGLETRANSLATE($A2054,""en"",""de"")"),"Szegedin")</f>
        <v>Szegedin</v>
      </c>
      <c r="D2054" s="9" t="str">
        <f>IFERROR(__xludf.DUMMYFUNCTION("GOOGLETRANSLATE($A2054,""en"",""fr"")"),"Szegé")</f>
        <v>Szegé</v>
      </c>
      <c r="E2054" s="9" t="str">
        <f>IFERROR(__xludf.DUMMYFUNCTION("GOOGLETRANSLATE($A2054,""en"",""es"")"),"Szeged")</f>
        <v>Szeged</v>
      </c>
      <c r="F2054" s="9" t="str">
        <f>IFERROR(__xludf.DUMMYFUNCTION("GOOGLETRANSLATE($A2054,""en"",""it"")"),"Seghedino")</f>
        <v>Seghedino</v>
      </c>
      <c r="G2054" s="9" t="str">
        <f>IFERROR(__xludf.DUMMYFUNCTION("GOOGLETRANSLATE($A2054,""en"",""zh-cn"")"),"塞格德")</f>
        <v>塞格德</v>
      </c>
      <c r="H2054" s="9" t="str">
        <f>IFERROR(__xludf.DUMMYFUNCTION("GOOGLETRANSLATE($A2054,""en"",""ja"")"),"セゲド")</f>
        <v>セゲド</v>
      </c>
      <c r="I2054" s="9" t="str">
        <f>IFERROR(__xludf.DUMMYFUNCTION("GOOGLETRANSLATE($A2054,""en"",""ko"")"),"세게드")</f>
        <v>세게드</v>
      </c>
      <c r="J2054" s="9" t="str">
        <f>IFERROR(__xludf.DUMMYFUNCTION("GOOGLETRANSLATE($A2054,""en"",""pt-BR"")"),"Szeged")</f>
        <v>Szeged</v>
      </c>
    </row>
    <row r="2055">
      <c r="A2055" s="9" t="str">
        <f>IFERROR(__xludf.DUMMYFUNCTION("""COMPUTED_VALUE"""),"Székesfehérvár")</f>
        <v>Székesfehérvár</v>
      </c>
      <c r="B2055" s="9" t="str">
        <f>IFERROR(__xludf.DUMMYFUNCTION("""COMPUTED_VALUE"""),"hu-sf")</f>
        <v>hu-sf</v>
      </c>
      <c r="C2055" s="9" t="str">
        <f>IFERROR(__xludf.DUMMYFUNCTION("GOOGLETRANSLATE($A2055,""en"",""de"")"),"Székesfehérvár")</f>
        <v>Székesfehérvár</v>
      </c>
      <c r="D2055" s="9" t="str">
        <f>IFERROR(__xludf.DUMMYFUNCTION("GOOGLETRANSLATE($A2055,""en"",""fr"")"),"Székesfehérvar")</f>
        <v>Székesfehérvar</v>
      </c>
      <c r="E2055" s="9" t="str">
        <f>IFERROR(__xludf.DUMMYFUNCTION("GOOGLETRANSLATE($A2055,""en"",""es"")"),"Székesfehérvár")</f>
        <v>Székesfehérvár</v>
      </c>
      <c r="F2055" s="9" t="str">
        <f>IFERROR(__xludf.DUMMYFUNCTION("GOOGLETRANSLATE($A2055,""en"",""it"")"),"Székesfehérvár")</f>
        <v>Székesfehérvár</v>
      </c>
      <c r="G2055" s="9" t="str">
        <f>IFERROR(__xludf.DUMMYFUNCTION("GOOGLETRANSLATE($A2055,""en"",""zh-cn"")"),"塞克希白堡")</f>
        <v>塞克希白堡</v>
      </c>
      <c r="H2055" s="9" t="str">
        <f>IFERROR(__xludf.DUMMYFUNCTION("GOOGLETRANSLATE($A2055,""en"",""ja"")"),"セーケシュフェヘールヴァール")</f>
        <v>セーケシュフェヘールヴァール</v>
      </c>
      <c r="I2055" s="9" t="str">
        <f>IFERROR(__xludf.DUMMYFUNCTION("GOOGLETRANSLATE($A2055,""en"",""ko"")"),"세케스페헤르바르")</f>
        <v>세케스페헤르바르</v>
      </c>
      <c r="J2055" s="9" t="str">
        <f>IFERROR(__xludf.DUMMYFUNCTION("GOOGLETRANSLATE($A2055,""en"",""pt-BR"")"),"Székesfehérvár")</f>
        <v>Székesfehérvár</v>
      </c>
    </row>
    <row r="2056">
      <c r="A2056" s="9" t="str">
        <f>IFERROR(__xludf.DUMMYFUNCTION("""COMPUTED_VALUE"""),"Szekszárd")</f>
        <v>Szekszárd</v>
      </c>
      <c r="B2056" s="9" t="str">
        <f>IFERROR(__xludf.DUMMYFUNCTION("""COMPUTED_VALUE"""),"hu-ss")</f>
        <v>hu-ss</v>
      </c>
      <c r="C2056" s="9" t="str">
        <f>IFERROR(__xludf.DUMMYFUNCTION("GOOGLETRANSLATE($A2056,""en"",""de"")"),"Szekszárd")</f>
        <v>Szekszárd</v>
      </c>
      <c r="D2056" s="9" t="str">
        <f>IFERROR(__xludf.DUMMYFUNCTION("GOOGLETRANSLATE($A2056,""en"",""fr"")"),"Szekszard")</f>
        <v>Szekszard</v>
      </c>
      <c r="E2056" s="9" t="str">
        <f>IFERROR(__xludf.DUMMYFUNCTION("GOOGLETRANSLATE($A2056,""en"",""es"")"),"Szekszárd")</f>
        <v>Szekszárd</v>
      </c>
      <c r="F2056" s="9" t="str">
        <f>IFERROR(__xludf.DUMMYFUNCTION("GOOGLETRANSLATE($A2056,""en"",""it"")"),"Szekszárd")</f>
        <v>Szekszárd</v>
      </c>
      <c r="G2056" s="9" t="str">
        <f>IFERROR(__xludf.DUMMYFUNCTION("GOOGLETRANSLATE($A2056,""en"",""zh-cn"")"),"塞克萨德")</f>
        <v>塞克萨德</v>
      </c>
      <c r="H2056" s="9" t="str">
        <f>IFERROR(__xludf.DUMMYFUNCTION("GOOGLETRANSLATE($A2056,""en"",""ja"")"),"シェクシャール")</f>
        <v>シェクシャール</v>
      </c>
      <c r="I2056" s="9" t="str">
        <f>IFERROR(__xludf.DUMMYFUNCTION("GOOGLETRANSLATE($A2056,""en"",""ko"")"),"섹자르드")</f>
        <v>섹자르드</v>
      </c>
      <c r="J2056" s="9" t="str">
        <f>IFERROR(__xludf.DUMMYFUNCTION("GOOGLETRANSLATE($A2056,""en"",""pt-BR"")"),"Szekszárd")</f>
        <v>Szekszárd</v>
      </c>
    </row>
    <row r="2057">
      <c r="A2057" s="9" t="str">
        <f>IFERROR(__xludf.DUMMYFUNCTION("""COMPUTED_VALUE"""),"Szolnok")</f>
        <v>Szolnok</v>
      </c>
      <c r="B2057" s="9" t="str">
        <f>IFERROR(__xludf.DUMMYFUNCTION("""COMPUTED_VALUE"""),"hu-sk")</f>
        <v>hu-sk</v>
      </c>
      <c r="C2057" s="9" t="str">
        <f>IFERROR(__xludf.DUMMYFUNCTION("GOOGLETRANSLATE($A2057,""en"",""de"")"),"Szolnok")</f>
        <v>Szolnok</v>
      </c>
      <c r="D2057" s="9" t="str">
        <f>IFERROR(__xludf.DUMMYFUNCTION("GOOGLETRANSLATE($A2057,""en"",""fr"")"),"Szolnok")</f>
        <v>Szolnok</v>
      </c>
      <c r="E2057" s="9" t="str">
        <f>IFERROR(__xludf.DUMMYFUNCTION("GOOGLETRANSLATE($A2057,""en"",""es"")"),"Szolnok")</f>
        <v>Szolnok</v>
      </c>
      <c r="F2057" s="9" t="str">
        <f>IFERROR(__xludf.DUMMYFUNCTION("GOOGLETRANSLATE($A2057,""en"",""it"")"),"Szolnok")</f>
        <v>Szolnok</v>
      </c>
      <c r="G2057" s="9" t="str">
        <f>IFERROR(__xludf.DUMMYFUNCTION("GOOGLETRANSLATE($A2057,""en"",""zh-cn"")"),"索尔诺克")</f>
        <v>索尔诺克</v>
      </c>
      <c r="H2057" s="9" t="str">
        <f>IFERROR(__xludf.DUMMYFUNCTION("GOOGLETRANSLATE($A2057,""en"",""ja"")"),"ソルノク")</f>
        <v>ソルノク</v>
      </c>
      <c r="I2057" s="9" t="str">
        <f>IFERROR(__xludf.DUMMYFUNCTION("GOOGLETRANSLATE($A2057,""en"",""ko"")"),"졸노크")</f>
        <v>졸노크</v>
      </c>
      <c r="J2057" s="9" t="str">
        <f>IFERROR(__xludf.DUMMYFUNCTION("GOOGLETRANSLATE($A2057,""en"",""pt-BR"")"),"Szolnok")</f>
        <v>Szolnok</v>
      </c>
    </row>
    <row r="2058">
      <c r="A2058" s="9" t="str">
        <f>IFERROR(__xludf.DUMMYFUNCTION("""COMPUTED_VALUE"""),"Pécs")</f>
        <v>Pécs</v>
      </c>
      <c r="B2058" s="9" t="str">
        <f>IFERROR(__xludf.DUMMYFUNCTION("""COMPUTED_VALUE"""),"hu-ps")</f>
        <v>hu-ps</v>
      </c>
      <c r="C2058" s="9" t="str">
        <f>IFERROR(__xludf.DUMMYFUNCTION("GOOGLETRANSLATE($A2058,""en"",""de"")"),"Pécs")</f>
        <v>Pécs</v>
      </c>
      <c r="D2058" s="9" t="str">
        <f>IFERROR(__xludf.DUMMYFUNCTION("GOOGLETRANSLATE($A2058,""en"",""fr"")"),"Pécs")</f>
        <v>Pécs</v>
      </c>
      <c r="E2058" s="9" t="str">
        <f>IFERROR(__xludf.DUMMYFUNCTION("GOOGLETRANSLATE($A2058,""en"",""es"")"),"Pécs")</f>
        <v>Pécs</v>
      </c>
      <c r="F2058" s="9" t="str">
        <f>IFERROR(__xludf.DUMMYFUNCTION("GOOGLETRANSLATE($A2058,""en"",""it"")"),"Pécs")</f>
        <v>Pécs</v>
      </c>
      <c r="G2058" s="9" t="str">
        <f>IFERROR(__xludf.DUMMYFUNCTION("GOOGLETRANSLATE($A2058,""en"",""zh-cn"")"),"佩奇")</f>
        <v>佩奇</v>
      </c>
      <c r="H2058" s="9" t="str">
        <f>IFERROR(__xludf.DUMMYFUNCTION("GOOGLETRANSLATE($A2058,""en"",""ja"")"),"ペーチ")</f>
        <v>ペーチ</v>
      </c>
      <c r="I2058" s="9" t="str">
        <f>IFERROR(__xludf.DUMMYFUNCTION("GOOGLETRANSLATE($A2058,""en"",""ko"")"),"펙스")</f>
        <v>펙스</v>
      </c>
      <c r="J2058" s="9" t="str">
        <f>IFERROR(__xludf.DUMMYFUNCTION("GOOGLETRANSLATE($A2058,""en"",""pt-BR"")"),"Pécs")</f>
        <v>Pécs</v>
      </c>
    </row>
    <row r="2059">
      <c r="A2059" s="9" t="str">
        <f>IFERROR(__xludf.DUMMYFUNCTION("""COMPUTED_VALUE"""),"Salgótarján")</f>
        <v>Salgótarján</v>
      </c>
      <c r="B2059" s="9" t="str">
        <f>IFERROR(__xludf.DUMMYFUNCTION("""COMPUTED_VALUE"""),"hu-st")</f>
        <v>hu-st</v>
      </c>
      <c r="C2059" s="9" t="str">
        <f>IFERROR(__xludf.DUMMYFUNCTION("GOOGLETRANSLATE($A2059,""en"",""de"")"),"Salgótarján")</f>
        <v>Salgótarján</v>
      </c>
      <c r="D2059" s="9" t="str">
        <f>IFERROR(__xludf.DUMMYFUNCTION("GOOGLETRANSLATE($A2059,""en"",""fr"")"),"Salgótarjan")</f>
        <v>Salgótarjan</v>
      </c>
      <c r="E2059" s="9" t="str">
        <f>IFERROR(__xludf.DUMMYFUNCTION("GOOGLETRANSLATE($A2059,""en"",""es"")"),"Salgótarján")</f>
        <v>Salgótarján</v>
      </c>
      <c r="F2059" s="9" t="str">
        <f>IFERROR(__xludf.DUMMYFUNCTION("GOOGLETRANSLATE($A2059,""en"",""it"")"),"Salgótarján")</f>
        <v>Salgótarján</v>
      </c>
      <c r="G2059" s="9" t="str">
        <f>IFERROR(__xludf.DUMMYFUNCTION("GOOGLETRANSLATE($A2059,""en"",""zh-cn"")"),"萨尔戈塔尔扬")</f>
        <v>萨尔戈塔尔扬</v>
      </c>
      <c r="H2059" s="9" t="str">
        <f>IFERROR(__xludf.DUMMYFUNCTION("GOOGLETRANSLATE($A2059,""en"",""ja"")"),"サルゴタルジャン")</f>
        <v>サルゴタルジャン</v>
      </c>
      <c r="I2059" s="9" t="str">
        <f>IFERROR(__xludf.DUMMYFUNCTION("GOOGLETRANSLATE($A2059,""en"",""ko"")"),"살고타르얀")</f>
        <v>살고타르얀</v>
      </c>
      <c r="J2059" s="9" t="str">
        <f>IFERROR(__xludf.DUMMYFUNCTION("GOOGLETRANSLATE($A2059,""en"",""pt-BR"")"),"Salgótarján")</f>
        <v>Salgótarján</v>
      </c>
    </row>
    <row r="2060">
      <c r="A2060" s="9" t="str">
        <f>IFERROR(__xludf.DUMMYFUNCTION("""COMPUTED_VALUE"""),"Sopron")</f>
        <v>Sopron</v>
      </c>
      <c r="B2060" s="9" t="str">
        <f>IFERROR(__xludf.DUMMYFUNCTION("""COMPUTED_VALUE"""),"hu-sn")</f>
        <v>hu-sn</v>
      </c>
      <c r="C2060" s="9" t="str">
        <f>IFERROR(__xludf.DUMMYFUNCTION("GOOGLETRANSLATE($A2060,""en"",""de"")"),"Sopron")</f>
        <v>Sopron</v>
      </c>
      <c r="D2060" s="9" t="str">
        <f>IFERROR(__xludf.DUMMYFUNCTION("GOOGLETRANSLATE($A2060,""en"",""fr"")"),"Sopron")</f>
        <v>Sopron</v>
      </c>
      <c r="E2060" s="9" t="str">
        <f>IFERROR(__xludf.DUMMYFUNCTION("GOOGLETRANSLATE($A2060,""en"",""es"")"),"sopron")</f>
        <v>sopron</v>
      </c>
      <c r="F2060" s="9" t="str">
        <f>IFERROR(__xludf.DUMMYFUNCTION("GOOGLETRANSLATE($A2060,""en"",""it"")"),"Sopron")</f>
        <v>Sopron</v>
      </c>
      <c r="G2060" s="9" t="str">
        <f>IFERROR(__xludf.DUMMYFUNCTION("GOOGLETRANSLATE($A2060,""en"",""zh-cn"")"),"肖普朗")</f>
        <v>肖普朗</v>
      </c>
      <c r="H2060" s="9" t="str">
        <f>IFERROR(__xludf.DUMMYFUNCTION("GOOGLETRANSLATE($A2060,""en"",""ja"")"),"ショプロン")</f>
        <v>ショプロン</v>
      </c>
      <c r="I2060" s="9" t="str">
        <f>IFERROR(__xludf.DUMMYFUNCTION("GOOGLETRANSLATE($A2060,""en"",""ko"")"),"쇼프론")</f>
        <v>쇼프론</v>
      </c>
      <c r="J2060" s="9" t="str">
        <f>IFERROR(__xludf.DUMMYFUNCTION("GOOGLETRANSLATE($A2060,""en"",""pt-BR"")"),"Sopron")</f>
        <v>Sopron</v>
      </c>
    </row>
    <row r="2061">
      <c r="A2061" s="9" t="str">
        <f>IFERROR(__xludf.DUMMYFUNCTION("""COMPUTED_VALUE"""),"Somogy")</f>
        <v>Somogy</v>
      </c>
      <c r="B2061" s="9" t="str">
        <f>IFERROR(__xludf.DUMMYFUNCTION("""COMPUTED_VALUE"""),"hu-so")</f>
        <v>hu-so</v>
      </c>
      <c r="C2061" s="9" t="str">
        <f>IFERROR(__xludf.DUMMYFUNCTION("GOOGLETRANSLATE($A2061,""en"",""de"")"),"Somogy")</f>
        <v>Somogy</v>
      </c>
      <c r="D2061" s="9" t="str">
        <f>IFERROR(__xludf.DUMMYFUNCTION("GOOGLETRANSLATE($A2061,""en"",""fr"")"),"Somogie")</f>
        <v>Somogie</v>
      </c>
      <c r="E2061" s="9" t="str">
        <f>IFERROR(__xludf.DUMMYFUNCTION("GOOGLETRANSLATE($A2061,""en"",""es"")"),"somogía")</f>
        <v>somogía</v>
      </c>
      <c r="F2061" s="9" t="str">
        <f>IFERROR(__xludf.DUMMYFUNCTION("GOOGLETRANSLATE($A2061,""en"",""it"")"),"Somogia")</f>
        <v>Somogia</v>
      </c>
      <c r="G2061" s="9" t="str">
        <f>IFERROR(__xludf.DUMMYFUNCTION("GOOGLETRANSLATE($A2061,""en"",""zh-cn"")"),"绍莫吉")</f>
        <v>绍莫吉</v>
      </c>
      <c r="H2061" s="9" t="str">
        <f>IFERROR(__xludf.DUMMYFUNCTION("GOOGLETRANSLATE($A2061,""en"",""ja"")"),"ソモジ")</f>
        <v>ソモジ</v>
      </c>
      <c r="I2061" s="9" t="str">
        <f>IFERROR(__xludf.DUMMYFUNCTION("GOOGLETRANSLATE($A2061,""en"",""ko"")"),"소모기")</f>
        <v>소모기</v>
      </c>
      <c r="J2061" s="9" t="str">
        <f>IFERROR(__xludf.DUMMYFUNCTION("GOOGLETRANSLATE($A2061,""en"",""pt-BR"")"),"Somogia")</f>
        <v>Somogia</v>
      </c>
    </row>
    <row r="2062">
      <c r="A2062" s="9" t="str">
        <f>IFERROR(__xludf.DUMMYFUNCTION("""COMPUTED_VALUE"""),"Pest")</f>
        <v>Pest</v>
      </c>
      <c r="B2062" s="9" t="str">
        <f>IFERROR(__xludf.DUMMYFUNCTION("""COMPUTED_VALUE"""),"hu-pe")</f>
        <v>hu-pe</v>
      </c>
      <c r="C2062" s="9" t="str">
        <f>IFERROR(__xludf.DUMMYFUNCTION("GOOGLETRANSLATE($A2062,""en"",""de"")"),"Pest")</f>
        <v>Pest</v>
      </c>
      <c r="D2062" s="9" t="str">
        <f>IFERROR(__xludf.DUMMYFUNCTION("GOOGLETRANSLATE($A2062,""en"",""fr"")"),"Ravageur")</f>
        <v>Ravageur</v>
      </c>
      <c r="E2062" s="9" t="str">
        <f>IFERROR(__xludf.DUMMYFUNCTION("GOOGLETRANSLATE($A2062,""en"",""es"")"),"Parásito")</f>
        <v>Parásito</v>
      </c>
      <c r="F2062" s="9" t="str">
        <f>IFERROR(__xludf.DUMMYFUNCTION("GOOGLETRANSLATE($A2062,""en"",""it"")"),"Parassita")</f>
        <v>Parassita</v>
      </c>
      <c r="G2062" s="9" t="str">
        <f>IFERROR(__xludf.DUMMYFUNCTION("GOOGLETRANSLATE($A2062,""en"",""zh-cn"")"),"害虫")</f>
        <v>害虫</v>
      </c>
      <c r="H2062" s="9" t="str">
        <f>IFERROR(__xludf.DUMMYFUNCTION("GOOGLETRANSLATE($A2062,""en"",""ja"")"),"害虫")</f>
        <v>害虫</v>
      </c>
      <c r="I2062" s="9" t="str">
        <f>IFERROR(__xludf.DUMMYFUNCTION("GOOGLETRANSLATE($A2062,""en"",""ko"")"),"해충")</f>
        <v>해충</v>
      </c>
      <c r="J2062" s="9" t="str">
        <f>IFERROR(__xludf.DUMMYFUNCTION("GOOGLETRANSLATE($A2062,""en"",""pt-BR"")"),"Praga")</f>
        <v>Praga</v>
      </c>
    </row>
    <row r="2063">
      <c r="A2063" s="9" t="str">
        <f>IFERROR(__xludf.DUMMYFUNCTION("""COMPUTED_VALUE"""),"Austurland")</f>
        <v>Austurland</v>
      </c>
      <c r="B2063" s="9" t="str">
        <f>IFERROR(__xludf.DUMMYFUNCTION("""COMPUTED_VALUE"""),"is-7")</f>
        <v>is-7</v>
      </c>
      <c r="C2063" s="9" t="str">
        <f>IFERROR(__xludf.DUMMYFUNCTION("GOOGLETRANSLATE($A2063,""en"",""de"")"),"Austurland")</f>
        <v>Austurland</v>
      </c>
      <c r="D2063" s="9" t="str">
        <f>IFERROR(__xludf.DUMMYFUNCTION("GOOGLETRANSLATE($A2063,""en"",""fr"")"),"Austurland")</f>
        <v>Austurland</v>
      </c>
      <c r="E2063" s="9" t="str">
        <f>IFERROR(__xludf.DUMMYFUNCTION("GOOGLETRANSLATE($A2063,""en"",""es"")"),"Austurlandia")</f>
        <v>Austurlandia</v>
      </c>
      <c r="F2063" s="9" t="str">
        <f>IFERROR(__xludf.DUMMYFUNCTION("GOOGLETRANSLATE($A2063,""en"",""it"")"),"Austurland")</f>
        <v>Austurland</v>
      </c>
      <c r="G2063" s="9" t="str">
        <f>IFERROR(__xludf.DUMMYFUNCTION("GOOGLETRANSLATE($A2063,""en"",""zh-cn"")"),"奥斯特兰")</f>
        <v>奥斯特兰</v>
      </c>
      <c r="H2063" s="9" t="str">
        <f>IFERROR(__xludf.DUMMYFUNCTION("GOOGLETRANSLATE($A2063,""en"",""ja"")"),"アウストゥルラント")</f>
        <v>アウストゥルラント</v>
      </c>
      <c r="I2063" s="9" t="str">
        <f>IFERROR(__xludf.DUMMYFUNCTION("GOOGLETRANSLATE($A2063,""en"",""ko"")"),"아우스터란트")</f>
        <v>아우스터란트</v>
      </c>
      <c r="J2063" s="9" t="str">
        <f>IFERROR(__xludf.DUMMYFUNCTION("GOOGLETRANSLATE($A2063,""en"",""pt-BR"")"),"Austurlândia")</f>
        <v>Austurlândia</v>
      </c>
    </row>
    <row r="2064">
      <c r="A2064" s="9" t="str">
        <f>IFERROR(__xludf.DUMMYFUNCTION("""COMPUTED_VALUE"""),"Höfuðborgarsvæði")</f>
        <v>Höfuðborgarsvæði</v>
      </c>
      <c r="B2064" s="9" t="str">
        <f>IFERROR(__xludf.DUMMYFUNCTION("""COMPUTED_VALUE"""),"is-1")</f>
        <v>is-1</v>
      </c>
      <c r="C2064" s="9" t="str">
        <f>IFERROR(__xludf.DUMMYFUNCTION("GOOGLETRANSLATE($A2064,""en"",""de"")"),"Höfuðborgarsvæði")</f>
        <v>Höfuðborgarsvæði</v>
      </c>
      <c r="D2064" s="9" t="str">
        <f>IFERROR(__xludf.DUMMYFUNCTION("GOOGLETRANSLATE($A2064,""en"",""fr"")"),"Höfuðborgarsvæði")</f>
        <v>Höfuðborgarsvæði</v>
      </c>
      <c r="E2064" s="9" t="str">
        <f>IFERROR(__xludf.DUMMYFUNCTION("GOOGLETRANSLATE($A2064,""en"",""es"")"),"Höfuðborgarsvæði")</f>
        <v>Höfuðborgarsvæði</v>
      </c>
      <c r="F2064" s="9" t="str">
        <f>IFERROR(__xludf.DUMMYFUNCTION("GOOGLETRANSLATE($A2064,""en"",""it"")"),"Höfuðborgarsvæði")</f>
        <v>Höfuðborgarsvæði</v>
      </c>
      <c r="G2064" s="9" t="str">
        <f>IFERROR(__xludf.DUMMYFUNCTION("GOOGLETRANSLATE($A2064,""en"",""zh-cn"")"),"霍夫堡加斯瓦迪")</f>
        <v>霍夫堡加斯瓦迪</v>
      </c>
      <c r="H2064" s="9" t="str">
        <f>IFERROR(__xludf.DUMMYFUNCTION("GOOGLETRANSLATE($A2064,""en"",""ja"")"),"ホフズボルガルスヴァジ")</f>
        <v>ホフズボルガルスヴァジ</v>
      </c>
      <c r="I2064" s="9" t="str">
        <f>IFERROR(__xludf.DUMMYFUNCTION("GOOGLETRANSLATE($A2064,""en"",""ko"")"),"Höfuðborgarsvæði")</f>
        <v>Höfuðborgarsvæði</v>
      </c>
      <c r="J2064" s="9" t="str">
        <f>IFERROR(__xludf.DUMMYFUNCTION("GOOGLETRANSLATE($A2064,""en"",""pt-BR"")"),"Höfuðborgarsvæði")</f>
        <v>Höfuðborgarsvæði</v>
      </c>
    </row>
    <row r="2065">
      <c r="A2065" s="9" t="str">
        <f>IFERROR(__xludf.DUMMYFUNCTION("""COMPUTED_VALUE"""),"Norðurland eystra")</f>
        <v>Norðurland eystra</v>
      </c>
      <c r="B2065" s="9" t="str">
        <f>IFERROR(__xludf.DUMMYFUNCTION("""COMPUTED_VALUE"""),"is-6")</f>
        <v>is-6</v>
      </c>
      <c r="C2065" s="9" t="str">
        <f>IFERROR(__xludf.DUMMYFUNCTION("GOOGLETRANSLATE($A2065,""en"",""de"")"),"Norðurland eystra")</f>
        <v>Norðurland eystra</v>
      </c>
      <c r="D2065" s="9" t="str">
        <f>IFERROR(__xludf.DUMMYFUNCTION("GOOGLETRANSLATE($A2065,""en"",""fr"")"),"eystre du Norðurland")</f>
        <v>eystre du Norðurland</v>
      </c>
      <c r="E2065" s="9" t="str">
        <f>IFERROR(__xludf.DUMMYFUNCTION("GOOGLETRANSLATE($A2065,""en"",""es"")"),"Eystra de Norðurland")</f>
        <v>Eystra de Norðurland</v>
      </c>
      <c r="F2065" s="9" t="str">
        <f>IFERROR(__xludf.DUMMYFUNCTION("GOOGLETRANSLATE($A2065,""en"",""it"")"),"Norðurland eystra")</f>
        <v>Norðurland eystra</v>
      </c>
      <c r="G2065" s="9" t="str">
        <f>IFERROR(__xludf.DUMMYFUNCTION("GOOGLETRANSLATE($A2065,""en"",""zh-cn"")"),"北欧群岛")</f>
        <v>北欧群岛</v>
      </c>
      <c r="H2065" s="9" t="str">
        <f>IFERROR(__xludf.DUMMYFUNCTION("GOOGLETRANSLATE($A2065,""en"",""ja"")"),"ノルズルランド・エイストラ")</f>
        <v>ノルズルランド・エイストラ</v>
      </c>
      <c r="I2065" s="9" t="str">
        <f>IFERROR(__xludf.DUMMYFUNCTION("GOOGLETRANSLATE($A2065,""en"",""ko"")"),"노르뒤를란트 에이스트라")</f>
        <v>노르뒤를란트 에이스트라</v>
      </c>
      <c r="J2065" s="9" t="str">
        <f>IFERROR(__xludf.DUMMYFUNCTION("GOOGLETRANSLATE($A2065,""en"",""pt-BR"")"),"Eystra de Norðurland")</f>
        <v>Eystra de Norðurland</v>
      </c>
    </row>
    <row r="2066">
      <c r="A2066" s="9" t="str">
        <f>IFERROR(__xludf.DUMMYFUNCTION("""COMPUTED_VALUE"""),"Norðurland vestra")</f>
        <v>Norðurland vestra</v>
      </c>
      <c r="B2066" s="9" t="str">
        <f>IFERROR(__xludf.DUMMYFUNCTION("""COMPUTED_VALUE"""),"is-5")</f>
        <v>is-5</v>
      </c>
      <c r="C2066" s="9" t="str">
        <f>IFERROR(__xludf.DUMMYFUNCTION("GOOGLETRANSLATE($A2066,""en"",""de"")"),"Norðurland Vestra")</f>
        <v>Norðurland Vestra</v>
      </c>
      <c r="D2066" s="9" t="str">
        <f>IFERROR(__xludf.DUMMYFUNCTION("GOOGLETRANSLATE($A2066,""en"",""fr"")"),"Vestra du Norðurland")</f>
        <v>Vestra du Norðurland</v>
      </c>
      <c r="E2066" s="9" t="str">
        <f>IFERROR(__xludf.DUMMYFUNCTION("GOOGLETRANSLATE($A2066,""en"",""es"")"),"Vestra de Norðurland")</f>
        <v>Vestra de Norðurland</v>
      </c>
      <c r="F2066" s="9" t="str">
        <f>IFERROR(__xludf.DUMMYFUNCTION("GOOGLETRANSLATE($A2066,""en"",""it"")"),"Norðurland vestra")</f>
        <v>Norðurland vestra</v>
      </c>
      <c r="G2066" s="9" t="str">
        <f>IFERROR(__xludf.DUMMYFUNCTION("GOOGLETRANSLATE($A2066,""en"",""zh-cn"")"),"北欧国家议会")</f>
        <v>北欧国家议会</v>
      </c>
      <c r="H2066" s="9" t="str">
        <f>IFERROR(__xludf.DUMMYFUNCTION("GOOGLETRANSLATE($A2066,""en"",""ja"")"),"ノルズランド ベストラ")</f>
        <v>ノルズランド ベストラ</v>
      </c>
      <c r="I2066" s="9" t="str">
        <f>IFERROR(__xludf.DUMMYFUNCTION("GOOGLETRANSLATE($A2066,""en"",""ko"")"),"Norðurland 베스트라")</f>
        <v>Norðurland 베스트라</v>
      </c>
      <c r="J2066" s="9" t="str">
        <f>IFERROR(__xludf.DUMMYFUNCTION("GOOGLETRANSLATE($A2066,""en"",""pt-BR"")"),"Norðurland vestra")</f>
        <v>Norðurland vestra</v>
      </c>
    </row>
    <row r="2067">
      <c r="A2067" s="9" t="str">
        <f>IFERROR(__xludf.DUMMYFUNCTION("""COMPUTED_VALUE"""),"Vesturland")</f>
        <v>Vesturland</v>
      </c>
      <c r="B2067" s="9" t="str">
        <f>IFERROR(__xludf.DUMMYFUNCTION("""COMPUTED_VALUE"""),"is-3")</f>
        <v>is-3</v>
      </c>
      <c r="C2067" s="9" t="str">
        <f>IFERROR(__xludf.DUMMYFUNCTION("GOOGLETRANSLATE($A2067,""en"",""de"")"),"Vesturland")</f>
        <v>Vesturland</v>
      </c>
      <c r="D2067" s="9" t="str">
        <f>IFERROR(__xludf.DUMMYFUNCTION("GOOGLETRANSLATE($A2067,""en"",""fr"")"),"Vesturland")</f>
        <v>Vesturland</v>
      </c>
      <c r="E2067" s="9" t="str">
        <f>IFERROR(__xludf.DUMMYFUNCTION("GOOGLETRANSLATE($A2067,""en"",""es"")"),"Vesturlandia")</f>
        <v>Vesturlandia</v>
      </c>
      <c r="F2067" s="9" t="str">
        <f>IFERROR(__xludf.DUMMYFUNCTION("GOOGLETRANSLATE($A2067,""en"",""it"")"),"Vesturland")</f>
        <v>Vesturland</v>
      </c>
      <c r="G2067" s="9" t="str">
        <f>IFERROR(__xludf.DUMMYFUNCTION("GOOGLETRANSLATE($A2067,""en"",""zh-cn"")"),"维斯特兰德")</f>
        <v>维斯特兰德</v>
      </c>
      <c r="H2067" s="9" t="str">
        <f>IFERROR(__xludf.DUMMYFUNCTION("GOOGLETRANSLATE($A2067,""en"",""ja"")"),"ヴェストゥルランド")</f>
        <v>ヴェストゥルランド</v>
      </c>
      <c r="I2067" s="9" t="str">
        <f>IFERROR(__xludf.DUMMYFUNCTION("GOOGLETRANSLATE($A2067,""en"",""ko"")"),"베스툴란트")</f>
        <v>베스툴란트</v>
      </c>
      <c r="J2067" s="9" t="str">
        <f>IFERROR(__xludf.DUMMYFUNCTION("GOOGLETRANSLATE($A2067,""en"",""pt-BR"")"),"Vesturlândia")</f>
        <v>Vesturlândia</v>
      </c>
    </row>
    <row r="2068">
      <c r="A2068" s="9" t="str">
        <f>IFERROR(__xludf.DUMMYFUNCTION("""COMPUTED_VALUE"""),"Reykjavík")</f>
        <v>Reykjavík</v>
      </c>
      <c r="B2068" s="9" t="str">
        <f>IFERROR(__xludf.DUMMYFUNCTION("""COMPUTED_VALUE"""),"is-0")</f>
        <v>is-0</v>
      </c>
      <c r="C2068" s="9" t="str">
        <f>IFERROR(__xludf.DUMMYFUNCTION("GOOGLETRANSLATE($A2068,""en"",""de"")"),"Reykjavik")</f>
        <v>Reykjavik</v>
      </c>
      <c r="D2068" s="9" t="str">
        <f>IFERROR(__xludf.DUMMYFUNCTION("GOOGLETRANSLATE($A2068,""en"",""fr"")"),"Reykjavik")</f>
        <v>Reykjavik</v>
      </c>
      <c r="E2068" s="9" t="str">
        <f>IFERROR(__xludf.DUMMYFUNCTION("GOOGLETRANSLATE($A2068,""en"",""es"")"),"Reikiavik")</f>
        <v>Reikiavik</v>
      </c>
      <c r="F2068" s="9" t="str">
        <f>IFERROR(__xludf.DUMMYFUNCTION("GOOGLETRANSLATE($A2068,""en"",""it"")"),"Reykjavík")</f>
        <v>Reykjavík</v>
      </c>
      <c r="G2068" s="9" t="str">
        <f>IFERROR(__xludf.DUMMYFUNCTION("GOOGLETRANSLATE($A2068,""en"",""zh-cn"")"),"雷克雅未克")</f>
        <v>雷克雅未克</v>
      </c>
      <c r="H2068" s="9" t="str">
        <f>IFERROR(__xludf.DUMMYFUNCTION("GOOGLETRANSLATE($A2068,""en"",""ja"")"),"レイキャビク")</f>
        <v>レイキャビク</v>
      </c>
      <c r="I2068" s="9" t="str">
        <f>IFERROR(__xludf.DUMMYFUNCTION("GOOGLETRANSLATE($A2068,""en"",""ko"")"),"레이캬비크")</f>
        <v>레이캬비크</v>
      </c>
      <c r="J2068" s="9" t="str">
        <f>IFERROR(__xludf.DUMMYFUNCTION("GOOGLETRANSLATE($A2068,""en"",""pt-BR"")"),"Reiquiavique")</f>
        <v>Reiquiavique</v>
      </c>
    </row>
    <row r="2069">
      <c r="A2069" s="9" t="str">
        <f>IFERROR(__xludf.DUMMYFUNCTION("""COMPUTED_VALUE"""),"Suðurland")</f>
        <v>Suðurland</v>
      </c>
      <c r="B2069" s="9" t="str">
        <f>IFERROR(__xludf.DUMMYFUNCTION("""COMPUTED_VALUE"""),"is-8")</f>
        <v>is-8</v>
      </c>
      <c r="C2069" s="9" t="str">
        <f>IFERROR(__xludf.DUMMYFUNCTION("GOOGLETRANSLATE($A2069,""en"",""de"")"),"Suðurland")</f>
        <v>Suðurland</v>
      </c>
      <c r="D2069" s="9" t="str">
        <f>IFERROR(__xludf.DUMMYFUNCTION("GOOGLETRANSLATE($A2069,""en"",""fr"")"),"Sudurland")</f>
        <v>Sudurland</v>
      </c>
      <c r="E2069" s="9" t="str">
        <f>IFERROR(__xludf.DUMMYFUNCTION("GOOGLETRANSLATE($A2069,""en"",""es"")"),"Suðurlandia")</f>
        <v>Suðurlandia</v>
      </c>
      <c r="F2069" s="9" t="str">
        <f>IFERROR(__xludf.DUMMYFUNCTION("GOOGLETRANSLATE($A2069,""en"",""it"")"),"Sudurland")</f>
        <v>Sudurland</v>
      </c>
      <c r="G2069" s="9" t="str">
        <f>IFERROR(__xludf.DUMMYFUNCTION("GOOGLETRANSLATE($A2069,""en"",""zh-cn"")"),"南国")</f>
        <v>南国</v>
      </c>
      <c r="H2069" s="9" t="str">
        <f>IFERROR(__xludf.DUMMYFUNCTION("GOOGLETRANSLATE($A2069,""en"",""ja"")"),"スズルランド")</f>
        <v>スズルランド</v>
      </c>
      <c r="I2069" s="9" t="str">
        <f>IFERROR(__xludf.DUMMYFUNCTION("GOOGLETRANSLATE($A2069,""en"",""ko"")"),"쉬뒤를란드")</f>
        <v>쉬뒤를란드</v>
      </c>
      <c r="J2069" s="9" t="str">
        <f>IFERROR(__xludf.DUMMYFUNCTION("GOOGLETRANSLATE($A2069,""en"",""pt-BR"")"),"Suðurland")</f>
        <v>Suðurland</v>
      </c>
    </row>
    <row r="2070">
      <c r="A2070" s="9" t="str">
        <f>IFERROR(__xludf.DUMMYFUNCTION("""COMPUTED_VALUE"""),"Suðurnes")</f>
        <v>Suðurnes</v>
      </c>
      <c r="B2070" s="9" t="str">
        <f>IFERROR(__xludf.DUMMYFUNCTION("""COMPUTED_VALUE"""),"is-2")</f>
        <v>is-2</v>
      </c>
      <c r="C2070" s="9" t="str">
        <f>IFERROR(__xludf.DUMMYFUNCTION("GOOGLETRANSLATE($A2070,""en"",""de"")"),"Suðurnes")</f>
        <v>Suðurnes</v>
      </c>
      <c r="D2070" s="9" t="str">
        <f>IFERROR(__xludf.DUMMYFUNCTION("GOOGLETRANSLATE($A2070,""en"",""fr"")"),"Sudurnes")</f>
        <v>Sudurnes</v>
      </c>
      <c r="E2070" s="9" t="str">
        <f>IFERROR(__xludf.DUMMYFUNCTION("GOOGLETRANSLATE($A2070,""en"",""es"")"),"Suðurnes")</f>
        <v>Suðurnes</v>
      </c>
      <c r="F2070" s="9" t="str">
        <f>IFERROR(__xludf.DUMMYFUNCTION("GOOGLETRANSLATE($A2070,""en"",""it"")"),"Suðurnes")</f>
        <v>Suðurnes</v>
      </c>
      <c r="G2070" s="9" t="str">
        <f>IFERROR(__xludf.DUMMYFUNCTION("GOOGLETRANSLATE($A2070,""en"",""zh-cn"")"),"南都内斯")</f>
        <v>南都内斯</v>
      </c>
      <c r="H2070" s="9" t="str">
        <f>IFERROR(__xludf.DUMMYFUNCTION("GOOGLETRANSLATE($A2070,""en"",""ja"")"),"スズルネス")</f>
        <v>スズルネス</v>
      </c>
      <c r="I2070" s="9" t="str">
        <f>IFERROR(__xludf.DUMMYFUNCTION("GOOGLETRANSLATE($A2070,""en"",""ko"")"),"쉬두르네스")</f>
        <v>쉬두르네스</v>
      </c>
      <c r="J2070" s="9" t="str">
        <f>IFERROR(__xludf.DUMMYFUNCTION("GOOGLETRANSLATE($A2070,""en"",""pt-BR"")"),"Suðurnes")</f>
        <v>Suðurnes</v>
      </c>
    </row>
    <row r="2071">
      <c r="A2071" s="9" t="str">
        <f>IFERROR(__xludf.DUMMYFUNCTION("""COMPUTED_VALUE"""),"Vestfirðir")</f>
        <v>Vestfirðir</v>
      </c>
      <c r="B2071" s="9" t="str">
        <f>IFERROR(__xludf.DUMMYFUNCTION("""COMPUTED_VALUE"""),"is-4")</f>
        <v>is-4</v>
      </c>
      <c r="C2071" s="9" t="str">
        <f>IFERROR(__xludf.DUMMYFUNCTION("GOOGLETRANSLATE($A2071,""en"",""de"")"),"Vestfirðir")</f>
        <v>Vestfirðir</v>
      </c>
      <c r="D2071" s="9" t="str">
        <f>IFERROR(__xludf.DUMMYFUNCTION("GOOGLETRANSLATE($A2071,""en"",""fr"")"),"Vestfirðir")</f>
        <v>Vestfirðir</v>
      </c>
      <c r="E2071" s="9" t="str">
        <f>IFERROR(__xludf.DUMMYFUNCTION("GOOGLETRANSLATE($A2071,""en"",""es"")"),"Vestfirðir")</f>
        <v>Vestfirðir</v>
      </c>
      <c r="F2071" s="9" t="str">
        <f>IFERROR(__xludf.DUMMYFUNCTION("GOOGLETRANSLATE($A2071,""en"",""it"")"),"Vestfirðir")</f>
        <v>Vestfirðir</v>
      </c>
      <c r="G2071" s="9" t="str">
        <f>IFERROR(__xludf.DUMMYFUNCTION("GOOGLETRANSLATE($A2071,""en"",""zh-cn"")"),"韦斯特菲尔济")</f>
        <v>韦斯特菲尔济</v>
      </c>
      <c r="H2071" s="9" t="str">
        <f>IFERROR(__xludf.DUMMYFUNCTION("GOOGLETRANSLATE($A2071,""en"",""ja"")"),"ヴェストフィルズ")</f>
        <v>ヴェストフィルズ</v>
      </c>
      <c r="I2071" s="9" t="str">
        <f>IFERROR(__xludf.DUMMYFUNCTION("GOOGLETRANSLATE($A2071,""en"",""ko"")"),"베스트피르디르")</f>
        <v>베스트피르디르</v>
      </c>
      <c r="J2071" s="9" t="str">
        <f>IFERROR(__xludf.DUMMYFUNCTION("GOOGLETRANSLATE($A2071,""en"",""pt-BR"")"),"Vestfirðir")</f>
        <v>Vestfirðir</v>
      </c>
    </row>
    <row r="2072">
      <c r="A2072" s="9" t="str">
        <f>IFERROR(__xludf.DUMMYFUNCTION("""COMPUTED_VALUE"""),"Akrahreppur")</f>
        <v>Akrahreppur</v>
      </c>
      <c r="B2072" s="9" t="str">
        <f>IFERROR(__xludf.DUMMYFUNCTION("""COMPUTED_VALUE"""),"is-akh")</f>
        <v>is-akh</v>
      </c>
      <c r="C2072" s="9" t="str">
        <f>IFERROR(__xludf.DUMMYFUNCTION("GOOGLETRANSLATE($A2072,""en"",""de"")"),"Akrahreppur")</f>
        <v>Akrahreppur</v>
      </c>
      <c r="D2072" s="9" t="str">
        <f>IFERROR(__xludf.DUMMYFUNCTION("GOOGLETRANSLATE($A2072,""en"",""fr"")"),"Akrahreppur")</f>
        <v>Akrahreppur</v>
      </c>
      <c r="E2072" s="9" t="str">
        <f>IFERROR(__xludf.DUMMYFUNCTION("GOOGLETRANSLATE($A2072,""en"",""es"")"),"Akrahreppur")</f>
        <v>Akrahreppur</v>
      </c>
      <c r="F2072" s="9" t="str">
        <f>IFERROR(__xludf.DUMMYFUNCTION("GOOGLETRANSLATE($A2072,""en"",""it"")"),"Akrahreppur")</f>
        <v>Akrahreppur</v>
      </c>
      <c r="G2072" s="9" t="str">
        <f>IFERROR(__xludf.DUMMYFUNCTION("GOOGLETRANSLATE($A2072,""en"",""zh-cn"")"),"阿克拉勒普尔")</f>
        <v>阿克拉勒普尔</v>
      </c>
      <c r="H2072" s="9" t="str">
        <f>IFERROR(__xludf.DUMMYFUNCTION("GOOGLETRANSLATE($A2072,""en"",""ja"")"),"アクラレプール")</f>
        <v>アクラレプール</v>
      </c>
      <c r="I2072" s="9" t="str">
        <f>IFERROR(__xludf.DUMMYFUNCTION("GOOGLETRANSLATE($A2072,""en"",""ko"")"),"아크라레푸르")</f>
        <v>아크라레푸르</v>
      </c>
      <c r="J2072" s="9" t="str">
        <f>IFERROR(__xludf.DUMMYFUNCTION("GOOGLETRANSLATE($A2072,""en"",""pt-BR"")"),"Akrahrepur")</f>
        <v>Akrahrepur</v>
      </c>
    </row>
    <row r="2073">
      <c r="A2073" s="9" t="str">
        <f>IFERROR(__xludf.DUMMYFUNCTION("""COMPUTED_VALUE"""),"Árneshreppur")</f>
        <v>Árneshreppur</v>
      </c>
      <c r="B2073" s="9" t="str">
        <f>IFERROR(__xludf.DUMMYFUNCTION("""COMPUTED_VALUE"""),"is-arn")</f>
        <v>is-arn</v>
      </c>
      <c r="C2073" s="9" t="str">
        <f>IFERROR(__xludf.DUMMYFUNCTION("GOOGLETRANSLATE($A2073,""en"",""de"")"),"Arneshreppur")</f>
        <v>Arneshreppur</v>
      </c>
      <c r="D2073" s="9" t="str">
        <f>IFERROR(__xludf.DUMMYFUNCTION("GOOGLETRANSLATE($A2073,""en"",""fr"")"),"Arneshreppur")</f>
        <v>Arneshreppur</v>
      </c>
      <c r="E2073" s="9" t="str">
        <f>IFERROR(__xludf.DUMMYFUNCTION("GOOGLETRANSLATE($A2073,""en"",""es"")"),"Árneshreppur")</f>
        <v>Árneshreppur</v>
      </c>
      <c r="F2073" s="9" t="str">
        <f>IFERROR(__xludf.DUMMYFUNCTION("GOOGLETRANSLATE($A2073,""en"",""it"")"),"Árneshreppur")</f>
        <v>Árneshreppur</v>
      </c>
      <c r="G2073" s="9" t="str">
        <f>IFERROR(__xludf.DUMMYFUNCTION("GOOGLETRANSLATE($A2073,""en"",""zh-cn"")"),"阿内什雷普尔")</f>
        <v>阿内什雷普尔</v>
      </c>
      <c r="H2073" s="9" t="str">
        <f>IFERROR(__xludf.DUMMYFUNCTION("GOOGLETRANSLATE($A2073,""en"",""ja"")"),"アルネシュレプール")</f>
        <v>アルネシュレプール</v>
      </c>
      <c r="I2073" s="9" t="str">
        <f>IFERROR(__xludf.DUMMYFUNCTION("GOOGLETRANSLATE($A2073,""en"",""ko"")"),"아르네슈레푸르")</f>
        <v>아르네슈레푸르</v>
      </c>
      <c r="J2073" s="9" t="str">
        <f>IFERROR(__xludf.DUMMYFUNCTION("GOOGLETRANSLATE($A2073,""en"",""pt-BR"")"),"Árneshreppur")</f>
        <v>Árneshreppur</v>
      </c>
    </row>
    <row r="2074">
      <c r="A2074" s="9" t="str">
        <f>IFERROR(__xludf.DUMMYFUNCTION("""COMPUTED_VALUE"""),"Akureyrarbær")</f>
        <v>Akureyrarbær</v>
      </c>
      <c r="B2074" s="9" t="str">
        <f>IFERROR(__xludf.DUMMYFUNCTION("""COMPUTED_VALUE"""),"is-aku")</f>
        <v>is-aku</v>
      </c>
      <c r="C2074" s="9" t="str">
        <f>IFERROR(__xludf.DUMMYFUNCTION("GOOGLETRANSLATE($A2074,""en"",""de"")"),"Akureyrarbær")</f>
        <v>Akureyrarbær</v>
      </c>
      <c r="D2074" s="9" t="str">
        <f>IFERROR(__xludf.DUMMYFUNCTION("GOOGLETRANSLATE($A2074,""en"",""fr"")"),"Akureyrarbær")</f>
        <v>Akureyrarbær</v>
      </c>
      <c r="E2074" s="9" t="str">
        <f>IFERROR(__xludf.DUMMYFUNCTION("GOOGLETRANSLATE($A2074,""en"",""es"")"),"Akureyrarbær")</f>
        <v>Akureyrarbær</v>
      </c>
      <c r="F2074" s="9" t="str">
        <f>IFERROR(__xludf.DUMMYFUNCTION("GOOGLETRANSLATE($A2074,""en"",""it"")"),"Akureyrarbær")</f>
        <v>Akureyrarbær</v>
      </c>
      <c r="G2074" s="9" t="str">
        <f>IFERROR(__xludf.DUMMYFUNCTION("GOOGLETRANSLATE($A2074,""en"",""zh-cn"")"),"阿库雷拉贝尔")</f>
        <v>阿库雷拉贝尔</v>
      </c>
      <c r="H2074" s="9" t="str">
        <f>IFERROR(__xludf.DUMMYFUNCTION("GOOGLETRANSLATE($A2074,""en"",""ja"")"),"アークレイラルバイル")</f>
        <v>アークレイラルバイル</v>
      </c>
      <c r="I2074" s="9" t="str">
        <f>IFERROR(__xludf.DUMMYFUNCTION("GOOGLETRANSLATE($A2074,""en"",""ko"")"),"아쿠레이라르바이르")</f>
        <v>아쿠레이라르바이르</v>
      </c>
      <c r="J2074" s="9" t="str">
        <f>IFERROR(__xludf.DUMMYFUNCTION("GOOGLETRANSLATE($A2074,""en"",""pt-BR"")"),"Akureyrarbær")</f>
        <v>Akureyrarbær</v>
      </c>
    </row>
    <row r="2075">
      <c r="A2075" s="9" t="str">
        <f>IFERROR(__xludf.DUMMYFUNCTION("""COMPUTED_VALUE"""),"Akraneskaupstaður")</f>
        <v>Akraneskaupstaður</v>
      </c>
      <c r="B2075" s="9" t="str">
        <f>IFERROR(__xludf.DUMMYFUNCTION("""COMPUTED_VALUE"""),"is-akn")</f>
        <v>is-akn</v>
      </c>
      <c r="C2075" s="9" t="str">
        <f>IFERROR(__xludf.DUMMYFUNCTION("GOOGLETRANSLATE($A2075,""en"",""de"")"),"Akraneskaupstaður")</f>
        <v>Akraneskaupstaður</v>
      </c>
      <c r="D2075" s="9" t="str">
        <f>IFERROR(__xludf.DUMMYFUNCTION("GOOGLETRANSLATE($A2075,""en"",""fr"")"),"Akraneskaupstaður")</f>
        <v>Akraneskaupstaður</v>
      </c>
      <c r="E2075" s="9" t="str">
        <f>IFERROR(__xludf.DUMMYFUNCTION("GOOGLETRANSLATE($A2075,""en"",""es"")"),"Akraneskaupstaður")</f>
        <v>Akraneskaupstaður</v>
      </c>
      <c r="F2075" s="9" t="str">
        <f>IFERROR(__xludf.DUMMYFUNCTION("GOOGLETRANSLATE($A2075,""en"",""it"")"),"Akraneskaupstaður")</f>
        <v>Akraneskaupstaður</v>
      </c>
      <c r="G2075" s="9" t="str">
        <f>IFERROR(__xludf.DUMMYFUNCTION("GOOGLETRANSLATE($A2075,""en"",""zh-cn"")"),"阿克拉内斯考普斯塔杜尔")</f>
        <v>阿克拉内斯考普斯塔杜尔</v>
      </c>
      <c r="H2075" s="9" t="str">
        <f>IFERROR(__xludf.DUMMYFUNCTION("GOOGLETRANSLATE($A2075,""en"",""ja"")"),"アクラネスカウプスタズル")</f>
        <v>アクラネスカウプスタズル</v>
      </c>
      <c r="I2075" s="9" t="str">
        <f>IFERROR(__xludf.DUMMYFUNCTION("GOOGLETRANSLATE($A2075,""en"",""ko"")"),"Akraneskaupstaður")</f>
        <v>Akraneskaupstaður</v>
      </c>
      <c r="J2075" s="9" t="str">
        <f>IFERROR(__xludf.DUMMYFUNCTION("GOOGLETRANSLATE($A2075,""en"",""pt-BR"")"),"Akraneskaupstaður")</f>
        <v>Akraneskaupstaður</v>
      </c>
    </row>
    <row r="2076">
      <c r="A2076" s="9" t="str">
        <f>IFERROR(__xludf.DUMMYFUNCTION("""COMPUTED_VALUE"""),"Skorradalshreppur")</f>
        <v>Skorradalshreppur</v>
      </c>
      <c r="B2076" s="9" t="str">
        <f>IFERROR(__xludf.DUMMYFUNCTION("""COMPUTED_VALUE"""),"is-sko")</f>
        <v>is-sko</v>
      </c>
      <c r="C2076" s="9" t="str">
        <f>IFERROR(__xludf.DUMMYFUNCTION("GOOGLETRANSLATE($A2076,""en"",""de"")"),"Skorradalshreppur")</f>
        <v>Skorradalshreppur</v>
      </c>
      <c r="D2076" s="9" t="str">
        <f>IFERROR(__xludf.DUMMYFUNCTION("GOOGLETRANSLATE($A2076,""en"",""fr"")"),"Skorradalshreppur")</f>
        <v>Skorradalshreppur</v>
      </c>
      <c r="E2076" s="9" t="str">
        <f>IFERROR(__xludf.DUMMYFUNCTION("GOOGLETRANSLATE($A2076,""en"",""es"")"),"Skorradalshreppur")</f>
        <v>Skorradalshreppur</v>
      </c>
      <c r="F2076" s="9" t="str">
        <f>IFERROR(__xludf.DUMMYFUNCTION("GOOGLETRANSLATE($A2076,""en"",""it"")"),"Skorradalshreppur")</f>
        <v>Skorradalshreppur</v>
      </c>
      <c r="G2076" s="9" t="str">
        <f>IFERROR(__xludf.DUMMYFUNCTION("GOOGLETRANSLATE($A2076,""en"",""zh-cn"")"),"斯科拉达尔什雷普")</f>
        <v>斯科拉达尔什雷普</v>
      </c>
      <c r="H2076" s="9" t="str">
        <f>IFERROR(__xludf.DUMMYFUNCTION("GOOGLETRANSLATE($A2076,""en"",""ja"")"),"スコラダルシュレプール")</f>
        <v>スコラダルシュレプール</v>
      </c>
      <c r="I2076" s="9" t="str">
        <f>IFERROR(__xludf.DUMMYFUNCTION("GOOGLETRANSLATE($A2076,""en"",""ko"")"),"스코라달슈레푸르")</f>
        <v>스코라달슈레푸르</v>
      </c>
      <c r="J2076" s="9" t="str">
        <f>IFERROR(__xludf.DUMMYFUNCTION("GOOGLETRANSLATE($A2076,""en"",""pt-BR"")"),"Skorradal Shreppur")</f>
        <v>Skorradal Shreppur</v>
      </c>
    </row>
    <row r="2077">
      <c r="A2077" s="9" t="str">
        <f>IFERROR(__xludf.DUMMYFUNCTION("""COMPUTED_VALUE"""),"Skeiða- og Gnúpverjahreppur")</f>
        <v>Skeiða- og Gnúpverjahreppur</v>
      </c>
      <c r="B2077" s="9" t="str">
        <f>IFERROR(__xludf.DUMMYFUNCTION("""COMPUTED_VALUE"""),"is-sog")</f>
        <v>is-sog</v>
      </c>
      <c r="C2077" s="9" t="str">
        <f>IFERROR(__xludf.DUMMYFUNCTION("GOOGLETRANSLATE($A2077,""en"",""de"")"),"Skeiða- og Gnúpverjahreppur")</f>
        <v>Skeiða- og Gnúpverjahreppur</v>
      </c>
      <c r="D2077" s="9" t="str">
        <f>IFERROR(__xludf.DUMMYFUNCTION("GOOGLETRANSLATE($A2077,""en"",""fr"")"),"Skeiða- et Gnúpverjahreppur")</f>
        <v>Skeiða- et Gnúpverjahreppur</v>
      </c>
      <c r="E2077" s="9" t="str">
        <f>IFERROR(__xludf.DUMMYFUNCTION("GOOGLETRANSLATE($A2077,""en"",""es"")"),"Skeiða- og Gnúpverjahreppur")</f>
        <v>Skeiða- og Gnúpverjahreppur</v>
      </c>
      <c r="F2077" s="9" t="str">
        <f>IFERROR(__xludf.DUMMYFUNCTION("GOOGLETRANSLATE($A2077,""en"",""it"")"),"Skeiða- og Gnúpverjahreppur")</f>
        <v>Skeiða- og Gnúpverjahreppur</v>
      </c>
      <c r="G2077" s="9" t="str">
        <f>IFERROR(__xludf.DUMMYFUNCTION("GOOGLETRANSLATE($A2077,""en"",""zh-cn"")"),"斯基达- og Gnúpverjahreppur")</f>
        <v>斯基达- og Gnúpverjahreppur</v>
      </c>
      <c r="H2077" s="9" t="str">
        <f>IFERROR(__xludf.DUMMYFUNCTION("GOOGLETRANSLATE($A2077,""en"",""ja"")"),"Skeiða- og Gnúpverjahreppur")</f>
        <v>Skeiða- og Gnúpverjahreppur</v>
      </c>
      <c r="I2077" s="9" t="str">
        <f>IFERROR(__xludf.DUMMYFUNCTION("GOOGLETRANSLATE($A2077,""en"",""ko"")"),"Skeiða- og Gnúpverjahreppur")</f>
        <v>Skeiða- og Gnúpverjahreppur</v>
      </c>
      <c r="J2077" s="9" t="str">
        <f>IFERROR(__xludf.DUMMYFUNCTION("GOOGLETRANSLATE($A2077,""en"",""pt-BR"")"),"Skeiða- e Gnúpverjahreppur")</f>
        <v>Skeiða- e Gnúpverjahreppur</v>
      </c>
    </row>
    <row r="2078">
      <c r="A2078" s="9" t="str">
        <f>IFERROR(__xludf.DUMMYFUNCTION("""COMPUTED_VALUE"""),"Seltjarnarnesbær")</f>
        <v>Seltjarnarnesbær</v>
      </c>
      <c r="B2078" s="9" t="str">
        <f>IFERROR(__xludf.DUMMYFUNCTION("""COMPUTED_VALUE"""),"is-sel")</f>
        <v>is-sel</v>
      </c>
      <c r="C2078" s="9" t="str">
        <f>IFERROR(__xludf.DUMMYFUNCTION("GOOGLETRANSLATE($A2078,""en"",""de"")"),"Seltjarnarnesbær")</f>
        <v>Seltjarnarnesbær</v>
      </c>
      <c r="D2078" s="9" t="str">
        <f>IFERROR(__xludf.DUMMYFUNCTION("GOOGLETRANSLATE($A2078,""en"",""fr"")"),"Seltjarnarnesbær")</f>
        <v>Seltjarnarnesbær</v>
      </c>
      <c r="E2078" s="9" t="str">
        <f>IFERROR(__xludf.DUMMYFUNCTION("GOOGLETRANSLATE($A2078,""en"",""es"")"),"Seltjarnarnesbær")</f>
        <v>Seltjarnarnesbær</v>
      </c>
      <c r="F2078" s="9" t="str">
        <f>IFERROR(__xludf.DUMMYFUNCTION("GOOGLETRANSLATE($A2078,""en"",""it"")"),"Seltjarnarnesbær")</f>
        <v>Seltjarnarnesbær</v>
      </c>
      <c r="G2078" s="9" t="str">
        <f>IFERROR(__xludf.DUMMYFUNCTION("GOOGLETRANSLATE($A2078,""en"",""zh-cn"")"),"塞尔特贾纳尔内斯贝尔")</f>
        <v>塞尔特贾纳尔内斯贝尔</v>
      </c>
      <c r="H2078" s="9" t="str">
        <f>IFERROR(__xludf.DUMMYFUNCTION("GOOGLETRANSLATE($A2078,""en"",""ja"")"),"セルチャルナルネスバイル")</f>
        <v>セルチャルナルネスバイル</v>
      </c>
      <c r="I2078" s="9" t="str">
        <f>IFERROR(__xludf.DUMMYFUNCTION("GOOGLETRANSLATE($A2078,""en"",""ko"")"),"셀트야르나르네스바이르")</f>
        <v>셀트야르나르네스바이르</v>
      </c>
      <c r="J2078" s="9" t="str">
        <f>IFERROR(__xludf.DUMMYFUNCTION("GOOGLETRANSLATE($A2078,""en"",""pt-BR"")"),"Seltjarnarnesbær")</f>
        <v>Seltjarnarnesbær</v>
      </c>
    </row>
    <row r="2079">
      <c r="A2079" s="9" t="str">
        <f>IFERROR(__xludf.DUMMYFUNCTION("""COMPUTED_VALUE"""),"Sveitarfélagið Hornafjörður")</f>
        <v>Sveitarfélagið Hornafjörður</v>
      </c>
      <c r="B2079" s="9" t="str">
        <f>IFERROR(__xludf.DUMMYFUNCTION("""COMPUTED_VALUE"""),"is-shf")</f>
        <v>is-shf</v>
      </c>
      <c r="C2079" s="9" t="str">
        <f>IFERROR(__xludf.DUMMYFUNCTION("GOOGLETRANSLATE($A2079,""en"",""de"")"),"Sveitarfélagið Hornafjörður")</f>
        <v>Sveitarfélagið Hornafjörður</v>
      </c>
      <c r="D2079" s="9" t="str">
        <f>IFERROR(__xludf.DUMMYFUNCTION("GOOGLETRANSLATE($A2079,""en"",""fr"")"),"Sveitarfélagið Hornafjörður")</f>
        <v>Sveitarfélagið Hornafjörður</v>
      </c>
      <c r="E2079" s="9" t="str">
        <f>IFERROR(__xludf.DUMMYFUNCTION("GOOGLETRANSLATE($A2079,""en"",""es"")"),"Sveitarfélagið Hornafjörður")</f>
        <v>Sveitarfélagið Hornafjörður</v>
      </c>
      <c r="F2079" s="9" t="str">
        <f>IFERROR(__xludf.DUMMYFUNCTION("GOOGLETRANSLATE($A2079,""en"",""it"")"),"Sveitarfélagið Hornafjörður")</f>
        <v>Sveitarfélagið Hornafjörður</v>
      </c>
      <c r="G2079" s="9" t="str">
        <f>IFERROR(__xludf.DUMMYFUNCTION("GOOGLETRANSLATE($A2079,""en"",""zh-cn"")"),"霍纳菲厄泽 (Sveitarfélagið Hornafjörður)")</f>
        <v>霍纳菲厄泽 (Sveitarfélagið Hornafjörður)</v>
      </c>
      <c r="H2079" s="9" t="str">
        <f>IFERROR(__xludf.DUMMYFUNCTION("GOOGLETRANSLATE($A2079,""en"",""ja"")"),"スヴェイタルフェラギズ ホルナフィヨルズル")</f>
        <v>スヴェイタルフェラギズ ホルナフィヨルズル</v>
      </c>
      <c r="I2079" s="9" t="str">
        <f>IFERROR(__xludf.DUMMYFUNCTION("GOOGLETRANSLATE($A2079,""en"",""ko"")"),"Sveitarfélagið Hornafjörður")</f>
        <v>Sveitarfélagið Hornafjörður</v>
      </c>
      <c r="J2079" s="9" t="str">
        <f>IFERROR(__xludf.DUMMYFUNCTION("GOOGLETRANSLATE($A2079,""en"",""pt-BR"")"),"Sveitarfélagið Hornafjörður")</f>
        <v>Sveitarfélagið Hornafjörður</v>
      </c>
    </row>
    <row r="2080">
      <c r="A2080" s="9" t="str">
        <f>IFERROR(__xludf.DUMMYFUNCTION("""COMPUTED_VALUE"""),"Tálknafjarðarhreppur")</f>
        <v>Tálknafjarðarhreppur</v>
      </c>
      <c r="B2080" s="9" t="str">
        <f>IFERROR(__xludf.DUMMYFUNCTION("""COMPUTED_VALUE"""),"is-tal")</f>
        <v>is-tal</v>
      </c>
      <c r="C2080" s="9" t="str">
        <f>IFERROR(__xludf.DUMMYFUNCTION("GOOGLETRANSLATE($A2080,""en"",""de"")"),"Tálknafjarðarhreppur")</f>
        <v>Tálknafjarðarhreppur</v>
      </c>
      <c r="D2080" s="9" t="str">
        <f>IFERROR(__xludf.DUMMYFUNCTION("GOOGLETRANSLATE($A2080,""en"",""fr"")"),"Tálknafjarðarhreppur")</f>
        <v>Tálknafjarðarhreppur</v>
      </c>
      <c r="E2080" s="9" t="str">
        <f>IFERROR(__xludf.DUMMYFUNCTION("GOOGLETRANSLATE($A2080,""en"",""es"")"),"Tálknafjarðarhreppur")</f>
        <v>Tálknafjarðarhreppur</v>
      </c>
      <c r="F2080" s="9" t="str">
        <f>IFERROR(__xludf.DUMMYFUNCTION("GOOGLETRANSLATE($A2080,""en"",""it"")"),"Tálknafjarðarhreppur")</f>
        <v>Tálknafjarðarhreppur</v>
      </c>
      <c r="G2080" s="9" t="str">
        <f>IFERROR(__xludf.DUMMYFUNCTION("GOOGLETRANSLATE($A2080,""en"",""zh-cn"")"),"塔尔克纳菲亚扎赫勒普尔")</f>
        <v>塔尔克纳菲亚扎赫勒普尔</v>
      </c>
      <c r="H2080" s="9" t="str">
        <f>IFERROR(__xludf.DUMMYFUNCTION("GOOGLETRANSLATE($A2080,""en"",""ja"")"),"タルクナフィヤルザアレプール")</f>
        <v>タルクナフィヤルザアレプール</v>
      </c>
      <c r="I2080" s="9" t="str">
        <f>IFERROR(__xludf.DUMMYFUNCTION("GOOGLETRANSLATE($A2080,""en"",""ko"")"),"Tálknafjarðarhreppur")</f>
        <v>Tálknafjarðarhreppur</v>
      </c>
      <c r="J2080" s="9" t="str">
        <f>IFERROR(__xludf.DUMMYFUNCTION("GOOGLETRANSLATE($A2080,""en"",""pt-BR"")"),"Tálknafjarðarhreppur")</f>
        <v>Tálknafjarðarhreppur</v>
      </c>
    </row>
    <row r="2081">
      <c r="A2081" s="9" t="str">
        <f>IFERROR(__xludf.DUMMYFUNCTION("""COMPUTED_VALUE"""),"Vestmannaeyjabær")</f>
        <v>Vestmannaeyjabær</v>
      </c>
      <c r="B2081" s="9" t="str">
        <f>IFERROR(__xludf.DUMMYFUNCTION("""COMPUTED_VALUE"""),"is-vem")</f>
        <v>is-vem</v>
      </c>
      <c r="C2081" s="9" t="str">
        <f>IFERROR(__xludf.DUMMYFUNCTION("GOOGLETRANSLATE($A2081,""en"",""de"")"),"Vestmannaeyjabær")</f>
        <v>Vestmannaeyjabær</v>
      </c>
      <c r="D2081" s="9" t="str">
        <f>IFERROR(__xludf.DUMMYFUNCTION("GOOGLETRANSLATE($A2081,""en"",""fr"")"),"Vestmannaeyjabær")</f>
        <v>Vestmannaeyjabær</v>
      </c>
      <c r="E2081" s="9" t="str">
        <f>IFERROR(__xludf.DUMMYFUNCTION("GOOGLETRANSLATE($A2081,""en"",""es"")"),"Vestmannaeyjabær")</f>
        <v>Vestmannaeyjabær</v>
      </c>
      <c r="F2081" s="9" t="str">
        <f>IFERROR(__xludf.DUMMYFUNCTION("GOOGLETRANSLATE($A2081,""en"",""it"")"),"Vestmannaeyjabær")</f>
        <v>Vestmannaeyjabær</v>
      </c>
      <c r="G2081" s="9" t="str">
        <f>IFERROR(__xludf.DUMMYFUNCTION("GOOGLETRANSLATE($A2081,""en"",""zh-cn"")"),"韦斯特曼纳伊贾贝尔")</f>
        <v>韦斯特曼纳伊贾贝尔</v>
      </c>
      <c r="H2081" s="9" t="str">
        <f>IFERROR(__xludf.DUMMYFUNCTION("GOOGLETRANSLATE($A2081,""en"",""ja"")"),"ヴェストマンネイヤバイル")</f>
        <v>ヴェストマンネイヤバイル</v>
      </c>
      <c r="I2081" s="9" t="str">
        <f>IFERROR(__xludf.DUMMYFUNCTION("GOOGLETRANSLATE($A2081,""en"",""ko"")"),"베스트마나에이야바이르")</f>
        <v>베스트마나에이야바이르</v>
      </c>
      <c r="J2081" s="9" t="str">
        <f>IFERROR(__xludf.DUMMYFUNCTION("GOOGLETRANSLATE($A2081,""en"",""pt-BR"")"),"Vestmannaeyjabær")</f>
        <v>Vestmannaeyjabær</v>
      </c>
    </row>
    <row r="2082">
      <c r="A2082" s="9" t="str">
        <f>IFERROR(__xludf.DUMMYFUNCTION("""COMPUTED_VALUE"""),"Sveitarfélagið Skagafjörður")</f>
        <v>Sveitarfélagið Skagafjörður</v>
      </c>
      <c r="B2082" s="9" t="str">
        <f>IFERROR(__xludf.DUMMYFUNCTION("""COMPUTED_VALUE"""),"is-ssf")</f>
        <v>is-ssf</v>
      </c>
      <c r="C2082" s="9" t="str">
        <f>IFERROR(__xludf.DUMMYFUNCTION("GOOGLETRANSLATE($A2082,""en"",""de"")"),"Sveitarfélagið Skagafjörður")</f>
        <v>Sveitarfélagið Skagafjörður</v>
      </c>
      <c r="D2082" s="9" t="str">
        <f>IFERROR(__xludf.DUMMYFUNCTION("GOOGLETRANSLATE($A2082,""en"",""fr"")"),"Sveitarfélagið Skagafjörður")</f>
        <v>Sveitarfélagið Skagafjörður</v>
      </c>
      <c r="E2082" s="9" t="str">
        <f>IFERROR(__xludf.DUMMYFUNCTION("GOOGLETRANSLATE($A2082,""en"",""es"")"),"Sveitarfélagið Skagafjörður")</f>
        <v>Sveitarfélagið Skagafjörður</v>
      </c>
      <c r="F2082" s="9" t="str">
        <f>IFERROR(__xludf.DUMMYFUNCTION("GOOGLETRANSLATE($A2082,""en"",""it"")"),"Sveitarfélagið Skagafjörður")</f>
        <v>Sveitarfélagið Skagafjörður</v>
      </c>
      <c r="G2082" s="9" t="str">
        <f>IFERROR(__xludf.DUMMYFUNCTION("GOOGLETRANSLATE($A2082,""en"",""zh-cn"")"),"斯韦塔费拉吉斯卡加峡湾")</f>
        <v>斯韦塔费拉吉斯卡加峡湾</v>
      </c>
      <c r="H2082" s="9" t="str">
        <f>IFERROR(__xludf.DUMMYFUNCTION("GOOGLETRANSLATE($A2082,""en"",""ja"")"),"スヴェイタルフェラギズスカガフィヨルズル")</f>
        <v>スヴェイタルフェラギズスカガフィヨルズル</v>
      </c>
      <c r="I2082" s="9" t="str">
        <f>IFERROR(__xludf.DUMMYFUNCTION("GOOGLETRANSLATE($A2082,""en"",""ko"")"),"Sveitarfélagið Skagafjörður")</f>
        <v>Sveitarfélagið Skagafjörður</v>
      </c>
      <c r="J2082" s="9" t="str">
        <f>IFERROR(__xludf.DUMMYFUNCTION("GOOGLETRANSLATE($A2082,""en"",""pt-BR"")"),"Sveitarfélagið Skagafjörður")</f>
        <v>Sveitarfélagið Skagafjörður</v>
      </c>
    </row>
    <row r="2083">
      <c r="A2083" s="9" t="str">
        <f>IFERROR(__xludf.DUMMYFUNCTION("""COMPUTED_VALUE"""),"Strandabyggð")</f>
        <v>Strandabyggð</v>
      </c>
      <c r="B2083" s="9" t="str">
        <f>IFERROR(__xludf.DUMMYFUNCTION("""COMPUTED_VALUE"""),"is-str")</f>
        <v>is-str</v>
      </c>
      <c r="C2083" s="9" t="str">
        <f>IFERROR(__xludf.DUMMYFUNCTION("GOOGLETRANSLATE($A2083,""en"",""de"")"),"Strandabyggð")</f>
        <v>Strandabyggð</v>
      </c>
      <c r="D2083" s="9" t="str">
        <f>IFERROR(__xludf.DUMMYFUNCTION("GOOGLETRANSLATE($A2083,""en"",""fr"")"),"Strandabyggð")</f>
        <v>Strandabyggð</v>
      </c>
      <c r="E2083" s="9" t="str">
        <f>IFERROR(__xludf.DUMMYFUNCTION("GOOGLETRANSLATE($A2083,""en"",""es"")"),"Strandabyggð")</f>
        <v>Strandabyggð</v>
      </c>
      <c r="F2083" s="9" t="str">
        <f>IFERROR(__xludf.DUMMYFUNCTION("GOOGLETRANSLATE($A2083,""en"",""it"")"),"Strandabyggð")</f>
        <v>Strandabyggð</v>
      </c>
      <c r="G2083" s="9" t="str">
        <f>IFERROR(__xludf.DUMMYFUNCTION("GOOGLETRANSLATE($A2083,""en"",""zh-cn"")"),"斯特兰达比格德")</f>
        <v>斯特兰达比格德</v>
      </c>
      <c r="H2083" s="9" t="str">
        <f>IFERROR(__xludf.DUMMYFUNCTION("GOOGLETRANSLATE($A2083,""en"",""ja"")"),"ストランダビグズ")</f>
        <v>ストランダビグズ</v>
      </c>
      <c r="I2083" s="9" t="str">
        <f>IFERROR(__xludf.DUMMYFUNCTION("GOOGLETRANSLATE($A2083,""en"",""ko"")"),"Strandabyggð")</f>
        <v>Strandabyggð</v>
      </c>
      <c r="J2083" s="9" t="str">
        <f>IFERROR(__xludf.DUMMYFUNCTION("GOOGLETRANSLATE($A2083,""en"",""pt-BR"")"),"Strandabyggð")</f>
        <v>Strandabyggð</v>
      </c>
    </row>
    <row r="2084">
      <c r="A2084" s="9" t="str">
        <f>IFERROR(__xludf.DUMMYFUNCTION("""COMPUTED_VALUE"""),"Hveragerðisbær")</f>
        <v>Hveragerðisbær</v>
      </c>
      <c r="B2084" s="9" t="str">
        <f>IFERROR(__xludf.DUMMYFUNCTION("""COMPUTED_VALUE"""),"is-hve")</f>
        <v>is-hve</v>
      </c>
      <c r="C2084" s="9" t="str">
        <f>IFERROR(__xludf.DUMMYFUNCTION("GOOGLETRANSLATE($A2084,""en"",""de"")"),"Hveragerðisbær")</f>
        <v>Hveragerðisbær</v>
      </c>
      <c r="D2084" s="9" t="str">
        <f>IFERROR(__xludf.DUMMYFUNCTION("GOOGLETRANSLATE($A2084,""en"",""fr"")"),"Hveragerðisbær")</f>
        <v>Hveragerðisbær</v>
      </c>
      <c r="E2084" s="9" t="str">
        <f>IFERROR(__xludf.DUMMYFUNCTION("GOOGLETRANSLATE($A2084,""en"",""es"")"),"Hveragerðisbær")</f>
        <v>Hveragerðisbær</v>
      </c>
      <c r="F2084" s="9" t="str">
        <f>IFERROR(__xludf.DUMMYFUNCTION("GOOGLETRANSLATE($A2084,""en"",""it"")"),"Hveragerðisbær")</f>
        <v>Hveragerðisbær</v>
      </c>
      <c r="G2084" s="9" t="str">
        <f>IFERROR(__xludf.DUMMYFUNCTION("GOOGLETRANSLATE($A2084,""en"",""zh-cn"")"),"惠拉格济斯贝尔")</f>
        <v>惠拉格济斯贝尔</v>
      </c>
      <c r="H2084" s="9" t="str">
        <f>IFERROR(__xludf.DUMMYFUNCTION("GOOGLETRANSLATE($A2084,""en"",""ja"")"),"クヴェラゲルディスバイル")</f>
        <v>クヴェラゲルディスバイル</v>
      </c>
      <c r="I2084" s="9" t="str">
        <f>IFERROR(__xludf.DUMMYFUNCTION("GOOGLETRANSLATE($A2084,""en"",""ko"")"),"Hveragerðisbær")</f>
        <v>Hveragerðisbær</v>
      </c>
      <c r="J2084" s="9" t="str">
        <f>IFERROR(__xludf.DUMMYFUNCTION("GOOGLETRANSLATE($A2084,""en"",""pt-BR"")"),"Hveragerðisbær")</f>
        <v>Hveragerðisbær</v>
      </c>
    </row>
    <row r="2085">
      <c r="A2085" s="9" t="str">
        <f>IFERROR(__xludf.DUMMYFUNCTION("""COMPUTED_VALUE"""),"Kjósarhreppur")</f>
        <v>Kjósarhreppur</v>
      </c>
      <c r="B2085" s="9" t="str">
        <f>IFERROR(__xludf.DUMMYFUNCTION("""COMPUTED_VALUE"""),"is-kjo")</f>
        <v>is-kjo</v>
      </c>
      <c r="C2085" s="9" t="str">
        <f>IFERROR(__xludf.DUMMYFUNCTION("GOOGLETRANSLATE($A2085,""en"",""de"")"),"Kjósarhreppur")</f>
        <v>Kjósarhreppur</v>
      </c>
      <c r="D2085" s="9" t="str">
        <f>IFERROR(__xludf.DUMMYFUNCTION("GOOGLETRANSLATE($A2085,""en"",""fr"")"),"Kjosarhreppur")</f>
        <v>Kjosarhreppur</v>
      </c>
      <c r="E2085" s="9" t="str">
        <f>IFERROR(__xludf.DUMMYFUNCTION("GOOGLETRANSLATE($A2085,""en"",""es"")"),"Kjósarhreppur")</f>
        <v>Kjósarhreppur</v>
      </c>
      <c r="F2085" s="9" t="str">
        <f>IFERROR(__xludf.DUMMYFUNCTION("GOOGLETRANSLATE($A2085,""en"",""it"")"),"Kjósarhreppur")</f>
        <v>Kjósarhreppur</v>
      </c>
      <c r="G2085" s="9" t="str">
        <f>IFERROR(__xludf.DUMMYFUNCTION("GOOGLETRANSLATE($A2085,""en"",""zh-cn"")"),"乔萨尔赫雷普")</f>
        <v>乔萨尔赫雷普</v>
      </c>
      <c r="H2085" s="9" t="str">
        <f>IFERROR(__xludf.DUMMYFUNCTION("GOOGLETRANSLATE($A2085,""en"",""ja"")"),"キョーサルフレプル")</f>
        <v>キョーサルフレプル</v>
      </c>
      <c r="I2085" s="9" t="str">
        <f>IFERROR(__xludf.DUMMYFUNCTION("GOOGLETRANSLATE($A2085,""en"",""ko"")"),"Kjósarhreppur")</f>
        <v>Kjósarhreppur</v>
      </c>
      <c r="J2085" s="9" t="str">
        <f>IFERROR(__xludf.DUMMYFUNCTION("GOOGLETRANSLATE($A2085,""en"",""pt-BR"")"),"Kjósarhreppur")</f>
        <v>Kjósarhreppur</v>
      </c>
    </row>
    <row r="2086">
      <c r="A2086" s="9" t="str">
        <f>IFERROR(__xludf.DUMMYFUNCTION("""COMPUTED_VALUE"""),"Kópavogsbær")</f>
        <v>Kópavogsbær</v>
      </c>
      <c r="B2086" s="9" t="str">
        <f>IFERROR(__xludf.DUMMYFUNCTION("""COMPUTED_VALUE"""),"is-kop")</f>
        <v>is-kop</v>
      </c>
      <c r="C2086" s="9" t="str">
        <f>IFERROR(__xludf.DUMMYFUNCTION("GOOGLETRANSLATE($A2086,""en"",""de"")"),"Kópavogsbær")</f>
        <v>Kópavogsbær</v>
      </c>
      <c r="D2086" s="9" t="str">
        <f>IFERROR(__xludf.DUMMYFUNCTION("GOOGLETRANSLATE($A2086,""en"",""fr"")"),"Kopavogsbær")</f>
        <v>Kopavogsbær</v>
      </c>
      <c r="E2086" s="9" t="str">
        <f>IFERROR(__xludf.DUMMYFUNCTION("GOOGLETRANSLATE($A2086,""en"",""es"")"),"Kópavogsbær")</f>
        <v>Kópavogsbær</v>
      </c>
      <c r="F2086" s="9" t="str">
        <f>IFERROR(__xludf.DUMMYFUNCTION("GOOGLETRANSLATE($A2086,""en"",""it"")"),"Kópavogsbær")</f>
        <v>Kópavogsbær</v>
      </c>
      <c r="G2086" s="9" t="str">
        <f>IFERROR(__xludf.DUMMYFUNCTION("GOOGLETRANSLATE($A2086,""en"",""zh-cn"")"),"科帕沃格斯拜尔")</f>
        <v>科帕沃格斯拜尔</v>
      </c>
      <c r="H2086" s="9" t="str">
        <f>IFERROR(__xludf.DUMMYFUNCTION("GOOGLETRANSLATE($A2086,""en"",""ja"")"),"コパヴォグスバイル")</f>
        <v>コパヴォグスバイル</v>
      </c>
      <c r="I2086" s="9" t="str">
        <f>IFERROR(__xludf.DUMMYFUNCTION("GOOGLETRANSLATE($A2086,""en"",""ko"")"),"코파보그스바이르")</f>
        <v>코파보그스바이르</v>
      </c>
      <c r="J2086" s="9" t="str">
        <f>IFERROR(__xludf.DUMMYFUNCTION("GOOGLETRANSLATE($A2086,""en"",""pt-BR"")"),"Kópavogsbær")</f>
        <v>Kópavogsbær</v>
      </c>
    </row>
    <row r="2087">
      <c r="A2087" s="9" t="str">
        <f>IFERROR(__xludf.DUMMYFUNCTION("""COMPUTED_VALUE"""),"Húnavatnshreppur")</f>
        <v>Húnavatnshreppur</v>
      </c>
      <c r="B2087" s="9" t="str">
        <f>IFERROR(__xludf.DUMMYFUNCTION("""COMPUTED_VALUE"""),"is-hut")</f>
        <v>is-hut</v>
      </c>
      <c r="C2087" s="9" t="str">
        <f>IFERROR(__xludf.DUMMYFUNCTION("GOOGLETRANSLATE($A2087,""en"",""de"")"),"Húnavatnshreppur")</f>
        <v>Húnavatnshreppur</v>
      </c>
      <c r="D2087" s="9" t="str">
        <f>IFERROR(__xludf.DUMMYFUNCTION("GOOGLETRANSLATE($A2087,""en"",""fr"")"),"Húnavatnshreppur")</f>
        <v>Húnavatnshreppur</v>
      </c>
      <c r="E2087" s="9" t="str">
        <f>IFERROR(__xludf.DUMMYFUNCTION("GOOGLETRANSLATE($A2087,""en"",""es"")"),"Húnavatnshreppur")</f>
        <v>Húnavatnshreppur</v>
      </c>
      <c r="F2087" s="9" t="str">
        <f>IFERROR(__xludf.DUMMYFUNCTION("GOOGLETRANSLATE($A2087,""en"",""it"")"),"Húnavatnshreppur")</f>
        <v>Húnavatnshreppur</v>
      </c>
      <c r="G2087" s="9" t="str">
        <f>IFERROR(__xludf.DUMMYFUNCTION("GOOGLETRANSLATE($A2087,""en"",""zh-cn"")"),"胡纳瓦特什雷普尔")</f>
        <v>胡纳瓦特什雷普尔</v>
      </c>
      <c r="H2087" s="9" t="str">
        <f>IFERROR(__xludf.DUMMYFUNCTION("GOOGLETRANSLATE($A2087,""en"",""ja"")"),"フナヴァトンシュレプール")</f>
        <v>フナヴァトンシュレプール</v>
      </c>
      <c r="I2087" s="9" t="str">
        <f>IFERROR(__xludf.DUMMYFUNCTION("GOOGLETRANSLATE($A2087,""en"",""ko"")"),"Húnavatnshreppur")</f>
        <v>Húnavatnshreppur</v>
      </c>
      <c r="J2087" s="9" t="str">
        <f>IFERROR(__xludf.DUMMYFUNCTION("GOOGLETRANSLATE($A2087,""en"",""pt-BR"")"),"Húnavatnshreppur")</f>
        <v>Húnavatnshreppur</v>
      </c>
    </row>
    <row r="2088">
      <c r="A2088" s="9" t="str">
        <f>IFERROR(__xludf.DUMMYFUNCTION("""COMPUTED_VALUE"""),"Hvalfjarðarsveit")</f>
        <v>Hvalfjarðarsveit</v>
      </c>
      <c r="B2088" s="9" t="str">
        <f>IFERROR(__xludf.DUMMYFUNCTION("""COMPUTED_VALUE"""),"is-hva")</f>
        <v>is-hva</v>
      </c>
      <c r="C2088" s="9" t="str">
        <f>IFERROR(__xludf.DUMMYFUNCTION("GOOGLETRANSLATE($A2088,""en"",""de"")"),"Hvalfjarðarsveit")</f>
        <v>Hvalfjarðarsveit</v>
      </c>
      <c r="D2088" s="9" t="str">
        <f>IFERROR(__xludf.DUMMYFUNCTION("GOOGLETRANSLATE($A2088,""en"",""fr"")"),"Hvalfjarðarsveit")</f>
        <v>Hvalfjarðarsveit</v>
      </c>
      <c r="E2088" s="9" t="str">
        <f>IFERROR(__xludf.DUMMYFUNCTION("GOOGLETRANSLATE($A2088,""en"",""es"")"),"Hvalfjarðarsveit")</f>
        <v>Hvalfjarðarsveit</v>
      </c>
      <c r="F2088" s="9" t="str">
        <f>IFERROR(__xludf.DUMMYFUNCTION("GOOGLETRANSLATE($A2088,""en"",""it"")"),"Hvalfjarðarsveit")</f>
        <v>Hvalfjarðarsveit</v>
      </c>
      <c r="G2088" s="9" t="str">
        <f>IFERROR(__xludf.DUMMYFUNCTION("GOOGLETRANSLATE($A2088,""en"",""zh-cn"")"),"哈瓦尔菲亚扎斯韦特")</f>
        <v>哈瓦尔菲亚扎斯韦特</v>
      </c>
      <c r="H2088" s="9" t="str">
        <f>IFERROR(__xludf.DUMMYFUNCTION("GOOGLETRANSLATE($A2088,""en"",""ja"")"),"フヴァルフィヤルザルスヴェイト")</f>
        <v>フヴァルフィヤルザルスヴェイト</v>
      </c>
      <c r="I2088" s="9" t="str">
        <f>IFERROR(__xludf.DUMMYFUNCTION("GOOGLETRANSLATE($A2088,""en"",""ko"")"),"Hvalfjarðarsveit")</f>
        <v>Hvalfjarðarsveit</v>
      </c>
      <c r="J2088" s="9" t="str">
        <f>IFERROR(__xludf.DUMMYFUNCTION("GOOGLETRANSLATE($A2088,""en"",""pt-BR"")"),"Hvalfjarðarsveit")</f>
        <v>Hvalfjarðarsveit</v>
      </c>
    </row>
    <row r="2089">
      <c r="A2089" s="9" t="str">
        <f>IFERROR(__xludf.DUMMYFUNCTION("""COMPUTED_VALUE"""),"Reykjanesbær")</f>
        <v>Reykjanesbær</v>
      </c>
      <c r="B2089" s="9" t="str">
        <f>IFERROR(__xludf.DUMMYFUNCTION("""COMPUTED_VALUE"""),"is-rkn")</f>
        <v>is-rkn</v>
      </c>
      <c r="C2089" s="9" t="str">
        <f>IFERROR(__xludf.DUMMYFUNCTION("GOOGLETRANSLATE($A2089,""en"",""de"")"),"Reykjanesbær")</f>
        <v>Reykjanesbær</v>
      </c>
      <c r="D2089" s="9" t="str">
        <f>IFERROR(__xludf.DUMMYFUNCTION("GOOGLETRANSLATE($A2089,""en"",""fr"")"),"Reykjanesbaer")</f>
        <v>Reykjanesbaer</v>
      </c>
      <c r="E2089" s="9" t="str">
        <f>IFERROR(__xludf.DUMMYFUNCTION("GOOGLETRANSLATE($A2089,""en"",""es"")"),"Reykjanesbær")</f>
        <v>Reykjanesbær</v>
      </c>
      <c r="F2089" s="9" t="str">
        <f>IFERROR(__xludf.DUMMYFUNCTION("GOOGLETRANSLATE($A2089,""en"",""it"")"),"Reykjanesbaer")</f>
        <v>Reykjanesbaer</v>
      </c>
      <c r="G2089" s="9" t="str">
        <f>IFERROR(__xludf.DUMMYFUNCTION("GOOGLETRANSLATE($A2089,""en"",""zh-cn"")"),"雷克雅内斯贝尔")</f>
        <v>雷克雅内斯贝尔</v>
      </c>
      <c r="H2089" s="9" t="str">
        <f>IFERROR(__xludf.DUMMYFUNCTION("GOOGLETRANSLATE($A2089,""en"",""ja"")"),"レイキャネスバイル")</f>
        <v>レイキャネスバイル</v>
      </c>
      <c r="I2089" s="9" t="str">
        <f>IFERROR(__xludf.DUMMYFUNCTION("GOOGLETRANSLATE($A2089,""en"",""ko"")"),"레이캬네스바이르")</f>
        <v>레이캬네스바이르</v>
      </c>
      <c r="J2089" s="9" t="str">
        <f>IFERROR(__xludf.DUMMYFUNCTION("GOOGLETRANSLATE($A2089,""en"",""pt-BR"")"),"Reykjanesbær")</f>
        <v>Reykjanesbær</v>
      </c>
    </row>
    <row r="2090">
      <c r="A2090" s="9" t="str">
        <f>IFERROR(__xludf.DUMMYFUNCTION("""COMPUTED_VALUE"""),"Svalbarðsstrandarhreppur")</f>
        <v>Svalbarðsstrandarhreppur</v>
      </c>
      <c r="B2090" s="9" t="str">
        <f>IFERROR(__xludf.DUMMYFUNCTION("""COMPUTED_VALUE"""),"is-sbt")</f>
        <v>is-sbt</v>
      </c>
      <c r="C2090" s="9" t="str">
        <f>IFERROR(__xludf.DUMMYFUNCTION("GOOGLETRANSLATE($A2090,""en"",""de"")"),"Svalbarðsstrandarhreppur")</f>
        <v>Svalbarðsstrandarhreppur</v>
      </c>
      <c r="D2090" s="9" t="str">
        <f>IFERROR(__xludf.DUMMYFUNCTION("GOOGLETRANSLATE($A2090,""en"",""fr"")"),"Svalbarðsstrandarhreppur")</f>
        <v>Svalbarðsstrandarhreppur</v>
      </c>
      <c r="E2090" s="9" t="str">
        <f>IFERROR(__xludf.DUMMYFUNCTION("GOOGLETRANSLATE($A2090,""en"",""es"")"),"Svalbarðsstrandarhreppur")</f>
        <v>Svalbarðsstrandarhreppur</v>
      </c>
      <c r="F2090" s="9" t="str">
        <f>IFERROR(__xludf.DUMMYFUNCTION("GOOGLETRANSLATE($A2090,""en"",""it"")"),"Svalbarðsstrandarhreppur")</f>
        <v>Svalbarðsstrandarhreppur</v>
      </c>
      <c r="G2090" s="9" t="str">
        <f>IFERROR(__xludf.DUMMYFUNCTION("GOOGLETRANSLATE($A2090,""en"",""zh-cn"")"),"斯瓦尔巴海峡")</f>
        <v>斯瓦尔巴海峡</v>
      </c>
      <c r="H2090" s="9" t="str">
        <f>IFERROR(__xludf.DUMMYFUNCTION("GOOGLETRANSLATE($A2090,""en"",""ja"")"),"スヴァールバルスストランドフレップル")</f>
        <v>スヴァールバルスストランドフレップル</v>
      </c>
      <c r="I2090" s="9" t="str">
        <f>IFERROR(__xludf.DUMMYFUNCTION("GOOGLETRANSLATE($A2090,""en"",""ko"")"),"스발바르드스트란다르레푸르")</f>
        <v>스발바르드스트란다르레푸르</v>
      </c>
      <c r="J2090" s="9" t="str">
        <f>IFERROR(__xludf.DUMMYFUNCTION("GOOGLETRANSLATE($A2090,""en"",""pt-BR"")"),"Svalbarðstrandarhreppur")</f>
        <v>Svalbarðstrandarhreppur</v>
      </c>
    </row>
    <row r="2091">
      <c r="A2091" s="9" t="str">
        <f>IFERROR(__xludf.DUMMYFUNCTION("""COMPUTED_VALUE"""),"Mosfellsbær")</f>
        <v>Mosfellsbær</v>
      </c>
      <c r="B2091" s="9" t="str">
        <f>IFERROR(__xludf.DUMMYFUNCTION("""COMPUTED_VALUE"""),"is-mos")</f>
        <v>is-mos</v>
      </c>
      <c r="C2091" s="9" t="str">
        <f>IFERROR(__xludf.DUMMYFUNCTION("GOOGLETRANSLATE($A2091,""en"",""de"")"),"Mosfellsbär")</f>
        <v>Mosfellsbär</v>
      </c>
      <c r="D2091" s="9" t="str">
        <f>IFERROR(__xludf.DUMMYFUNCTION("GOOGLETRANSLATE($A2091,""en"",""fr"")"),"Mosfellsbaer")</f>
        <v>Mosfellsbaer</v>
      </c>
      <c r="E2091" s="9" t="str">
        <f>IFERROR(__xludf.DUMMYFUNCTION("GOOGLETRANSLATE($A2091,""en"",""es"")"),"Mosfellsbær")</f>
        <v>Mosfellsbær</v>
      </c>
      <c r="F2091" s="9" t="str">
        <f>IFERROR(__xludf.DUMMYFUNCTION("GOOGLETRANSLATE($A2091,""en"",""it"")"),"Mosfellsbaer")</f>
        <v>Mosfellsbaer</v>
      </c>
      <c r="G2091" s="9" t="str">
        <f>IFERROR(__xludf.DUMMYFUNCTION("GOOGLETRANSLATE($A2091,""en"",""zh-cn"")"),"莫斯费德斯拜尔")</f>
        <v>莫斯费德斯拜尔</v>
      </c>
      <c r="H2091" s="9" t="str">
        <f>IFERROR(__xludf.DUMMYFUNCTION("GOOGLETRANSLATE($A2091,""en"",""ja"")"),"モスフェルスベア")</f>
        <v>モスフェルスベア</v>
      </c>
      <c r="I2091" s="9" t="str">
        <f>IFERROR(__xludf.DUMMYFUNCTION("GOOGLETRANSLATE($A2091,""en"",""ko"")"),"모스펠스바이르")</f>
        <v>모스펠스바이르</v>
      </c>
      <c r="J2091" s="9" t="str">
        <f>IFERROR(__xludf.DUMMYFUNCTION("GOOGLETRANSLATE($A2091,""en"",""pt-BR"")"),"Mosfellsbær")</f>
        <v>Mosfellsbær</v>
      </c>
    </row>
    <row r="2092">
      <c r="A2092" s="9" t="str">
        <f>IFERROR(__xludf.DUMMYFUNCTION("""COMPUTED_VALUE"""),"Rangárþing eystra")</f>
        <v>Rangárþing eystra</v>
      </c>
      <c r="B2092" s="9" t="str">
        <f>IFERROR(__xludf.DUMMYFUNCTION("""COMPUTED_VALUE"""),"is-rge")</f>
        <v>is-rge</v>
      </c>
      <c r="C2092" s="9" t="str">
        <f>IFERROR(__xludf.DUMMYFUNCTION("GOOGLETRANSLATE($A2092,""en"",""de"")"),"Rangárþing eystra")</f>
        <v>Rangárþing eystra</v>
      </c>
      <c r="D2092" s="9" t="str">
        <f>IFERROR(__xludf.DUMMYFUNCTION("GOOGLETRANSLATE($A2092,""en"",""fr"")"),"Classement d'eystra")</f>
        <v>Classement d'eystra</v>
      </c>
      <c r="E2092" s="9" t="str">
        <f>IFERROR(__xludf.DUMMYFUNCTION("GOOGLETRANSLATE($A2092,""en"",""es"")"),"Rangárþing eystra")</f>
        <v>Rangárþing eystra</v>
      </c>
      <c r="F2092" s="9" t="str">
        <f>IFERROR(__xludf.DUMMYFUNCTION("GOOGLETRANSLATE($A2092,""en"",""it"")"),"Rangárþing eystra")</f>
        <v>Rangárþing eystra</v>
      </c>
      <c r="G2092" s="9" t="str">
        <f>IFERROR(__xludf.DUMMYFUNCTION("GOOGLETRANSLATE($A2092,""en"",""zh-cn"")"),"游猎伊斯特拉")</f>
        <v>游猎伊斯特拉</v>
      </c>
      <c r="H2092" s="9" t="str">
        <f>IFERROR(__xludf.DUMMYFUNCTION("GOOGLETRANSLATE($A2092,""en"",""ja"")"),"ランガーシン・エイストラ")</f>
        <v>ランガーシン・エイストラ</v>
      </c>
      <c r="I2092" s="9" t="str">
        <f>IFERROR(__xludf.DUMMYFUNCTION("GOOGLETRANSLATE($A2092,""en"",""ko"")"),"Rangárþing eystra")</f>
        <v>Rangárþing eystra</v>
      </c>
      <c r="J2092" s="9" t="str">
        <f>IFERROR(__xludf.DUMMYFUNCTION("GOOGLETRANSLATE($A2092,""en"",""pt-BR"")"),"Rangárþing eystra")</f>
        <v>Rangárþing eystra</v>
      </c>
    </row>
    <row r="2093">
      <c r="A2093" s="9" t="str">
        <f>IFERROR(__xludf.DUMMYFUNCTION("""COMPUTED_VALUE"""),"Dalabyggð")</f>
        <v>Dalabyggð</v>
      </c>
      <c r="B2093" s="9" t="str">
        <f>IFERROR(__xludf.DUMMYFUNCTION("""COMPUTED_VALUE"""),"is-dab")</f>
        <v>is-dab</v>
      </c>
      <c r="C2093" s="9" t="str">
        <f>IFERROR(__xludf.DUMMYFUNCTION("GOOGLETRANSLATE($A2093,""en"",""de"")"),"Dalabyggð")</f>
        <v>Dalabyggð</v>
      </c>
      <c r="D2093" s="9" t="str">
        <f>IFERROR(__xludf.DUMMYFUNCTION("GOOGLETRANSLATE($A2093,""en"",""fr"")"),"Dalabyggð")</f>
        <v>Dalabyggð</v>
      </c>
      <c r="E2093" s="9" t="str">
        <f>IFERROR(__xludf.DUMMYFUNCTION("GOOGLETRANSLATE($A2093,""en"",""es"")"),"Dalabyggð")</f>
        <v>Dalabyggð</v>
      </c>
      <c r="F2093" s="9" t="str">
        <f>IFERROR(__xludf.DUMMYFUNCTION("GOOGLETRANSLATE($A2093,""en"",""it"")"),"Dalabyggð")</f>
        <v>Dalabyggð</v>
      </c>
      <c r="G2093" s="9" t="str">
        <f>IFERROR(__xludf.DUMMYFUNCTION("GOOGLETRANSLATE($A2093,""en"",""zh-cn"")"),"达拉比格德")</f>
        <v>达拉比格德</v>
      </c>
      <c r="H2093" s="9" t="str">
        <f>IFERROR(__xludf.DUMMYFUNCTION("GOOGLETRANSLATE($A2093,""en"",""ja"")"),"ダラビグズ")</f>
        <v>ダラビグズ</v>
      </c>
      <c r="I2093" s="9" t="str">
        <f>IFERROR(__xludf.DUMMYFUNCTION("GOOGLETRANSLATE($A2093,""en"",""ko"")"),"달라비그드")</f>
        <v>달라비그드</v>
      </c>
      <c r="J2093" s="9" t="str">
        <f>IFERROR(__xludf.DUMMYFUNCTION("GOOGLETRANSLATE($A2093,""en"",""pt-BR"")"),"Dalabyggð")</f>
        <v>Dalabyggð</v>
      </c>
    </row>
    <row r="2094">
      <c r="A2094" s="9" t="str">
        <f>IFERROR(__xludf.DUMMYFUNCTION("""COMPUTED_VALUE"""),"Eyja- og Miklaholtshreppur")</f>
        <v>Eyja- og Miklaholtshreppur</v>
      </c>
      <c r="B2094" s="9" t="str">
        <f>IFERROR(__xludf.DUMMYFUNCTION("""COMPUTED_VALUE"""),"is-eom")</f>
        <v>is-eom</v>
      </c>
      <c r="C2094" s="9" t="str">
        <f>IFERROR(__xludf.DUMMYFUNCTION("GOOGLETRANSLATE($A2094,""en"",""de"")"),"Eyja- og Miklaholtshreppur")</f>
        <v>Eyja- og Miklaholtshreppur</v>
      </c>
      <c r="D2094" s="9" t="str">
        <f>IFERROR(__xludf.DUMMYFUNCTION("GOOGLETRANSLATE($A2094,""en"",""fr"")"),"Eyja- et Miklaholtshreppur")</f>
        <v>Eyja- et Miklaholtshreppur</v>
      </c>
      <c r="E2094" s="9" t="str">
        <f>IFERROR(__xludf.DUMMYFUNCTION("GOOGLETRANSLATE($A2094,""en"",""es"")"),"Eyja- og Miklaholtshreppur")</f>
        <v>Eyja- og Miklaholtshreppur</v>
      </c>
      <c r="F2094" s="9" t="str">
        <f>IFERROR(__xludf.DUMMYFUNCTION("GOOGLETRANSLATE($A2094,""en"",""it"")"),"Eyja- og Miklaholtshreppur")</f>
        <v>Eyja- og Miklaholtshreppur</v>
      </c>
      <c r="G2094" s="9" t="str">
        <f>IFERROR(__xludf.DUMMYFUNCTION("GOOGLETRANSLATE($A2094,""en"",""zh-cn"")"),"埃贾奥格·米克拉霍尔茨瑞普")</f>
        <v>埃贾奥格·米克拉霍尔茨瑞普</v>
      </c>
      <c r="H2094" s="9" t="str">
        <f>IFERROR(__xludf.DUMMYFUNCTION("GOOGLETRANSLATE($A2094,""en"",""ja"")"),"エイヤ・オグ・ミクラホルトシュレプール")</f>
        <v>エイヤ・オグ・ミクラホルトシュレプール</v>
      </c>
      <c r="I2094" s="9" t="str">
        <f>IFERROR(__xludf.DUMMYFUNCTION("GOOGLETRANSLATE($A2094,""en"",""ko"")"),"에이자-오그 미클라홀트슈레푸르")</f>
        <v>에이자-오그 미클라홀트슈레푸르</v>
      </c>
      <c r="J2094" s="9" t="str">
        <f>IFERROR(__xludf.DUMMYFUNCTION("GOOGLETRANSLATE($A2094,""en"",""pt-BR"")"),"Eyja- e Miklaholtshreppur")</f>
        <v>Eyja- e Miklaholtshreppur</v>
      </c>
    </row>
    <row r="2095">
      <c r="A2095" s="9" t="str">
        <f>IFERROR(__xludf.DUMMYFUNCTION("""COMPUTED_VALUE"""),"Blönduósbær")</f>
        <v>Blönduósbær</v>
      </c>
      <c r="B2095" s="9" t="str">
        <f>IFERROR(__xludf.DUMMYFUNCTION("""COMPUTED_VALUE"""),"is-blo")</f>
        <v>is-blo</v>
      </c>
      <c r="C2095" s="9" t="str">
        <f>IFERROR(__xludf.DUMMYFUNCTION("GOOGLETRANSLATE($A2095,""en"",""de"")"),"Blönduósbær")</f>
        <v>Blönduósbær</v>
      </c>
      <c r="D2095" s="9" t="str">
        <f>IFERROR(__xludf.DUMMYFUNCTION("GOOGLETRANSLATE($A2095,""en"",""fr"")"),"Blönduósbær")</f>
        <v>Blönduósbær</v>
      </c>
      <c r="E2095" s="9" t="str">
        <f>IFERROR(__xludf.DUMMYFUNCTION("GOOGLETRANSLATE($A2095,""en"",""es"")"),"Blönduósbær")</f>
        <v>Blönduósbær</v>
      </c>
      <c r="F2095" s="9" t="str">
        <f>IFERROR(__xludf.DUMMYFUNCTION("GOOGLETRANSLATE($A2095,""en"",""it"")"),"Blönduósbær")</f>
        <v>Blönduósbær</v>
      </c>
      <c r="G2095" s="9" t="str">
        <f>IFERROR(__xludf.DUMMYFUNCTION("GOOGLETRANSLATE($A2095,""en"",""zh-cn"")"),"布伦杜斯拜尔")</f>
        <v>布伦杜斯拜尔</v>
      </c>
      <c r="H2095" s="9" t="str">
        <f>IFERROR(__xludf.DUMMYFUNCTION("GOOGLETRANSLATE($A2095,""en"",""ja"")"),"ブレンドゥオスバイル")</f>
        <v>ブレンドゥオスバイル</v>
      </c>
      <c r="I2095" s="9" t="str">
        <f>IFERROR(__xludf.DUMMYFUNCTION("GOOGLETRANSLATE($A2095,""en"",""ko"")"),"블론두오스바이르")</f>
        <v>블론두오스바이르</v>
      </c>
      <c r="J2095" s="9" t="str">
        <f>IFERROR(__xludf.DUMMYFUNCTION("GOOGLETRANSLATE($A2095,""en"",""pt-BR"")"),"Blönduósbær")</f>
        <v>Blönduósbær</v>
      </c>
    </row>
    <row r="2096">
      <c r="A2096" s="9" t="str">
        <f>IFERROR(__xludf.DUMMYFUNCTION("""COMPUTED_VALUE"""),"Grundarfjarðarbær")</f>
        <v>Grundarfjarðarbær</v>
      </c>
      <c r="B2096" s="9" t="str">
        <f>IFERROR(__xludf.DUMMYFUNCTION("""COMPUTED_VALUE"""),"is-gru")</f>
        <v>is-gru</v>
      </c>
      <c r="C2096" s="9" t="str">
        <f>IFERROR(__xludf.DUMMYFUNCTION("GOOGLETRANSLATE($A2096,""en"",""de"")"),"Grundarfjarðarbær")</f>
        <v>Grundarfjarðarbær</v>
      </c>
      <c r="D2096" s="9" t="str">
        <f>IFERROR(__xludf.DUMMYFUNCTION("GOOGLETRANSLATE($A2096,""en"",""fr"")"),"Grundarfjarðarbær")</f>
        <v>Grundarfjarðarbær</v>
      </c>
      <c r="E2096" s="9" t="str">
        <f>IFERROR(__xludf.DUMMYFUNCTION("GOOGLETRANSLATE($A2096,""en"",""es"")"),"Grundarfjarðarbær")</f>
        <v>Grundarfjarðarbær</v>
      </c>
      <c r="F2096" s="9" t="str">
        <f>IFERROR(__xludf.DUMMYFUNCTION("GOOGLETRANSLATE($A2096,""en"",""it"")"),"Grundarfjarðarbær")</f>
        <v>Grundarfjarðarbær</v>
      </c>
      <c r="G2096" s="9" t="str">
        <f>IFERROR(__xludf.DUMMYFUNCTION("GOOGLETRANSLATE($A2096,""en"",""zh-cn"")"),"格伦达菲亚扎贝尔")</f>
        <v>格伦达菲亚扎贝尔</v>
      </c>
      <c r="H2096" s="9" t="str">
        <f>IFERROR(__xludf.DUMMYFUNCTION("GOOGLETRANSLATE($A2096,""en"",""ja"")"),"グルンダルフィヤルザルバイル")</f>
        <v>グルンダルフィヤルザルバイル</v>
      </c>
      <c r="I2096" s="9" t="str">
        <f>IFERROR(__xludf.DUMMYFUNCTION("GOOGLETRANSLATE($A2096,""en"",""ko"")"),"Grundarfjarðarbær")</f>
        <v>Grundarfjarðarbær</v>
      </c>
      <c r="J2096" s="9" t="str">
        <f>IFERROR(__xludf.DUMMYFUNCTION("GOOGLETRANSLATE($A2096,""en"",""pt-BR"")"),"Grundarfjarðarbær")</f>
        <v>Grundarfjarðarbær</v>
      </c>
    </row>
    <row r="2097">
      <c r="A2097" s="9" t="str">
        <f>IFERROR(__xludf.DUMMYFUNCTION("""COMPUTED_VALUE"""),"Helgafellssveit")</f>
        <v>Helgafellssveit</v>
      </c>
      <c r="B2097" s="9" t="str">
        <f>IFERROR(__xludf.DUMMYFUNCTION("""COMPUTED_VALUE"""),"is-hel")</f>
        <v>is-hel</v>
      </c>
      <c r="C2097" s="9" t="str">
        <f>IFERROR(__xludf.DUMMYFUNCTION("GOOGLETRANSLATE($A2097,""en"",""de"")"),"Helgafellssveit")</f>
        <v>Helgafellssveit</v>
      </c>
      <c r="D2097" s="9" t="str">
        <f>IFERROR(__xludf.DUMMYFUNCTION("GOOGLETRANSLATE($A2097,""en"",""fr"")"),"Helgafellssveit")</f>
        <v>Helgafellssveit</v>
      </c>
      <c r="E2097" s="9" t="str">
        <f>IFERROR(__xludf.DUMMYFUNCTION("GOOGLETRANSLATE($A2097,""en"",""es"")"),"Helgafellsveit")</f>
        <v>Helgafellsveit</v>
      </c>
      <c r="F2097" s="9" t="str">
        <f>IFERROR(__xludf.DUMMYFUNCTION("GOOGLETRANSLATE($A2097,""en"",""it"")"),"Helgafellssveit")</f>
        <v>Helgafellssveit</v>
      </c>
      <c r="G2097" s="9" t="str">
        <f>IFERROR(__xludf.DUMMYFUNCTION("GOOGLETRANSLATE($A2097,""en"",""zh-cn"")"),"赫尔加菲尔斯韦特")</f>
        <v>赫尔加菲尔斯韦特</v>
      </c>
      <c r="H2097" s="9" t="str">
        <f>IFERROR(__xludf.DUMMYFUNCTION("GOOGLETRANSLATE($A2097,""en"",""ja"")"),"ヘルガフェルスヴェイト")</f>
        <v>ヘルガフェルスヴェイト</v>
      </c>
      <c r="I2097" s="9" t="str">
        <f>IFERROR(__xludf.DUMMYFUNCTION("GOOGLETRANSLATE($A2097,""en"",""ko"")"),"헬가펠스베이트")</f>
        <v>헬가펠스베이트</v>
      </c>
      <c r="J2097" s="9" t="str">
        <f>IFERROR(__xludf.DUMMYFUNCTION("GOOGLETRANSLATE($A2097,""en"",""pt-BR"")"),"Helgafellssveit")</f>
        <v>Helgafellssveit</v>
      </c>
    </row>
    <row r="2098">
      <c r="A2098" s="9" t="str">
        <f>IFERROR(__xludf.DUMMYFUNCTION("""COMPUTED_VALUE"""),"Flóahreppur")</f>
        <v>Flóahreppur</v>
      </c>
      <c r="B2098" s="9" t="str">
        <f>IFERROR(__xludf.DUMMYFUNCTION("""COMPUTED_VALUE"""),"is-fla")</f>
        <v>is-fla</v>
      </c>
      <c r="C2098" s="9" t="str">
        <f>IFERROR(__xludf.DUMMYFUNCTION("GOOGLETRANSLATE($A2098,""en"",""de"")"),"Floahreppur")</f>
        <v>Floahreppur</v>
      </c>
      <c r="D2098" s="9" t="str">
        <f>IFERROR(__xludf.DUMMYFUNCTION("GOOGLETRANSLATE($A2098,""en"",""fr"")"),"Floahreppur")</f>
        <v>Floahreppur</v>
      </c>
      <c r="E2098" s="9" t="str">
        <f>IFERROR(__xludf.DUMMYFUNCTION("GOOGLETRANSLATE($A2098,""en"",""es"")"),"Flóahreppur")</f>
        <v>Flóahreppur</v>
      </c>
      <c r="F2098" s="9" t="str">
        <f>IFERROR(__xludf.DUMMYFUNCTION("GOOGLETRANSLATE($A2098,""en"",""it"")"),"Flóahreppur")</f>
        <v>Flóahreppur</v>
      </c>
      <c r="G2098" s="9" t="str">
        <f>IFERROR(__xludf.DUMMYFUNCTION("GOOGLETRANSLATE($A2098,""en"",""zh-cn"")"),"弗洛阿勒普尔")</f>
        <v>弗洛阿勒普尔</v>
      </c>
      <c r="H2098" s="9" t="str">
        <f>IFERROR(__xludf.DUMMYFUNCTION("GOOGLETRANSLATE($A2098,""en"",""ja"")"),"フローレップール")</f>
        <v>フローレップール</v>
      </c>
      <c r="I2098" s="9" t="str">
        <f>IFERROR(__xludf.DUMMYFUNCTION("GOOGLETRANSLATE($A2098,""en"",""ko"")"),"플로아레푸르")</f>
        <v>플로아레푸르</v>
      </c>
      <c r="J2098" s="9" t="str">
        <f>IFERROR(__xludf.DUMMYFUNCTION("GOOGLETRANSLATE($A2098,""en"",""pt-BR"")"),"Flóahrepur")</f>
        <v>Flóahrepur</v>
      </c>
    </row>
    <row r="2099">
      <c r="A2099" s="9" t="str">
        <f>IFERROR(__xludf.DUMMYFUNCTION("""COMPUTED_VALUE"""),"Garðabær")</f>
        <v>Garðabær</v>
      </c>
      <c r="B2099" s="9" t="str">
        <f>IFERROR(__xludf.DUMMYFUNCTION("""COMPUTED_VALUE"""),"is-gar")</f>
        <v>is-gar</v>
      </c>
      <c r="C2099" s="9" t="str">
        <f>IFERROR(__xludf.DUMMYFUNCTION("GOOGLETRANSLATE($A2099,""en"",""de"")"),"Garðabær")</f>
        <v>Garðabær</v>
      </c>
      <c r="D2099" s="9" t="str">
        <f>IFERROR(__xludf.DUMMYFUNCTION("GOOGLETRANSLATE($A2099,""en"",""fr"")"),"Garðabær")</f>
        <v>Garðabær</v>
      </c>
      <c r="E2099" s="9" t="str">
        <f>IFERROR(__xludf.DUMMYFUNCTION("GOOGLETRANSLATE($A2099,""en"",""es"")"),"Garðabær")</f>
        <v>Garðabær</v>
      </c>
      <c r="F2099" s="9" t="str">
        <f>IFERROR(__xludf.DUMMYFUNCTION("GOOGLETRANSLATE($A2099,""en"",""it"")"),"Garðabær")</f>
        <v>Garðabær</v>
      </c>
      <c r="G2099" s="9" t="str">
        <f>IFERROR(__xludf.DUMMYFUNCTION("GOOGLETRANSLATE($A2099,""en"",""zh-cn"")"),"加尔扎拜尔")</f>
        <v>加尔扎拜尔</v>
      </c>
      <c r="H2099" s="9" t="str">
        <f>IFERROR(__xludf.DUMMYFUNCTION("GOOGLETRANSLATE($A2099,""en"",""ja"")"),"ガルザバイル")</f>
        <v>ガルザバイル</v>
      </c>
      <c r="I2099" s="9" t="str">
        <f>IFERROR(__xludf.DUMMYFUNCTION("GOOGLETRANSLATE($A2099,""en"",""ko"")"),"가르다바이르")</f>
        <v>가르다바이르</v>
      </c>
      <c r="J2099" s="9" t="str">
        <f>IFERROR(__xludf.DUMMYFUNCTION("GOOGLETRANSLATE($A2099,""en"",""pt-BR"")"),"Garðabær")</f>
        <v>Garðabær</v>
      </c>
    </row>
    <row r="2100">
      <c r="A2100" s="9" t="str">
        <f>IFERROR(__xludf.DUMMYFUNCTION("""COMPUTED_VALUE"""),"Fljótsdalshreppur")</f>
        <v>Fljótsdalshreppur</v>
      </c>
      <c r="B2100" s="9" t="str">
        <f>IFERROR(__xludf.DUMMYFUNCTION("""COMPUTED_VALUE"""),"is-flr")</f>
        <v>is-flr</v>
      </c>
      <c r="C2100" s="9" t="str">
        <f>IFERROR(__xludf.DUMMYFUNCTION("GOOGLETRANSLATE($A2100,""en"",""de"")"),"Fljótsdalshreppur")</f>
        <v>Fljótsdalshreppur</v>
      </c>
      <c r="D2100" s="9" t="str">
        <f>IFERROR(__xludf.DUMMYFUNCTION("GOOGLETRANSLATE($A2100,""en"",""fr"")"),"Fljótsdalshreppur")</f>
        <v>Fljótsdalshreppur</v>
      </c>
      <c r="E2100" s="9" t="str">
        <f>IFERROR(__xludf.DUMMYFUNCTION("GOOGLETRANSLATE($A2100,""en"",""es"")"),"Fljótsdalshreppur")</f>
        <v>Fljótsdalshreppur</v>
      </c>
      <c r="F2100" s="9" t="str">
        <f>IFERROR(__xludf.DUMMYFUNCTION("GOOGLETRANSLATE($A2100,""en"",""it"")"),"Fljótsdalshreppur")</f>
        <v>Fljótsdalshreppur</v>
      </c>
      <c r="G2100" s="9" t="str">
        <f>IFERROR(__xludf.DUMMYFUNCTION("GOOGLETRANSLATE($A2100,""en"",""zh-cn"")"),"弗约茨达尔什雷普")</f>
        <v>弗约茨达尔什雷普</v>
      </c>
      <c r="H2100" s="9" t="str">
        <f>IFERROR(__xludf.DUMMYFUNCTION("GOOGLETRANSLATE($A2100,""en"",""ja"")"),"フリョツダルシュレプール")</f>
        <v>フリョツダルシュレプール</v>
      </c>
      <c r="I2100" s="9" t="str">
        <f>IFERROR(__xludf.DUMMYFUNCTION("GOOGLETRANSLATE($A2100,""en"",""ko"")"),"플요츠달슈레푸르")</f>
        <v>플요츠달슈레푸르</v>
      </c>
      <c r="J2100" s="9" t="str">
        <f>IFERROR(__xludf.DUMMYFUNCTION("GOOGLETRANSLATE($A2100,""en"",""pt-BR"")"),"Fljótsdalshreppur")</f>
        <v>Fljótsdalshreppur</v>
      </c>
    </row>
    <row r="2101">
      <c r="A2101" s="9" t="str">
        <f>IFERROR(__xludf.DUMMYFUNCTION("""COMPUTED_VALUE"""),"Fljótsdalshérað")</f>
        <v>Fljótsdalshérað</v>
      </c>
      <c r="B2101" s="9" t="str">
        <f>IFERROR(__xludf.DUMMYFUNCTION("""COMPUTED_VALUE"""),"is-fld")</f>
        <v>is-fld</v>
      </c>
      <c r="C2101" s="9" t="str">
        <f>IFERROR(__xludf.DUMMYFUNCTION("GOOGLETRANSLATE($A2101,""en"",""de"")"),"Fljótsdalshérað")</f>
        <v>Fljótsdalshérað</v>
      </c>
      <c r="D2101" s="9" t="str">
        <f>IFERROR(__xludf.DUMMYFUNCTION("GOOGLETRANSLATE($A2101,""en"",""fr"")"),"Fljótsdalshérð")</f>
        <v>Fljótsdalshérð</v>
      </c>
      <c r="E2101" s="9" t="str">
        <f>IFERROR(__xludf.DUMMYFUNCTION("GOOGLETRANSLATE($A2101,""en"",""es"")"),"Fljótsdalshérað")</f>
        <v>Fljótsdalshérað</v>
      </c>
      <c r="F2101" s="9" t="str">
        <f>IFERROR(__xludf.DUMMYFUNCTION("GOOGLETRANSLATE($A2101,""en"",""it"")"),"Fljótsdalshérað")</f>
        <v>Fljótsdalshérað</v>
      </c>
      <c r="G2101" s="9" t="str">
        <f>IFERROR(__xludf.DUMMYFUNCTION("GOOGLETRANSLATE($A2101,""en"",""zh-cn"")"),"弗约茨达尔谢拉兹")</f>
        <v>弗约茨达尔谢拉兹</v>
      </c>
      <c r="H2101" s="9" t="str">
        <f>IFERROR(__xludf.DUMMYFUNCTION("GOOGLETRANSLATE($A2101,""en"",""ja"")"),"フリョッツダルシェラス")</f>
        <v>フリョッツダルシェラス</v>
      </c>
      <c r="I2101" s="9" t="str">
        <f>IFERROR(__xludf.DUMMYFUNCTION("GOOGLETRANSLATE($A2101,""en"",""ko"")"),"Fljótsdalshérað")</f>
        <v>Fljótsdalshérað</v>
      </c>
      <c r="J2101" s="9" t="str">
        <f>IFERROR(__xludf.DUMMYFUNCTION("GOOGLETRANSLATE($A2101,""en"",""pt-BR"")"),"Fljótsdalshérað")</f>
        <v>Fljótsdalshérað</v>
      </c>
    </row>
    <row r="2102">
      <c r="A2102" s="9" t="str">
        <f>IFERROR(__xludf.DUMMYFUNCTION("""COMPUTED_VALUE"""),"Fjallabyggð")</f>
        <v>Fjallabyggð</v>
      </c>
      <c r="B2102" s="9" t="str">
        <f>IFERROR(__xludf.DUMMYFUNCTION("""COMPUTED_VALUE"""),"is-fjl")</f>
        <v>is-fjl</v>
      </c>
      <c r="C2102" s="9" t="str">
        <f>IFERROR(__xludf.DUMMYFUNCTION("GOOGLETRANSLATE($A2102,""en"",""de"")"),"Fjallabyggð")</f>
        <v>Fjallabyggð</v>
      </c>
      <c r="D2102" s="9" t="str">
        <f>IFERROR(__xludf.DUMMYFUNCTION("GOOGLETRANSLATE($A2102,""en"",""fr"")"),"Fjallabyggð")</f>
        <v>Fjallabyggð</v>
      </c>
      <c r="E2102" s="9" t="str">
        <f>IFERROR(__xludf.DUMMYFUNCTION("GOOGLETRANSLATE($A2102,""en"",""es"")"),"Fjallabyggð")</f>
        <v>Fjallabyggð</v>
      </c>
      <c r="F2102" s="9" t="str">
        <f>IFERROR(__xludf.DUMMYFUNCTION("GOOGLETRANSLATE($A2102,""en"",""it"")"),"Fjallabyggð")</f>
        <v>Fjallabyggð</v>
      </c>
      <c r="G2102" s="9" t="str">
        <f>IFERROR(__xludf.DUMMYFUNCTION("GOOGLETRANSLATE($A2102,""en"",""zh-cn"")"),"菲亚拉比格德")</f>
        <v>菲亚拉比格德</v>
      </c>
      <c r="H2102" s="9" t="str">
        <f>IFERROR(__xludf.DUMMYFUNCTION("GOOGLETRANSLATE($A2102,""en"",""ja"")"),"フィャラビグズ")</f>
        <v>フィャラビグズ</v>
      </c>
      <c r="I2102" s="9" t="str">
        <f>IFERROR(__xludf.DUMMYFUNCTION("GOOGLETRANSLATE($A2102,""en"",""ko"")"),"Fjallabyggð")</f>
        <v>Fjallabyggð</v>
      </c>
      <c r="J2102" s="9" t="str">
        <f>IFERROR(__xludf.DUMMYFUNCTION("GOOGLETRANSLATE($A2102,""en"",""pt-BR"")"),"Fjallabyggð")</f>
        <v>Fjallabyggð</v>
      </c>
    </row>
    <row r="2103">
      <c r="A2103" s="9" t="str">
        <f>IFERROR(__xludf.DUMMYFUNCTION("""COMPUTED_VALUE"""),"Fjarðabyggð")</f>
        <v>Fjarðabyggð</v>
      </c>
      <c r="B2103" s="9" t="str">
        <f>IFERROR(__xludf.DUMMYFUNCTION("""COMPUTED_VALUE"""),"is-fjd")</f>
        <v>is-fjd</v>
      </c>
      <c r="C2103" s="9" t="str">
        <f>IFERROR(__xludf.DUMMYFUNCTION("GOOGLETRANSLATE($A2103,""en"",""de"")"),"Fjarðabyggð")</f>
        <v>Fjarðabyggð</v>
      </c>
      <c r="D2103" s="9" t="str">
        <f>IFERROR(__xludf.DUMMYFUNCTION("GOOGLETRANSLATE($A2103,""en"",""fr"")"),"Fjarðabyggð")</f>
        <v>Fjarðabyggð</v>
      </c>
      <c r="E2103" s="9" t="str">
        <f>IFERROR(__xludf.DUMMYFUNCTION("GOOGLETRANSLATE($A2103,""en"",""es"")"),"Fjarðabyggð")</f>
        <v>Fjarðabyggð</v>
      </c>
      <c r="F2103" s="9" t="str">
        <f>IFERROR(__xludf.DUMMYFUNCTION("GOOGLETRANSLATE($A2103,""en"",""it"")"),"Fjarðabyggð")</f>
        <v>Fjarðabyggð</v>
      </c>
      <c r="G2103" s="9" t="str">
        <f>IFERROR(__xludf.DUMMYFUNCTION("GOOGLETRANSLATE($A2103,""en"",""zh-cn"")"),"菲亚扎比格德")</f>
        <v>菲亚扎比格德</v>
      </c>
      <c r="H2103" s="9" t="str">
        <f>IFERROR(__xludf.DUMMYFUNCTION("GOOGLETRANSLATE($A2103,""en"",""ja"")"),"フィヤルザビグズ")</f>
        <v>フィヤルザビグズ</v>
      </c>
      <c r="I2103" s="9" t="str">
        <f>IFERROR(__xludf.DUMMYFUNCTION("GOOGLETRANSLATE($A2103,""en"",""ko"")"),"Fjarðabyggð")</f>
        <v>Fjarðabyggð</v>
      </c>
      <c r="J2103" s="9" t="str">
        <f>IFERROR(__xludf.DUMMYFUNCTION("GOOGLETRANSLATE($A2103,""en"",""pt-BR"")"),"Fjarðabyggð")</f>
        <v>Fjarðabyggð</v>
      </c>
    </row>
    <row r="2104">
      <c r="A2104" s="9" t="str">
        <f>IFERROR(__xludf.DUMMYFUNCTION("""COMPUTED_VALUE"""),"Hafnarfjarðarkaupstaður")</f>
        <v>Hafnarfjarðarkaupstaður</v>
      </c>
      <c r="B2104" s="9" t="str">
        <f>IFERROR(__xludf.DUMMYFUNCTION("""COMPUTED_VALUE"""),"is-haf")</f>
        <v>is-haf</v>
      </c>
      <c r="C2104" s="9" t="str">
        <f>IFERROR(__xludf.DUMMYFUNCTION("GOOGLETRANSLATE($A2104,""en"",""de"")"),"Hafnarfjarðarkaupstaður")</f>
        <v>Hafnarfjarðarkaupstaður</v>
      </c>
      <c r="D2104" s="9" t="str">
        <f>IFERROR(__xludf.DUMMYFUNCTION("GOOGLETRANSLATE($A2104,""en"",""fr"")"),"Hafnarfjarðarkaupstaður")</f>
        <v>Hafnarfjarðarkaupstaður</v>
      </c>
      <c r="E2104" s="9" t="str">
        <f>IFERROR(__xludf.DUMMYFUNCTION("GOOGLETRANSLATE($A2104,""en"",""es"")"),"Hafnarfjarðarkaupstaður")</f>
        <v>Hafnarfjarðarkaupstaður</v>
      </c>
      <c r="F2104" s="9" t="str">
        <f>IFERROR(__xludf.DUMMYFUNCTION("GOOGLETRANSLATE($A2104,""en"",""it"")"),"Hafnarfjarðarkaupstaður")</f>
        <v>Hafnarfjarðarkaupstaður</v>
      </c>
      <c r="G2104" s="9" t="str">
        <f>IFERROR(__xludf.DUMMYFUNCTION("GOOGLETRANSLATE($A2104,""en"",""zh-cn"")"),"哈夫纳夫亚尔扎卡普斯塔杜尔")</f>
        <v>哈夫纳夫亚尔扎卡普斯塔杜尔</v>
      </c>
      <c r="H2104" s="9" t="str">
        <f>IFERROR(__xludf.DUMMYFUNCTION("GOOGLETRANSLATE($A2104,""en"",""ja"")"),"ハフナルフィヤルカウプスタズル")</f>
        <v>ハフナルフィヤルカウプスタズル</v>
      </c>
      <c r="I2104" s="9" t="str">
        <f>IFERROR(__xludf.DUMMYFUNCTION("GOOGLETRANSLATE($A2104,""en"",""ko"")"),"Hafnarfjarðarkaupstaður")</f>
        <v>Hafnarfjarðarkaupstaður</v>
      </c>
      <c r="J2104" s="9" t="str">
        <f>IFERROR(__xludf.DUMMYFUNCTION("GOOGLETRANSLATE($A2104,""en"",""pt-BR"")"),"Hafnarfjarðarkaupstaður")</f>
        <v>Hafnarfjarðarkaupstaður</v>
      </c>
    </row>
    <row r="2105">
      <c r="A2105" s="9" t="str">
        <f>IFERROR(__xludf.DUMMYFUNCTION("""COMPUTED_VALUE"""),"Grýtubakkahreppur")</f>
        <v>Grýtubakkahreppur</v>
      </c>
      <c r="B2105" s="9" t="str">
        <f>IFERROR(__xludf.DUMMYFUNCTION("""COMPUTED_VALUE"""),"is-gry")</f>
        <v>is-gry</v>
      </c>
      <c r="C2105" s="9" t="str">
        <f>IFERROR(__xludf.DUMMYFUNCTION("GOOGLETRANSLATE($A2105,""en"",""de"")"),"Grýtubakkahreppur")</f>
        <v>Grýtubakkahreppur</v>
      </c>
      <c r="D2105" s="9" t="str">
        <f>IFERROR(__xludf.DUMMYFUNCTION("GOOGLETRANSLATE($A2105,""en"",""fr"")"),"Grýtubakkahreppur")</f>
        <v>Grýtubakkahreppur</v>
      </c>
      <c r="E2105" s="9" t="str">
        <f>IFERROR(__xludf.DUMMYFUNCTION("GOOGLETRANSLATE($A2105,""en"",""es"")"),"Grýtubakkahreppur")</f>
        <v>Grýtubakkahreppur</v>
      </c>
      <c r="F2105" s="9" t="str">
        <f>IFERROR(__xludf.DUMMYFUNCTION("GOOGLETRANSLATE($A2105,""en"",""it"")"),"Grýtubakkahreppur")</f>
        <v>Grýtubakkahreppur</v>
      </c>
      <c r="G2105" s="9" t="str">
        <f>IFERROR(__xludf.DUMMYFUNCTION("GOOGLETRANSLATE($A2105,""en"",""zh-cn"")"),"格里图巴卡赫雷普尔")</f>
        <v>格里图巴卡赫雷普尔</v>
      </c>
      <c r="H2105" s="9" t="str">
        <f>IFERROR(__xludf.DUMMYFUNCTION("GOOGLETRANSLATE($A2105,""en"",""ja"")"),"グリトゥバッカフレプール")</f>
        <v>グリトゥバッカフレプール</v>
      </c>
      <c r="I2105" s="9" t="str">
        <f>IFERROR(__xludf.DUMMYFUNCTION("GOOGLETRANSLATE($A2105,""en"",""ko"")"),"그리투박카레푸르")</f>
        <v>그리투박카레푸르</v>
      </c>
      <c r="J2105" s="9" t="str">
        <f>IFERROR(__xludf.DUMMYFUNCTION("GOOGLETRANSLATE($A2105,""en"",""pt-BR"")"),"Grýtubakkahreppur")</f>
        <v>Grýtubakkahreppur</v>
      </c>
    </row>
    <row r="2106">
      <c r="A2106" s="9" t="str">
        <f>IFERROR(__xludf.DUMMYFUNCTION("""COMPUTED_VALUE"""),"Grindavíkurbær")</f>
        <v>Grindavíkurbær</v>
      </c>
      <c r="B2106" s="9" t="str">
        <f>IFERROR(__xludf.DUMMYFUNCTION("""COMPUTED_VALUE"""),"is-grn")</f>
        <v>is-grn</v>
      </c>
      <c r="C2106" s="9" t="str">
        <f>IFERROR(__xludf.DUMMYFUNCTION("GOOGLETRANSLATE($A2106,""en"",""de"")"),"Grindavíkurbær")</f>
        <v>Grindavíkurbær</v>
      </c>
      <c r="D2106" s="9" t="str">
        <f>IFERROR(__xludf.DUMMYFUNCTION("GOOGLETRANSLATE($A2106,""en"",""fr"")"),"Grindavíkurbær")</f>
        <v>Grindavíkurbær</v>
      </c>
      <c r="E2106" s="9" t="str">
        <f>IFERROR(__xludf.DUMMYFUNCTION("GOOGLETRANSLATE($A2106,""en"",""es"")"),"Grindavíkurbær")</f>
        <v>Grindavíkurbær</v>
      </c>
      <c r="F2106" s="9" t="str">
        <f>IFERROR(__xludf.DUMMYFUNCTION("GOOGLETRANSLATE($A2106,""en"",""it"")"),"Grindavíkurbær")</f>
        <v>Grindavíkurbær</v>
      </c>
      <c r="G2106" s="9" t="str">
        <f>IFERROR(__xludf.DUMMYFUNCTION("GOOGLETRANSLATE($A2106,""en"",""zh-cn"")"),"格林达维库贝尔")</f>
        <v>格林达维库贝尔</v>
      </c>
      <c r="H2106" s="9" t="str">
        <f>IFERROR(__xludf.DUMMYFUNCTION("GOOGLETRANSLATE($A2106,""en"",""ja"")"),"グリンダヴィクルバイル")</f>
        <v>グリンダヴィクルバイル</v>
      </c>
      <c r="I2106" s="9" t="str">
        <f>IFERROR(__xludf.DUMMYFUNCTION("GOOGLETRANSLATE($A2106,""en"",""ko"")"),"Grindavíkurbær")</f>
        <v>Grindavíkurbær</v>
      </c>
      <c r="J2106" s="9" t="str">
        <f>IFERROR(__xludf.DUMMYFUNCTION("GOOGLETRANSLATE($A2106,""en"",""pt-BR"")"),"Grindavíkurbær")</f>
        <v>Grindavíkurbær</v>
      </c>
    </row>
    <row r="2107">
      <c r="A2107" s="9" t="str">
        <f>IFERROR(__xludf.DUMMYFUNCTION("""COMPUTED_VALUE"""),"Grímsnes- og Grafningshreppur")</f>
        <v>Grímsnes- og Grafningshreppur</v>
      </c>
      <c r="B2107" s="9" t="str">
        <f>IFERROR(__xludf.DUMMYFUNCTION("""COMPUTED_VALUE"""),"is-gog")</f>
        <v>is-gog</v>
      </c>
      <c r="C2107" s="9" t="str">
        <f>IFERROR(__xludf.DUMMYFUNCTION("GOOGLETRANSLATE($A2107,""en"",""de"")"),"Grímsnes- og Grafningshreppur")</f>
        <v>Grímsnes- og Grafningshreppur</v>
      </c>
      <c r="D2107" s="9" t="str">
        <f>IFERROR(__xludf.DUMMYFUNCTION("GOOGLETRANSLATE($A2107,""en"",""fr"")"),"Grimsnes et Grafningshreppur")</f>
        <v>Grimsnes et Grafningshreppur</v>
      </c>
      <c r="E2107" s="9" t="str">
        <f>IFERROR(__xludf.DUMMYFUNCTION("GOOGLETRANSLATE($A2107,""en"",""es"")"),"Grímsnes- og Grafningshreppur")</f>
        <v>Grímsnes- og Grafningshreppur</v>
      </c>
      <c r="F2107" s="9" t="str">
        <f>IFERROR(__xludf.DUMMYFUNCTION("GOOGLETRANSLATE($A2107,""en"",""it"")"),"Grímsnes- og Grafningshreppur")</f>
        <v>Grímsnes- og Grafningshreppur</v>
      </c>
      <c r="G2107" s="9" t="str">
        <f>IFERROR(__xludf.DUMMYFUNCTION("GOOGLETRANSLATE($A2107,""en"",""zh-cn"")"),"格里姆斯内斯- og Grafningshreppur")</f>
        <v>格里姆斯内斯- og Grafningshreppur</v>
      </c>
      <c r="H2107" s="9" t="str">
        <f>IFERROR(__xludf.DUMMYFUNCTION("GOOGLETRANSLATE($A2107,""en"",""ja"")"),"グリムスネス オグ グラフニングシュレプール")</f>
        <v>グリムスネス オグ グラフニングシュレプール</v>
      </c>
      <c r="I2107" s="9" t="str">
        <f>IFERROR(__xludf.DUMMYFUNCTION("GOOGLETRANSLATE($A2107,""en"",""ko"")"),"그림네스-오그 그라프닝슈레퍼")</f>
        <v>그림네스-오그 그라프닝슈레퍼</v>
      </c>
      <c r="J2107" s="9" t="str">
        <f>IFERROR(__xludf.DUMMYFUNCTION("GOOGLETRANSLATE($A2107,""en"",""pt-BR"")"),"Grímsnes- og Grafningshreppur")</f>
        <v>Grímsnes- og Grafningshreppur</v>
      </c>
    </row>
    <row r="2108">
      <c r="A2108" s="9" t="str">
        <f>IFERROR(__xludf.DUMMYFUNCTION("""COMPUTED_VALUE"""),"Borgarbyggð")</f>
        <v>Borgarbyggð</v>
      </c>
      <c r="B2108" s="9" t="str">
        <f>IFERROR(__xludf.DUMMYFUNCTION("""COMPUTED_VALUE"""),"is-bog")</f>
        <v>is-bog</v>
      </c>
      <c r="C2108" s="9" t="str">
        <f>IFERROR(__xludf.DUMMYFUNCTION("GOOGLETRANSLATE($A2108,""en"",""de"")"),"Borgarbyggð")</f>
        <v>Borgarbyggð</v>
      </c>
      <c r="D2108" s="9" t="str">
        <f>IFERROR(__xludf.DUMMYFUNCTION("GOOGLETRANSLATE($A2108,""en"",""fr"")"),"Borgarbyggð")</f>
        <v>Borgarbyggð</v>
      </c>
      <c r="E2108" s="9" t="str">
        <f>IFERROR(__xludf.DUMMYFUNCTION("GOOGLETRANSLATE($A2108,""en"",""es"")"),"Borgarbyggð")</f>
        <v>Borgarbyggð</v>
      </c>
      <c r="F2108" s="9" t="str">
        <f>IFERROR(__xludf.DUMMYFUNCTION("GOOGLETRANSLATE($A2108,""en"",""it"")"),"Borgarbyggð")</f>
        <v>Borgarbyggð</v>
      </c>
      <c r="G2108" s="9" t="str">
        <f>IFERROR(__xludf.DUMMYFUNCTION("GOOGLETRANSLATE($A2108,""en"",""zh-cn"")"),"博尔加比格德")</f>
        <v>博尔加比格德</v>
      </c>
      <c r="H2108" s="9" t="str">
        <f>IFERROR(__xludf.DUMMYFUNCTION("GOOGLETRANSLATE($A2108,""en"",""ja"")"),"ボルガルビグズ")</f>
        <v>ボルガルビグズ</v>
      </c>
      <c r="I2108" s="9" t="str">
        <f>IFERROR(__xludf.DUMMYFUNCTION("GOOGLETRANSLATE($A2108,""en"",""ko"")"),"보르가르비ggð")</f>
        <v>보르가르비ggð</v>
      </c>
      <c r="J2108" s="9" t="str">
        <f>IFERROR(__xludf.DUMMYFUNCTION("GOOGLETRANSLATE($A2108,""en"",""pt-BR"")"),"Borgarbyggð")</f>
        <v>Borgarbyggð</v>
      </c>
    </row>
    <row r="2109">
      <c r="A2109" s="9" t="str">
        <f>IFERROR(__xludf.DUMMYFUNCTION("""COMPUTED_VALUE"""),"Bláskógabyggð")</f>
        <v>Bláskógabyggð</v>
      </c>
      <c r="B2109" s="9" t="str">
        <f>IFERROR(__xludf.DUMMYFUNCTION("""COMPUTED_VALUE"""),"is-bla")</f>
        <v>is-bla</v>
      </c>
      <c r="C2109" s="9" t="str">
        <f>IFERROR(__xludf.DUMMYFUNCTION("GOOGLETRANSLATE($A2109,""en"",""de"")"),"Bláskógabyggð")</f>
        <v>Bláskógabyggð</v>
      </c>
      <c r="D2109" s="9" t="str">
        <f>IFERROR(__xludf.DUMMYFUNCTION("GOOGLETRANSLATE($A2109,""en"",""fr"")"),"Blaskógabyggð")</f>
        <v>Blaskógabyggð</v>
      </c>
      <c r="E2109" s="9" t="str">
        <f>IFERROR(__xludf.DUMMYFUNCTION("GOOGLETRANSLATE($A2109,""en"",""es"")"),"Bláskógabyggð")</f>
        <v>Bláskógabyggð</v>
      </c>
      <c r="F2109" s="9" t="str">
        <f>IFERROR(__xludf.DUMMYFUNCTION("GOOGLETRANSLATE($A2109,""en"",""it"")"),"Bláskógabyggð")</f>
        <v>Bláskógabyggð</v>
      </c>
      <c r="G2109" s="9" t="str">
        <f>IFERROR(__xludf.DUMMYFUNCTION("GOOGLETRANSLATE($A2109,""en"",""zh-cn"")"),"布拉斯科加比格德")</f>
        <v>布拉斯科加比格德</v>
      </c>
      <c r="H2109" s="9" t="str">
        <f>IFERROR(__xludf.DUMMYFUNCTION("GOOGLETRANSLATE($A2109,""en"",""ja"")"),"ブラスコガビグズ")</f>
        <v>ブラスコガビグズ</v>
      </c>
      <c r="I2109" s="9" t="str">
        <f>IFERROR(__xludf.DUMMYFUNCTION("GOOGLETRANSLATE($A2109,""en"",""ko"")"),"블라스코가비그드(Bláskógabyggð)")</f>
        <v>블라스코가비그드(Bláskógabyggð)</v>
      </c>
      <c r="J2109" s="9" t="str">
        <f>IFERROR(__xludf.DUMMYFUNCTION("GOOGLETRANSLATE($A2109,""en"",""pt-BR"")"),"Bláskógabyggð")</f>
        <v>Bláskógabyggð</v>
      </c>
    </row>
    <row r="2110">
      <c r="A2110" s="9" t="str">
        <f>IFERROR(__xludf.DUMMYFUNCTION("""COMPUTED_VALUE"""),"Borgarfjarðarhreppur")</f>
        <v>Borgarfjarðarhreppur</v>
      </c>
      <c r="B2110" s="9" t="str">
        <f>IFERROR(__xludf.DUMMYFUNCTION("""COMPUTED_VALUE"""),"is-bfj")</f>
        <v>is-bfj</v>
      </c>
      <c r="C2110" s="9" t="str">
        <f>IFERROR(__xludf.DUMMYFUNCTION("GOOGLETRANSLATE($A2110,""en"",""de"")"),"Borgarfjarðarhreppur")</f>
        <v>Borgarfjarðarhreppur</v>
      </c>
      <c r="D2110" s="9" t="str">
        <f>IFERROR(__xludf.DUMMYFUNCTION("GOOGLETRANSLATE($A2110,""en"",""fr"")"),"Borgarfjarðarhreppur")</f>
        <v>Borgarfjarðarhreppur</v>
      </c>
      <c r="E2110" s="9" t="str">
        <f>IFERROR(__xludf.DUMMYFUNCTION("GOOGLETRANSLATE($A2110,""en"",""es"")"),"Borgarfjarðarhreppur")</f>
        <v>Borgarfjarðarhreppur</v>
      </c>
      <c r="F2110" s="9" t="str">
        <f>IFERROR(__xludf.DUMMYFUNCTION("GOOGLETRANSLATE($A2110,""en"",""it"")"),"Borgarfjarðarhreppur")</f>
        <v>Borgarfjarðarhreppur</v>
      </c>
      <c r="G2110" s="9" t="str">
        <f>IFERROR(__xludf.DUMMYFUNCTION("GOOGLETRANSLATE($A2110,""en"",""zh-cn"")"),"博尔加峡湾")</f>
        <v>博尔加峡湾</v>
      </c>
      <c r="H2110" s="9" t="str">
        <f>IFERROR(__xludf.DUMMYFUNCTION("GOOGLETRANSLATE($A2110,""en"",""ja"")"),"ボルガルフィヤルザレプール")</f>
        <v>ボルガルフィヤルザレプール</v>
      </c>
      <c r="I2110" s="9" t="str">
        <f>IFERROR(__xludf.DUMMYFUNCTION("GOOGLETRANSLATE($A2110,""en"",""ko"")"),"보르가르피야르다르레푸르")</f>
        <v>보르가르피야르다르레푸르</v>
      </c>
      <c r="J2110" s="9" t="str">
        <f>IFERROR(__xludf.DUMMYFUNCTION("GOOGLETRANSLATE($A2110,""en"",""pt-BR"")"),"Borgarfjarðarhreppur")</f>
        <v>Borgarfjarðarhreppur</v>
      </c>
    </row>
    <row r="2111">
      <c r="A2111" s="9" t="str">
        <f>IFERROR(__xludf.DUMMYFUNCTION("""COMPUTED_VALUE"""),"Ásahreppur")</f>
        <v>Ásahreppur</v>
      </c>
      <c r="B2111" s="9" t="str">
        <f>IFERROR(__xludf.DUMMYFUNCTION("""COMPUTED_VALUE"""),"is-asa")</f>
        <v>is-asa</v>
      </c>
      <c r="C2111" s="9" t="str">
        <f>IFERROR(__xludf.DUMMYFUNCTION("GOOGLETRANSLATE($A2111,""en"",""de"")"),"Ásahreppur")</f>
        <v>Ásahreppur</v>
      </c>
      <c r="D2111" s="9" t="str">
        <f>IFERROR(__xludf.DUMMYFUNCTION("GOOGLETRANSLATE($A2111,""en"",""fr"")"),"Asahreppur")</f>
        <v>Asahreppur</v>
      </c>
      <c r="E2111" s="9" t="str">
        <f>IFERROR(__xludf.DUMMYFUNCTION("GOOGLETRANSLATE($A2111,""en"",""es"")"),"Ásahreppur")</f>
        <v>Ásahreppur</v>
      </c>
      <c r="F2111" s="9" t="str">
        <f>IFERROR(__xludf.DUMMYFUNCTION("GOOGLETRANSLATE($A2111,""en"",""it"")"),"Ásahreppur")</f>
        <v>Ásahreppur</v>
      </c>
      <c r="G2111" s="9" t="str">
        <f>IFERROR(__xludf.DUMMYFUNCTION("GOOGLETRANSLATE($A2111,""en"",""zh-cn"")"),"阿萨勒普尔")</f>
        <v>阿萨勒普尔</v>
      </c>
      <c r="H2111" s="9" t="str">
        <f>IFERROR(__xludf.DUMMYFUNCTION("GOOGLETRANSLATE($A2111,""en"",""ja"")"),"アーサーレプール")</f>
        <v>アーサーレプール</v>
      </c>
      <c r="I2111" s="9" t="str">
        <f>IFERROR(__xludf.DUMMYFUNCTION("GOOGLETRANSLATE($A2111,""en"",""ko"")"),"아사레푸르")</f>
        <v>아사레푸르</v>
      </c>
      <c r="J2111" s="9" t="str">
        <f>IFERROR(__xludf.DUMMYFUNCTION("GOOGLETRANSLATE($A2111,""en"",""pt-BR"")"),"Ásahrepur")</f>
        <v>Ásahrepur</v>
      </c>
    </row>
    <row r="2112">
      <c r="A2112" s="9" t="str">
        <f>IFERROR(__xludf.DUMMYFUNCTION("""COMPUTED_VALUE"""),"Eyjafjarðarsveit")</f>
        <v>Eyjafjarðarsveit</v>
      </c>
      <c r="B2112" s="9" t="str">
        <f>IFERROR(__xludf.DUMMYFUNCTION("""COMPUTED_VALUE"""),"is-eyf")</f>
        <v>is-eyf</v>
      </c>
      <c r="C2112" s="9" t="str">
        <f>IFERROR(__xludf.DUMMYFUNCTION("GOOGLETRANSLATE($A2112,""en"",""de"")"),"Eyjafjarðarsveit")</f>
        <v>Eyjafjarðarsveit</v>
      </c>
      <c r="D2112" s="9" t="str">
        <f>IFERROR(__xludf.DUMMYFUNCTION("GOOGLETRANSLATE($A2112,""en"",""fr"")"),"Eyjafjarðarsveit")</f>
        <v>Eyjafjarðarsveit</v>
      </c>
      <c r="E2112" s="9" t="str">
        <f>IFERROR(__xludf.DUMMYFUNCTION("GOOGLETRANSLATE($A2112,""en"",""es"")"),"Eyjafjarðarsveit")</f>
        <v>Eyjafjarðarsveit</v>
      </c>
      <c r="F2112" s="9" t="str">
        <f>IFERROR(__xludf.DUMMYFUNCTION("GOOGLETRANSLATE($A2112,""en"",""it"")"),"Eyjafjarðarsveit")</f>
        <v>Eyjafjarðarsveit</v>
      </c>
      <c r="G2112" s="9" t="str">
        <f>IFERROR(__xludf.DUMMYFUNCTION("GOOGLETRANSLATE($A2112,""en"",""zh-cn"")"),"埃亚菲亚扎斯韦特")</f>
        <v>埃亚菲亚扎斯韦特</v>
      </c>
      <c r="H2112" s="9" t="str">
        <f>IFERROR(__xludf.DUMMYFUNCTION("GOOGLETRANSLATE($A2112,""en"",""ja"")"),"エイヤフィヤルザールスベイト")</f>
        <v>エイヤフィヤルザールスベイト</v>
      </c>
      <c r="I2112" s="9" t="str">
        <f>IFERROR(__xludf.DUMMYFUNCTION("GOOGLETRANSLATE($A2112,""en"",""ko"")"),"에이야프야르다르스베이트")</f>
        <v>에이야프야르다르스베이트</v>
      </c>
      <c r="J2112" s="9" t="str">
        <f>IFERROR(__xludf.DUMMYFUNCTION("GOOGLETRANSLATE($A2112,""en"",""pt-BR"")"),"Eyjafjarðarsveit")</f>
        <v>Eyjafjarðarsveit</v>
      </c>
    </row>
    <row r="2113">
      <c r="A2113" s="9" t="str">
        <f>IFERROR(__xludf.DUMMYFUNCTION("""COMPUTED_VALUE"""),"Djúpavogshreppur")</f>
        <v>Djúpavogshreppur</v>
      </c>
      <c r="B2113" s="9" t="str">
        <f>IFERROR(__xludf.DUMMYFUNCTION("""COMPUTED_VALUE"""),"is-dju")</f>
        <v>is-dju</v>
      </c>
      <c r="C2113" s="9" t="str">
        <f>IFERROR(__xludf.DUMMYFUNCTION("GOOGLETRANSLATE($A2113,""en"",""de"")"),"Djúpavogshreppur")</f>
        <v>Djúpavogshreppur</v>
      </c>
      <c r="D2113" s="9" t="str">
        <f>IFERROR(__xludf.DUMMYFUNCTION("GOOGLETRANSLATE($A2113,""en"",""fr"")"),"Djúpavogshreppur")</f>
        <v>Djúpavogshreppur</v>
      </c>
      <c r="E2113" s="9" t="str">
        <f>IFERROR(__xludf.DUMMYFUNCTION("GOOGLETRANSLATE($A2113,""en"",""es"")"),"Djúpavogshreppur")</f>
        <v>Djúpavogshreppur</v>
      </c>
      <c r="F2113" s="9" t="str">
        <f>IFERROR(__xludf.DUMMYFUNCTION("GOOGLETRANSLATE($A2113,""en"",""it"")"),"Djúpavogshreppur")</f>
        <v>Djúpavogshreppur</v>
      </c>
      <c r="G2113" s="9" t="str">
        <f>IFERROR(__xludf.DUMMYFUNCTION("GOOGLETRANSLATE($A2113,""en"",""zh-cn"")"),"朱帕沃格什雷普尔")</f>
        <v>朱帕沃格什雷普尔</v>
      </c>
      <c r="H2113" s="9" t="str">
        <f>IFERROR(__xludf.DUMMYFUNCTION("GOOGLETRANSLATE($A2113,""en"",""ja"")"),"ジューパヴォグシュレプール")</f>
        <v>ジューパヴォグシュレプール</v>
      </c>
      <c r="I2113" s="9" t="str">
        <f>IFERROR(__xludf.DUMMYFUNCTION("GOOGLETRANSLATE($A2113,""en"",""ko"")"),"듀파복슈레푸르")</f>
        <v>듀파복슈레푸르</v>
      </c>
      <c r="J2113" s="9" t="str">
        <f>IFERROR(__xludf.DUMMYFUNCTION("GOOGLETRANSLATE($A2113,""en"",""pt-BR"")"),"Djúpavogshrepur")</f>
        <v>Djúpavogshrepur</v>
      </c>
    </row>
    <row r="2114">
      <c r="A2114" s="9" t="str">
        <f>IFERROR(__xludf.DUMMYFUNCTION("""COMPUTED_VALUE"""),"Dalvíkurbyggð")</f>
        <v>Dalvíkurbyggð</v>
      </c>
      <c r="B2114" s="9" t="str">
        <f>IFERROR(__xludf.DUMMYFUNCTION("""COMPUTED_VALUE"""),"is-dav")</f>
        <v>is-dav</v>
      </c>
      <c r="C2114" s="9" t="str">
        <f>IFERROR(__xludf.DUMMYFUNCTION("GOOGLETRANSLATE($A2114,""en"",""de"")"),"Dalvíkurbyggð")</f>
        <v>Dalvíkurbyggð</v>
      </c>
      <c r="D2114" s="9" t="str">
        <f>IFERROR(__xludf.DUMMYFUNCTION("GOOGLETRANSLATE($A2114,""en"",""fr"")"),"Dalvíkurbyggð")</f>
        <v>Dalvíkurbyggð</v>
      </c>
      <c r="E2114" s="9" t="str">
        <f>IFERROR(__xludf.DUMMYFUNCTION("GOOGLETRANSLATE($A2114,""en"",""es"")"),"Dalvíkurbyggð")</f>
        <v>Dalvíkurbyggð</v>
      </c>
      <c r="F2114" s="9" t="str">
        <f>IFERROR(__xludf.DUMMYFUNCTION("GOOGLETRANSLATE($A2114,""en"",""it"")"),"Dalvíkurbyggð")</f>
        <v>Dalvíkurbyggð</v>
      </c>
      <c r="G2114" s="9" t="str">
        <f>IFERROR(__xludf.DUMMYFUNCTION("GOOGLETRANSLATE($A2114,""en"",""zh-cn"")"),"达尔维克比格德")</f>
        <v>达尔维克比格德</v>
      </c>
      <c r="H2114" s="9" t="str">
        <f>IFERROR(__xludf.DUMMYFUNCTION("GOOGLETRANSLATE($A2114,""en"",""ja"")"),"ダルヴィクルビグズ")</f>
        <v>ダルヴィクルビグズ</v>
      </c>
      <c r="I2114" s="9" t="str">
        <f>IFERROR(__xludf.DUMMYFUNCTION("GOOGLETRANSLATE($A2114,""en"",""ko"")"),"Dalvíkurbyggð")</f>
        <v>Dalvíkurbyggð</v>
      </c>
      <c r="J2114" s="9" t="str">
        <f>IFERROR(__xludf.DUMMYFUNCTION("GOOGLETRANSLATE($A2114,""en"",""pt-BR"")"),"Dalvíkurbyggð")</f>
        <v>Dalvíkurbyggð</v>
      </c>
    </row>
    <row r="2115">
      <c r="A2115" s="9" t="str">
        <f>IFERROR(__xludf.DUMMYFUNCTION("""COMPUTED_VALUE"""),"Bolungarvíkurkaupstaður")</f>
        <v>Bolungarvíkurkaupstaður</v>
      </c>
      <c r="B2115" s="9" t="str">
        <f>IFERROR(__xludf.DUMMYFUNCTION("""COMPUTED_VALUE"""),"is-bol")</f>
        <v>is-bol</v>
      </c>
      <c r="C2115" s="9" t="str">
        <f>IFERROR(__xludf.DUMMYFUNCTION("GOOGLETRANSLATE($A2115,""en"",""de"")"),"Bolungarvíkurkaupstaður")</f>
        <v>Bolungarvíkurkaupstaður</v>
      </c>
      <c r="D2115" s="9" t="str">
        <f>IFERROR(__xludf.DUMMYFUNCTION("GOOGLETRANSLATE($A2115,""en"",""fr"")"),"Bolungarvíkurkaupstaður")</f>
        <v>Bolungarvíkurkaupstaður</v>
      </c>
      <c r="E2115" s="9" t="str">
        <f>IFERROR(__xludf.DUMMYFUNCTION("GOOGLETRANSLATE($A2115,""en"",""es"")"),"Bolungarvíkurkaupstaður")</f>
        <v>Bolungarvíkurkaupstaður</v>
      </c>
      <c r="F2115" s="9" t="str">
        <f>IFERROR(__xludf.DUMMYFUNCTION("GOOGLETRANSLATE($A2115,""en"",""it"")"),"Bolungarvíkurkaupstaður")</f>
        <v>Bolungarvíkurkaupstaður</v>
      </c>
      <c r="G2115" s="9" t="str">
        <f>IFERROR(__xludf.DUMMYFUNCTION("GOOGLETRANSLATE($A2115,""en"",""zh-cn"")"),"博隆加尔维库考普斯塔杜尔")</f>
        <v>博隆加尔维库考普斯塔杜尔</v>
      </c>
      <c r="H2115" s="9" t="str">
        <f>IFERROR(__xludf.DUMMYFUNCTION("GOOGLETRANSLATE($A2115,""en"",""ja"")"),"ボルンガルヴィクルカウプスタズル")</f>
        <v>ボルンガルヴィクルカウプスタズル</v>
      </c>
      <c r="I2115" s="9" t="str">
        <f>IFERROR(__xludf.DUMMYFUNCTION("GOOGLETRANSLATE($A2115,""en"",""ko"")"),"Bolungarvíkurkaupstaður")</f>
        <v>Bolungarvíkurkaupstaður</v>
      </c>
      <c r="J2115" s="9" t="str">
        <f>IFERROR(__xludf.DUMMYFUNCTION("GOOGLETRANSLATE($A2115,""en"",""pt-BR"")"),"Bolungarvíkurkaupstaður")</f>
        <v>Bolungarvíkurkaupstaður</v>
      </c>
    </row>
    <row r="2116">
      <c r="A2116" s="9" t="str">
        <f>IFERROR(__xludf.DUMMYFUNCTION("""COMPUTED_VALUE"""),"Rangárþing ytra")</f>
        <v>Rangárþing ytra</v>
      </c>
      <c r="B2116" s="9" t="str">
        <f>IFERROR(__xludf.DUMMYFUNCTION("""COMPUTED_VALUE"""),"is-rgy")</f>
        <v>is-rgy</v>
      </c>
      <c r="C2116" s="9" t="str">
        <f>IFERROR(__xludf.DUMMYFUNCTION("GOOGLETRANSLATE($A2116,""en"",""de"")"),"Rangárþing ytra")</f>
        <v>Rangárþing ytra</v>
      </c>
      <c r="D2116" s="9" t="str">
        <f>IFERROR(__xludf.DUMMYFUNCTION("GOOGLETRANSLATE($A2116,""en"",""fr"")"),"Rangárþing ytra")</f>
        <v>Rangárþing ytra</v>
      </c>
      <c r="E2116" s="9" t="str">
        <f>IFERROR(__xludf.DUMMYFUNCTION("GOOGLETRANSLATE($A2116,""en"",""es"")"),"Rangárþing ytra")</f>
        <v>Rangárþing ytra</v>
      </c>
      <c r="F2116" s="9" t="str">
        <f>IFERROR(__xludf.DUMMYFUNCTION("GOOGLETRANSLATE($A2116,""en"",""it"")"),"Rangárþing ytra")</f>
        <v>Rangárþing ytra</v>
      </c>
      <c r="G2116" s="9" t="str">
        <f>IFERROR(__xludf.DUMMYFUNCTION("GOOGLETRANSLATE($A2116,""en"",""zh-cn"")"),"游猎区")</f>
        <v>游猎区</v>
      </c>
      <c r="H2116" s="9" t="str">
        <f>IFERROR(__xludf.DUMMYFUNCTION("GOOGLETRANSLATE($A2116,""en"",""ja"")"),"ランガーシン・イトラ")</f>
        <v>ランガーシン・イトラ</v>
      </c>
      <c r="I2116" s="9" t="str">
        <f>IFERROR(__xludf.DUMMYFUNCTION("GOOGLETRANSLATE($A2116,""en"",""ko"")"),"Rangárþing ytra")</f>
        <v>Rangárþing ytra</v>
      </c>
      <c r="J2116" s="9" t="str">
        <f>IFERROR(__xludf.DUMMYFUNCTION("GOOGLETRANSLATE($A2116,""en"",""pt-BR"")"),"Rangárþing ytra")</f>
        <v>Rangárþing ytra</v>
      </c>
    </row>
    <row r="2117">
      <c r="A2117" s="9" t="str">
        <f>IFERROR(__xludf.DUMMYFUNCTION("""COMPUTED_VALUE"""),"Norðurþing")</f>
        <v>Norðurþing</v>
      </c>
      <c r="B2117" s="9" t="str">
        <f>IFERROR(__xludf.DUMMYFUNCTION("""COMPUTED_VALUE"""),"is-nor")</f>
        <v>is-nor</v>
      </c>
      <c r="C2117" s="9" t="str">
        <f>IFERROR(__xludf.DUMMYFUNCTION("GOOGLETRANSLATE($A2117,""en"",""de"")"),"Norðurþing")</f>
        <v>Norðurþing</v>
      </c>
      <c r="D2117" s="9" t="str">
        <f>IFERROR(__xludf.DUMMYFUNCTION("GOOGLETRANSLATE($A2117,""en"",""fr"")"),"Nordurþing")</f>
        <v>Nordurþing</v>
      </c>
      <c r="E2117" s="9" t="str">
        <f>IFERROR(__xludf.DUMMYFUNCTION("GOOGLETRANSLATE($A2117,""en"",""es"")"),"Norðurþing")</f>
        <v>Norðurþing</v>
      </c>
      <c r="F2117" s="9" t="str">
        <f>IFERROR(__xludf.DUMMYFUNCTION("GOOGLETRANSLATE($A2117,""en"",""it"")"),"Norðurþing")</f>
        <v>Norðurþing</v>
      </c>
      <c r="G2117" s="9" t="str">
        <f>IFERROR(__xludf.DUMMYFUNCTION("GOOGLETRANSLATE($A2117,""en"",""zh-cn"")"),"诺德鲁林")</f>
        <v>诺德鲁林</v>
      </c>
      <c r="H2117" s="9" t="str">
        <f>IFERROR(__xludf.DUMMYFUNCTION("GOOGLETRANSLATE($A2117,""en"",""ja"")"),"ノルズリング")</f>
        <v>ノルズリング</v>
      </c>
      <c r="I2117" s="9" t="str">
        <f>IFERROR(__xludf.DUMMYFUNCTION("GOOGLETRANSLATE($A2117,""en"",""ko"")"),"Norðurþing")</f>
        <v>Norðurþing</v>
      </c>
      <c r="J2117" s="9" t="str">
        <f>IFERROR(__xludf.DUMMYFUNCTION("GOOGLETRANSLATE($A2117,""en"",""pt-BR"")"),"Norðurþing")</f>
        <v>Norðurþing</v>
      </c>
    </row>
    <row r="2118">
      <c r="A2118" s="9" t="str">
        <f>IFERROR(__xludf.DUMMYFUNCTION("""COMPUTED_VALUE"""),"Mýrdalshreppur")</f>
        <v>Mýrdalshreppur</v>
      </c>
      <c r="B2118" s="9" t="str">
        <f>IFERROR(__xludf.DUMMYFUNCTION("""COMPUTED_VALUE"""),"is-myr")</f>
        <v>is-myr</v>
      </c>
      <c r="C2118" s="9" t="str">
        <f>IFERROR(__xludf.DUMMYFUNCTION("GOOGLETRANSLATE($A2118,""en"",""de"")"),"Mýrdalshreppur")</f>
        <v>Mýrdalshreppur</v>
      </c>
      <c r="D2118" s="9" t="str">
        <f>IFERROR(__xludf.DUMMYFUNCTION("GOOGLETRANSLATE($A2118,""en"",""fr"")"),"Myrdalshreppur")</f>
        <v>Myrdalshreppur</v>
      </c>
      <c r="E2118" s="9" t="str">
        <f>IFERROR(__xludf.DUMMYFUNCTION("GOOGLETRANSLATE($A2118,""en"",""es"")"),"Mýrdalshreppur")</f>
        <v>Mýrdalshreppur</v>
      </c>
      <c r="F2118" s="9" t="str">
        <f>IFERROR(__xludf.DUMMYFUNCTION("GOOGLETRANSLATE($A2118,""en"",""it"")"),"Mýrdalshreppur")</f>
        <v>Mýrdalshreppur</v>
      </c>
      <c r="G2118" s="9" t="str">
        <f>IFERROR(__xludf.DUMMYFUNCTION("GOOGLETRANSLATE($A2118,""en"",""zh-cn"")"),"米达尔什雷普")</f>
        <v>米达尔什雷普</v>
      </c>
      <c r="H2118" s="9" t="str">
        <f>IFERROR(__xludf.DUMMYFUNCTION("GOOGLETRANSLATE($A2118,""en"",""ja"")"),"ミルダルシュレプール")</f>
        <v>ミルダルシュレプール</v>
      </c>
      <c r="I2118" s="9" t="str">
        <f>IFERROR(__xludf.DUMMYFUNCTION("GOOGLETRANSLATE($A2118,""en"",""ko"")"),"미르달슈레푸르")</f>
        <v>미르달슈레푸르</v>
      </c>
      <c r="J2118" s="9" t="str">
        <f>IFERROR(__xludf.DUMMYFUNCTION("GOOGLETRANSLATE($A2118,""en"",""pt-BR"")"),"Myrdalshreppur")</f>
        <v>Myrdalshreppur</v>
      </c>
    </row>
    <row r="2119">
      <c r="A2119" s="9" t="str">
        <f>IFERROR(__xludf.DUMMYFUNCTION("""COMPUTED_VALUE"""),"Langanesbyggð")</f>
        <v>Langanesbyggð</v>
      </c>
      <c r="B2119" s="9" t="str">
        <f>IFERROR(__xludf.DUMMYFUNCTION("""COMPUTED_VALUE"""),"is-lan")</f>
        <v>is-lan</v>
      </c>
      <c r="C2119" s="9" t="str">
        <f>IFERROR(__xludf.DUMMYFUNCTION("GOOGLETRANSLATE($A2119,""en"",""de"")"),"Langanesbyggð")</f>
        <v>Langanesbyggð</v>
      </c>
      <c r="D2119" s="9" t="str">
        <f>IFERROR(__xludf.DUMMYFUNCTION("GOOGLETRANSLATE($A2119,""en"",""fr"")"),"Langanesbyggð")</f>
        <v>Langanesbyggð</v>
      </c>
      <c r="E2119" s="9" t="str">
        <f>IFERROR(__xludf.DUMMYFUNCTION("GOOGLETRANSLATE($A2119,""en"",""es"")"),"Langanesbyggð")</f>
        <v>Langanesbyggð</v>
      </c>
      <c r="F2119" s="9" t="str">
        <f>IFERROR(__xludf.DUMMYFUNCTION("GOOGLETRANSLATE($A2119,""en"",""it"")"),"Langanesbyggð")</f>
        <v>Langanesbyggð</v>
      </c>
      <c r="G2119" s="9" t="str">
        <f>IFERROR(__xludf.DUMMYFUNCTION("GOOGLETRANSLATE($A2119,""en"",""zh-cn"")"),"朗加内斯比格德")</f>
        <v>朗加内斯比格德</v>
      </c>
      <c r="H2119" s="9" t="str">
        <f>IFERROR(__xludf.DUMMYFUNCTION("GOOGLETRANSLATE($A2119,""en"",""ja"")"),"ランガネスビグズ")</f>
        <v>ランガネスビグズ</v>
      </c>
      <c r="I2119" s="9" t="str">
        <f>IFERROR(__xludf.DUMMYFUNCTION("GOOGLETRANSLATE($A2119,""en"",""ko"")"),"Langanesbyggð")</f>
        <v>Langanesbyggð</v>
      </c>
      <c r="J2119" s="9" t="str">
        <f>IFERROR(__xludf.DUMMYFUNCTION("GOOGLETRANSLATE($A2119,""en"",""pt-BR"")"),"Langanesbyggð")</f>
        <v>Langanesbyggð</v>
      </c>
    </row>
    <row r="2120">
      <c r="A2120" s="9" t="str">
        <f>IFERROR(__xludf.DUMMYFUNCTION("""COMPUTED_VALUE"""),"Suðurnesjabær")</f>
        <v>Suðurnesjabær</v>
      </c>
      <c r="B2120" s="9" t="str">
        <f>IFERROR(__xludf.DUMMYFUNCTION("""COMPUTED_VALUE"""),"is-sdn")</f>
        <v>is-sdn</v>
      </c>
      <c r="C2120" s="9" t="str">
        <f>IFERROR(__xludf.DUMMYFUNCTION("GOOGLETRANSLATE($A2120,""en"",""de"")"),"Suðurnesjabær")</f>
        <v>Suðurnesjabær</v>
      </c>
      <c r="D2120" s="9" t="str">
        <f>IFERROR(__xludf.DUMMYFUNCTION("GOOGLETRANSLATE($A2120,""en"",""fr"")"),"Sudurnesjabær")</f>
        <v>Sudurnesjabær</v>
      </c>
      <c r="E2120" s="9" t="str">
        <f>IFERROR(__xludf.DUMMYFUNCTION("GOOGLETRANSLATE($A2120,""en"",""es"")"),"Suðurnesjabær")</f>
        <v>Suðurnesjabær</v>
      </c>
      <c r="F2120" s="9" t="str">
        <f>IFERROR(__xludf.DUMMYFUNCTION("GOOGLETRANSLATE($A2120,""en"",""it"")"),"Suðurnesjabær")</f>
        <v>Suðurnesjabær</v>
      </c>
      <c r="G2120" s="9" t="str">
        <f>IFERROR(__xludf.DUMMYFUNCTION("GOOGLETRANSLATE($A2120,""en"",""zh-cn"")"),"南山")</f>
        <v>南山</v>
      </c>
      <c r="H2120" s="9" t="str">
        <f>IFERROR(__xludf.DUMMYFUNCTION("GOOGLETRANSLATE($A2120,""en"",""ja"")"),"スズルネスジャバイル")</f>
        <v>スズルネスジャバイル</v>
      </c>
      <c r="I2120" s="9" t="str">
        <f>IFERROR(__xludf.DUMMYFUNCTION("GOOGLETRANSLATE($A2120,""en"",""ko"")"),"Suðurnesjabær")</f>
        <v>Suðurnesjabær</v>
      </c>
      <c r="J2120" s="9" t="str">
        <f>IFERROR(__xludf.DUMMYFUNCTION("GOOGLETRANSLATE($A2120,""en"",""pt-BR"")"),"Suðurnesjabær")</f>
        <v>Suðurnesjabær</v>
      </c>
    </row>
    <row r="2121">
      <c r="A2121" s="9" t="str">
        <f>IFERROR(__xludf.DUMMYFUNCTION("""COMPUTED_VALUE"""),"Svalbarðshreppur")</f>
        <v>Svalbarðshreppur</v>
      </c>
      <c r="B2121" s="9" t="str">
        <f>IFERROR(__xludf.DUMMYFUNCTION("""COMPUTED_VALUE"""),"is-sbh")</f>
        <v>is-sbh</v>
      </c>
      <c r="C2121" s="9" t="str">
        <f>IFERROR(__xludf.DUMMYFUNCTION("GOOGLETRANSLATE($A2121,""en"",""de"")"),"Svalbarðshreppur")</f>
        <v>Svalbarðshreppur</v>
      </c>
      <c r="D2121" s="9" t="str">
        <f>IFERROR(__xludf.DUMMYFUNCTION("GOOGLETRANSLATE($A2121,""en"",""fr"")"),"Svalbarðshreppur")</f>
        <v>Svalbarðshreppur</v>
      </c>
      <c r="E2121" s="9" t="str">
        <f>IFERROR(__xludf.DUMMYFUNCTION("GOOGLETRANSLATE($A2121,""en"",""es"")"),"Islas Svalbarðshreppur")</f>
        <v>Islas Svalbarðshreppur</v>
      </c>
      <c r="F2121" s="9" t="str">
        <f>IFERROR(__xludf.DUMMYFUNCTION("GOOGLETRANSLATE($A2121,""en"",""it"")"),"Svalbarðshreppur")</f>
        <v>Svalbarðshreppur</v>
      </c>
      <c r="G2121" s="9" t="str">
        <f>IFERROR(__xludf.DUMMYFUNCTION("GOOGLETRANSLATE($A2121,""en"",""zh-cn"")"),"斯瓦尔巴什雷普尔")</f>
        <v>斯瓦尔巴什雷普尔</v>
      </c>
      <c r="H2121" s="9" t="str">
        <f>IFERROR(__xludf.DUMMYFUNCTION("GOOGLETRANSLATE($A2121,""en"",""ja"")"),"スヴァールバルシュレプール")</f>
        <v>スヴァールバルシュレプール</v>
      </c>
      <c r="I2121" s="9" t="str">
        <f>IFERROR(__xludf.DUMMYFUNCTION("GOOGLETRANSLATE($A2121,""en"",""ko"")"),"스발바르드슈레푸르")</f>
        <v>스발바르드슈레푸르</v>
      </c>
      <c r="J2121" s="9" t="str">
        <f>IFERROR(__xludf.DUMMYFUNCTION("GOOGLETRANSLATE($A2121,""en"",""pt-BR"")"),"Svalbarðshreppur")</f>
        <v>Svalbarðshreppur</v>
      </c>
    </row>
    <row r="2122">
      <c r="A2122" s="9" t="str">
        <f>IFERROR(__xludf.DUMMYFUNCTION("""COMPUTED_VALUE"""),"Reykjavíkurborg")</f>
        <v>Reykjavíkurborg</v>
      </c>
      <c r="B2122" s="9" t="str">
        <f>IFERROR(__xludf.DUMMYFUNCTION("""COMPUTED_VALUE"""),"is-rkv")</f>
        <v>is-rkv</v>
      </c>
      <c r="C2122" s="9" t="str">
        <f>IFERROR(__xludf.DUMMYFUNCTION("GOOGLETRANSLATE($A2122,""en"",""de"")"),"Reykjavíkurborg")</f>
        <v>Reykjavíkurborg</v>
      </c>
      <c r="D2122" s="9" t="str">
        <f>IFERROR(__xludf.DUMMYFUNCTION("GOOGLETRANSLATE($A2122,""en"",""fr"")"),"Reykjavikurborg")</f>
        <v>Reykjavikurborg</v>
      </c>
      <c r="E2122" s="9" t="str">
        <f>IFERROR(__xludf.DUMMYFUNCTION("GOOGLETRANSLATE($A2122,""en"",""es"")"),"Reikiavikkurborg")</f>
        <v>Reikiavikkurborg</v>
      </c>
      <c r="F2122" s="9" t="str">
        <f>IFERROR(__xludf.DUMMYFUNCTION("GOOGLETRANSLATE($A2122,""en"",""it"")"),"Reykjavíkurborg")</f>
        <v>Reykjavíkurborg</v>
      </c>
      <c r="G2122" s="9" t="str">
        <f>IFERROR(__xludf.DUMMYFUNCTION("GOOGLETRANSLATE($A2122,""en"",""zh-cn"")"),"雷克雅未克堡")</f>
        <v>雷克雅未克堡</v>
      </c>
      <c r="H2122" s="9" t="str">
        <f>IFERROR(__xludf.DUMMYFUNCTION("GOOGLETRANSLATE($A2122,""en"",""ja"")"),"レイキャビクルボルグ")</f>
        <v>レイキャビクルボルグ</v>
      </c>
      <c r="I2122" s="9" t="str">
        <f>IFERROR(__xludf.DUMMYFUNCTION("GOOGLETRANSLATE($A2122,""en"",""ko"")"),"레이캬비쿠르부르크")</f>
        <v>레이캬비쿠르부르크</v>
      </c>
      <c r="J2122" s="9" t="str">
        <f>IFERROR(__xludf.DUMMYFUNCTION("GOOGLETRANSLATE($A2122,""en"",""pt-BR"")"),"Reiquiavique Kurborg")</f>
        <v>Reiquiavique Kurborg</v>
      </c>
    </row>
    <row r="2123">
      <c r="A2123" s="9" t="str">
        <f>IFERROR(__xludf.DUMMYFUNCTION("""COMPUTED_VALUE"""),"Reykhólahreppur")</f>
        <v>Reykhólahreppur</v>
      </c>
      <c r="B2123" s="9" t="str">
        <f>IFERROR(__xludf.DUMMYFUNCTION("""COMPUTED_VALUE"""),"is-rhh")</f>
        <v>is-rhh</v>
      </c>
      <c r="C2123" s="9" t="str">
        <f>IFERROR(__xludf.DUMMYFUNCTION("GOOGLETRANSLATE($A2123,""en"",""de"")"),"Reykhólahreppur")</f>
        <v>Reykhólahreppur</v>
      </c>
      <c r="D2123" s="9" t="str">
        <f>IFERROR(__xludf.DUMMYFUNCTION("GOOGLETRANSLATE($A2123,""en"",""fr"")"),"Reykholahreppur")</f>
        <v>Reykholahreppur</v>
      </c>
      <c r="E2123" s="9" t="str">
        <f>IFERROR(__xludf.DUMMYFUNCTION("GOOGLETRANSLATE($A2123,""en"",""es"")"),"Reykhólahreppur")</f>
        <v>Reykhólahreppur</v>
      </c>
      <c r="F2123" s="9" t="str">
        <f>IFERROR(__xludf.DUMMYFUNCTION("GOOGLETRANSLATE($A2123,""en"",""it"")"),"Reykhólahreppur")</f>
        <v>Reykhólahreppur</v>
      </c>
      <c r="G2123" s="9" t="str">
        <f>IFERROR(__xludf.DUMMYFUNCTION("GOOGLETRANSLATE($A2123,""en"",""zh-cn"")"),"雷霍拉赫雷普尔")</f>
        <v>雷霍拉赫雷普尔</v>
      </c>
      <c r="H2123" s="9" t="str">
        <f>IFERROR(__xludf.DUMMYFUNCTION("GOOGLETRANSLATE($A2123,""en"",""ja"")"),"レイクラフレプール")</f>
        <v>レイクラフレプール</v>
      </c>
      <c r="I2123" s="9" t="str">
        <f>IFERROR(__xludf.DUMMYFUNCTION("GOOGLETRANSLATE($A2123,""en"",""ko"")"),"레이콜라레푸르")</f>
        <v>레이콜라레푸르</v>
      </c>
      <c r="J2123" s="9" t="str">
        <f>IFERROR(__xludf.DUMMYFUNCTION("GOOGLETRANSLATE($A2123,""en"",""pt-BR"")"),"Reykhólahreppur")</f>
        <v>Reykhólahreppur</v>
      </c>
    </row>
    <row r="2124">
      <c r="A2124" s="9" t="str">
        <f>IFERROR(__xludf.DUMMYFUNCTION("""COMPUTED_VALUE"""),"Húnaþing vestra")</f>
        <v>Húnaþing vestra</v>
      </c>
      <c r="B2124" s="9" t="str">
        <f>IFERROR(__xludf.DUMMYFUNCTION("""COMPUTED_VALUE"""),"is-huv")</f>
        <v>is-huv</v>
      </c>
      <c r="C2124" s="9" t="str">
        <f>IFERROR(__xludf.DUMMYFUNCTION("GOOGLETRANSLATE($A2124,""en"",""de"")"),"Húnaþing Vestra")</f>
        <v>Húnaþing Vestra</v>
      </c>
      <c r="D2124" s="9" t="str">
        <f>IFERROR(__xludf.DUMMYFUNCTION("GOOGLETRANSLATE($A2124,""en"",""fr"")"),"Húnaþing vestra")</f>
        <v>Húnaþing vestra</v>
      </c>
      <c r="E2124" s="9" t="str">
        <f>IFERROR(__xludf.DUMMYFUNCTION("GOOGLETRANSLATE($A2124,""en"",""es"")"),"Húnaþing vestra")</f>
        <v>Húnaþing vestra</v>
      </c>
      <c r="F2124" s="9" t="str">
        <f>IFERROR(__xludf.DUMMYFUNCTION("GOOGLETRANSLATE($A2124,""en"",""it"")"),"Húnaþing vestra")</f>
        <v>Húnaþing vestra</v>
      </c>
      <c r="G2124" s="9" t="str">
        <f>IFERROR(__xludf.DUMMYFUNCTION("GOOGLETRANSLATE($A2124,""en"",""zh-cn"")"),"胡纳因韦斯特拉")</f>
        <v>胡纳因韦斯特拉</v>
      </c>
      <c r="H2124" s="9" t="str">
        <f>IFERROR(__xludf.DUMMYFUNCTION("GOOGLETRANSLATE($A2124,""en"",""ja"")"),"フナシン ベストラ")</f>
        <v>フナシン ベストラ</v>
      </c>
      <c r="I2124" s="9" t="str">
        <f>IFERROR(__xludf.DUMMYFUNCTION("GOOGLETRANSLATE($A2124,""en"",""ko"")"),"Húnaþing 베스트라")</f>
        <v>Húnaþing 베스트라</v>
      </c>
      <c r="J2124" s="9" t="str">
        <f>IFERROR(__xludf.DUMMYFUNCTION("GOOGLETRANSLATE($A2124,""en"",""pt-BR"")"),"Hunaþing vestra")</f>
        <v>Hunaþing vestra</v>
      </c>
    </row>
    <row r="2125">
      <c r="A2125" s="9" t="str">
        <f>IFERROR(__xludf.DUMMYFUNCTION("""COMPUTED_VALUE"""),"Hrunamannahreppur")</f>
        <v>Hrunamannahreppur</v>
      </c>
      <c r="B2125" s="9" t="str">
        <f>IFERROR(__xludf.DUMMYFUNCTION("""COMPUTED_VALUE"""),"is-hru")</f>
        <v>is-hru</v>
      </c>
      <c r="C2125" s="9" t="str">
        <f>IFERROR(__xludf.DUMMYFUNCTION("GOOGLETRANSLATE($A2125,""en"",""de"")"),"Hrunamannahreppur")</f>
        <v>Hrunamannahreppur</v>
      </c>
      <c r="D2125" s="9" t="str">
        <f>IFERROR(__xludf.DUMMYFUNCTION("GOOGLETRANSLATE($A2125,""en"",""fr"")"),"Hrunamannahreppur")</f>
        <v>Hrunamannahreppur</v>
      </c>
      <c r="E2125" s="9" t="str">
        <f>IFERROR(__xludf.DUMMYFUNCTION("GOOGLETRANSLATE($A2125,""en"",""es"")"),"Hrunamannahreppur")</f>
        <v>Hrunamannahreppur</v>
      </c>
      <c r="F2125" s="9" t="str">
        <f>IFERROR(__xludf.DUMMYFUNCTION("GOOGLETRANSLATE($A2125,""en"",""it"")"),"Hrunamannahreppur")</f>
        <v>Hrunamannahreppur</v>
      </c>
      <c r="G2125" s="9" t="str">
        <f>IFERROR(__xludf.DUMMYFUNCTION("GOOGLETRANSLATE($A2125,""en"",""zh-cn"")"),"赫鲁纳曼纳赫勒普尔")</f>
        <v>赫鲁纳曼纳赫勒普尔</v>
      </c>
      <c r="H2125" s="9" t="str">
        <f>IFERROR(__xludf.DUMMYFUNCTION("GOOGLETRANSLATE($A2125,""en"",""ja"")"),"フルナマンナレップール")</f>
        <v>フルナマンナレップール</v>
      </c>
      <c r="I2125" s="9" t="str">
        <f>IFERROR(__xludf.DUMMYFUNCTION("GOOGLETRANSLATE($A2125,""en"",""ko"")"),"흐루나만나흐레푸르")</f>
        <v>흐루나만나흐레푸르</v>
      </c>
      <c r="J2125" s="9" t="str">
        <f>IFERROR(__xludf.DUMMYFUNCTION("GOOGLETRANSLATE($A2125,""en"",""pt-BR"")"),"Hrunamannahreppur")</f>
        <v>Hrunamannahreppur</v>
      </c>
    </row>
    <row r="2126">
      <c r="A2126" s="9" t="str">
        <f>IFERROR(__xludf.DUMMYFUNCTION("""COMPUTED_VALUE"""),"Hörgársveit")</f>
        <v>Hörgársveit</v>
      </c>
      <c r="B2126" s="9" t="str">
        <f>IFERROR(__xludf.DUMMYFUNCTION("""COMPUTED_VALUE"""),"is-hrg")</f>
        <v>is-hrg</v>
      </c>
      <c r="C2126" s="9" t="str">
        <f>IFERROR(__xludf.DUMMYFUNCTION("GOOGLETRANSLATE($A2126,""en"",""de"")"),"Hörgársveit")</f>
        <v>Hörgársveit</v>
      </c>
      <c r="D2126" s="9" t="str">
        <f>IFERROR(__xludf.DUMMYFUNCTION("GOOGLETRANSLATE($A2126,""en"",""fr"")"),"Hörgársveit")</f>
        <v>Hörgársveit</v>
      </c>
      <c r="E2126" s="9" t="str">
        <f>IFERROR(__xludf.DUMMYFUNCTION("GOOGLETRANSLATE($A2126,""en"",""es"")"),"Hörgársveit")</f>
        <v>Hörgársveit</v>
      </c>
      <c r="F2126" s="9" t="str">
        <f>IFERROR(__xludf.DUMMYFUNCTION("GOOGLETRANSLATE($A2126,""en"",""it"")"),"Hörgarsveit")</f>
        <v>Hörgarsveit</v>
      </c>
      <c r="G2126" s="9" t="str">
        <f>IFERROR(__xludf.DUMMYFUNCTION("GOOGLETRANSLATE($A2126,""en"",""zh-cn"")"),"霍尔加斯韦特")</f>
        <v>霍尔加斯韦特</v>
      </c>
      <c r="H2126" s="9" t="str">
        <f>IFERROR(__xludf.DUMMYFUNCTION("GOOGLETRANSLATE($A2126,""en"",""ja"")"),"ヘルガルスヴェイト")</f>
        <v>ヘルガルスヴェイト</v>
      </c>
      <c r="I2126" s="9" t="str">
        <f>IFERROR(__xludf.DUMMYFUNCTION("GOOGLETRANSLATE($A2126,""en"",""ko"")"),"회르가르스베이트")</f>
        <v>회르가르스베이트</v>
      </c>
      <c r="J2126" s="9" t="str">
        <f>IFERROR(__xludf.DUMMYFUNCTION("GOOGLETRANSLATE($A2126,""en"",""pt-BR"")"),"Hörgársveit")</f>
        <v>Hörgársveit</v>
      </c>
    </row>
    <row r="2127">
      <c r="A2127" s="9" t="str">
        <f>IFERROR(__xludf.DUMMYFUNCTION("""COMPUTED_VALUE"""),"Kaldrananeshreppur")</f>
        <v>Kaldrananeshreppur</v>
      </c>
      <c r="B2127" s="9" t="str">
        <f>IFERROR(__xludf.DUMMYFUNCTION("""COMPUTED_VALUE"""),"is-kal")</f>
        <v>is-kal</v>
      </c>
      <c r="C2127" s="9" t="str">
        <f>IFERROR(__xludf.DUMMYFUNCTION("GOOGLETRANSLATE($A2127,""en"",""de"")"),"Kaldrananeshreppur")</f>
        <v>Kaldrananeshreppur</v>
      </c>
      <c r="D2127" s="9" t="str">
        <f>IFERROR(__xludf.DUMMYFUNCTION("GOOGLETRANSLATE($A2127,""en"",""fr"")"),"Kaldrananeshreppur")</f>
        <v>Kaldrananeshreppur</v>
      </c>
      <c r="E2127" s="9" t="str">
        <f>IFERROR(__xludf.DUMMYFUNCTION("GOOGLETRANSLATE($A2127,""en"",""es"")"),"Kaldrananeshreppur")</f>
        <v>Kaldrananeshreppur</v>
      </c>
      <c r="F2127" s="9" t="str">
        <f>IFERROR(__xludf.DUMMYFUNCTION("GOOGLETRANSLATE($A2127,""en"",""it"")"),"Kaldrananeshreppur")</f>
        <v>Kaldrananeshreppur</v>
      </c>
      <c r="G2127" s="9" t="str">
        <f>IFERROR(__xludf.DUMMYFUNCTION("GOOGLETRANSLATE($A2127,""en"",""zh-cn"")"),"卡尔德拉纳内什雷普尔")</f>
        <v>卡尔德拉纳内什雷普尔</v>
      </c>
      <c r="H2127" s="9" t="str">
        <f>IFERROR(__xludf.DUMMYFUNCTION("GOOGLETRANSLATE($A2127,""en"",""ja"")"),"カルドラナネシュレプール")</f>
        <v>カルドラナネシュレプール</v>
      </c>
      <c r="I2127" s="9" t="str">
        <f>IFERROR(__xludf.DUMMYFUNCTION("GOOGLETRANSLATE($A2127,""en"",""ko"")"),"칼드라나네쉬레푸르")</f>
        <v>칼드라나네쉬레푸르</v>
      </c>
      <c r="J2127" s="9" t="str">
        <f>IFERROR(__xludf.DUMMYFUNCTION("GOOGLETRANSLATE($A2127,""en"",""pt-BR"")"),"Kaldrananeshreppur")</f>
        <v>Kaldrananeshreppur</v>
      </c>
    </row>
    <row r="2128">
      <c r="A2128" s="9" t="str">
        <f>IFERROR(__xludf.DUMMYFUNCTION("""COMPUTED_VALUE"""),"Ísafjarðarbær")</f>
        <v>Ísafjarðarbær</v>
      </c>
      <c r="B2128" s="9" t="str">
        <f>IFERROR(__xludf.DUMMYFUNCTION("""COMPUTED_VALUE"""),"is-isa")</f>
        <v>is-isa</v>
      </c>
      <c r="C2128" s="9" t="str">
        <f>IFERROR(__xludf.DUMMYFUNCTION("GOOGLETRANSLATE($A2128,""en"",""de"")"),"Ísafjarðarbær")</f>
        <v>Ísafjarðarbær</v>
      </c>
      <c r="D2128" s="9" t="str">
        <f>IFERROR(__xludf.DUMMYFUNCTION("GOOGLETRANSLATE($A2128,""en"",""fr"")"),"Ísafjarðarbær")</f>
        <v>Ísafjarðarbær</v>
      </c>
      <c r="E2128" s="9" t="str">
        <f>IFERROR(__xludf.DUMMYFUNCTION("GOOGLETRANSLATE($A2128,""en"",""es"")"),"Ísafjarðarbær")</f>
        <v>Ísafjarðarbær</v>
      </c>
      <c r="F2128" s="9" t="str">
        <f>IFERROR(__xludf.DUMMYFUNCTION("GOOGLETRANSLATE($A2128,""en"",""it"")"),"Ísafjarðarbær")</f>
        <v>Ísafjarðarbær</v>
      </c>
      <c r="G2128" s="9" t="str">
        <f>IFERROR(__xludf.DUMMYFUNCTION("GOOGLETRANSLATE($A2128,""en"",""zh-cn"")"),"伊萨菲亚扎尔拜尔")</f>
        <v>伊萨菲亚扎尔拜尔</v>
      </c>
      <c r="H2128" s="9" t="str">
        <f>IFERROR(__xludf.DUMMYFUNCTION("GOOGLETRANSLATE($A2128,""en"",""ja"")"),"イーサフィヤルザルバイル")</f>
        <v>イーサフィヤルザルバイル</v>
      </c>
      <c r="I2128" s="9" t="str">
        <f>IFERROR(__xludf.DUMMYFUNCTION("GOOGLETRANSLATE($A2128,""en"",""ko"")"),"이사프야르다르바이르")</f>
        <v>이사프야르다르바이르</v>
      </c>
      <c r="J2128" s="9" t="str">
        <f>IFERROR(__xludf.DUMMYFUNCTION("GOOGLETRANSLATE($A2128,""en"",""pt-BR"")"),"Ísafjarðarbær")</f>
        <v>Ísafjarðarbær</v>
      </c>
    </row>
    <row r="2129">
      <c r="A2129" s="9" t="str">
        <f>IFERROR(__xludf.DUMMYFUNCTION("""COMPUTED_VALUE"""),"Stykkishólmsbær")</f>
        <v>Stykkishólmsbær</v>
      </c>
      <c r="B2129" s="9" t="str">
        <f>IFERROR(__xludf.DUMMYFUNCTION("""COMPUTED_VALUE"""),"is-sty")</f>
        <v>is-sty</v>
      </c>
      <c r="C2129" s="9" t="str">
        <f>IFERROR(__xludf.DUMMYFUNCTION("GOOGLETRANSLATE($A2129,""en"",""de"")"),"Stykkishólmsbær")</f>
        <v>Stykkishólmsbær</v>
      </c>
      <c r="D2129" s="9" t="str">
        <f>IFERROR(__xludf.DUMMYFUNCTION("GOOGLETRANSLATE($A2129,""en"",""fr"")"),"Stykkishólmsbær")</f>
        <v>Stykkishólmsbær</v>
      </c>
      <c r="E2129" s="9" t="str">
        <f>IFERROR(__xludf.DUMMYFUNCTION("GOOGLETRANSLATE($A2129,""en"",""es"")"),"Stykkishólmsbær")</f>
        <v>Stykkishólmsbær</v>
      </c>
      <c r="F2129" s="9" t="str">
        <f>IFERROR(__xludf.DUMMYFUNCTION("GOOGLETRANSLATE($A2129,""en"",""it"")"),"Stykkishólmsbær")</f>
        <v>Stykkishólmsbær</v>
      </c>
      <c r="G2129" s="9" t="str">
        <f>IFERROR(__xludf.DUMMYFUNCTION("GOOGLETRANSLATE($A2129,""en"",""zh-cn"")"),"斯蒂基斯霍尔姆斯拜尔")</f>
        <v>斯蒂基斯霍尔姆斯拜尔</v>
      </c>
      <c r="H2129" s="9" t="str">
        <f>IFERROR(__xludf.DUMMYFUNCTION("GOOGLETRANSLATE($A2129,""en"",""ja"")"),"スティッキスホルムスバイル")</f>
        <v>スティッキスホルムスバイル</v>
      </c>
      <c r="I2129" s="9" t="str">
        <f>IFERROR(__xludf.DUMMYFUNCTION("GOOGLETRANSLATE($A2129,""en"",""ko"")"),"스틱키스홀름스바이르")</f>
        <v>스틱키스홀름스바이르</v>
      </c>
      <c r="J2129" s="9" t="str">
        <f>IFERROR(__xludf.DUMMYFUNCTION("GOOGLETRANSLATE($A2129,""en"",""pt-BR"")"),"Stykkishólmsbær")</f>
        <v>Stykkishólmsbær</v>
      </c>
    </row>
    <row r="2130">
      <c r="A2130" s="9" t="str">
        <f>IFERROR(__xludf.DUMMYFUNCTION("""COMPUTED_VALUE"""),"Sveitarfélagið Skagaströnd")</f>
        <v>Sveitarfélagið Skagaströnd</v>
      </c>
      <c r="B2130" s="9" t="str">
        <f>IFERROR(__xludf.DUMMYFUNCTION("""COMPUTED_VALUE"""),"is-sss")</f>
        <v>is-sss</v>
      </c>
      <c r="C2130" s="9" t="str">
        <f>IFERROR(__xludf.DUMMYFUNCTION("GOOGLETRANSLATE($A2130,""en"",""de"")"),"Sveitarfélagið Skagaströnd")</f>
        <v>Sveitarfélagið Skagaströnd</v>
      </c>
      <c r="D2130" s="9" t="str">
        <f>IFERROR(__xludf.DUMMYFUNCTION("GOOGLETRANSLATE($A2130,""en"",""fr"")"),"Sveitarfélagið Skagaströnd")</f>
        <v>Sveitarfélagið Skagaströnd</v>
      </c>
      <c r="E2130" s="9" t="str">
        <f>IFERROR(__xludf.DUMMYFUNCTION("GOOGLETRANSLATE($A2130,""en"",""es"")"),"Sveitarfélagið Skagaströnd")</f>
        <v>Sveitarfélagið Skagaströnd</v>
      </c>
      <c r="F2130" s="9" t="str">
        <f>IFERROR(__xludf.DUMMYFUNCTION("GOOGLETRANSLATE($A2130,""en"",""it"")"),"Sveitarfélagið Skagaströnd")</f>
        <v>Sveitarfélagið Skagaströnd</v>
      </c>
      <c r="G2130" s="9" t="str">
        <f>IFERROR(__xludf.DUMMYFUNCTION("GOOGLETRANSLATE($A2130,""en"",""zh-cn"")"),"Sveitarfélagið Skagaströnd")</f>
        <v>Sveitarfélagið Skagaströnd</v>
      </c>
      <c r="H2130" s="9" t="str">
        <f>IFERROR(__xludf.DUMMYFUNCTION("GOOGLETRANSLATE($A2130,""en"",""ja"")"),"スヴェイタルフェラギズ スカガストルンド")</f>
        <v>スヴェイタルフェラギズ スカガストルンド</v>
      </c>
      <c r="I2130" s="9" t="str">
        <f>IFERROR(__xludf.DUMMYFUNCTION("GOOGLETRANSLATE($A2130,""en"",""ko"")"),"Sveitarfélagið Skagaströnd")</f>
        <v>Sveitarfélagið Skagaströnd</v>
      </c>
      <c r="J2130" s="9" t="str">
        <f>IFERROR(__xludf.DUMMYFUNCTION("GOOGLETRANSLATE($A2130,""en"",""pt-BR"")"),"Sveitarfélagið Skagaströnd")</f>
        <v>Sveitarfélagið Skagaströnd</v>
      </c>
    </row>
    <row r="2131">
      <c r="A2131" s="9" t="str">
        <f>IFERROR(__xludf.DUMMYFUNCTION("""COMPUTED_VALUE"""),"Sveitarfélagið Ölfus")</f>
        <v>Sveitarfélagið Ölfus</v>
      </c>
      <c r="B2131" s="9" t="str">
        <f>IFERROR(__xludf.DUMMYFUNCTION("""COMPUTED_VALUE"""),"is-sol")</f>
        <v>is-sol</v>
      </c>
      <c r="C2131" s="9" t="str">
        <f>IFERROR(__xludf.DUMMYFUNCTION("GOOGLETRANSLATE($A2131,""en"",""de"")"),"Sveitarfélagið Ölfus")</f>
        <v>Sveitarfélagið Ölfus</v>
      </c>
      <c r="D2131" s="9" t="str">
        <f>IFERROR(__xludf.DUMMYFUNCTION("GOOGLETRANSLATE($A2131,""en"",""fr"")"),"Sveitarfélagið Ölfus")</f>
        <v>Sveitarfélagið Ölfus</v>
      </c>
      <c r="E2131" s="9" t="str">
        <f>IFERROR(__xludf.DUMMYFUNCTION("GOOGLETRANSLATE($A2131,""en"",""es"")"),"Sveitarfélagið Ölfus")</f>
        <v>Sveitarfélagið Ölfus</v>
      </c>
      <c r="F2131" s="9" t="str">
        <f>IFERROR(__xludf.DUMMYFUNCTION("GOOGLETRANSLATE($A2131,""en"",""it"")"),"Sveitarfélagið Ölfus")</f>
        <v>Sveitarfélagið Ölfus</v>
      </c>
      <c r="G2131" s="9" t="str">
        <f>IFERROR(__xludf.DUMMYFUNCTION("GOOGLETRANSLATE($A2131,""en"",""zh-cn"")"),"斯维塔费拉吉兹·奥尔弗斯")</f>
        <v>斯维塔费拉吉兹·奥尔弗斯</v>
      </c>
      <c r="H2131" s="9" t="str">
        <f>IFERROR(__xludf.DUMMYFUNCTION("GOOGLETRANSLATE($A2131,""en"",""ja"")"),"スヴェイタルフェラギズ・オルフス")</f>
        <v>スヴェイタルフェラギズ・オルフス</v>
      </c>
      <c r="I2131" s="9" t="str">
        <f>IFERROR(__xludf.DUMMYFUNCTION("GOOGLETRANSLATE($A2131,""en"",""ko"")"),"Sveitarfélagið Ölfus")</f>
        <v>Sveitarfélagið Ölfus</v>
      </c>
      <c r="J2131" s="9" t="str">
        <f>IFERROR(__xludf.DUMMYFUNCTION("GOOGLETRANSLATE($A2131,""en"",""pt-BR"")"),"Sveitarfélagið Ölfus")</f>
        <v>Sveitarfélagið Ölfus</v>
      </c>
    </row>
    <row r="2132">
      <c r="A2132" s="9" t="str">
        <f>IFERROR(__xludf.DUMMYFUNCTION("""COMPUTED_VALUE"""),"Vesturbyggð")</f>
        <v>Vesturbyggð</v>
      </c>
      <c r="B2132" s="9" t="str">
        <f>IFERROR(__xludf.DUMMYFUNCTION("""COMPUTED_VALUE"""),"is-ver")</f>
        <v>is-ver</v>
      </c>
      <c r="C2132" s="9" t="str">
        <f>IFERROR(__xludf.DUMMYFUNCTION("GOOGLETRANSLATE($A2132,""en"",""de"")"),"Vesturbyggð")</f>
        <v>Vesturbyggð</v>
      </c>
      <c r="D2132" s="9" t="str">
        <f>IFERROR(__xludf.DUMMYFUNCTION("GOOGLETRANSLATE($A2132,""en"",""fr"")"),"Vesturbyggð")</f>
        <v>Vesturbyggð</v>
      </c>
      <c r="E2132" s="9" t="str">
        <f>IFERROR(__xludf.DUMMYFUNCTION("GOOGLETRANSLATE($A2132,""en"",""es"")"),"Vesturbyggð")</f>
        <v>Vesturbyggð</v>
      </c>
      <c r="F2132" s="9" t="str">
        <f>IFERROR(__xludf.DUMMYFUNCTION("GOOGLETRANSLATE($A2132,""en"",""it"")"),"Vesturbyggð")</f>
        <v>Vesturbyggð</v>
      </c>
      <c r="G2132" s="9" t="str">
        <f>IFERROR(__xludf.DUMMYFUNCTION("GOOGLETRANSLATE($A2132,""en"",""zh-cn"")"),"韦斯特比格德")</f>
        <v>韦斯特比格德</v>
      </c>
      <c r="H2132" s="9" t="str">
        <f>IFERROR(__xludf.DUMMYFUNCTION("GOOGLETRANSLATE($A2132,""en"",""ja"")"),"ヴェスタービグズ")</f>
        <v>ヴェスタービグズ</v>
      </c>
      <c r="I2132" s="9" t="str">
        <f>IFERROR(__xludf.DUMMYFUNCTION("GOOGLETRANSLATE($A2132,""en"",""ko"")"),"베스투르비ggð")</f>
        <v>베스투르비ggð</v>
      </c>
      <c r="J2132" s="9" t="str">
        <f>IFERROR(__xludf.DUMMYFUNCTION("GOOGLETRANSLATE($A2132,""en"",""pt-BR"")"),"Vesturbyggð")</f>
        <v>Vesturbyggð</v>
      </c>
    </row>
    <row r="2133">
      <c r="A2133" s="9" t="str">
        <f>IFERROR(__xludf.DUMMYFUNCTION("""COMPUTED_VALUE"""),"Tjörneshreppur")</f>
        <v>Tjörneshreppur</v>
      </c>
      <c r="B2133" s="9" t="str">
        <f>IFERROR(__xludf.DUMMYFUNCTION("""COMPUTED_VALUE"""),"is-tjo")</f>
        <v>is-tjo</v>
      </c>
      <c r="C2133" s="9" t="str">
        <f>IFERROR(__xludf.DUMMYFUNCTION("GOOGLETRANSLATE($A2133,""en"",""de"")"),"Tjörneshreppur")</f>
        <v>Tjörneshreppur</v>
      </c>
      <c r="D2133" s="9" t="str">
        <f>IFERROR(__xludf.DUMMYFUNCTION("GOOGLETRANSLATE($A2133,""en"",""fr"")"),"Tjörneshreppur")</f>
        <v>Tjörneshreppur</v>
      </c>
      <c r="E2133" s="9" t="str">
        <f>IFERROR(__xludf.DUMMYFUNCTION("GOOGLETRANSLATE($A2133,""en"",""es"")"),"Tjörneshreppur")</f>
        <v>Tjörneshreppur</v>
      </c>
      <c r="F2133" s="9" t="str">
        <f>IFERROR(__xludf.DUMMYFUNCTION("GOOGLETRANSLATE($A2133,""en"",""it"")"),"Tjörneshreppur")</f>
        <v>Tjörneshreppur</v>
      </c>
      <c r="G2133" s="9" t="str">
        <f>IFERROR(__xludf.DUMMYFUNCTION("GOOGLETRANSLATE($A2133,""en"",""zh-cn"")"),"特约内什雷普尔")</f>
        <v>特约内什雷普尔</v>
      </c>
      <c r="H2133" s="9" t="str">
        <f>IFERROR(__xludf.DUMMYFUNCTION("GOOGLETRANSLATE($A2133,""en"",""ja"")"),"チョルネシュレプール")</f>
        <v>チョルネシュレプール</v>
      </c>
      <c r="I2133" s="9" t="str">
        <f>IFERROR(__xludf.DUMMYFUNCTION("GOOGLETRANSLATE($A2133,""en"",""ko"")"),"티요르네슈레푸르")</f>
        <v>티요르네슈레푸르</v>
      </c>
      <c r="J2133" s="9" t="str">
        <f>IFERROR(__xludf.DUMMYFUNCTION("GOOGLETRANSLATE($A2133,""en"",""pt-BR"")"),"Tjörneshreppur")</f>
        <v>Tjörneshreppur</v>
      </c>
    </row>
    <row r="2134">
      <c r="A2134" s="9" t="str">
        <f>IFERROR(__xludf.DUMMYFUNCTION("""COMPUTED_VALUE"""),"Þingeyjarsveit")</f>
        <v>Þingeyjarsveit</v>
      </c>
      <c r="B2134" s="9" t="str">
        <f>IFERROR(__xludf.DUMMYFUNCTION("""COMPUTED_VALUE"""),"is-thg")</f>
        <v>is-thg</v>
      </c>
      <c r="C2134" s="9" t="str">
        <f>IFERROR(__xludf.DUMMYFUNCTION("GOOGLETRANSLATE($A2134,""en"",""de"")"),"Þingeyjarsveit")</f>
        <v>Þingeyjarsveit</v>
      </c>
      <c r="D2134" s="9" t="str">
        <f>IFERROR(__xludf.DUMMYFUNCTION("GOOGLETRANSLATE($A2134,""en"",""fr"")"),"Þingeyjarsveit")</f>
        <v>Þingeyjarsveit</v>
      </c>
      <c r="E2134" s="9" t="str">
        <f>IFERROR(__xludf.DUMMYFUNCTION("GOOGLETRANSLATE($A2134,""en"",""es"")"),"Þingeyjarsveit")</f>
        <v>Þingeyjarsveit</v>
      </c>
      <c r="F2134" s="9" t="str">
        <f>IFERROR(__xludf.DUMMYFUNCTION("GOOGLETRANSLATE($A2134,""en"",""it"")"),"Þingeyjarsveit")</f>
        <v>Þingeyjarsveit</v>
      </c>
      <c r="G2134" s="9" t="str">
        <f>IFERROR(__xludf.DUMMYFUNCTION("GOOGLETRANSLATE($A2134,""en"",""zh-cn"")"),"辛盖亚斯韦特")</f>
        <v>辛盖亚斯韦特</v>
      </c>
      <c r="H2134" s="9" t="str">
        <f>IFERROR(__xludf.DUMMYFUNCTION("GOOGLETRANSLATE($A2134,""en"",""ja"")"),"シンゲイヤルヴェイト")</f>
        <v>シンゲイヤルヴェイト</v>
      </c>
      <c r="I2134" s="9" t="str">
        <f>IFERROR(__xludf.DUMMYFUNCTION("GOOGLETRANSLATE($A2134,""en"",""ko"")"),"싱게야르스베이트")</f>
        <v>싱게야르스베이트</v>
      </c>
      <c r="J2134" s="9" t="str">
        <f>IFERROR(__xludf.DUMMYFUNCTION("GOOGLETRANSLATE($A2134,""en"",""pt-BR"")"),"Þingeyjarsveit")</f>
        <v>Þingeyjarsveit</v>
      </c>
    </row>
    <row r="2135">
      <c r="A2135" s="9" t="str">
        <f>IFERROR(__xludf.DUMMYFUNCTION("""COMPUTED_VALUE"""),"Sveitarfélagið Vogar")</f>
        <v>Sveitarfélagið Vogar</v>
      </c>
      <c r="B2135" s="9" t="str">
        <f>IFERROR(__xludf.DUMMYFUNCTION("""COMPUTED_VALUE"""),"is-svg")</f>
        <v>is-svg</v>
      </c>
      <c r="C2135" s="9" t="str">
        <f>IFERROR(__xludf.DUMMYFUNCTION("GOOGLETRANSLATE($A2135,""en"",""de"")"),"Sveitarfélagið Vogar")</f>
        <v>Sveitarfélagið Vogar</v>
      </c>
      <c r="D2135" s="9" t="str">
        <f>IFERROR(__xludf.DUMMYFUNCTION("GOOGLETRANSLATE($A2135,""en"",""fr"")"),"Sveitarfélagið Vogar")</f>
        <v>Sveitarfélagið Vogar</v>
      </c>
      <c r="E2135" s="9" t="str">
        <f>IFERROR(__xludf.DUMMYFUNCTION("GOOGLETRANSLATE($A2135,""en"",""es"")"),"Sveitarfélagið Vogar")</f>
        <v>Sveitarfélagið Vogar</v>
      </c>
      <c r="F2135" s="9" t="str">
        <f>IFERROR(__xludf.DUMMYFUNCTION("GOOGLETRANSLATE($A2135,""en"",""it"")"),"Sveitarfélagið Vogar")</f>
        <v>Sveitarfélagið Vogar</v>
      </c>
      <c r="G2135" s="9" t="str">
        <f>IFERROR(__xludf.DUMMYFUNCTION("GOOGLETRANSLATE($A2135,""en"",""zh-cn"")"),"斯维塔费拉吉斯·沃加尔")</f>
        <v>斯维塔费拉吉斯·沃加尔</v>
      </c>
      <c r="H2135" s="9" t="str">
        <f>IFERROR(__xludf.DUMMYFUNCTION("GOOGLETRANSLATE($A2135,""en"",""ja"")"),"スヴェイタルフェラギズ・ヴォガル")</f>
        <v>スヴェイタルフェラギズ・ヴォガル</v>
      </c>
      <c r="I2135" s="9" t="str">
        <f>IFERROR(__xludf.DUMMYFUNCTION("GOOGLETRANSLATE($A2135,""en"",""ko"")"),"Sveitarfélagið Vogar")</f>
        <v>Sveitarfélagið Vogar</v>
      </c>
      <c r="J2135" s="9" t="str">
        <f>IFERROR(__xludf.DUMMYFUNCTION("GOOGLETRANSLATE($A2135,""en"",""pt-BR"")"),"Sveitarfélagið Vogar")</f>
        <v>Sveitarfélagið Vogar</v>
      </c>
    </row>
    <row r="2136">
      <c r="A2136" s="9" t="str">
        <f>IFERROR(__xludf.DUMMYFUNCTION("""COMPUTED_VALUE"""),"Skaftárhreppur")</f>
        <v>Skaftárhreppur</v>
      </c>
      <c r="B2136" s="9" t="str">
        <f>IFERROR(__xludf.DUMMYFUNCTION("""COMPUTED_VALUE"""),"is-skf")</f>
        <v>is-skf</v>
      </c>
      <c r="C2136" s="9" t="str">
        <f>IFERROR(__xludf.DUMMYFUNCTION("GOOGLETRANSLATE($A2136,""en"",""de"")"),"Skaftárhreppur")</f>
        <v>Skaftárhreppur</v>
      </c>
      <c r="D2136" s="9" t="str">
        <f>IFERROR(__xludf.DUMMYFUNCTION("GOOGLETRANSLATE($A2136,""en"",""fr"")"),"Skaftárhreppur")</f>
        <v>Skaftárhreppur</v>
      </c>
      <c r="E2136" s="9" t="str">
        <f>IFERROR(__xludf.DUMMYFUNCTION("GOOGLETRANSLATE($A2136,""en"",""es"")"),"Skaftárhreppur")</f>
        <v>Skaftárhreppur</v>
      </c>
      <c r="F2136" s="9" t="str">
        <f>IFERROR(__xludf.DUMMYFUNCTION("GOOGLETRANSLATE($A2136,""en"",""it"")"),"Skaftárhreppur")</f>
        <v>Skaftárhreppur</v>
      </c>
      <c r="G2136" s="9" t="str">
        <f>IFERROR(__xludf.DUMMYFUNCTION("GOOGLETRANSLATE($A2136,""en"",""zh-cn"")"),"斯卡夫塔勒普尔")</f>
        <v>斯卡夫塔勒普尔</v>
      </c>
      <c r="H2136" s="9" t="str">
        <f>IFERROR(__xludf.DUMMYFUNCTION("GOOGLETRANSLATE($A2136,""en"",""ja"")"),"スカフターフレップル")</f>
        <v>スカフターフレップル</v>
      </c>
      <c r="I2136" s="9" t="str">
        <f>IFERROR(__xludf.DUMMYFUNCTION("GOOGLETRANSLATE($A2136,""en"",""ko"")"),"스카프타레푸르")</f>
        <v>스카프타레푸르</v>
      </c>
      <c r="J2136" s="9" t="str">
        <f>IFERROR(__xludf.DUMMYFUNCTION("GOOGLETRANSLATE($A2136,""en"",""pt-BR"")"),"Skaftárhreppur")</f>
        <v>Skaftárhreppur</v>
      </c>
    </row>
    <row r="2137">
      <c r="A2137" s="9" t="str">
        <f>IFERROR(__xludf.DUMMYFUNCTION("""COMPUTED_VALUE"""),"Sveitarfélagið Árborg")</f>
        <v>Sveitarfélagið Árborg</v>
      </c>
      <c r="B2137" s="9" t="str">
        <f>IFERROR(__xludf.DUMMYFUNCTION("""COMPUTED_VALUE"""),"is-sfa")</f>
        <v>is-sfa</v>
      </c>
      <c r="C2137" s="9" t="str">
        <f>IFERROR(__xludf.DUMMYFUNCTION("GOOGLETRANSLATE($A2137,""en"",""de"")"),"Sveitarfélagið Árborg")</f>
        <v>Sveitarfélagið Árborg</v>
      </c>
      <c r="D2137" s="9" t="str">
        <f>IFERROR(__xludf.DUMMYFUNCTION("GOOGLETRANSLATE($A2137,""en"",""fr"")"),"Sveitarfélagið Árborg")</f>
        <v>Sveitarfélagið Árborg</v>
      </c>
      <c r="E2137" s="9" t="str">
        <f>IFERROR(__xludf.DUMMYFUNCTION("GOOGLETRANSLATE($A2137,""en"",""es"")"),"Sveitarfélagið Árborg")</f>
        <v>Sveitarfélagið Árborg</v>
      </c>
      <c r="F2137" s="9" t="str">
        <f>IFERROR(__xludf.DUMMYFUNCTION("GOOGLETRANSLATE($A2137,""en"",""it"")"),"Sveitarfélagið Árborg")</f>
        <v>Sveitarfélagið Árborg</v>
      </c>
      <c r="G2137" s="9" t="str">
        <f>IFERROR(__xludf.DUMMYFUNCTION("GOOGLETRANSLATE($A2137,""en"",""zh-cn"")"),"阿尔堡市")</f>
        <v>阿尔堡市</v>
      </c>
      <c r="H2137" s="9" t="str">
        <f>IFERROR(__xludf.DUMMYFUNCTION("GOOGLETRANSLATE($A2137,""en"",""ja"")"),"スヴェイタルフェラギズ アルボルグ")</f>
        <v>スヴェイタルフェラギズ アルボルグ</v>
      </c>
      <c r="I2137" s="9" t="str">
        <f>IFERROR(__xludf.DUMMYFUNCTION("GOOGLETRANSLATE($A2137,""en"",""ko"")"),"스베이타르펠라기드 아르보그")</f>
        <v>스베이타르펠라기드 아르보그</v>
      </c>
      <c r="J2137" s="9" t="str">
        <f>IFERROR(__xludf.DUMMYFUNCTION("GOOGLETRANSLATE($A2137,""en"",""pt-BR"")"),"Sveitarfélagið Árborg")</f>
        <v>Sveitarfélagið Árborg</v>
      </c>
    </row>
    <row r="2138">
      <c r="A2138" s="9" t="str">
        <f>IFERROR(__xludf.DUMMYFUNCTION("""COMPUTED_VALUE"""),"Seyðisfjarðarkaupstaður")</f>
        <v>Seyðisfjarðarkaupstaður</v>
      </c>
      <c r="B2138" s="9" t="str">
        <f>IFERROR(__xludf.DUMMYFUNCTION("""COMPUTED_VALUE"""),"is-sey")</f>
        <v>is-sey</v>
      </c>
      <c r="C2138" s="9" t="str">
        <f>IFERROR(__xludf.DUMMYFUNCTION("GOOGLETRANSLATE($A2138,""en"",""de"")"),"Seyðisfjarðarkaupstaður")</f>
        <v>Seyðisfjarðarkaupstaður</v>
      </c>
      <c r="D2138" s="9" t="str">
        <f>IFERROR(__xludf.DUMMYFUNCTION("GOOGLETRANSLATE($A2138,""en"",""fr"")"),"Seyðisfjarðarkaupstaður")</f>
        <v>Seyðisfjarðarkaupstaður</v>
      </c>
      <c r="E2138" s="9" t="str">
        <f>IFERROR(__xludf.DUMMYFUNCTION("GOOGLETRANSLATE($A2138,""en"",""es"")"),"Seyðisfjarðarkaupstaður")</f>
        <v>Seyðisfjarðarkaupstaður</v>
      </c>
      <c r="F2138" s="9" t="str">
        <f>IFERROR(__xludf.DUMMYFUNCTION("GOOGLETRANSLATE($A2138,""en"",""it"")"),"Seyðisfjarðarkaupstaður")</f>
        <v>Seyðisfjarðarkaupstaður</v>
      </c>
      <c r="G2138" s="9" t="str">
        <f>IFERROR(__xludf.DUMMYFUNCTION("GOOGLETRANSLATE($A2138,""en"",""zh-cn"")"),"塞济斯菲亚尔扎卡普斯塔杜尔")</f>
        <v>塞济斯菲亚尔扎卡普斯塔杜尔</v>
      </c>
      <c r="H2138" s="9" t="str">
        <f>IFERROR(__xludf.DUMMYFUNCTION("GOOGLETRANSLATE($A2138,""en"",""ja"")"),"セイジスフィヤルカウプスタズル")</f>
        <v>セイジスフィヤルカウプスタズル</v>
      </c>
      <c r="I2138" s="9" t="str">
        <f>IFERROR(__xludf.DUMMYFUNCTION("GOOGLETRANSLATE($A2138,""en"",""ko"")"),"Seyðisfjarðarkaupstaður")</f>
        <v>Seyðisfjarðarkaupstaður</v>
      </c>
      <c r="J2138" s="9" t="str">
        <f>IFERROR(__xludf.DUMMYFUNCTION("GOOGLETRANSLATE($A2138,""en"",""pt-BR"")"),"Seyðisfjarðarkaupstaður")</f>
        <v>Seyðisfjarðarkaupstaður</v>
      </c>
    </row>
    <row r="2139">
      <c r="A2139" s="9" t="str">
        <f>IFERROR(__xludf.DUMMYFUNCTION("""COMPUTED_VALUE"""),"Súðavíkurhreppur")</f>
        <v>Súðavíkurhreppur</v>
      </c>
      <c r="B2139" s="9" t="str">
        <f>IFERROR(__xludf.DUMMYFUNCTION("""COMPUTED_VALUE"""),"is-sdv")</f>
        <v>is-sdv</v>
      </c>
      <c r="C2139" s="9" t="str">
        <f>IFERROR(__xludf.DUMMYFUNCTION("GOOGLETRANSLATE($A2139,""en"",""de"")"),"Súðavíkurhreppur")</f>
        <v>Súðavíkurhreppur</v>
      </c>
      <c r="D2139" s="9" t="str">
        <f>IFERROR(__xludf.DUMMYFUNCTION("GOOGLETRANSLATE($A2139,""en"",""fr"")"),"Sudavíkurhreppur")</f>
        <v>Sudavíkurhreppur</v>
      </c>
      <c r="E2139" s="9" t="str">
        <f>IFERROR(__xludf.DUMMYFUNCTION("GOOGLETRANSLATE($A2139,""en"",""es"")"),"Súðavíkurhreppur")</f>
        <v>Súðavíkurhreppur</v>
      </c>
      <c r="F2139" s="9" t="str">
        <f>IFERROR(__xludf.DUMMYFUNCTION("GOOGLETRANSLATE($A2139,""en"",""it"")"),"Súðavíkurhreppur")</f>
        <v>Súðavíkurhreppur</v>
      </c>
      <c r="G2139" s="9" t="str">
        <f>IFERROR(__xludf.DUMMYFUNCTION("GOOGLETRANSLATE($A2139,""en"",""zh-cn"")"),"苏达维库勒普尔")</f>
        <v>苏达维库勒普尔</v>
      </c>
      <c r="H2139" s="9" t="str">
        <f>IFERROR(__xludf.DUMMYFUNCTION("GOOGLETRANSLATE($A2139,""en"",""ja"")"),"スザヴィクルレプール")</f>
        <v>スザヴィクルレプール</v>
      </c>
      <c r="I2139" s="9" t="str">
        <f>IFERROR(__xludf.DUMMYFUNCTION("GOOGLETRANSLATE($A2139,""en"",""ko"")"),"수다비쿠르레푸르")</f>
        <v>수다비쿠르레푸르</v>
      </c>
      <c r="J2139" s="9" t="str">
        <f>IFERROR(__xludf.DUMMYFUNCTION("GOOGLETRANSLATE($A2139,""en"",""pt-BR"")"),"Súðavíkurhreppur")</f>
        <v>Súðavíkurhreppur</v>
      </c>
    </row>
    <row r="2140">
      <c r="A2140" s="9" t="str">
        <f>IFERROR(__xludf.DUMMYFUNCTION("""COMPUTED_VALUE"""),"Snæfellsbær")</f>
        <v>Snæfellsbær</v>
      </c>
      <c r="B2140" s="9" t="str">
        <f>IFERROR(__xludf.DUMMYFUNCTION("""COMPUTED_VALUE"""),"is-snf")</f>
        <v>is-snf</v>
      </c>
      <c r="C2140" s="9" t="str">
        <f>IFERROR(__xludf.DUMMYFUNCTION("GOOGLETRANSLATE($A2140,""en"",""de"")"),"Snæfellsbær")</f>
        <v>Snæfellsbær</v>
      </c>
      <c r="D2140" s="9" t="str">
        <f>IFERROR(__xludf.DUMMYFUNCTION("GOOGLETRANSLATE($A2140,""en"",""fr"")"),"Snæfellsbær")</f>
        <v>Snæfellsbær</v>
      </c>
      <c r="E2140" s="9" t="str">
        <f>IFERROR(__xludf.DUMMYFUNCTION("GOOGLETRANSLATE($A2140,""en"",""es"")"),"Snæfellsbær")</f>
        <v>Snæfellsbær</v>
      </c>
      <c r="F2140" s="9" t="str">
        <f>IFERROR(__xludf.DUMMYFUNCTION("GOOGLETRANSLATE($A2140,""en"",""it"")"),"Snæfellsbær")</f>
        <v>Snæfellsbær</v>
      </c>
      <c r="G2140" s="9" t="str">
        <f>IFERROR(__xludf.DUMMYFUNCTION("GOOGLETRANSLATE($A2140,""en"",""zh-cn"")"),"斯奈山半岛")</f>
        <v>斯奈山半岛</v>
      </c>
      <c r="H2140" s="9" t="str">
        <f>IFERROR(__xludf.DUMMYFUNCTION("GOOGLETRANSLATE($A2140,""en"",""ja"")"),"スナイフェルスベア")</f>
        <v>スナイフェルスベア</v>
      </c>
      <c r="I2140" s="9" t="str">
        <f>IFERROR(__xludf.DUMMYFUNCTION("GOOGLETRANSLATE($A2140,""en"",""ko"")"),"스나이펠스바이르")</f>
        <v>스나이펠스바이르</v>
      </c>
      <c r="J2140" s="9" t="str">
        <f>IFERROR(__xludf.DUMMYFUNCTION("GOOGLETRANSLATE($A2140,""en"",""pt-BR"")"),"Snæfellsbær")</f>
        <v>Snæfellsbær</v>
      </c>
    </row>
    <row r="2141">
      <c r="A2141" s="9" t="str">
        <f>IFERROR(__xludf.DUMMYFUNCTION("""COMPUTED_VALUE"""),"Skútustaðahreppur")</f>
        <v>Skútustaðahreppur</v>
      </c>
      <c r="B2141" s="9" t="str">
        <f>IFERROR(__xludf.DUMMYFUNCTION("""COMPUTED_VALUE"""),"is-sku")</f>
        <v>is-sku</v>
      </c>
      <c r="C2141" s="9" t="str">
        <f>IFERROR(__xludf.DUMMYFUNCTION("GOOGLETRANSLATE($A2141,""en"",""de"")"),"Skútustaðahreppur")</f>
        <v>Skútustaðahreppur</v>
      </c>
      <c r="D2141" s="9" t="str">
        <f>IFERROR(__xludf.DUMMYFUNCTION("GOOGLETRANSLATE($A2141,""en"",""fr"")"),"Skútustaðahreppur")</f>
        <v>Skútustaðahreppur</v>
      </c>
      <c r="E2141" s="9" t="str">
        <f>IFERROR(__xludf.DUMMYFUNCTION("GOOGLETRANSLATE($A2141,""en"",""es"")"),"Skútustaðahreppur")</f>
        <v>Skútustaðahreppur</v>
      </c>
      <c r="F2141" s="9" t="str">
        <f>IFERROR(__xludf.DUMMYFUNCTION("GOOGLETRANSLATE($A2141,""en"",""it"")"),"Skútustaðahreppur")</f>
        <v>Skútustaðahreppur</v>
      </c>
      <c r="G2141" s="9" t="str">
        <f>IFERROR(__xludf.DUMMYFUNCTION("GOOGLETRANSLATE($A2141,""en"",""zh-cn"")"),"斯库图斯塔扎赫雷普尔")</f>
        <v>斯库图斯塔扎赫雷普尔</v>
      </c>
      <c r="H2141" s="9" t="str">
        <f>IFERROR(__xludf.DUMMYFUNCTION("GOOGLETRANSLATE($A2141,""en"",""ja"")"),"スクトゥスタザアレップル")</f>
        <v>スクトゥスタザアレップル</v>
      </c>
      <c r="I2141" s="9" t="str">
        <f>IFERROR(__xludf.DUMMYFUNCTION("GOOGLETRANSLATE($A2141,""en"",""ko"")"),"스쿠투스타다흐레푸르")</f>
        <v>스쿠투스타다흐레푸르</v>
      </c>
      <c r="J2141" s="9" t="str">
        <f>IFERROR(__xludf.DUMMYFUNCTION("GOOGLETRANSLATE($A2141,""en"",""pt-BR"")"),"Skútustaðahreppur")</f>
        <v>Skútustaðahreppur</v>
      </c>
    </row>
    <row r="2142">
      <c r="A2142" s="9" t="str">
        <f>IFERROR(__xludf.DUMMYFUNCTION("""COMPUTED_VALUE"""),"Skagabyggð")</f>
        <v>Skagabyggð</v>
      </c>
      <c r="B2142" s="9" t="str">
        <f>IFERROR(__xludf.DUMMYFUNCTION("""COMPUTED_VALUE"""),"is-skg")</f>
        <v>is-skg</v>
      </c>
      <c r="C2142" s="9" t="str">
        <f>IFERROR(__xludf.DUMMYFUNCTION("GOOGLETRANSLATE($A2142,""en"",""de"")"),"Skagabyggð")</f>
        <v>Skagabyggð</v>
      </c>
      <c r="D2142" s="9" t="str">
        <f>IFERROR(__xludf.DUMMYFUNCTION("GOOGLETRANSLATE($A2142,""en"",""fr"")"),"Skagabyggð")</f>
        <v>Skagabyggð</v>
      </c>
      <c r="E2142" s="9" t="str">
        <f>IFERROR(__xludf.DUMMYFUNCTION("GOOGLETRANSLATE($A2142,""en"",""es"")"),"Skagabyggð")</f>
        <v>Skagabyggð</v>
      </c>
      <c r="F2142" s="9" t="str">
        <f>IFERROR(__xludf.DUMMYFUNCTION("GOOGLETRANSLATE($A2142,""en"",""it"")"),"Skagabyggð")</f>
        <v>Skagabyggð</v>
      </c>
      <c r="G2142" s="9" t="str">
        <f>IFERROR(__xludf.DUMMYFUNCTION("GOOGLETRANSLATE($A2142,""en"",""zh-cn"")"),"斯卡加比格德")</f>
        <v>斯卡加比格德</v>
      </c>
      <c r="H2142" s="9" t="str">
        <f>IFERROR(__xludf.DUMMYFUNCTION("GOOGLETRANSLATE($A2142,""en"",""ja"")"),"スカガビグズ")</f>
        <v>スカガビグズ</v>
      </c>
      <c r="I2142" s="9" t="str">
        <f>IFERROR(__xludf.DUMMYFUNCTION("GOOGLETRANSLATE($A2142,""en"",""ko"")"),"스카가비그드")</f>
        <v>스카가비그드</v>
      </c>
      <c r="J2142" s="9" t="str">
        <f>IFERROR(__xludf.DUMMYFUNCTION("GOOGLETRANSLATE($A2142,""en"",""pt-BR"")"),"Skagabyggð")</f>
        <v>Skagabyggð</v>
      </c>
    </row>
    <row r="2143">
      <c r="A2143" s="9" t="str">
        <f>IFERROR(__xludf.DUMMYFUNCTION("""COMPUTED_VALUE"""),"Vopnafjarðarhreppur")</f>
        <v>Vopnafjarðarhreppur</v>
      </c>
      <c r="B2143" s="9" t="str">
        <f>IFERROR(__xludf.DUMMYFUNCTION("""COMPUTED_VALUE"""),"is-vop")</f>
        <v>is-vop</v>
      </c>
      <c r="C2143" s="9" t="str">
        <f>IFERROR(__xludf.DUMMYFUNCTION("GOOGLETRANSLATE($A2143,""en"",""de"")"),"Vopnafjarðarhreppur")</f>
        <v>Vopnafjarðarhreppur</v>
      </c>
      <c r="D2143" s="9" t="str">
        <f>IFERROR(__xludf.DUMMYFUNCTION("GOOGLETRANSLATE($A2143,""en"",""fr"")"),"Vopnafjarðarhreppur")</f>
        <v>Vopnafjarðarhreppur</v>
      </c>
      <c r="E2143" s="9" t="str">
        <f>IFERROR(__xludf.DUMMYFUNCTION("GOOGLETRANSLATE($A2143,""en"",""es"")"),"Vopnafjarðarhreppur")</f>
        <v>Vopnafjarðarhreppur</v>
      </c>
      <c r="F2143" s="9" t="str">
        <f>IFERROR(__xludf.DUMMYFUNCTION("GOOGLETRANSLATE($A2143,""en"",""it"")"),"Vopnafjarðarhreppur")</f>
        <v>Vopnafjarðarhreppur</v>
      </c>
      <c r="G2143" s="9" t="str">
        <f>IFERROR(__xludf.DUMMYFUNCTION("GOOGLETRANSLATE($A2143,""en"",""zh-cn"")"),"沃普纳菲亚扎赫勒普尔")</f>
        <v>沃普纳菲亚扎赫勒普尔</v>
      </c>
      <c r="H2143" s="9" t="str">
        <f>IFERROR(__xludf.DUMMYFUNCTION("GOOGLETRANSLATE($A2143,""en"",""ja"")"),"ヴォプナフィヤルザレプール")</f>
        <v>ヴォプナフィヤルザレプール</v>
      </c>
      <c r="I2143" s="9" t="str">
        <f>IFERROR(__xludf.DUMMYFUNCTION("GOOGLETRANSLATE($A2143,""en"",""ko"")"),"Vopnafjarðarhreppur")</f>
        <v>Vopnafjarðarhreppur</v>
      </c>
      <c r="J2143" s="9" t="str">
        <f>IFERROR(__xludf.DUMMYFUNCTION("GOOGLETRANSLATE($A2143,""en"",""pt-BR"")"),"Vopnafjarðarhreppur")</f>
        <v>Vopnafjarðarhreppur</v>
      </c>
    </row>
    <row r="2144">
      <c r="A2144" s="9" t="str">
        <f>IFERROR(__xludf.DUMMYFUNCTION("""COMPUTED_VALUE"""),"Himachal Pradesh")</f>
        <v>Himachal Pradesh</v>
      </c>
      <c r="B2144" s="9" t="str">
        <f>IFERROR(__xludf.DUMMYFUNCTION("""COMPUTED_VALUE"""),"in-hp")</f>
        <v>in-hp</v>
      </c>
      <c r="C2144" s="9" t="str">
        <f>IFERROR(__xludf.DUMMYFUNCTION("GOOGLETRANSLATE($A2144,""en"",""de"")"),"Himachal Pradesh")</f>
        <v>Himachal Pradesh</v>
      </c>
      <c r="D2144" s="9" t="str">
        <f>IFERROR(__xludf.DUMMYFUNCTION("GOOGLETRANSLATE($A2144,""en"",""fr"")"),"Himachal Pradesh")</f>
        <v>Himachal Pradesh</v>
      </c>
      <c r="E2144" s="9" t="str">
        <f>IFERROR(__xludf.DUMMYFUNCTION("GOOGLETRANSLATE($A2144,""en"",""es"")"),"Himachal Pradesh")</f>
        <v>Himachal Pradesh</v>
      </c>
      <c r="F2144" s="9" t="str">
        <f>IFERROR(__xludf.DUMMYFUNCTION("GOOGLETRANSLATE($A2144,""en"",""it"")"),"Himachal Pradesh")</f>
        <v>Himachal Pradesh</v>
      </c>
      <c r="G2144" s="9" t="str">
        <f>IFERROR(__xludf.DUMMYFUNCTION("GOOGLETRANSLATE($A2144,""en"",""zh-cn"")"),"喜马偕尔邦")</f>
        <v>喜马偕尔邦</v>
      </c>
      <c r="H2144" s="9" t="str">
        <f>IFERROR(__xludf.DUMMYFUNCTION("GOOGLETRANSLATE($A2144,""en"",""ja"")"),"ヒマーチャル プラデーシュ州")</f>
        <v>ヒマーチャル プラデーシュ州</v>
      </c>
      <c r="I2144" s="9" t="str">
        <f>IFERROR(__xludf.DUMMYFUNCTION("GOOGLETRANSLATE($A2144,""en"",""ko"")"),"히마찰프라데시")</f>
        <v>히마찰프라데시</v>
      </c>
      <c r="J2144" s="9" t="str">
        <f>IFERROR(__xludf.DUMMYFUNCTION("GOOGLETRANSLATE($A2144,""en"",""pt-BR"")"),"Himachal Pradesh")</f>
        <v>Himachal Pradesh</v>
      </c>
    </row>
    <row r="2145">
      <c r="A2145" s="9" t="str">
        <f>IFERROR(__xludf.DUMMYFUNCTION("""COMPUTED_VALUE"""),"Maharashtra")</f>
        <v>Maharashtra</v>
      </c>
      <c r="B2145" s="9" t="str">
        <f>IFERROR(__xludf.DUMMYFUNCTION("""COMPUTED_VALUE"""),"in-mh")</f>
        <v>in-mh</v>
      </c>
      <c r="C2145" s="9" t="str">
        <f>IFERROR(__xludf.DUMMYFUNCTION("GOOGLETRANSLATE($A2145,""en"",""de"")"),"Maharashtra")</f>
        <v>Maharashtra</v>
      </c>
      <c r="D2145" s="9" t="str">
        <f>IFERROR(__xludf.DUMMYFUNCTION("GOOGLETRANSLATE($A2145,""en"",""fr"")"),"Maharashtra")</f>
        <v>Maharashtra</v>
      </c>
      <c r="E2145" s="9" t="str">
        <f>IFERROR(__xludf.DUMMYFUNCTION("GOOGLETRANSLATE($A2145,""en"",""es"")"),"Maharastra")</f>
        <v>Maharastra</v>
      </c>
      <c r="F2145" s="9" t="str">
        <f>IFERROR(__xludf.DUMMYFUNCTION("GOOGLETRANSLATE($A2145,""en"",""it"")"),"Maharashtra")</f>
        <v>Maharashtra</v>
      </c>
      <c r="G2145" s="9" t="str">
        <f>IFERROR(__xludf.DUMMYFUNCTION("GOOGLETRANSLATE($A2145,""en"",""zh-cn"")"),"马哈拉施特拉邦")</f>
        <v>马哈拉施特拉邦</v>
      </c>
      <c r="H2145" s="9" t="str">
        <f>IFERROR(__xludf.DUMMYFUNCTION("GOOGLETRANSLATE($A2145,""en"",""ja"")"),"マハラシュトラ州")</f>
        <v>マハラシュトラ州</v>
      </c>
      <c r="I2145" s="9" t="str">
        <f>IFERROR(__xludf.DUMMYFUNCTION("GOOGLETRANSLATE($A2145,""en"",""ko"")"),"마하라슈트라")</f>
        <v>마하라슈트라</v>
      </c>
      <c r="J2145" s="9" t="str">
        <f>IFERROR(__xludf.DUMMYFUNCTION("GOOGLETRANSLATE($A2145,""en"",""pt-BR"")"),"Maharashtra")</f>
        <v>Maharashtra</v>
      </c>
    </row>
    <row r="2146">
      <c r="A2146" s="9" t="str">
        <f>IFERROR(__xludf.DUMMYFUNCTION("""COMPUTED_VALUE"""),"Arunachal Pradesh")</f>
        <v>Arunachal Pradesh</v>
      </c>
      <c r="B2146" s="9" t="str">
        <f>IFERROR(__xludf.DUMMYFUNCTION("""COMPUTED_VALUE"""),"in-ar")</f>
        <v>in-ar</v>
      </c>
      <c r="C2146" s="9" t="str">
        <f>IFERROR(__xludf.DUMMYFUNCTION("GOOGLETRANSLATE($A2146,""en"",""de"")"),"Arunachal Pradesh")</f>
        <v>Arunachal Pradesh</v>
      </c>
      <c r="D2146" s="9" t="str">
        <f>IFERROR(__xludf.DUMMYFUNCTION("GOOGLETRANSLATE($A2146,""en"",""fr"")"),"Arunachal Pradesh")</f>
        <v>Arunachal Pradesh</v>
      </c>
      <c r="E2146" s="9" t="str">
        <f>IFERROR(__xludf.DUMMYFUNCTION("GOOGLETRANSLATE($A2146,""en"",""es"")"),"Arunachal Pradesh")</f>
        <v>Arunachal Pradesh</v>
      </c>
      <c r="F2146" s="9" t="str">
        <f>IFERROR(__xludf.DUMMYFUNCTION("GOOGLETRANSLATE($A2146,""en"",""it"")"),"Arunachal Pradesh")</f>
        <v>Arunachal Pradesh</v>
      </c>
      <c r="G2146" s="9" t="str">
        <f>IFERROR(__xludf.DUMMYFUNCTION("GOOGLETRANSLATE($A2146,""en"",""zh-cn"")"),"阿鲁纳恰尔邦")</f>
        <v>阿鲁纳恰尔邦</v>
      </c>
      <c r="H2146" s="9" t="str">
        <f>IFERROR(__xludf.DUMMYFUNCTION("GOOGLETRANSLATE($A2146,""en"",""ja"")"),"アルナーチャル プラデーシュ州")</f>
        <v>アルナーチャル プラデーシュ州</v>
      </c>
      <c r="I2146" s="9" t="str">
        <f>IFERROR(__xludf.DUMMYFUNCTION("GOOGLETRANSLATE($A2146,""en"",""ko"")"),"아루나찰프라데시")</f>
        <v>아루나찰프라데시</v>
      </c>
      <c r="J2146" s="9" t="str">
        <f>IFERROR(__xludf.DUMMYFUNCTION("GOOGLETRANSLATE($A2146,""en"",""pt-BR"")"),"Arunachal Pradesh")</f>
        <v>Arunachal Pradesh</v>
      </c>
    </row>
    <row r="2147">
      <c r="A2147" s="9" t="str">
        <f>IFERROR(__xludf.DUMMYFUNCTION("""COMPUTED_VALUE"""),"Punjab (IN)")</f>
        <v>Punjab (IN)</v>
      </c>
      <c r="B2147" s="9" t="str">
        <f>IFERROR(__xludf.DUMMYFUNCTION("""COMPUTED_VALUE"""),"in-pb")</f>
        <v>in-pb</v>
      </c>
      <c r="C2147" s="9" t="str">
        <f>IFERROR(__xludf.DUMMYFUNCTION("GOOGLETRANSLATE($A2147,""en"",""de"")"),"Punjab (IN)")</f>
        <v>Punjab (IN)</v>
      </c>
      <c r="D2147" s="9" t="str">
        <f>IFERROR(__xludf.DUMMYFUNCTION("GOOGLETRANSLATE($A2147,""en"",""fr"")"),"Pendjab (IN)")</f>
        <v>Pendjab (IN)</v>
      </c>
      <c r="E2147" s="9" t="str">
        <f>IFERROR(__xludf.DUMMYFUNCTION("GOOGLETRANSLATE($A2147,""en"",""es"")"),"Punjab (IN)")</f>
        <v>Punjab (IN)</v>
      </c>
      <c r="F2147" s="9" t="str">
        <f>IFERROR(__xludf.DUMMYFUNCTION("GOOGLETRANSLATE($A2147,""en"",""it"")"),"Punjab (IN)")</f>
        <v>Punjab (IN)</v>
      </c>
      <c r="G2147" s="9" t="str">
        <f>IFERROR(__xludf.DUMMYFUNCTION("GOOGLETRANSLATE($A2147,""en"",""zh-cn"")"),"旁遮普邦（印度）")</f>
        <v>旁遮普邦（印度）</v>
      </c>
      <c r="H2147" s="9" t="str">
        <f>IFERROR(__xludf.DUMMYFUNCTION("GOOGLETRANSLATE($A2147,""en"",""ja"")"),"パンジャーブ州（インド）")</f>
        <v>パンジャーブ州（インド）</v>
      </c>
      <c r="I2147" s="9" t="str">
        <f>IFERROR(__xludf.DUMMYFUNCTION("GOOGLETRANSLATE($A2147,""en"",""ko"")"),"펀자브(IN)")</f>
        <v>펀자브(IN)</v>
      </c>
      <c r="J2147" s="9" t="str">
        <f>IFERROR(__xludf.DUMMYFUNCTION("GOOGLETRANSLATE($A2147,""en"",""pt-BR"")"),"Punjab (IN)")</f>
        <v>Punjab (IN)</v>
      </c>
    </row>
    <row r="2148">
      <c r="A2148" s="9" t="str">
        <f>IFERROR(__xludf.DUMMYFUNCTION("""COMPUTED_VALUE"""),"Assam")</f>
        <v>Assam</v>
      </c>
      <c r="B2148" s="9" t="str">
        <f>IFERROR(__xludf.DUMMYFUNCTION("""COMPUTED_VALUE"""),"in-as")</f>
        <v>in-as</v>
      </c>
      <c r="C2148" s="9" t="str">
        <f>IFERROR(__xludf.DUMMYFUNCTION("GOOGLETRANSLATE($A2148,""en"",""de"")"),"Assam")</f>
        <v>Assam</v>
      </c>
      <c r="D2148" s="9" t="str">
        <f>IFERROR(__xludf.DUMMYFUNCTION("GOOGLETRANSLATE($A2148,""en"",""fr"")"),"Assam")</f>
        <v>Assam</v>
      </c>
      <c r="E2148" s="9" t="str">
        <f>IFERROR(__xludf.DUMMYFUNCTION("GOOGLETRANSLATE($A2148,""en"",""es"")"),"Assam")</f>
        <v>Assam</v>
      </c>
      <c r="F2148" s="9" t="str">
        <f>IFERROR(__xludf.DUMMYFUNCTION("GOOGLETRANSLATE($A2148,""en"",""it"")"),"Assam")</f>
        <v>Assam</v>
      </c>
      <c r="G2148" s="9" t="str">
        <f>IFERROR(__xludf.DUMMYFUNCTION("GOOGLETRANSLATE($A2148,""en"",""zh-cn"")"),"阿萨姆邦")</f>
        <v>阿萨姆邦</v>
      </c>
      <c r="H2148" s="9" t="str">
        <f>IFERROR(__xludf.DUMMYFUNCTION("GOOGLETRANSLATE($A2148,""en"",""ja"")"),"アッサム州")</f>
        <v>アッサム州</v>
      </c>
      <c r="I2148" s="9" t="str">
        <f>IFERROR(__xludf.DUMMYFUNCTION("GOOGLETRANSLATE($A2148,""en"",""ko"")"),"아삼")</f>
        <v>아삼</v>
      </c>
      <c r="J2148" s="9" t="str">
        <f>IFERROR(__xludf.DUMMYFUNCTION("GOOGLETRANSLATE($A2148,""en"",""pt-BR"")"),"Assão")</f>
        <v>Assão</v>
      </c>
    </row>
    <row r="2149">
      <c r="A2149" s="9" t="str">
        <f>IFERROR(__xludf.DUMMYFUNCTION("""COMPUTED_VALUE"""),"Lakshadweep")</f>
        <v>Lakshadweep</v>
      </c>
      <c r="B2149" s="9" t="str">
        <f>IFERROR(__xludf.DUMMYFUNCTION("""COMPUTED_VALUE"""),"in-ld")</f>
        <v>in-ld</v>
      </c>
      <c r="C2149" s="9" t="str">
        <f>IFERROR(__xludf.DUMMYFUNCTION("GOOGLETRANSLATE($A2149,""en"",""de"")"),"Lakshadweep")</f>
        <v>Lakshadweep</v>
      </c>
      <c r="D2149" s="9" t="str">
        <f>IFERROR(__xludf.DUMMYFUNCTION("GOOGLETRANSLATE($A2149,""en"",""fr"")"),"Lakshadweep")</f>
        <v>Lakshadweep</v>
      </c>
      <c r="E2149" s="9" t="str">
        <f>IFERROR(__xludf.DUMMYFUNCTION("GOOGLETRANSLATE($A2149,""en"",""es"")"),"Lakshadweep")</f>
        <v>Lakshadweep</v>
      </c>
      <c r="F2149" s="9" t="str">
        <f>IFERROR(__xludf.DUMMYFUNCTION("GOOGLETRANSLATE($A2149,""en"",""it"")"),"Lakshadweep")</f>
        <v>Lakshadweep</v>
      </c>
      <c r="G2149" s="9" t="str">
        <f>IFERROR(__xludf.DUMMYFUNCTION("GOOGLETRANSLATE($A2149,""en"",""zh-cn"")"),"拉克沙群岛")</f>
        <v>拉克沙群岛</v>
      </c>
      <c r="H2149" s="9" t="str">
        <f>IFERROR(__xludf.DUMMYFUNCTION("GOOGLETRANSLATE($A2149,""en"",""ja"")"),"ラクシャディープ諸島")</f>
        <v>ラクシャディープ諸島</v>
      </c>
      <c r="I2149" s="9" t="str">
        <f>IFERROR(__xludf.DUMMYFUNCTION("GOOGLETRANSLATE($A2149,""en"",""ko"")"),"락샤드위프")</f>
        <v>락샤드위프</v>
      </c>
      <c r="J2149" s="9" t="str">
        <f>IFERROR(__xludf.DUMMYFUNCTION("GOOGLETRANSLATE($A2149,""en"",""pt-BR"")"),"Lakshadweep")</f>
        <v>Lakshadweep</v>
      </c>
    </row>
    <row r="2150">
      <c r="A2150" s="9" t="str">
        <f>IFERROR(__xludf.DUMMYFUNCTION("""COMPUTED_VALUE"""),"Odisha (IN-OR)")</f>
        <v>Odisha (IN-OR)</v>
      </c>
      <c r="B2150" s="9" t="str">
        <f>IFERROR(__xludf.DUMMYFUNCTION("""COMPUTED_VALUE"""),"in-or")</f>
        <v>in-or</v>
      </c>
      <c r="C2150" s="9" t="str">
        <f>IFERROR(__xludf.DUMMYFUNCTION("GOOGLETRANSLATE($A2150,""en"",""de"")"),"Odisha (IN-OR)")</f>
        <v>Odisha (IN-OR)</v>
      </c>
      <c r="D2150" s="9" t="str">
        <f>IFERROR(__xludf.DUMMYFUNCTION("GOOGLETRANSLATE($A2150,""en"",""fr"")"),"Odisha (IN-OR)")</f>
        <v>Odisha (IN-OR)</v>
      </c>
      <c r="E2150" s="9" t="str">
        <f>IFERROR(__xludf.DUMMYFUNCTION("GOOGLETRANSLATE($A2150,""en"",""es"")"),"Odisha (EN-OR)")</f>
        <v>Odisha (EN-OR)</v>
      </c>
      <c r="F2150" s="9" t="str">
        <f>IFERROR(__xludf.DUMMYFUNCTION("GOOGLETRANSLATE($A2150,""en"",""it"")"),"Odisha (IN-OR)")</f>
        <v>Odisha (IN-OR)</v>
      </c>
      <c r="G2150" s="9" t="str">
        <f>IFERROR(__xludf.DUMMYFUNCTION("GOOGLETRANSLATE($A2150,""en"",""zh-cn"")"),"奥里萨邦 (IN-OR)")</f>
        <v>奥里萨邦 (IN-OR)</v>
      </c>
      <c r="H2150" s="9" t="str">
        <f>IFERROR(__xludf.DUMMYFUNCTION("GOOGLETRANSLATE($A2150,""en"",""ja"")"),"オリッサ州 (IN-OR)")</f>
        <v>オリッサ州 (IN-OR)</v>
      </c>
      <c r="I2150" s="9" t="str">
        <f>IFERROR(__xludf.DUMMYFUNCTION("GOOGLETRANSLATE($A2150,""en"",""ko"")"),"오디샤(IN-OR)")</f>
        <v>오디샤(IN-OR)</v>
      </c>
      <c r="J2150" s="9" t="str">
        <f>IFERROR(__xludf.DUMMYFUNCTION("GOOGLETRANSLATE($A2150,""en"",""pt-BR"")"),"Odisha (IN-OR)")</f>
        <v>Odisha (IN-OR)</v>
      </c>
    </row>
    <row r="2151">
      <c r="A2151" s="9" t="str">
        <f>IFERROR(__xludf.DUMMYFUNCTION("""COMPUTED_VALUE"""),"Madhya Pradesh")</f>
        <v>Madhya Pradesh</v>
      </c>
      <c r="B2151" s="9" t="str">
        <f>IFERROR(__xludf.DUMMYFUNCTION("""COMPUTED_VALUE"""),"in-mp")</f>
        <v>in-mp</v>
      </c>
      <c r="C2151" s="9" t="str">
        <f>IFERROR(__xludf.DUMMYFUNCTION("GOOGLETRANSLATE($A2151,""en"",""de"")"),"Madhya Pradesh")</f>
        <v>Madhya Pradesh</v>
      </c>
      <c r="D2151" s="9" t="str">
        <f>IFERROR(__xludf.DUMMYFUNCTION("GOOGLETRANSLATE($A2151,""en"",""fr"")"),"Madhya Pradesh")</f>
        <v>Madhya Pradesh</v>
      </c>
      <c r="E2151" s="9" t="str">
        <f>IFERROR(__xludf.DUMMYFUNCTION("GOOGLETRANSLATE($A2151,""en"",""es"")"),"Madhya Pradesh")</f>
        <v>Madhya Pradesh</v>
      </c>
      <c r="F2151" s="9" t="str">
        <f>IFERROR(__xludf.DUMMYFUNCTION("GOOGLETRANSLATE($A2151,""en"",""it"")"),"Madhya Pradesh")</f>
        <v>Madhya Pradesh</v>
      </c>
      <c r="G2151" s="9" t="str">
        <f>IFERROR(__xludf.DUMMYFUNCTION("GOOGLETRANSLATE($A2151,""en"",""zh-cn"")"),"中央邦")</f>
        <v>中央邦</v>
      </c>
      <c r="H2151" s="9" t="str">
        <f>IFERROR(__xludf.DUMMYFUNCTION("GOOGLETRANSLATE($A2151,""en"",""ja"")"),"マディヤ プラデーシュ州")</f>
        <v>マディヤ プラデーシュ州</v>
      </c>
      <c r="I2151" s="9" t="str">
        <f>IFERROR(__xludf.DUMMYFUNCTION("GOOGLETRANSLATE($A2151,""en"",""ko"")"),"마디아프라데시")</f>
        <v>마디아프라데시</v>
      </c>
      <c r="J2151" s="9" t="str">
        <f>IFERROR(__xludf.DUMMYFUNCTION("GOOGLETRANSLATE($A2151,""en"",""pt-BR"")"),"Madhya Pradesh")</f>
        <v>Madhya Pradesh</v>
      </c>
    </row>
    <row r="2152">
      <c r="A2152" s="9" t="str">
        <f>IFERROR(__xludf.DUMMYFUNCTION("""COMPUTED_VALUE"""),"Dadra and Nagar Haveli")</f>
        <v>Dadra and Nagar Haveli</v>
      </c>
      <c r="B2152" s="9" t="str">
        <f>IFERROR(__xludf.DUMMYFUNCTION("""COMPUTED_VALUE"""),"in-dn")</f>
        <v>in-dn</v>
      </c>
      <c r="C2152" s="9" t="str">
        <f>IFERROR(__xludf.DUMMYFUNCTION("GOOGLETRANSLATE($A2152,""en"",""de"")"),"Dadra und Nagar Haveli")</f>
        <v>Dadra und Nagar Haveli</v>
      </c>
      <c r="D2152" s="9" t="str">
        <f>IFERROR(__xludf.DUMMYFUNCTION("GOOGLETRANSLATE($A2152,""en"",""fr"")"),"Dadra et Nagar Haveli")</f>
        <v>Dadra et Nagar Haveli</v>
      </c>
      <c r="E2152" s="9" t="str">
        <f>IFERROR(__xludf.DUMMYFUNCTION("GOOGLETRANSLATE($A2152,""en"",""es"")"),"Dadra y Nagar Haveli")</f>
        <v>Dadra y Nagar Haveli</v>
      </c>
      <c r="F2152" s="9" t="str">
        <f>IFERROR(__xludf.DUMMYFUNCTION("GOOGLETRANSLATE($A2152,""en"",""it"")"),"Dadra e Nagar Haveli")</f>
        <v>Dadra e Nagar Haveli</v>
      </c>
      <c r="G2152" s="9" t="str">
        <f>IFERROR(__xludf.DUMMYFUNCTION("GOOGLETRANSLATE($A2152,""en"",""zh-cn"")"),"达德拉和纳加尔·哈维利")</f>
        <v>达德拉和纳加尔·哈维利</v>
      </c>
      <c r="H2152" s="9" t="str">
        <f>IFERROR(__xludf.DUMMYFUNCTION("GOOGLETRANSLATE($A2152,""en"",""ja"")"),"ダドラとナガル・ハベリ")</f>
        <v>ダドラとナガル・ハベリ</v>
      </c>
      <c r="I2152" s="9" t="str">
        <f>IFERROR(__xludf.DUMMYFUNCTION("GOOGLETRANSLATE($A2152,""en"",""ko"")"),"다드라와 나가르 하벨리")</f>
        <v>다드라와 나가르 하벨리</v>
      </c>
      <c r="J2152" s="9" t="str">
        <f>IFERROR(__xludf.DUMMYFUNCTION("GOOGLETRANSLATE($A2152,""en"",""pt-BR"")"),"Dadra e Nagar Haveli")</f>
        <v>Dadra e Nagar Haveli</v>
      </c>
    </row>
    <row r="2153">
      <c r="A2153" s="9" t="str">
        <f>IFERROR(__xludf.DUMMYFUNCTION("""COMPUTED_VALUE"""),"Meghalaya")</f>
        <v>Meghalaya</v>
      </c>
      <c r="B2153" s="9" t="str">
        <f>IFERROR(__xludf.DUMMYFUNCTION("""COMPUTED_VALUE"""),"in-ml")</f>
        <v>in-ml</v>
      </c>
      <c r="C2153" s="9" t="str">
        <f>IFERROR(__xludf.DUMMYFUNCTION("GOOGLETRANSLATE($A2153,""en"",""de"")"),"Meghalaya")</f>
        <v>Meghalaya</v>
      </c>
      <c r="D2153" s="9" t="str">
        <f>IFERROR(__xludf.DUMMYFUNCTION("GOOGLETRANSLATE($A2153,""en"",""fr"")"),"Meghalaya")</f>
        <v>Meghalaya</v>
      </c>
      <c r="E2153" s="9" t="str">
        <f>IFERROR(__xludf.DUMMYFUNCTION("GOOGLETRANSLATE($A2153,""en"",""es"")"),"Megalaya")</f>
        <v>Megalaya</v>
      </c>
      <c r="F2153" s="9" t="str">
        <f>IFERROR(__xludf.DUMMYFUNCTION("GOOGLETRANSLATE($A2153,""en"",""it"")"),"Meghalaya")</f>
        <v>Meghalaya</v>
      </c>
      <c r="G2153" s="9" t="str">
        <f>IFERROR(__xludf.DUMMYFUNCTION("GOOGLETRANSLATE($A2153,""en"",""zh-cn"")"),"梅加拉亚邦")</f>
        <v>梅加拉亚邦</v>
      </c>
      <c r="H2153" s="9" t="str">
        <f>IFERROR(__xludf.DUMMYFUNCTION("GOOGLETRANSLATE($A2153,""en"",""ja"")"),"メガラヤ州")</f>
        <v>メガラヤ州</v>
      </c>
      <c r="I2153" s="9" t="str">
        <f>IFERROR(__xludf.DUMMYFUNCTION("GOOGLETRANSLATE($A2153,""en"",""ko"")"),"메갈라야")</f>
        <v>메갈라야</v>
      </c>
      <c r="J2153" s="9" t="str">
        <f>IFERROR(__xludf.DUMMYFUNCTION("GOOGLETRANSLATE($A2153,""en"",""pt-BR"")"),"Meghalaya")</f>
        <v>Meghalaya</v>
      </c>
    </row>
    <row r="2154">
      <c r="A2154" s="9" t="str">
        <f>IFERROR(__xludf.DUMMYFUNCTION("""COMPUTED_VALUE"""),"Puducherry")</f>
        <v>Puducherry</v>
      </c>
      <c r="B2154" s="9" t="str">
        <f>IFERROR(__xludf.DUMMYFUNCTION("""COMPUTED_VALUE"""),"in-py")</f>
        <v>in-py</v>
      </c>
      <c r="C2154" s="9" t="str">
        <f>IFERROR(__xludf.DUMMYFUNCTION("GOOGLETRANSLATE($A2154,""en"",""de"")"),"Puducherry")</f>
        <v>Puducherry</v>
      </c>
      <c r="D2154" s="9" t="str">
        <f>IFERROR(__xludf.DUMMYFUNCTION("GOOGLETRANSLATE($A2154,""en"",""fr"")"),"Pondichéry")</f>
        <v>Pondichéry</v>
      </c>
      <c r="E2154" s="9" t="str">
        <f>IFERROR(__xludf.DUMMYFUNCTION("GOOGLETRANSLATE($A2154,""en"",""es"")"),"Puducherry")</f>
        <v>Puducherry</v>
      </c>
      <c r="F2154" s="9" t="str">
        <f>IFERROR(__xludf.DUMMYFUNCTION("GOOGLETRANSLATE($A2154,""en"",""it"")"),"Puducherry")</f>
        <v>Puducherry</v>
      </c>
      <c r="G2154" s="9" t="str">
        <f>IFERROR(__xludf.DUMMYFUNCTION("GOOGLETRANSLATE($A2154,""en"",""zh-cn"")"),"本地治里")</f>
        <v>本地治里</v>
      </c>
      <c r="H2154" s="9" t="str">
        <f>IFERROR(__xludf.DUMMYFUNCTION("GOOGLETRANSLATE($A2154,""en"",""ja"")"),"ポンディシェリ")</f>
        <v>ポンディシェリ</v>
      </c>
      <c r="I2154" s="9" t="str">
        <f>IFERROR(__xludf.DUMMYFUNCTION("GOOGLETRANSLATE($A2154,""en"",""ko"")"),"푸두체리")</f>
        <v>푸두체리</v>
      </c>
      <c r="J2154" s="9" t="str">
        <f>IFERROR(__xludf.DUMMYFUNCTION("GOOGLETRANSLATE($A2154,""en"",""pt-BR"")"),"Pondicherry")</f>
        <v>Pondicherry</v>
      </c>
    </row>
    <row r="2155">
      <c r="A2155" s="9" t="str">
        <f>IFERROR(__xludf.DUMMYFUNCTION("""COMPUTED_VALUE"""),"Dadra and Nagar Haveli and Daman and Diu")</f>
        <v>Dadra and Nagar Haveli and Daman and Diu</v>
      </c>
      <c r="B2155" s="9" t="str">
        <f>IFERROR(__xludf.DUMMYFUNCTION("""COMPUTED_VALUE"""),"in-dh")</f>
        <v>in-dh</v>
      </c>
      <c r="C2155" s="9" t="str">
        <f>IFERROR(__xludf.DUMMYFUNCTION("GOOGLETRANSLATE($A2155,""en"",""de"")"),"Dadra und Nagar Haveli und Daman und Diu")</f>
        <v>Dadra und Nagar Haveli und Daman und Diu</v>
      </c>
      <c r="D2155" s="9" t="str">
        <f>IFERROR(__xludf.DUMMYFUNCTION("GOOGLETRANSLATE($A2155,""en"",""fr"")"),"Dadra et Nagar Haveli et Daman et Diu")</f>
        <v>Dadra et Nagar Haveli et Daman et Diu</v>
      </c>
      <c r="E2155" s="9" t="str">
        <f>IFERROR(__xludf.DUMMYFUNCTION("GOOGLETRANSLATE($A2155,""en"",""es"")"),"Dadra y Nagar Haveli y Daman y Diu")</f>
        <v>Dadra y Nagar Haveli y Daman y Diu</v>
      </c>
      <c r="F2155" s="9" t="str">
        <f>IFERROR(__xludf.DUMMYFUNCTION("GOOGLETRANSLATE($A2155,""en"",""it"")"),"Dadra e Nagar Haveli, Daman e Diu")</f>
        <v>Dadra e Nagar Haveli, Daman e Diu</v>
      </c>
      <c r="G2155" s="9" t="str">
        <f>IFERROR(__xludf.DUMMYFUNCTION("GOOGLETRANSLATE($A2155,""en"",""zh-cn"")"),"达德拉和纳加尔哈维利以及达曼和迪乌")</f>
        <v>达德拉和纳加尔哈维利以及达曼和迪乌</v>
      </c>
      <c r="H2155" s="9" t="str">
        <f>IFERROR(__xludf.DUMMYFUNCTION("GOOGLETRANSLATE($A2155,""en"",""ja"")"),"ダドラとナガール ハベリとダマンとディウ")</f>
        <v>ダドラとナガール ハベリとダマンとディウ</v>
      </c>
      <c r="I2155" s="9" t="str">
        <f>IFERROR(__xludf.DUMMYFUNCTION("GOOGLETRANSLATE($A2155,""en"",""ko"")"),"다드라와 나가르 하벨리, 다만과 디우")</f>
        <v>다드라와 나가르 하벨리, 다만과 디우</v>
      </c>
      <c r="J2155" s="9" t="str">
        <f>IFERROR(__xludf.DUMMYFUNCTION("GOOGLETRANSLATE($A2155,""en"",""pt-BR"")"),"Dadra e Nagar Haveli e Daman e Diu")</f>
        <v>Dadra e Nagar Haveli e Daman e Diu</v>
      </c>
    </row>
    <row r="2156">
      <c r="A2156" s="9" t="str">
        <f>IFERROR(__xludf.DUMMYFUNCTION("""COMPUTED_VALUE"""),"Ladakh")</f>
        <v>Ladakh</v>
      </c>
      <c r="B2156" s="9" t="str">
        <f>IFERROR(__xludf.DUMMYFUNCTION("""COMPUTED_VALUE"""),"in-la")</f>
        <v>in-la</v>
      </c>
      <c r="C2156" s="9" t="str">
        <f>IFERROR(__xludf.DUMMYFUNCTION("GOOGLETRANSLATE($A2156,""en"",""de"")"),"Ladakh")</f>
        <v>Ladakh</v>
      </c>
      <c r="D2156" s="9" t="str">
        <f>IFERROR(__xludf.DUMMYFUNCTION("GOOGLETRANSLATE($A2156,""en"",""fr"")"),"Ladakh")</f>
        <v>Ladakh</v>
      </c>
      <c r="E2156" s="9" t="str">
        <f>IFERROR(__xludf.DUMMYFUNCTION("GOOGLETRANSLATE($A2156,""en"",""es"")"),"Ladakh")</f>
        <v>Ladakh</v>
      </c>
      <c r="F2156" s="9" t="str">
        <f>IFERROR(__xludf.DUMMYFUNCTION("GOOGLETRANSLATE($A2156,""en"",""it"")"),"Ladakh")</f>
        <v>Ladakh</v>
      </c>
      <c r="G2156" s="9" t="str">
        <f>IFERROR(__xludf.DUMMYFUNCTION("GOOGLETRANSLATE($A2156,""en"",""zh-cn"")"),"拉达克")</f>
        <v>拉达克</v>
      </c>
      <c r="H2156" s="9" t="str">
        <f>IFERROR(__xludf.DUMMYFUNCTION("GOOGLETRANSLATE($A2156,""en"",""ja"")"),"ラダック")</f>
        <v>ラダック</v>
      </c>
      <c r="I2156" s="9" t="str">
        <f>IFERROR(__xludf.DUMMYFUNCTION("GOOGLETRANSLATE($A2156,""en"",""ko"")"),"라다크")</f>
        <v>라다크</v>
      </c>
      <c r="J2156" s="9" t="str">
        <f>IFERROR(__xludf.DUMMYFUNCTION("GOOGLETRANSLATE($A2156,""en"",""pt-BR"")"),"Ladaque")</f>
        <v>Ladaque</v>
      </c>
    </row>
    <row r="2157">
      <c r="A2157" s="9" t="str">
        <f>IFERROR(__xludf.DUMMYFUNCTION("""COMPUTED_VALUE"""),"Goa")</f>
        <v>Goa</v>
      </c>
      <c r="B2157" s="9" t="str">
        <f>IFERROR(__xludf.DUMMYFUNCTION("""COMPUTED_VALUE"""),"in-ga")</f>
        <v>in-ga</v>
      </c>
      <c r="C2157" s="9" t="str">
        <f>IFERROR(__xludf.DUMMYFUNCTION("GOOGLETRANSLATE($A2157,""en"",""de"")"),"Goa")</f>
        <v>Goa</v>
      </c>
      <c r="D2157" s="9" t="str">
        <f>IFERROR(__xludf.DUMMYFUNCTION("GOOGLETRANSLATE($A2157,""en"",""fr"")"),"Goa")</f>
        <v>Goa</v>
      </c>
      <c r="E2157" s="9" t="str">
        <f>IFERROR(__xludf.DUMMYFUNCTION("GOOGLETRANSLATE($A2157,""en"",""es"")"),"ir a")</f>
        <v>ir a</v>
      </c>
      <c r="F2157" s="9" t="str">
        <f>IFERROR(__xludf.DUMMYFUNCTION("GOOGLETRANSLATE($A2157,""en"",""it"")"),"Goa")</f>
        <v>Goa</v>
      </c>
      <c r="G2157" s="9" t="str">
        <f>IFERROR(__xludf.DUMMYFUNCTION("GOOGLETRANSLATE($A2157,""en"",""zh-cn"")"),"果阿")</f>
        <v>果阿</v>
      </c>
      <c r="H2157" s="9" t="str">
        <f>IFERROR(__xludf.DUMMYFUNCTION("GOOGLETRANSLATE($A2157,""en"",""ja"")"),"ゴア")</f>
        <v>ゴア</v>
      </c>
      <c r="I2157" s="9" t="str">
        <f>IFERROR(__xludf.DUMMYFUNCTION("GOOGLETRANSLATE($A2157,""en"",""ko"")"),"고아")</f>
        <v>고아</v>
      </c>
      <c r="J2157" s="9" t="str">
        <f>IFERROR(__xludf.DUMMYFUNCTION("GOOGLETRANSLATE($A2157,""en"",""pt-BR"")"),"Goa")</f>
        <v>Goa</v>
      </c>
    </row>
    <row r="2158">
      <c r="A2158" s="9" t="str">
        <f>IFERROR(__xludf.DUMMYFUNCTION("""COMPUTED_VALUE"""),"Karnataka")</f>
        <v>Karnataka</v>
      </c>
      <c r="B2158" s="9" t="str">
        <f>IFERROR(__xludf.DUMMYFUNCTION("""COMPUTED_VALUE"""),"in-ka")</f>
        <v>in-ka</v>
      </c>
      <c r="C2158" s="9" t="str">
        <f>IFERROR(__xludf.DUMMYFUNCTION("GOOGLETRANSLATE($A2158,""en"",""de"")"),"Karnataka")</f>
        <v>Karnataka</v>
      </c>
      <c r="D2158" s="9" t="str">
        <f>IFERROR(__xludf.DUMMYFUNCTION("GOOGLETRANSLATE($A2158,""en"",""fr"")"),"Karnataka")</f>
        <v>Karnataka</v>
      </c>
      <c r="E2158" s="9" t="str">
        <f>IFERROR(__xludf.DUMMYFUNCTION("GOOGLETRANSLATE($A2158,""en"",""es"")"),"karnataka")</f>
        <v>karnataka</v>
      </c>
      <c r="F2158" s="9" t="str">
        <f>IFERROR(__xludf.DUMMYFUNCTION("GOOGLETRANSLATE($A2158,""en"",""it"")"),"Karnataka")</f>
        <v>Karnataka</v>
      </c>
      <c r="G2158" s="9" t="str">
        <f>IFERROR(__xludf.DUMMYFUNCTION("GOOGLETRANSLATE($A2158,""en"",""zh-cn"")"),"卡纳塔克邦")</f>
        <v>卡纳塔克邦</v>
      </c>
      <c r="H2158" s="9" t="str">
        <f>IFERROR(__xludf.DUMMYFUNCTION("GOOGLETRANSLATE($A2158,""en"",""ja"")"),"カルナータカ州")</f>
        <v>カルナータカ州</v>
      </c>
      <c r="I2158" s="9" t="str">
        <f>IFERROR(__xludf.DUMMYFUNCTION("GOOGLETRANSLATE($A2158,""en"",""ko"")"),"카르나타카")</f>
        <v>카르나타카</v>
      </c>
      <c r="J2158" s="9" t="str">
        <f>IFERROR(__xludf.DUMMYFUNCTION("GOOGLETRANSLATE($A2158,""en"",""pt-BR"")"),"Karnataka")</f>
        <v>Karnataka</v>
      </c>
    </row>
    <row r="2159">
      <c r="A2159" s="9" t="str">
        <f>IFERROR(__xludf.DUMMYFUNCTION("""COMPUTED_VALUE"""),"Sikkim")</f>
        <v>Sikkim</v>
      </c>
      <c r="B2159" s="9" t="str">
        <f>IFERROR(__xludf.DUMMYFUNCTION("""COMPUTED_VALUE"""),"in-sk")</f>
        <v>in-sk</v>
      </c>
      <c r="C2159" s="9" t="str">
        <f>IFERROR(__xludf.DUMMYFUNCTION("GOOGLETRANSLATE($A2159,""en"",""de"")"),"Sikkim")</f>
        <v>Sikkim</v>
      </c>
      <c r="D2159" s="9" t="str">
        <f>IFERROR(__xludf.DUMMYFUNCTION("GOOGLETRANSLATE($A2159,""en"",""fr"")"),"Sikkim")</f>
        <v>Sikkim</v>
      </c>
      <c r="E2159" s="9" t="str">
        <f>IFERROR(__xludf.DUMMYFUNCTION("GOOGLETRANSLATE($A2159,""en"",""es"")"),"Sikkim")</f>
        <v>Sikkim</v>
      </c>
      <c r="F2159" s="9" t="str">
        <f>IFERROR(__xludf.DUMMYFUNCTION("GOOGLETRANSLATE($A2159,""en"",""it"")"),"Sikkim")</f>
        <v>Sikkim</v>
      </c>
      <c r="G2159" s="9" t="str">
        <f>IFERROR(__xludf.DUMMYFUNCTION("GOOGLETRANSLATE($A2159,""en"",""zh-cn"")"),"锡金")</f>
        <v>锡金</v>
      </c>
      <c r="H2159" s="9" t="str">
        <f>IFERROR(__xludf.DUMMYFUNCTION("GOOGLETRANSLATE($A2159,""en"",""ja"")"),"シッキム")</f>
        <v>シッキム</v>
      </c>
      <c r="I2159" s="9" t="str">
        <f>IFERROR(__xludf.DUMMYFUNCTION("GOOGLETRANSLATE($A2159,""en"",""ko"")"),"시킴")</f>
        <v>시킴</v>
      </c>
      <c r="J2159" s="9" t="str">
        <f>IFERROR(__xludf.DUMMYFUNCTION("GOOGLETRANSLATE($A2159,""en"",""pt-BR"")"),"Siquim")</f>
        <v>Siquim</v>
      </c>
    </row>
    <row r="2160">
      <c r="A2160" s="9" t="str">
        <f>IFERROR(__xludf.DUMMYFUNCTION("""COMPUTED_VALUE"""),"Andhra Pradesh")</f>
        <v>Andhra Pradesh</v>
      </c>
      <c r="B2160" s="9" t="str">
        <f>IFERROR(__xludf.DUMMYFUNCTION("""COMPUTED_VALUE"""),"in-ap")</f>
        <v>in-ap</v>
      </c>
      <c r="C2160" s="9" t="str">
        <f>IFERROR(__xludf.DUMMYFUNCTION("GOOGLETRANSLATE($A2160,""en"",""de"")"),"Andhra Pradesh")</f>
        <v>Andhra Pradesh</v>
      </c>
      <c r="D2160" s="9" t="str">
        <f>IFERROR(__xludf.DUMMYFUNCTION("GOOGLETRANSLATE($A2160,""en"",""fr"")"),"Andhra Pradesh")</f>
        <v>Andhra Pradesh</v>
      </c>
      <c r="E2160" s="9" t="str">
        <f>IFERROR(__xludf.DUMMYFUNCTION("GOOGLETRANSLATE($A2160,""en"",""es"")"),"Andhra Pradesh")</f>
        <v>Andhra Pradesh</v>
      </c>
      <c r="F2160" s="9" t="str">
        <f>IFERROR(__xludf.DUMMYFUNCTION("GOOGLETRANSLATE($A2160,""en"",""it"")"),"Andhra Pradesh")</f>
        <v>Andhra Pradesh</v>
      </c>
      <c r="G2160" s="9" t="str">
        <f>IFERROR(__xludf.DUMMYFUNCTION("GOOGLETRANSLATE($A2160,""en"",""zh-cn"")"),"安得拉邦")</f>
        <v>安得拉邦</v>
      </c>
      <c r="H2160" s="9" t="str">
        <f>IFERROR(__xludf.DUMMYFUNCTION("GOOGLETRANSLATE($A2160,""en"",""ja"")"),"アーンドラ プラデーシュ州")</f>
        <v>アーンドラ プラデーシュ州</v>
      </c>
      <c r="I2160" s="9" t="str">
        <f>IFERROR(__xludf.DUMMYFUNCTION("GOOGLETRANSLATE($A2160,""en"",""ko"")"),"안드라프라데시")</f>
        <v>안드라프라데시</v>
      </c>
      <c r="J2160" s="9" t="str">
        <f>IFERROR(__xludf.DUMMYFUNCTION("GOOGLETRANSLATE($A2160,""en"",""pt-BR"")"),"Andra Pradesh")</f>
        <v>Andra Pradesh</v>
      </c>
    </row>
    <row r="2161">
      <c r="A2161" s="9" t="str">
        <f>IFERROR(__xludf.DUMMYFUNCTION("""COMPUTED_VALUE"""),"Daman and Diu")</f>
        <v>Daman and Diu</v>
      </c>
      <c r="B2161" s="9" t="str">
        <f>IFERROR(__xludf.DUMMYFUNCTION("""COMPUTED_VALUE"""),"in-dd")</f>
        <v>in-dd</v>
      </c>
      <c r="C2161" s="9" t="str">
        <f>IFERROR(__xludf.DUMMYFUNCTION("GOOGLETRANSLATE($A2161,""en"",""de"")"),"Daman und Diu")</f>
        <v>Daman und Diu</v>
      </c>
      <c r="D2161" s="9" t="str">
        <f>IFERROR(__xludf.DUMMYFUNCTION("GOOGLETRANSLATE($A2161,""en"",""fr"")"),"Daman et Diu")</f>
        <v>Daman et Diu</v>
      </c>
      <c r="E2161" s="9" t="str">
        <f>IFERROR(__xludf.DUMMYFUNCTION("GOOGLETRANSLATE($A2161,""en"",""es"")"),"Damán y Diu")</f>
        <v>Damán y Diu</v>
      </c>
      <c r="F2161" s="9" t="str">
        <f>IFERROR(__xludf.DUMMYFUNCTION("GOOGLETRANSLATE($A2161,""en"",""it"")"),"Daman e Diu")</f>
        <v>Daman e Diu</v>
      </c>
      <c r="G2161" s="9" t="str">
        <f>IFERROR(__xludf.DUMMYFUNCTION("GOOGLETRANSLATE($A2161,""en"",""zh-cn"")"),"达曼和迪乌")</f>
        <v>达曼和迪乌</v>
      </c>
      <c r="H2161" s="9" t="str">
        <f>IFERROR(__xludf.DUMMYFUNCTION("GOOGLETRANSLATE($A2161,""en"",""ja"")"),"ダマンとディウ")</f>
        <v>ダマンとディウ</v>
      </c>
      <c r="I2161" s="9" t="str">
        <f>IFERROR(__xludf.DUMMYFUNCTION("GOOGLETRANSLATE($A2161,""en"",""ko"")"),"다만과 디우")</f>
        <v>다만과 디우</v>
      </c>
      <c r="J2161" s="9" t="str">
        <f>IFERROR(__xludf.DUMMYFUNCTION("GOOGLETRANSLATE($A2161,""en"",""pt-BR"")"),"Damão e Diu")</f>
        <v>Damão e Diu</v>
      </c>
    </row>
    <row r="2162">
      <c r="A2162" s="9" t="str">
        <f>IFERROR(__xludf.DUMMYFUNCTION("""COMPUTED_VALUE"""),"Gujarat")</f>
        <v>Gujarat</v>
      </c>
      <c r="B2162" s="9" t="str">
        <f>IFERROR(__xludf.DUMMYFUNCTION("""COMPUTED_VALUE"""),"in-gj")</f>
        <v>in-gj</v>
      </c>
      <c r="C2162" s="9" t="str">
        <f>IFERROR(__xludf.DUMMYFUNCTION("GOOGLETRANSLATE($A2162,""en"",""de"")"),"Gujarat")</f>
        <v>Gujarat</v>
      </c>
      <c r="D2162" s="9" t="str">
        <f>IFERROR(__xludf.DUMMYFUNCTION("GOOGLETRANSLATE($A2162,""en"",""fr"")"),"Gujarat")</f>
        <v>Gujarat</v>
      </c>
      <c r="E2162" s="9" t="str">
        <f>IFERROR(__xludf.DUMMYFUNCTION("GOOGLETRANSLATE($A2162,""en"",""es"")"),"Guyarat")</f>
        <v>Guyarat</v>
      </c>
      <c r="F2162" s="9" t="str">
        <f>IFERROR(__xludf.DUMMYFUNCTION("GOOGLETRANSLATE($A2162,""en"",""it"")"),"Gujarat")</f>
        <v>Gujarat</v>
      </c>
      <c r="G2162" s="9" t="str">
        <f>IFERROR(__xludf.DUMMYFUNCTION("GOOGLETRANSLATE($A2162,""en"",""zh-cn"")"),"古吉拉特邦")</f>
        <v>古吉拉特邦</v>
      </c>
      <c r="H2162" s="9" t="str">
        <f>IFERROR(__xludf.DUMMYFUNCTION("GOOGLETRANSLATE($A2162,""en"",""ja"")"),"グジャラート州")</f>
        <v>グジャラート州</v>
      </c>
      <c r="I2162" s="9" t="str">
        <f>IFERROR(__xludf.DUMMYFUNCTION("GOOGLETRANSLATE($A2162,""en"",""ko"")"),"구자라트")</f>
        <v>구자라트</v>
      </c>
      <c r="J2162" s="9" t="str">
        <f>IFERROR(__xludf.DUMMYFUNCTION("GOOGLETRANSLATE($A2162,""en"",""pt-BR"")"),"Gujarat")</f>
        <v>Gujarat</v>
      </c>
    </row>
    <row r="2163">
      <c r="A2163" s="9" t="str">
        <f>IFERROR(__xludf.DUMMYFUNCTION("""COMPUTED_VALUE"""),"Telangana (IN-TG)")</f>
        <v>Telangana (IN-TG)</v>
      </c>
      <c r="B2163" s="9" t="str">
        <f>IFERROR(__xludf.DUMMYFUNCTION("""COMPUTED_VALUE"""),"in-tg")</f>
        <v>in-tg</v>
      </c>
      <c r="C2163" s="9" t="str">
        <f>IFERROR(__xludf.DUMMYFUNCTION("GOOGLETRANSLATE($A2163,""en"",""de"")"),"Telangana (IN-TG)")</f>
        <v>Telangana (IN-TG)</v>
      </c>
      <c r="D2163" s="9" t="str">
        <f>IFERROR(__xludf.DUMMYFUNCTION("GOOGLETRANSLATE($A2163,""en"",""fr"")"),"Télangana (IN-TG)")</f>
        <v>Télangana (IN-TG)</v>
      </c>
      <c r="E2163" s="9" t="str">
        <f>IFERROR(__xludf.DUMMYFUNCTION("GOOGLETRANSLATE($A2163,""en"",""es"")"),"Telangana (IN-TG)")</f>
        <v>Telangana (IN-TG)</v>
      </c>
      <c r="F2163" s="9" t="str">
        <f>IFERROR(__xludf.DUMMYFUNCTION("GOOGLETRANSLATE($A2163,""en"",""it"")"),"Telangana (IN-TG)")</f>
        <v>Telangana (IN-TG)</v>
      </c>
      <c r="G2163" s="9" t="str">
        <f>IFERROR(__xludf.DUMMYFUNCTION("GOOGLETRANSLATE($A2163,""en"",""zh-cn"")"),"泰伦加纳 (IN-TG)")</f>
        <v>泰伦加纳 (IN-TG)</v>
      </c>
      <c r="H2163" s="9" t="str">
        <f>IFERROR(__xludf.DUMMYFUNCTION("GOOGLETRANSLATE($A2163,""en"",""ja"")"),"テランガーナ (IN-TG)")</f>
        <v>テランガーナ (IN-TG)</v>
      </c>
      <c r="I2163" s="9" t="str">
        <f>IFERROR(__xludf.DUMMYFUNCTION("GOOGLETRANSLATE($A2163,""en"",""ko"")"),"텔랑가나 (IN-TG)")</f>
        <v>텔랑가나 (IN-TG)</v>
      </c>
      <c r="J2163" s="9" t="str">
        <f>IFERROR(__xludf.DUMMYFUNCTION("GOOGLETRANSLATE($A2163,""en"",""pt-BR"")"),"Telangana (IN-TG)")</f>
        <v>Telangana (IN-TG)</v>
      </c>
    </row>
    <row r="2164">
      <c r="A2164" s="9" t="str">
        <f>IFERROR(__xludf.DUMMYFUNCTION("""COMPUTED_VALUE"""),"Jammu and Kashmir")</f>
        <v>Jammu and Kashmir</v>
      </c>
      <c r="B2164" s="9" t="str">
        <f>IFERROR(__xludf.DUMMYFUNCTION("""COMPUTED_VALUE"""),"in-jk")</f>
        <v>in-jk</v>
      </c>
      <c r="C2164" s="9" t="str">
        <f>IFERROR(__xludf.DUMMYFUNCTION("GOOGLETRANSLATE($A2164,""en"",""de"")"),"Jammu und Kaschmir")</f>
        <v>Jammu und Kaschmir</v>
      </c>
      <c r="D2164" s="9" t="str">
        <f>IFERROR(__xludf.DUMMYFUNCTION("GOOGLETRANSLATE($A2164,""en"",""fr"")"),"Jammu-et-Cachemire")</f>
        <v>Jammu-et-Cachemire</v>
      </c>
      <c r="E2164" s="9" t="str">
        <f>IFERROR(__xludf.DUMMYFUNCTION("GOOGLETRANSLATE($A2164,""en"",""es"")"),"Jammu y Cachemira")</f>
        <v>Jammu y Cachemira</v>
      </c>
      <c r="F2164" s="9" t="str">
        <f>IFERROR(__xludf.DUMMYFUNCTION("GOOGLETRANSLATE($A2164,""en"",""it"")"),"Jammu e Kashmir")</f>
        <v>Jammu e Kashmir</v>
      </c>
      <c r="G2164" s="9" t="str">
        <f>IFERROR(__xludf.DUMMYFUNCTION("GOOGLETRANSLATE($A2164,""en"",""zh-cn"")"),"查谟和克什米尔")</f>
        <v>查谟和克什米尔</v>
      </c>
      <c r="H2164" s="9" t="str">
        <f>IFERROR(__xludf.DUMMYFUNCTION("GOOGLETRANSLATE($A2164,""en"",""ja"")"),"ジャンムー・カシミール")</f>
        <v>ジャンムー・カシミール</v>
      </c>
      <c r="I2164" s="9" t="str">
        <f>IFERROR(__xludf.DUMMYFUNCTION("GOOGLETRANSLATE($A2164,""en"",""ko"")"),"잠무카슈미르")</f>
        <v>잠무카슈미르</v>
      </c>
      <c r="J2164" s="9" t="str">
        <f>IFERROR(__xludf.DUMMYFUNCTION("GOOGLETRANSLATE($A2164,""en"",""pt-BR"")"),"Jammu e Caxemira")</f>
        <v>Jammu e Caxemira</v>
      </c>
    </row>
    <row r="2165">
      <c r="A2165" s="9" t="str">
        <f>IFERROR(__xludf.DUMMYFUNCTION("""COMPUTED_VALUE"""),"Uttarakhand (IN-UT)")</f>
        <v>Uttarakhand (IN-UT)</v>
      </c>
      <c r="B2165" s="9" t="str">
        <f>IFERROR(__xludf.DUMMYFUNCTION("""COMPUTED_VALUE"""),"in-ut")</f>
        <v>in-ut</v>
      </c>
      <c r="C2165" s="9" t="str">
        <f>IFERROR(__xludf.DUMMYFUNCTION("GOOGLETRANSLATE($A2165,""en"",""de"")"),"Uttarakhand (IN-UT)")</f>
        <v>Uttarakhand (IN-UT)</v>
      </c>
      <c r="D2165" s="9" t="str">
        <f>IFERROR(__xludf.DUMMYFUNCTION("GOOGLETRANSLATE($A2165,""en"",""fr"")"),"Uttarakhand (IN-UT)")</f>
        <v>Uttarakhand (IN-UT)</v>
      </c>
      <c r="E2165" s="9" t="str">
        <f>IFERROR(__xludf.DUMMYFUNCTION("GOOGLETRANSLATE($A2165,""en"",""es"")"),"Uttarakhand (IN-UT)")</f>
        <v>Uttarakhand (IN-UT)</v>
      </c>
      <c r="F2165" s="9" t="str">
        <f>IFERROR(__xludf.DUMMYFUNCTION("GOOGLETRANSLATE($A2165,""en"",""it"")"),"Uttarakhand (IN-UT)")</f>
        <v>Uttarakhand (IN-UT)</v>
      </c>
      <c r="G2165" s="9" t="str">
        <f>IFERROR(__xludf.DUMMYFUNCTION("GOOGLETRANSLATE($A2165,""en"",""zh-cn"")"),"北阿坎德邦 (IN-UT)")</f>
        <v>北阿坎德邦 (IN-UT)</v>
      </c>
      <c r="H2165" s="9" t="str">
        <f>IFERROR(__xludf.DUMMYFUNCTION("GOOGLETRANSLATE($A2165,""en"",""ja"")"),"ウッタラーカンド州 (IN-UT)")</f>
        <v>ウッタラーカンド州 (IN-UT)</v>
      </c>
      <c r="I2165" s="9" t="str">
        <f>IFERROR(__xludf.DUMMYFUNCTION("GOOGLETRANSLATE($A2165,""en"",""ko"")"),"우타라칸드(IN-UT)")</f>
        <v>우타라칸드(IN-UT)</v>
      </c>
      <c r="J2165" s="9" t="str">
        <f>IFERROR(__xludf.DUMMYFUNCTION("GOOGLETRANSLATE($A2165,""en"",""pt-BR"")"),"Uttarakhand (IN-UT)")</f>
        <v>Uttarakhand (IN-UT)</v>
      </c>
    </row>
    <row r="2166">
      <c r="A2166" s="9" t="str">
        <f>IFERROR(__xludf.DUMMYFUNCTION("""COMPUTED_VALUE"""),"Odisha")</f>
        <v>Odisha</v>
      </c>
      <c r="B2166" s="9" t="str">
        <f>IFERROR(__xludf.DUMMYFUNCTION("""COMPUTED_VALUE"""),"in-od")</f>
        <v>in-od</v>
      </c>
      <c r="C2166" s="9" t="str">
        <f>IFERROR(__xludf.DUMMYFUNCTION("GOOGLETRANSLATE($A2166,""en"",""de"")"),"Odisha")</f>
        <v>Odisha</v>
      </c>
      <c r="D2166" s="9" t="str">
        <f>IFERROR(__xludf.DUMMYFUNCTION("GOOGLETRANSLATE($A2166,""en"",""fr"")"),"Odisha")</f>
        <v>Odisha</v>
      </c>
      <c r="E2166" s="9" t="str">
        <f>IFERROR(__xludf.DUMMYFUNCTION("GOOGLETRANSLATE($A2166,""en"",""es"")"),"Odisha")</f>
        <v>Odisha</v>
      </c>
      <c r="F2166" s="9" t="str">
        <f>IFERROR(__xludf.DUMMYFUNCTION("GOOGLETRANSLATE($A2166,""en"",""it"")"),"Odisha")</f>
        <v>Odisha</v>
      </c>
      <c r="G2166" s="9" t="str">
        <f>IFERROR(__xludf.DUMMYFUNCTION("GOOGLETRANSLATE($A2166,""en"",""zh-cn"")"),"奥里萨邦")</f>
        <v>奥里萨邦</v>
      </c>
      <c r="H2166" s="9" t="str">
        <f>IFERROR(__xludf.DUMMYFUNCTION("GOOGLETRANSLATE($A2166,""en"",""ja"")"),"オリッサ州")</f>
        <v>オリッサ州</v>
      </c>
      <c r="I2166" s="9" t="str">
        <f>IFERROR(__xludf.DUMMYFUNCTION("GOOGLETRANSLATE($A2166,""en"",""ko"")"),"오디샤")</f>
        <v>오디샤</v>
      </c>
      <c r="J2166" s="9" t="str">
        <f>IFERROR(__xludf.DUMMYFUNCTION("GOOGLETRANSLATE($A2166,""en"",""pt-BR"")"),"Orissa")</f>
        <v>Orissa</v>
      </c>
    </row>
    <row r="2167">
      <c r="A2167" s="9" t="str">
        <f>IFERROR(__xludf.DUMMYFUNCTION("""COMPUTED_VALUE"""),"Nagaland")</f>
        <v>Nagaland</v>
      </c>
      <c r="B2167" s="9" t="str">
        <f>IFERROR(__xludf.DUMMYFUNCTION("""COMPUTED_VALUE"""),"in-nl")</f>
        <v>in-nl</v>
      </c>
      <c r="C2167" s="9" t="str">
        <f>IFERROR(__xludf.DUMMYFUNCTION("GOOGLETRANSLATE($A2167,""en"",""de"")"),"Nagaland")</f>
        <v>Nagaland</v>
      </c>
      <c r="D2167" s="9" t="str">
        <f>IFERROR(__xludf.DUMMYFUNCTION("GOOGLETRANSLATE($A2167,""en"",""fr"")"),"Nagaland")</f>
        <v>Nagaland</v>
      </c>
      <c r="E2167" s="9" t="str">
        <f>IFERROR(__xludf.DUMMYFUNCTION("GOOGLETRANSLATE($A2167,""en"",""es"")"),"Nagalandia")</f>
        <v>Nagalandia</v>
      </c>
      <c r="F2167" s="9" t="str">
        <f>IFERROR(__xludf.DUMMYFUNCTION("GOOGLETRANSLATE($A2167,""en"",""it"")"),"Nagaland")</f>
        <v>Nagaland</v>
      </c>
      <c r="G2167" s="9" t="str">
        <f>IFERROR(__xludf.DUMMYFUNCTION("GOOGLETRANSLATE($A2167,""en"",""zh-cn"")"),"那加兰邦")</f>
        <v>那加兰邦</v>
      </c>
      <c r="H2167" s="9" t="str">
        <f>IFERROR(__xludf.DUMMYFUNCTION("GOOGLETRANSLATE($A2167,""en"",""ja"")"),"ナガランド州")</f>
        <v>ナガランド州</v>
      </c>
      <c r="I2167" s="9" t="str">
        <f>IFERROR(__xludf.DUMMYFUNCTION("GOOGLETRANSLATE($A2167,""en"",""ko"")"),"나가랜드")</f>
        <v>나가랜드</v>
      </c>
      <c r="J2167" s="9" t="str">
        <f>IFERROR(__xludf.DUMMYFUNCTION("GOOGLETRANSLATE($A2167,""en"",""pt-BR"")"),"Nagalândia")</f>
        <v>Nagalândia</v>
      </c>
    </row>
    <row r="2168">
      <c r="A2168" s="9" t="str">
        <f>IFERROR(__xludf.DUMMYFUNCTION("""COMPUTED_VALUE"""),"Bihar")</f>
        <v>Bihar</v>
      </c>
      <c r="B2168" s="9" t="str">
        <f>IFERROR(__xludf.DUMMYFUNCTION("""COMPUTED_VALUE"""),"in-br")</f>
        <v>in-br</v>
      </c>
      <c r="C2168" s="9" t="str">
        <f>IFERROR(__xludf.DUMMYFUNCTION("GOOGLETRANSLATE($A2168,""en"",""de"")"),"Bihar")</f>
        <v>Bihar</v>
      </c>
      <c r="D2168" s="9" t="str">
        <f>IFERROR(__xludf.DUMMYFUNCTION("GOOGLETRANSLATE($A2168,""en"",""fr"")"),"Bihar")</f>
        <v>Bihar</v>
      </c>
      <c r="E2168" s="9" t="str">
        <f>IFERROR(__xludf.DUMMYFUNCTION("GOOGLETRANSLATE($A2168,""en"",""es"")"),"Bihar")</f>
        <v>Bihar</v>
      </c>
      <c r="F2168" s="9" t="str">
        <f>IFERROR(__xludf.DUMMYFUNCTION("GOOGLETRANSLATE($A2168,""en"",""it"")"),"Bihar")</f>
        <v>Bihar</v>
      </c>
      <c r="G2168" s="9" t="str">
        <f>IFERROR(__xludf.DUMMYFUNCTION("GOOGLETRANSLATE($A2168,""en"",""zh-cn"")"),"比哈尔邦")</f>
        <v>比哈尔邦</v>
      </c>
      <c r="H2168" s="9" t="str">
        <f>IFERROR(__xludf.DUMMYFUNCTION("GOOGLETRANSLATE($A2168,""en"",""ja"")"),"ビハール州")</f>
        <v>ビハール州</v>
      </c>
      <c r="I2168" s="9" t="str">
        <f>IFERROR(__xludf.DUMMYFUNCTION("GOOGLETRANSLATE($A2168,""en"",""ko"")"),"비하르")</f>
        <v>비하르</v>
      </c>
      <c r="J2168" s="9" t="str">
        <f>IFERROR(__xludf.DUMMYFUNCTION("GOOGLETRANSLATE($A2168,""en"",""pt-BR"")"),"Bihar")</f>
        <v>Bihar</v>
      </c>
    </row>
    <row r="2169">
      <c r="A2169" s="9" t="str">
        <f>IFERROR(__xludf.DUMMYFUNCTION("""COMPUTED_VALUE"""),"Mizoram")</f>
        <v>Mizoram</v>
      </c>
      <c r="B2169" s="9" t="str">
        <f>IFERROR(__xludf.DUMMYFUNCTION("""COMPUTED_VALUE"""),"in-mz")</f>
        <v>in-mz</v>
      </c>
      <c r="C2169" s="9" t="str">
        <f>IFERROR(__xludf.DUMMYFUNCTION("GOOGLETRANSLATE($A2169,""en"",""de"")"),"Mizoram")</f>
        <v>Mizoram</v>
      </c>
      <c r="D2169" s="9" t="str">
        <f>IFERROR(__xludf.DUMMYFUNCTION("GOOGLETRANSLATE($A2169,""en"",""fr"")"),"Mizoram")</f>
        <v>Mizoram</v>
      </c>
      <c r="E2169" s="9" t="str">
        <f>IFERROR(__xludf.DUMMYFUNCTION("GOOGLETRANSLATE($A2169,""en"",""es"")"),"Mizorán")</f>
        <v>Mizorán</v>
      </c>
      <c r="F2169" s="9" t="str">
        <f>IFERROR(__xludf.DUMMYFUNCTION("GOOGLETRANSLATE($A2169,""en"",""it"")"),"Mizoram")</f>
        <v>Mizoram</v>
      </c>
      <c r="G2169" s="9" t="str">
        <f>IFERROR(__xludf.DUMMYFUNCTION("GOOGLETRANSLATE($A2169,""en"",""zh-cn"")"),"米佐拉姆邦")</f>
        <v>米佐拉姆邦</v>
      </c>
      <c r="H2169" s="9" t="str">
        <f>IFERROR(__xludf.DUMMYFUNCTION("GOOGLETRANSLATE($A2169,""en"",""ja"")"),"ミゾラム州")</f>
        <v>ミゾラム州</v>
      </c>
      <c r="I2169" s="9" t="str">
        <f>IFERROR(__xludf.DUMMYFUNCTION("GOOGLETRANSLATE($A2169,""en"",""ko"")"),"미조람")</f>
        <v>미조람</v>
      </c>
      <c r="J2169" s="9" t="str">
        <f>IFERROR(__xludf.DUMMYFUNCTION("GOOGLETRANSLATE($A2169,""en"",""pt-BR"")"),"Mizoram")</f>
        <v>Mizoram</v>
      </c>
    </row>
    <row r="2170">
      <c r="A2170" s="9" t="str">
        <f>IFERROR(__xludf.DUMMYFUNCTION("""COMPUTED_VALUE"""),"Telangāna")</f>
        <v>Telangāna</v>
      </c>
      <c r="B2170" s="9" t="str">
        <f>IFERROR(__xludf.DUMMYFUNCTION("""COMPUTED_VALUE"""),"in-ts")</f>
        <v>in-ts</v>
      </c>
      <c r="C2170" s="9" t="str">
        <f>IFERROR(__xludf.DUMMYFUNCTION("GOOGLETRANSLATE($A2170,""en"",""de"")"),"Telangana")</f>
        <v>Telangana</v>
      </c>
      <c r="D2170" s="9" t="str">
        <f>IFERROR(__xludf.DUMMYFUNCTION("GOOGLETRANSLATE($A2170,""en"",""fr"")"),"Télangana")</f>
        <v>Télangana</v>
      </c>
      <c r="E2170" s="9" t="str">
        <f>IFERROR(__xludf.DUMMYFUNCTION("GOOGLETRANSLATE($A2170,""en"",""es"")"),"Telangana")</f>
        <v>Telangana</v>
      </c>
      <c r="F2170" s="9" t="str">
        <f>IFERROR(__xludf.DUMMYFUNCTION("GOOGLETRANSLATE($A2170,""en"",""it"")"),"Telangāna")</f>
        <v>Telangāna</v>
      </c>
      <c r="G2170" s="9" t="str">
        <f>IFERROR(__xludf.DUMMYFUNCTION("GOOGLETRANSLATE($A2170,""en"",""zh-cn"")"),"特兰加纳")</f>
        <v>特兰加纳</v>
      </c>
      <c r="H2170" s="9" t="str">
        <f>IFERROR(__xludf.DUMMYFUNCTION("GOOGLETRANSLATE($A2170,""en"",""ja"")"),"テランガーナ")</f>
        <v>テランガーナ</v>
      </c>
      <c r="I2170" s="9" t="str">
        <f>IFERROR(__xludf.DUMMYFUNCTION("GOOGLETRANSLATE($A2170,""en"",""ko"")"),"텔랑가나")</f>
        <v>텔랑가나</v>
      </c>
      <c r="J2170" s="9" t="str">
        <f>IFERROR(__xludf.DUMMYFUNCTION("GOOGLETRANSLATE($A2170,""en"",""pt-BR"")"),"Telangāna")</f>
        <v>Telangāna</v>
      </c>
    </row>
    <row r="2171">
      <c r="A2171" s="9" t="str">
        <f>IFERROR(__xludf.DUMMYFUNCTION("""COMPUTED_VALUE"""),"Chhattīsgarh")</f>
        <v>Chhattīsgarh</v>
      </c>
      <c r="B2171" s="9" t="str">
        <f>IFERROR(__xludf.DUMMYFUNCTION("""COMPUTED_VALUE"""),"in-cg")</f>
        <v>in-cg</v>
      </c>
      <c r="C2171" s="9" t="str">
        <f>IFERROR(__xludf.DUMMYFUNCTION("GOOGLETRANSLATE($A2171,""en"",""de"")"),"Chhattisgarh")</f>
        <v>Chhattisgarh</v>
      </c>
      <c r="D2171" s="9" t="str">
        <f>IFERROR(__xludf.DUMMYFUNCTION("GOOGLETRANSLATE($A2171,""en"",""fr"")"),"Chhattisgarh")</f>
        <v>Chhattisgarh</v>
      </c>
      <c r="E2171" s="9" t="str">
        <f>IFERROR(__xludf.DUMMYFUNCTION("GOOGLETRANSLATE($A2171,""en"",""es"")"),"Chhattisgarh")</f>
        <v>Chhattisgarh</v>
      </c>
      <c r="F2171" s="9" t="str">
        <f>IFERROR(__xludf.DUMMYFUNCTION("GOOGLETRANSLATE($A2171,""en"",""it"")"),"Chhattisgarh")</f>
        <v>Chhattisgarh</v>
      </c>
      <c r="G2171" s="9" t="str">
        <f>IFERROR(__xludf.DUMMYFUNCTION("GOOGLETRANSLATE($A2171,""en"",""zh-cn"")"),"恰蒂斯加尔邦")</f>
        <v>恰蒂斯加尔邦</v>
      </c>
      <c r="H2171" s="9" t="str">
        <f>IFERROR(__xludf.DUMMYFUNCTION("GOOGLETRANSLATE($A2171,""en"",""ja"")"),"チャッティースガル州")</f>
        <v>チャッティースガル州</v>
      </c>
      <c r="I2171" s="9" t="str">
        <f>IFERROR(__xludf.DUMMYFUNCTION("GOOGLETRANSLATE($A2171,""en"",""ko"")"),"차트스가르")</f>
        <v>차트스가르</v>
      </c>
      <c r="J2171" s="9" t="str">
        <f>IFERROR(__xludf.DUMMYFUNCTION("GOOGLETRANSLATE($A2171,""en"",""pt-BR"")"),"Chhattisgarh")</f>
        <v>Chhattisgarh</v>
      </c>
    </row>
    <row r="2172">
      <c r="A2172" s="9" t="str">
        <f>IFERROR(__xludf.DUMMYFUNCTION("""COMPUTED_VALUE"""),"Kerala")</f>
        <v>Kerala</v>
      </c>
      <c r="B2172" s="9" t="str">
        <f>IFERROR(__xludf.DUMMYFUNCTION("""COMPUTED_VALUE"""),"in-kl")</f>
        <v>in-kl</v>
      </c>
      <c r="C2172" s="9" t="str">
        <f>IFERROR(__xludf.DUMMYFUNCTION("GOOGLETRANSLATE($A2172,""en"",""de"")"),"Kerala")</f>
        <v>Kerala</v>
      </c>
      <c r="D2172" s="9" t="str">
        <f>IFERROR(__xludf.DUMMYFUNCTION("GOOGLETRANSLATE($A2172,""en"",""fr"")"),"Kérala")</f>
        <v>Kérala</v>
      </c>
      <c r="E2172" s="9" t="str">
        <f>IFERROR(__xludf.DUMMYFUNCTION("GOOGLETRANSLATE($A2172,""en"",""es"")"),"Kerala")</f>
        <v>Kerala</v>
      </c>
      <c r="F2172" s="9" t="str">
        <f>IFERROR(__xludf.DUMMYFUNCTION("GOOGLETRANSLATE($A2172,""en"",""it"")"),"Kerala")</f>
        <v>Kerala</v>
      </c>
      <c r="G2172" s="9" t="str">
        <f>IFERROR(__xludf.DUMMYFUNCTION("GOOGLETRANSLATE($A2172,""en"",""zh-cn"")"),"喀拉拉邦")</f>
        <v>喀拉拉邦</v>
      </c>
      <c r="H2172" s="9" t="str">
        <f>IFERROR(__xludf.DUMMYFUNCTION("GOOGLETRANSLATE($A2172,""en"",""ja"")"),"ケーララ州")</f>
        <v>ケーララ州</v>
      </c>
      <c r="I2172" s="9" t="str">
        <f>IFERROR(__xludf.DUMMYFUNCTION("GOOGLETRANSLATE($A2172,""en"",""ko"")"),"케랄라")</f>
        <v>케랄라</v>
      </c>
      <c r="J2172" s="9" t="str">
        <f>IFERROR(__xludf.DUMMYFUNCTION("GOOGLETRANSLATE($A2172,""en"",""pt-BR"")"),"Querala")</f>
        <v>Querala</v>
      </c>
    </row>
    <row r="2173">
      <c r="A2173" s="9" t="str">
        <f>IFERROR(__xludf.DUMMYFUNCTION("""COMPUTED_VALUE"""),"Rajasthan")</f>
        <v>Rajasthan</v>
      </c>
      <c r="B2173" s="9" t="str">
        <f>IFERROR(__xludf.DUMMYFUNCTION("""COMPUTED_VALUE"""),"in-rj")</f>
        <v>in-rj</v>
      </c>
      <c r="C2173" s="9" t="str">
        <f>IFERROR(__xludf.DUMMYFUNCTION("GOOGLETRANSLATE($A2173,""en"",""de"")"),"Rajasthan")</f>
        <v>Rajasthan</v>
      </c>
      <c r="D2173" s="9" t="str">
        <f>IFERROR(__xludf.DUMMYFUNCTION("GOOGLETRANSLATE($A2173,""en"",""fr"")"),"Rajasthan")</f>
        <v>Rajasthan</v>
      </c>
      <c r="E2173" s="9" t="str">
        <f>IFERROR(__xludf.DUMMYFUNCTION("GOOGLETRANSLATE($A2173,""en"",""es"")"),"Rajastán")</f>
        <v>Rajastán</v>
      </c>
      <c r="F2173" s="9" t="str">
        <f>IFERROR(__xludf.DUMMYFUNCTION("GOOGLETRANSLATE($A2173,""en"",""it"")"),"Rajasthan")</f>
        <v>Rajasthan</v>
      </c>
      <c r="G2173" s="9" t="str">
        <f>IFERROR(__xludf.DUMMYFUNCTION("GOOGLETRANSLATE($A2173,""en"",""zh-cn"")"),"拉贾斯坦邦")</f>
        <v>拉贾斯坦邦</v>
      </c>
      <c r="H2173" s="9" t="str">
        <f>IFERROR(__xludf.DUMMYFUNCTION("GOOGLETRANSLATE($A2173,""en"",""ja"")"),"ラジャスタン州")</f>
        <v>ラジャスタン州</v>
      </c>
      <c r="I2173" s="9" t="str">
        <f>IFERROR(__xludf.DUMMYFUNCTION("GOOGLETRANSLATE($A2173,""en"",""ko"")"),"라자스탄")</f>
        <v>라자스탄</v>
      </c>
      <c r="J2173" s="9" t="str">
        <f>IFERROR(__xludf.DUMMYFUNCTION("GOOGLETRANSLATE($A2173,""en"",""pt-BR"")"),"Rajastão")</f>
        <v>Rajastão</v>
      </c>
    </row>
    <row r="2174">
      <c r="A2174" s="9" t="str">
        <f>IFERROR(__xludf.DUMMYFUNCTION("""COMPUTED_VALUE"""),"Uttarākhand")</f>
        <v>Uttarākhand</v>
      </c>
      <c r="B2174" s="9" t="str">
        <f>IFERROR(__xludf.DUMMYFUNCTION("""COMPUTED_VALUE"""),"in-uk")</f>
        <v>in-uk</v>
      </c>
      <c r="C2174" s="9" t="str">
        <f>IFERROR(__xludf.DUMMYFUNCTION("GOOGLETRANSLATE($A2174,""en"",""de"")"),"Uttarakhand")</f>
        <v>Uttarakhand</v>
      </c>
      <c r="D2174" s="9" t="str">
        <f>IFERROR(__xludf.DUMMYFUNCTION("GOOGLETRANSLATE($A2174,""en"",""fr"")"),"Uttarakhand")</f>
        <v>Uttarakhand</v>
      </c>
      <c r="E2174" s="9" t="str">
        <f>IFERROR(__xludf.DUMMYFUNCTION("GOOGLETRANSLATE($A2174,""en"",""es"")"),"Uttarakhand")</f>
        <v>Uttarakhand</v>
      </c>
      <c r="F2174" s="9" t="str">
        <f>IFERROR(__xludf.DUMMYFUNCTION("GOOGLETRANSLATE($A2174,""en"",""it"")"),"Uttarakhand")</f>
        <v>Uttarakhand</v>
      </c>
      <c r="G2174" s="9" t="str">
        <f>IFERROR(__xludf.DUMMYFUNCTION("GOOGLETRANSLATE($A2174,""en"",""zh-cn"")"),"北阿坎德邦")</f>
        <v>北阿坎德邦</v>
      </c>
      <c r="H2174" s="9" t="str">
        <f>IFERROR(__xludf.DUMMYFUNCTION("GOOGLETRANSLATE($A2174,""en"",""ja"")"),"ウッタラーカンド州")</f>
        <v>ウッタラーカンド州</v>
      </c>
      <c r="I2174" s="9" t="str">
        <f>IFERROR(__xludf.DUMMYFUNCTION("GOOGLETRANSLATE($A2174,""en"",""ko"")"),"우타라칸드")</f>
        <v>우타라칸드</v>
      </c>
      <c r="J2174" s="9" t="str">
        <f>IFERROR(__xludf.DUMMYFUNCTION("GOOGLETRANSLATE($A2174,""en"",""pt-BR"")"),"Uttarakhand")</f>
        <v>Uttarakhand</v>
      </c>
    </row>
    <row r="2175">
      <c r="A2175" s="9" t="str">
        <f>IFERROR(__xludf.DUMMYFUNCTION("""COMPUTED_VALUE"""),"Haryana")</f>
        <v>Haryana</v>
      </c>
      <c r="B2175" s="9" t="str">
        <f>IFERROR(__xludf.DUMMYFUNCTION("""COMPUTED_VALUE"""),"in-hr")</f>
        <v>in-hr</v>
      </c>
      <c r="C2175" s="9" t="str">
        <f>IFERROR(__xludf.DUMMYFUNCTION("GOOGLETRANSLATE($A2175,""en"",""de"")"),"Haryana")</f>
        <v>Haryana</v>
      </c>
      <c r="D2175" s="9" t="str">
        <f>IFERROR(__xludf.DUMMYFUNCTION("GOOGLETRANSLATE($A2175,""en"",""fr"")"),"Haryana")</f>
        <v>Haryana</v>
      </c>
      <c r="E2175" s="9" t="str">
        <f>IFERROR(__xludf.DUMMYFUNCTION("GOOGLETRANSLATE($A2175,""en"",""es"")"),"Haryana")</f>
        <v>Haryana</v>
      </c>
      <c r="F2175" s="9" t="str">
        <f>IFERROR(__xludf.DUMMYFUNCTION("GOOGLETRANSLATE($A2175,""en"",""it"")"),"Haryana")</f>
        <v>Haryana</v>
      </c>
      <c r="G2175" s="9" t="str">
        <f>IFERROR(__xludf.DUMMYFUNCTION("GOOGLETRANSLATE($A2175,""en"",""zh-cn"")"),"哈里亚纳邦")</f>
        <v>哈里亚纳邦</v>
      </c>
      <c r="H2175" s="9" t="str">
        <f>IFERROR(__xludf.DUMMYFUNCTION("GOOGLETRANSLATE($A2175,""en"",""ja"")"),"ハリヤナ州")</f>
        <v>ハリヤナ州</v>
      </c>
      <c r="I2175" s="9" t="str">
        <f>IFERROR(__xludf.DUMMYFUNCTION("GOOGLETRANSLATE($A2175,""en"",""ko"")"),"하리아나")</f>
        <v>하리아나</v>
      </c>
      <c r="J2175" s="9" t="str">
        <f>IFERROR(__xludf.DUMMYFUNCTION("GOOGLETRANSLATE($A2175,""en"",""pt-BR"")"),"Hariana")</f>
        <v>Hariana</v>
      </c>
    </row>
    <row r="2176">
      <c r="A2176" s="9" t="str">
        <f>IFERROR(__xludf.DUMMYFUNCTION("""COMPUTED_VALUE"""),"Jharkhand")</f>
        <v>Jharkhand</v>
      </c>
      <c r="B2176" s="9" t="str">
        <f>IFERROR(__xludf.DUMMYFUNCTION("""COMPUTED_VALUE"""),"in-jh")</f>
        <v>in-jh</v>
      </c>
      <c r="C2176" s="9" t="str">
        <f>IFERROR(__xludf.DUMMYFUNCTION("GOOGLETRANSLATE($A2176,""en"",""de"")"),"Jharkhand")</f>
        <v>Jharkhand</v>
      </c>
      <c r="D2176" s="9" t="str">
        <f>IFERROR(__xludf.DUMMYFUNCTION("GOOGLETRANSLATE($A2176,""en"",""fr"")"),"Jharkhand")</f>
        <v>Jharkhand</v>
      </c>
      <c r="E2176" s="9" t="str">
        <f>IFERROR(__xludf.DUMMYFUNCTION("GOOGLETRANSLATE($A2176,""en"",""es"")"),"Jharkhand")</f>
        <v>Jharkhand</v>
      </c>
      <c r="F2176" s="9" t="str">
        <f>IFERROR(__xludf.DUMMYFUNCTION("GOOGLETRANSLATE($A2176,""en"",""it"")"),"Jharkhand")</f>
        <v>Jharkhand</v>
      </c>
      <c r="G2176" s="9" t="str">
        <f>IFERROR(__xludf.DUMMYFUNCTION("GOOGLETRANSLATE($A2176,""en"",""zh-cn"")"),"贾坎德邦")</f>
        <v>贾坎德邦</v>
      </c>
      <c r="H2176" s="9" t="str">
        <f>IFERROR(__xludf.DUMMYFUNCTION("GOOGLETRANSLATE($A2176,""en"",""ja"")"),"ジャールカンド州")</f>
        <v>ジャールカンド州</v>
      </c>
      <c r="I2176" s="9" t="str">
        <f>IFERROR(__xludf.DUMMYFUNCTION("GOOGLETRANSLATE($A2176,""en"",""ko"")"),"자르칸드")</f>
        <v>자르칸드</v>
      </c>
      <c r="J2176" s="9" t="str">
        <f>IFERROR(__xludf.DUMMYFUNCTION("GOOGLETRANSLATE($A2176,""en"",""pt-BR"")"),"Jharkhand")</f>
        <v>Jharkhand</v>
      </c>
    </row>
    <row r="2177">
      <c r="A2177" s="9" t="str">
        <f>IFERROR(__xludf.DUMMYFUNCTION("""COMPUTED_VALUE"""),"Chhattisgarh (IN-CT)")</f>
        <v>Chhattisgarh (IN-CT)</v>
      </c>
      <c r="B2177" s="9" t="str">
        <f>IFERROR(__xludf.DUMMYFUNCTION("""COMPUTED_VALUE"""),"in-ct")</f>
        <v>in-ct</v>
      </c>
      <c r="C2177" s="9" t="str">
        <f>IFERROR(__xludf.DUMMYFUNCTION("GOOGLETRANSLATE($A2177,""en"",""de"")"),"Chhattisgarh (IN-CT)")</f>
        <v>Chhattisgarh (IN-CT)</v>
      </c>
      <c r="D2177" s="9" t="str">
        <f>IFERROR(__xludf.DUMMYFUNCTION("GOOGLETRANSLATE($A2177,""en"",""fr"")"),"Chhattisgarh (IN-CT)")</f>
        <v>Chhattisgarh (IN-CT)</v>
      </c>
      <c r="E2177" s="9" t="str">
        <f>IFERROR(__xludf.DUMMYFUNCTION("GOOGLETRANSLATE($A2177,""en"",""es"")"),"Chhattisgarh (IN-CT)")</f>
        <v>Chhattisgarh (IN-CT)</v>
      </c>
      <c r="F2177" s="9" t="str">
        <f>IFERROR(__xludf.DUMMYFUNCTION("GOOGLETRANSLATE($A2177,""en"",""it"")"),"Chattisgarh (IN-CT)")</f>
        <v>Chattisgarh (IN-CT)</v>
      </c>
      <c r="G2177" s="9" t="str">
        <f>IFERROR(__xludf.DUMMYFUNCTION("GOOGLETRANSLATE($A2177,""en"",""zh-cn"")"),"恰蒂斯加尔邦 (IN-CT)")</f>
        <v>恰蒂斯加尔邦 (IN-CT)</v>
      </c>
      <c r="H2177" s="9" t="str">
        <f>IFERROR(__xludf.DUMMYFUNCTION("GOOGLETRANSLATE($A2177,""en"",""ja"")"),"チャッティースガル州 (IN-CT)")</f>
        <v>チャッティースガル州 (IN-CT)</v>
      </c>
      <c r="I2177" s="9" t="str">
        <f>IFERROR(__xludf.DUMMYFUNCTION("GOOGLETRANSLATE($A2177,""en"",""ko"")"),"차티스가르(IN-CT)")</f>
        <v>차티스가르(IN-CT)</v>
      </c>
      <c r="J2177" s="9" t="str">
        <f>IFERROR(__xludf.DUMMYFUNCTION("GOOGLETRANSLATE($A2177,""en"",""pt-BR"")"),"Chhattisgarh (IN-CT)")</f>
        <v>Chhattisgarh (IN-CT)</v>
      </c>
    </row>
    <row r="2178">
      <c r="A2178" s="9" t="str">
        <f>IFERROR(__xludf.DUMMYFUNCTION("""COMPUTED_VALUE"""),"Tripura")</f>
        <v>Tripura</v>
      </c>
      <c r="B2178" s="9" t="str">
        <f>IFERROR(__xludf.DUMMYFUNCTION("""COMPUTED_VALUE"""),"in-tr")</f>
        <v>in-tr</v>
      </c>
      <c r="C2178" s="9" t="str">
        <f>IFERROR(__xludf.DUMMYFUNCTION("GOOGLETRANSLATE($A2178,""en"",""de"")"),"Tripura")</f>
        <v>Tripura</v>
      </c>
      <c r="D2178" s="9" t="str">
        <f>IFERROR(__xludf.DUMMYFUNCTION("GOOGLETRANSLATE($A2178,""en"",""fr"")"),"Tripura")</f>
        <v>Tripura</v>
      </c>
      <c r="E2178" s="9" t="str">
        <f>IFERROR(__xludf.DUMMYFUNCTION("GOOGLETRANSLATE($A2178,""en"",""es"")"),"Tripura")</f>
        <v>Tripura</v>
      </c>
      <c r="F2178" s="9" t="str">
        <f>IFERROR(__xludf.DUMMYFUNCTION("GOOGLETRANSLATE($A2178,""en"",""it"")"),"Tripura")</f>
        <v>Tripura</v>
      </c>
      <c r="G2178" s="9" t="str">
        <f>IFERROR(__xludf.DUMMYFUNCTION("GOOGLETRANSLATE($A2178,""en"",""zh-cn"")"),"特里普拉邦")</f>
        <v>特里普拉邦</v>
      </c>
      <c r="H2178" s="9" t="str">
        <f>IFERROR(__xludf.DUMMYFUNCTION("GOOGLETRANSLATE($A2178,""en"",""ja"")"),"トリプラ")</f>
        <v>トリプラ</v>
      </c>
      <c r="I2178" s="9" t="str">
        <f>IFERROR(__xludf.DUMMYFUNCTION("GOOGLETRANSLATE($A2178,""en"",""ko"")"),"트리푸라")</f>
        <v>트리푸라</v>
      </c>
      <c r="J2178" s="9" t="str">
        <f>IFERROR(__xludf.DUMMYFUNCTION("GOOGLETRANSLATE($A2178,""en"",""pt-BR"")"),"Tripura")</f>
        <v>Tripura</v>
      </c>
    </row>
    <row r="2179">
      <c r="A2179" s="9" t="str">
        <f>IFERROR(__xludf.DUMMYFUNCTION("""COMPUTED_VALUE"""),"Uttar Pradesh")</f>
        <v>Uttar Pradesh</v>
      </c>
      <c r="B2179" s="9" t="str">
        <f>IFERROR(__xludf.DUMMYFUNCTION("""COMPUTED_VALUE"""),"in-up")</f>
        <v>in-up</v>
      </c>
      <c r="C2179" s="9" t="str">
        <f>IFERROR(__xludf.DUMMYFUNCTION("GOOGLETRANSLATE($A2179,""en"",""de"")"),"Uttar Pradesh")</f>
        <v>Uttar Pradesh</v>
      </c>
      <c r="D2179" s="9" t="str">
        <f>IFERROR(__xludf.DUMMYFUNCTION("GOOGLETRANSLATE($A2179,""en"",""fr"")"),"Uttar Pradesh")</f>
        <v>Uttar Pradesh</v>
      </c>
      <c r="E2179" s="9" t="str">
        <f>IFERROR(__xludf.DUMMYFUNCTION("GOOGLETRANSLATE($A2179,""en"",""es"")"),"Uttar Pradesh")</f>
        <v>Uttar Pradesh</v>
      </c>
      <c r="F2179" s="9" t="str">
        <f>IFERROR(__xludf.DUMMYFUNCTION("GOOGLETRANSLATE($A2179,""en"",""it"")"),"Uttar Pradesh")</f>
        <v>Uttar Pradesh</v>
      </c>
      <c r="G2179" s="9" t="str">
        <f>IFERROR(__xludf.DUMMYFUNCTION("GOOGLETRANSLATE($A2179,""en"",""zh-cn"")"),"北方邦")</f>
        <v>北方邦</v>
      </c>
      <c r="H2179" s="9" t="str">
        <f>IFERROR(__xludf.DUMMYFUNCTION("GOOGLETRANSLATE($A2179,""en"",""ja"")"),"ウッタル・プラデーシュ州")</f>
        <v>ウッタル・プラデーシュ州</v>
      </c>
      <c r="I2179" s="9" t="str">
        <f>IFERROR(__xludf.DUMMYFUNCTION("GOOGLETRANSLATE($A2179,""en"",""ko"")"),"우타르프라데시")</f>
        <v>우타르프라데시</v>
      </c>
      <c r="J2179" s="9" t="str">
        <f>IFERROR(__xludf.DUMMYFUNCTION("GOOGLETRANSLATE($A2179,""en"",""pt-BR"")"),"Utar Pradesh")</f>
        <v>Utar Pradesh</v>
      </c>
    </row>
    <row r="2180">
      <c r="A2180" s="9" t="str">
        <f>IFERROR(__xludf.DUMMYFUNCTION("""COMPUTED_VALUE"""),"West Bengal")</f>
        <v>West Bengal</v>
      </c>
      <c r="B2180" s="9" t="str">
        <f>IFERROR(__xludf.DUMMYFUNCTION("""COMPUTED_VALUE"""),"in-wb")</f>
        <v>in-wb</v>
      </c>
      <c r="C2180" s="9" t="str">
        <f>IFERROR(__xludf.DUMMYFUNCTION("GOOGLETRANSLATE($A2180,""en"",""de"")"),"Westbengalen")</f>
        <v>Westbengalen</v>
      </c>
      <c r="D2180" s="9" t="str">
        <f>IFERROR(__xludf.DUMMYFUNCTION("GOOGLETRANSLATE($A2180,""en"",""fr"")"),"Bengale occidental")</f>
        <v>Bengale occidental</v>
      </c>
      <c r="E2180" s="9" t="str">
        <f>IFERROR(__xludf.DUMMYFUNCTION("GOOGLETRANSLATE($A2180,""en"",""es"")"),"Bengala Occidental")</f>
        <v>Bengala Occidental</v>
      </c>
      <c r="F2180" s="9" t="str">
        <f>IFERROR(__xludf.DUMMYFUNCTION("GOOGLETRANSLATE($A2180,""en"",""it"")"),"Bengala occidentale")</f>
        <v>Bengala occidentale</v>
      </c>
      <c r="G2180" s="9" t="str">
        <f>IFERROR(__xludf.DUMMYFUNCTION("GOOGLETRANSLATE($A2180,""en"",""zh-cn"")"),"西孟加拉邦")</f>
        <v>西孟加拉邦</v>
      </c>
      <c r="H2180" s="9" t="str">
        <f>IFERROR(__xludf.DUMMYFUNCTION("GOOGLETRANSLATE($A2180,""en"",""ja"")"),"西ベンガル州")</f>
        <v>西ベンガル州</v>
      </c>
      <c r="I2180" s="9" t="str">
        <f>IFERROR(__xludf.DUMMYFUNCTION("GOOGLETRANSLATE($A2180,""en"",""ko"")"),"서벵골")</f>
        <v>서벵골</v>
      </c>
      <c r="J2180" s="9" t="str">
        <f>IFERROR(__xludf.DUMMYFUNCTION("GOOGLETRANSLATE($A2180,""en"",""pt-BR"")"),"Bengala Ocidental")</f>
        <v>Bengala Ocidental</v>
      </c>
    </row>
    <row r="2181">
      <c r="A2181" s="9" t="str">
        <f>IFERROR(__xludf.DUMMYFUNCTION("""COMPUTED_VALUE"""),"Delhi")</f>
        <v>Delhi</v>
      </c>
      <c r="B2181" s="9" t="str">
        <f>IFERROR(__xludf.DUMMYFUNCTION("""COMPUTED_VALUE"""),"in-dl")</f>
        <v>in-dl</v>
      </c>
      <c r="C2181" s="9" t="str">
        <f>IFERROR(__xludf.DUMMYFUNCTION("GOOGLETRANSLATE($A2181,""en"",""de"")"),"Delhi")</f>
        <v>Delhi</v>
      </c>
      <c r="D2181" s="9" t="str">
        <f>IFERROR(__xludf.DUMMYFUNCTION("GOOGLETRANSLATE($A2181,""en"",""fr"")"),"Delhi")</f>
        <v>Delhi</v>
      </c>
      <c r="E2181" s="9" t="str">
        <f>IFERROR(__xludf.DUMMYFUNCTION("GOOGLETRANSLATE($A2181,""en"",""es"")"),"Delhi")</f>
        <v>Delhi</v>
      </c>
      <c r="F2181" s="9" t="str">
        <f>IFERROR(__xludf.DUMMYFUNCTION("GOOGLETRANSLATE($A2181,""en"",""it"")"),"Delhi")</f>
        <v>Delhi</v>
      </c>
      <c r="G2181" s="9" t="str">
        <f>IFERROR(__xludf.DUMMYFUNCTION("GOOGLETRANSLATE($A2181,""en"",""zh-cn"")"),"德里")</f>
        <v>德里</v>
      </c>
      <c r="H2181" s="9" t="str">
        <f>IFERROR(__xludf.DUMMYFUNCTION("GOOGLETRANSLATE($A2181,""en"",""ja"")"),"デリー")</f>
        <v>デリー</v>
      </c>
      <c r="I2181" s="9" t="str">
        <f>IFERROR(__xludf.DUMMYFUNCTION("GOOGLETRANSLATE($A2181,""en"",""ko"")"),"델리")</f>
        <v>델리</v>
      </c>
      <c r="J2181" s="9" t="str">
        <f>IFERROR(__xludf.DUMMYFUNCTION("GOOGLETRANSLATE($A2181,""en"",""pt-BR"")"),"Délhi")</f>
        <v>Délhi</v>
      </c>
    </row>
    <row r="2182">
      <c r="A2182" s="9" t="str">
        <f>IFERROR(__xludf.DUMMYFUNCTION("""COMPUTED_VALUE"""),"Manipur")</f>
        <v>Manipur</v>
      </c>
      <c r="B2182" s="9" t="str">
        <f>IFERROR(__xludf.DUMMYFUNCTION("""COMPUTED_VALUE"""),"in-mn")</f>
        <v>in-mn</v>
      </c>
      <c r="C2182" s="9" t="str">
        <f>IFERROR(__xludf.DUMMYFUNCTION("GOOGLETRANSLATE($A2182,""en"",""de"")"),"Manipur")</f>
        <v>Manipur</v>
      </c>
      <c r="D2182" s="9" t="str">
        <f>IFERROR(__xludf.DUMMYFUNCTION("GOOGLETRANSLATE($A2182,""en"",""fr"")"),"Manipur")</f>
        <v>Manipur</v>
      </c>
      <c r="E2182" s="9" t="str">
        <f>IFERROR(__xludf.DUMMYFUNCTION("GOOGLETRANSLATE($A2182,""en"",""es"")"),"Manipur")</f>
        <v>Manipur</v>
      </c>
      <c r="F2182" s="9" t="str">
        <f>IFERROR(__xludf.DUMMYFUNCTION("GOOGLETRANSLATE($A2182,""en"",""it"")"),"Manipur")</f>
        <v>Manipur</v>
      </c>
      <c r="G2182" s="9" t="str">
        <f>IFERROR(__xludf.DUMMYFUNCTION("GOOGLETRANSLATE($A2182,""en"",""zh-cn"")"),"曼尼普尔邦")</f>
        <v>曼尼普尔邦</v>
      </c>
      <c r="H2182" s="9" t="str">
        <f>IFERROR(__xludf.DUMMYFUNCTION("GOOGLETRANSLATE($A2182,""en"",""ja"")"),"マニプール")</f>
        <v>マニプール</v>
      </c>
      <c r="I2182" s="9" t="str">
        <f>IFERROR(__xludf.DUMMYFUNCTION("GOOGLETRANSLATE($A2182,""en"",""ko"")"),"마니푸르")</f>
        <v>마니푸르</v>
      </c>
      <c r="J2182" s="9" t="str">
        <f>IFERROR(__xludf.DUMMYFUNCTION("GOOGLETRANSLATE($A2182,""en"",""pt-BR"")"),"Manipur")</f>
        <v>Manipur</v>
      </c>
    </row>
    <row r="2183">
      <c r="A2183" s="9" t="str">
        <f>IFERROR(__xludf.DUMMYFUNCTION("""COMPUTED_VALUE"""),"Andaman and Nicobar Islands")</f>
        <v>Andaman and Nicobar Islands</v>
      </c>
      <c r="B2183" s="9" t="str">
        <f>IFERROR(__xludf.DUMMYFUNCTION("""COMPUTED_VALUE"""),"in-an")</f>
        <v>in-an</v>
      </c>
      <c r="C2183" s="9" t="str">
        <f>IFERROR(__xludf.DUMMYFUNCTION("GOOGLETRANSLATE($A2183,""en"",""de"")"),"Andamanen- und Nikobareninseln")</f>
        <v>Andamanen- und Nikobareninseln</v>
      </c>
      <c r="D2183" s="9" t="str">
        <f>IFERROR(__xludf.DUMMYFUNCTION("GOOGLETRANSLATE($A2183,""en"",""fr"")"),"Îles Andaman et Nicobar")</f>
        <v>Îles Andaman et Nicobar</v>
      </c>
      <c r="E2183" s="9" t="str">
        <f>IFERROR(__xludf.DUMMYFUNCTION("GOOGLETRANSLATE($A2183,""en"",""es"")"),"Islas Andamán y Nicobar")</f>
        <v>Islas Andamán y Nicobar</v>
      </c>
      <c r="F2183" s="9" t="str">
        <f>IFERROR(__xludf.DUMMYFUNCTION("GOOGLETRANSLATE($A2183,""en"",""it"")"),"Isole Andamane e Nicobare")</f>
        <v>Isole Andamane e Nicobare</v>
      </c>
      <c r="G2183" s="9" t="str">
        <f>IFERROR(__xludf.DUMMYFUNCTION("GOOGLETRANSLATE($A2183,""en"",""zh-cn"")"),"安达曼和尼科巴群岛")</f>
        <v>安达曼和尼科巴群岛</v>
      </c>
      <c r="H2183" s="9" t="str">
        <f>IFERROR(__xludf.DUMMYFUNCTION("GOOGLETRANSLATE($A2183,""en"",""ja"")"),"アンダマン・ニコバル諸島")</f>
        <v>アンダマン・ニコバル諸島</v>
      </c>
      <c r="I2183" s="9" t="str">
        <f>IFERROR(__xludf.DUMMYFUNCTION("GOOGLETRANSLATE($A2183,""en"",""ko"")"),"안다만 니코바르 제도")</f>
        <v>안다만 니코바르 제도</v>
      </c>
      <c r="J2183" s="9" t="str">
        <f>IFERROR(__xludf.DUMMYFUNCTION("GOOGLETRANSLATE($A2183,""en"",""pt-BR"")"),"Ilhas Andamão e Nicobar")</f>
        <v>Ilhas Andamão e Nicobar</v>
      </c>
    </row>
    <row r="2184">
      <c r="A2184" s="9" t="str">
        <f>IFERROR(__xludf.DUMMYFUNCTION("""COMPUTED_VALUE"""),"Tamil Nadu")</f>
        <v>Tamil Nadu</v>
      </c>
      <c r="B2184" s="9" t="str">
        <f>IFERROR(__xludf.DUMMYFUNCTION("""COMPUTED_VALUE"""),"in-tn")</f>
        <v>in-tn</v>
      </c>
      <c r="C2184" s="9" t="str">
        <f>IFERROR(__xludf.DUMMYFUNCTION("GOOGLETRANSLATE($A2184,""en"",""de"")"),"Tamil Nadu")</f>
        <v>Tamil Nadu</v>
      </c>
      <c r="D2184" s="9" t="str">
        <f>IFERROR(__xludf.DUMMYFUNCTION("GOOGLETRANSLATE($A2184,""en"",""fr"")"),"Tamil Nadu")</f>
        <v>Tamil Nadu</v>
      </c>
      <c r="E2184" s="9" t="str">
        <f>IFERROR(__xludf.DUMMYFUNCTION("GOOGLETRANSLATE($A2184,""en"",""es"")"),"Tamil Nadu")</f>
        <v>Tamil Nadu</v>
      </c>
      <c r="F2184" s="9" t="str">
        <f>IFERROR(__xludf.DUMMYFUNCTION("GOOGLETRANSLATE($A2184,""en"",""it"")"),"Tamil Nadu")</f>
        <v>Tamil Nadu</v>
      </c>
      <c r="G2184" s="9" t="str">
        <f>IFERROR(__xludf.DUMMYFUNCTION("GOOGLETRANSLATE($A2184,""en"",""zh-cn"")"),"泰米尔纳德邦")</f>
        <v>泰米尔纳德邦</v>
      </c>
      <c r="H2184" s="9" t="str">
        <f>IFERROR(__xludf.DUMMYFUNCTION("GOOGLETRANSLATE($A2184,""en"",""ja"")"),"タミル・ナードゥ州")</f>
        <v>タミル・ナードゥ州</v>
      </c>
      <c r="I2184" s="9" t="str">
        <f>IFERROR(__xludf.DUMMYFUNCTION("GOOGLETRANSLATE($A2184,""en"",""ko"")"),"타밀나두어")</f>
        <v>타밀나두어</v>
      </c>
      <c r="J2184" s="9" t="str">
        <f>IFERROR(__xludf.DUMMYFUNCTION("GOOGLETRANSLATE($A2184,""en"",""pt-BR"")"),"Tâmil Nadu")</f>
        <v>Tâmil Nadu</v>
      </c>
    </row>
    <row r="2185">
      <c r="A2185" s="9" t="str">
        <f>IFERROR(__xludf.DUMMYFUNCTION("""COMPUTED_VALUE"""),"Chandigarh")</f>
        <v>Chandigarh</v>
      </c>
      <c r="B2185" s="9" t="str">
        <f>IFERROR(__xludf.DUMMYFUNCTION("""COMPUTED_VALUE"""),"in-ch")</f>
        <v>in-ch</v>
      </c>
      <c r="C2185" s="9" t="str">
        <f>IFERROR(__xludf.DUMMYFUNCTION("GOOGLETRANSLATE($A2185,""en"",""de"")"),"Chandigarh")</f>
        <v>Chandigarh</v>
      </c>
      <c r="D2185" s="9" t="str">
        <f>IFERROR(__xludf.DUMMYFUNCTION("GOOGLETRANSLATE($A2185,""en"",""fr"")"),"Chandigarh")</f>
        <v>Chandigarh</v>
      </c>
      <c r="E2185" s="9" t="str">
        <f>IFERROR(__xludf.DUMMYFUNCTION("GOOGLETRANSLATE($A2185,""en"",""es"")"),"Chandigarh")</f>
        <v>Chandigarh</v>
      </c>
      <c r="F2185" s="9" t="str">
        <f>IFERROR(__xludf.DUMMYFUNCTION("GOOGLETRANSLATE($A2185,""en"",""it"")"),"Chandigarh")</f>
        <v>Chandigarh</v>
      </c>
      <c r="G2185" s="9" t="str">
        <f>IFERROR(__xludf.DUMMYFUNCTION("GOOGLETRANSLATE($A2185,""en"",""zh-cn"")"),"昌迪加尔")</f>
        <v>昌迪加尔</v>
      </c>
      <c r="H2185" s="9" t="str">
        <f>IFERROR(__xludf.DUMMYFUNCTION("GOOGLETRANSLATE($A2185,""en"",""ja"")"),"チャンディーガル")</f>
        <v>チャンディーガル</v>
      </c>
      <c r="I2185" s="9" t="str">
        <f>IFERROR(__xludf.DUMMYFUNCTION("GOOGLETRANSLATE($A2185,""en"",""ko"")"),"찬디가르")</f>
        <v>찬디가르</v>
      </c>
      <c r="J2185" s="9" t="str">
        <f>IFERROR(__xludf.DUMMYFUNCTION("GOOGLETRANSLATE($A2185,""en"",""pt-BR"")"),"Chandigarh")</f>
        <v>Chandigarh</v>
      </c>
    </row>
    <row r="2186">
      <c r="A2186" s="9" t="str">
        <f>IFERROR(__xludf.DUMMYFUNCTION("""COMPUTED_VALUE"""),"Jawa Tengah")</f>
        <v>Jawa Tengah</v>
      </c>
      <c r="B2186" s="9" t="str">
        <f>IFERROR(__xludf.DUMMYFUNCTION("""COMPUTED_VALUE"""),"id-jt")</f>
        <v>id-jt</v>
      </c>
      <c r="C2186" s="9" t="str">
        <f>IFERROR(__xludf.DUMMYFUNCTION("GOOGLETRANSLATE($A2186,""en"",""de"")"),"Jawa Tengah")</f>
        <v>Jawa Tengah</v>
      </c>
      <c r="D2186" s="9" t="str">
        <f>IFERROR(__xludf.DUMMYFUNCTION("GOOGLETRANSLATE($A2186,""en"",""fr"")"),"Jawa Tengah")</f>
        <v>Jawa Tengah</v>
      </c>
      <c r="E2186" s="9" t="str">
        <f>IFERROR(__xludf.DUMMYFUNCTION("GOOGLETRANSLATE($A2186,""en"",""es"")"),"Jawa Tengah")</f>
        <v>Jawa Tengah</v>
      </c>
      <c r="F2186" s="9" t="str">
        <f>IFERROR(__xludf.DUMMYFUNCTION("GOOGLETRANSLATE($A2186,""en"",""it"")"),"Jawa Tengah")</f>
        <v>Jawa Tengah</v>
      </c>
      <c r="G2186" s="9" t="str">
        <f>IFERROR(__xludf.DUMMYFUNCTION("GOOGLETRANSLATE($A2186,""en"",""zh-cn"")"),"爪哇登加")</f>
        <v>爪哇登加</v>
      </c>
      <c r="H2186" s="9" t="str">
        <f>IFERROR(__xludf.DUMMYFUNCTION("GOOGLETRANSLATE($A2186,""en"",""ja"")"),"ジャワ・テンガ")</f>
        <v>ジャワ・テンガ</v>
      </c>
      <c r="I2186" s="9" t="str">
        <f>IFERROR(__xludf.DUMMYFUNCTION("GOOGLETRANSLATE($A2186,""en"",""ko"")"),"자와 텡가")</f>
        <v>자와 텡가</v>
      </c>
      <c r="J2186" s="9" t="str">
        <f>IFERROR(__xludf.DUMMYFUNCTION("GOOGLETRANSLATE($A2186,""en"",""pt-BR"")"),"Jawa Tengah")</f>
        <v>Jawa Tengah</v>
      </c>
    </row>
    <row r="2187">
      <c r="A2187" s="9" t="str">
        <f>IFERROR(__xludf.DUMMYFUNCTION("""COMPUTED_VALUE"""),"Jakarta Raya")</f>
        <v>Jakarta Raya</v>
      </c>
      <c r="B2187" s="9" t="str">
        <f>IFERROR(__xludf.DUMMYFUNCTION("""COMPUTED_VALUE"""),"id-jk")</f>
        <v>id-jk</v>
      </c>
      <c r="C2187" s="9" t="str">
        <f>IFERROR(__xludf.DUMMYFUNCTION("GOOGLETRANSLATE($A2187,""en"",""de"")"),"Jakarta Raya")</f>
        <v>Jakarta Raya</v>
      </c>
      <c r="D2187" s="9" t="str">
        <f>IFERROR(__xludf.DUMMYFUNCTION("GOOGLETRANSLATE($A2187,""en"",""fr"")"),"Jakarta Raya")</f>
        <v>Jakarta Raya</v>
      </c>
      <c r="E2187" s="9" t="str">
        <f>IFERROR(__xludf.DUMMYFUNCTION("GOOGLETRANSLATE($A2187,""en"",""es"")"),"Yakarta Raya")</f>
        <v>Yakarta Raya</v>
      </c>
      <c r="F2187" s="9" t="str">
        <f>IFERROR(__xludf.DUMMYFUNCTION("GOOGLETRANSLATE($A2187,""en"",""it"")"),"Giakarta Raya")</f>
        <v>Giakarta Raya</v>
      </c>
      <c r="G2187" s="9" t="str">
        <f>IFERROR(__xludf.DUMMYFUNCTION("GOOGLETRANSLATE($A2187,""en"",""zh-cn"")"),"雅加达拉雅")</f>
        <v>雅加达拉雅</v>
      </c>
      <c r="H2187" s="9" t="str">
        <f>IFERROR(__xludf.DUMMYFUNCTION("GOOGLETRANSLATE($A2187,""en"",""ja"")"),"ジャカルタ ラヤ")</f>
        <v>ジャカルタ ラヤ</v>
      </c>
      <c r="I2187" s="9" t="str">
        <f>IFERROR(__xludf.DUMMYFUNCTION("GOOGLETRANSLATE($A2187,""en"",""ko"")"),"자카르타 라야")</f>
        <v>자카르타 라야</v>
      </c>
      <c r="J2187" s="9" t="str">
        <f>IFERROR(__xludf.DUMMYFUNCTION("GOOGLETRANSLATE($A2187,""en"",""pt-BR"")"),"Jacarta Raya")</f>
        <v>Jacarta Raya</v>
      </c>
    </row>
    <row r="2188">
      <c r="A2188" s="9" t="str">
        <f>IFERROR(__xludf.DUMMYFUNCTION("""COMPUTED_VALUE"""),"Jawa")</f>
        <v>Jawa</v>
      </c>
      <c r="B2188" s="9" t="str">
        <f>IFERROR(__xludf.DUMMYFUNCTION("""COMPUTED_VALUE"""),"id-jw")</f>
        <v>id-jw</v>
      </c>
      <c r="C2188" s="9" t="str">
        <f>IFERROR(__xludf.DUMMYFUNCTION("GOOGLETRANSLATE($A2188,""en"",""de"")"),"Jawa")</f>
        <v>Jawa</v>
      </c>
      <c r="D2188" s="9" t="str">
        <f>IFERROR(__xludf.DUMMYFUNCTION("GOOGLETRANSLATE($A2188,""en"",""fr"")"),"Java")</f>
        <v>Java</v>
      </c>
      <c r="E2188" s="9" t="str">
        <f>IFERROR(__xludf.DUMMYFUNCTION("GOOGLETRANSLATE($A2188,""en"",""es"")"),"Jawa")</f>
        <v>Jawa</v>
      </c>
      <c r="F2188" s="9" t="str">
        <f>IFERROR(__xludf.DUMMYFUNCTION("GOOGLETRANSLATE($A2188,""en"",""it"")"),"Jawa")</f>
        <v>Jawa</v>
      </c>
      <c r="G2188" s="9" t="str">
        <f>IFERROR(__xludf.DUMMYFUNCTION("GOOGLETRANSLATE($A2188,""en"",""zh-cn"")"),"爪哇语")</f>
        <v>爪哇语</v>
      </c>
      <c r="H2188" s="9" t="str">
        <f>IFERROR(__xludf.DUMMYFUNCTION("GOOGLETRANSLATE($A2188,""en"",""ja"")"),"ジャワ")</f>
        <v>ジャワ</v>
      </c>
      <c r="I2188" s="9" t="str">
        <f>IFERROR(__xludf.DUMMYFUNCTION("GOOGLETRANSLATE($A2188,""en"",""ko"")"),"자와")</f>
        <v>자와</v>
      </c>
      <c r="J2188" s="9" t="str">
        <f>IFERROR(__xludf.DUMMYFUNCTION("GOOGLETRANSLATE($A2188,""en"",""pt-BR"")"),"Jawa")</f>
        <v>Jawa</v>
      </c>
    </row>
    <row r="2189">
      <c r="A2189" s="9" t="str">
        <f>IFERROR(__xludf.DUMMYFUNCTION("""COMPUTED_VALUE"""),"Riau")</f>
        <v>Riau</v>
      </c>
      <c r="B2189" s="9" t="str">
        <f>IFERROR(__xludf.DUMMYFUNCTION("""COMPUTED_VALUE"""),"id-ri")</f>
        <v>id-ri</v>
      </c>
      <c r="C2189" s="9" t="str">
        <f>IFERROR(__xludf.DUMMYFUNCTION("GOOGLETRANSLATE($A2189,""en"",""de"")"),"Riau")</f>
        <v>Riau</v>
      </c>
      <c r="D2189" s="9" t="str">
        <f>IFERROR(__xludf.DUMMYFUNCTION("GOOGLETRANSLATE($A2189,""en"",""fr"")"),"Riau")</f>
        <v>Riau</v>
      </c>
      <c r="E2189" s="9" t="str">
        <f>IFERROR(__xludf.DUMMYFUNCTION("GOOGLETRANSLATE($A2189,""en"",""es"")"),"Riau")</f>
        <v>Riau</v>
      </c>
      <c r="F2189" s="9" t="str">
        <f>IFERROR(__xludf.DUMMYFUNCTION("GOOGLETRANSLATE($A2189,""en"",""it"")"),"Riau")</f>
        <v>Riau</v>
      </c>
      <c r="G2189" s="9" t="str">
        <f>IFERROR(__xludf.DUMMYFUNCTION("GOOGLETRANSLATE($A2189,""en"",""zh-cn"")"),"廖内省")</f>
        <v>廖内省</v>
      </c>
      <c r="H2189" s="9" t="str">
        <f>IFERROR(__xludf.DUMMYFUNCTION("GOOGLETRANSLATE($A2189,""en"",""ja"")"),"リアウ")</f>
        <v>リアウ</v>
      </c>
      <c r="I2189" s="9" t="str">
        <f>IFERROR(__xludf.DUMMYFUNCTION("GOOGLETRANSLATE($A2189,""en"",""ko"")"),"리아우")</f>
        <v>리아우</v>
      </c>
      <c r="J2189" s="9" t="str">
        <f>IFERROR(__xludf.DUMMYFUNCTION("GOOGLETRANSLATE($A2189,""en"",""pt-BR"")"),"Riau")</f>
        <v>Riau</v>
      </c>
    </row>
    <row r="2190">
      <c r="A2190" s="9" t="str">
        <f>IFERROR(__xludf.DUMMYFUNCTION("""COMPUTED_VALUE"""),"Sulawesi")</f>
        <v>Sulawesi</v>
      </c>
      <c r="B2190" s="9" t="str">
        <f>IFERROR(__xludf.DUMMYFUNCTION("""COMPUTED_VALUE"""),"id-sl")</f>
        <v>id-sl</v>
      </c>
      <c r="C2190" s="9" t="str">
        <f>IFERROR(__xludf.DUMMYFUNCTION("GOOGLETRANSLATE($A2190,""en"",""de"")"),"Sulawesi")</f>
        <v>Sulawesi</v>
      </c>
      <c r="D2190" s="9" t="str">
        <f>IFERROR(__xludf.DUMMYFUNCTION("GOOGLETRANSLATE($A2190,""en"",""fr"")"),"Sulawesi")</f>
        <v>Sulawesi</v>
      </c>
      <c r="E2190" s="9" t="str">
        <f>IFERROR(__xludf.DUMMYFUNCTION("GOOGLETRANSLATE($A2190,""en"",""es"")"),"Célebes")</f>
        <v>Célebes</v>
      </c>
      <c r="F2190" s="9" t="str">
        <f>IFERROR(__xludf.DUMMYFUNCTION("GOOGLETRANSLATE($A2190,""en"",""it"")"),"Sulawesi")</f>
        <v>Sulawesi</v>
      </c>
      <c r="G2190" s="9" t="str">
        <f>IFERROR(__xludf.DUMMYFUNCTION("GOOGLETRANSLATE($A2190,""en"",""zh-cn"")"),"苏拉威西岛")</f>
        <v>苏拉威西岛</v>
      </c>
      <c r="H2190" s="9" t="str">
        <f>IFERROR(__xludf.DUMMYFUNCTION("GOOGLETRANSLATE($A2190,""en"",""ja"")"),"スラウェシ島")</f>
        <v>スラウェシ島</v>
      </c>
      <c r="I2190" s="9" t="str">
        <f>IFERROR(__xludf.DUMMYFUNCTION("GOOGLETRANSLATE($A2190,""en"",""ko"")"),"술라웨시")</f>
        <v>술라웨시</v>
      </c>
      <c r="J2190" s="9" t="str">
        <f>IFERROR(__xludf.DUMMYFUNCTION("GOOGLETRANSLATE($A2190,""en"",""pt-BR"")"),"Celebes")</f>
        <v>Celebes</v>
      </c>
    </row>
    <row r="2191">
      <c r="A2191" s="9" t="str">
        <f>IFERROR(__xludf.DUMMYFUNCTION("""COMPUTED_VALUE"""),"Sumatera")</f>
        <v>Sumatera</v>
      </c>
      <c r="B2191" s="9" t="str">
        <f>IFERROR(__xludf.DUMMYFUNCTION("""COMPUTED_VALUE"""),"id-sm")</f>
        <v>id-sm</v>
      </c>
      <c r="C2191" s="9" t="str">
        <f>IFERROR(__xludf.DUMMYFUNCTION("GOOGLETRANSLATE($A2191,""en"",""de"")"),"Sumatera")</f>
        <v>Sumatera</v>
      </c>
      <c r="D2191" s="9" t="str">
        <f>IFERROR(__xludf.DUMMYFUNCTION("GOOGLETRANSLATE($A2191,""en"",""fr"")"),"Sumatra")</f>
        <v>Sumatra</v>
      </c>
      <c r="E2191" s="9" t="str">
        <f>IFERROR(__xludf.DUMMYFUNCTION("GOOGLETRANSLATE($A2191,""en"",""es"")"),"Sumatra")</f>
        <v>Sumatra</v>
      </c>
      <c r="F2191" s="9" t="str">
        <f>IFERROR(__xludf.DUMMYFUNCTION("GOOGLETRANSLATE($A2191,""en"",""it"")"),"Sumatra")</f>
        <v>Sumatra</v>
      </c>
      <c r="G2191" s="9" t="str">
        <f>IFERROR(__xludf.DUMMYFUNCTION("GOOGLETRANSLATE($A2191,""en"",""zh-cn"")"),"苏门答腊岛")</f>
        <v>苏门答腊岛</v>
      </c>
      <c r="H2191" s="9" t="str">
        <f>IFERROR(__xludf.DUMMYFUNCTION("GOOGLETRANSLATE($A2191,""en"",""ja"")"),"スマトラ島")</f>
        <v>スマトラ島</v>
      </c>
      <c r="I2191" s="9" t="str">
        <f>IFERROR(__xludf.DUMMYFUNCTION("GOOGLETRANSLATE($A2191,""en"",""ko"")"),"수마트라")</f>
        <v>수마트라</v>
      </c>
      <c r="J2191" s="9" t="str">
        <f>IFERROR(__xludf.DUMMYFUNCTION("GOOGLETRANSLATE($A2191,""en"",""pt-BR"")"),"Sumatra")</f>
        <v>Sumatra</v>
      </c>
    </row>
    <row r="2192">
      <c r="A2192" s="9" t="str">
        <f>IFERROR(__xludf.DUMMYFUNCTION("""COMPUTED_VALUE"""),"Aceh")</f>
        <v>Aceh</v>
      </c>
      <c r="B2192" s="9" t="str">
        <f>IFERROR(__xludf.DUMMYFUNCTION("""COMPUTED_VALUE"""),"id-ac")</f>
        <v>id-ac</v>
      </c>
      <c r="C2192" s="9" t="str">
        <f>IFERROR(__xludf.DUMMYFUNCTION("GOOGLETRANSLATE($A2192,""en"",""de"")"),"Aceh")</f>
        <v>Aceh</v>
      </c>
      <c r="D2192" s="9" t="str">
        <f>IFERROR(__xludf.DUMMYFUNCTION("GOOGLETRANSLATE($A2192,""en"",""fr"")"),"Aceh")</f>
        <v>Aceh</v>
      </c>
      <c r="E2192" s="9" t="str">
        <f>IFERROR(__xludf.DUMMYFUNCTION("GOOGLETRANSLATE($A2192,""en"",""es"")"),"Aceh")</f>
        <v>Aceh</v>
      </c>
      <c r="F2192" s="9" t="str">
        <f>IFERROR(__xludf.DUMMYFUNCTION("GOOGLETRANSLATE($A2192,""en"",""it"")"),"Aceh")</f>
        <v>Aceh</v>
      </c>
      <c r="G2192" s="9" t="str">
        <f>IFERROR(__xludf.DUMMYFUNCTION("GOOGLETRANSLATE($A2192,""en"",""zh-cn"")"),"亚齐")</f>
        <v>亚齐</v>
      </c>
      <c r="H2192" s="9" t="str">
        <f>IFERROR(__xludf.DUMMYFUNCTION("GOOGLETRANSLATE($A2192,""en"",""ja"")"),"アチェ")</f>
        <v>アチェ</v>
      </c>
      <c r="I2192" s="9" t="str">
        <f>IFERROR(__xludf.DUMMYFUNCTION("GOOGLETRANSLATE($A2192,""en"",""ko"")"),"아체")</f>
        <v>아체</v>
      </c>
      <c r="J2192" s="9" t="str">
        <f>IFERROR(__xludf.DUMMYFUNCTION("GOOGLETRANSLATE($A2192,""en"",""pt-BR"")"),"Achém")</f>
        <v>Achém</v>
      </c>
    </row>
    <row r="2193">
      <c r="A2193" s="9" t="str">
        <f>IFERROR(__xludf.DUMMYFUNCTION("""COMPUTED_VALUE"""),"Gorontalo")</f>
        <v>Gorontalo</v>
      </c>
      <c r="B2193" s="9" t="str">
        <f>IFERROR(__xludf.DUMMYFUNCTION("""COMPUTED_VALUE"""),"id-go")</f>
        <v>id-go</v>
      </c>
      <c r="C2193" s="9" t="str">
        <f>IFERROR(__xludf.DUMMYFUNCTION("GOOGLETRANSLATE($A2193,""en"",""de"")"),"Gorontalo")</f>
        <v>Gorontalo</v>
      </c>
      <c r="D2193" s="9" t="str">
        <f>IFERROR(__xludf.DUMMYFUNCTION("GOOGLETRANSLATE($A2193,""en"",""fr"")"),"Gorontalo")</f>
        <v>Gorontalo</v>
      </c>
      <c r="E2193" s="9" t="str">
        <f>IFERROR(__xludf.DUMMYFUNCTION("GOOGLETRANSLATE($A2193,""en"",""es"")"),"Gorontalo")</f>
        <v>Gorontalo</v>
      </c>
      <c r="F2193" s="9" t="str">
        <f>IFERROR(__xludf.DUMMYFUNCTION("GOOGLETRANSLATE($A2193,""en"",""it"")"),"Gorontalo")</f>
        <v>Gorontalo</v>
      </c>
      <c r="G2193" s="9" t="str">
        <f>IFERROR(__xludf.DUMMYFUNCTION("GOOGLETRANSLATE($A2193,""en"",""zh-cn"")"),"哥伦打洛")</f>
        <v>哥伦打洛</v>
      </c>
      <c r="H2193" s="9" t="str">
        <f>IFERROR(__xludf.DUMMYFUNCTION("GOOGLETRANSLATE($A2193,""en"",""ja"")"),"ゴロンタロ")</f>
        <v>ゴロンタロ</v>
      </c>
      <c r="I2193" s="9" t="str">
        <f>IFERROR(__xludf.DUMMYFUNCTION("GOOGLETRANSLATE($A2193,""en"",""ko"")"),"고론탈로")</f>
        <v>고론탈로</v>
      </c>
      <c r="J2193" s="9" t="str">
        <f>IFERROR(__xludf.DUMMYFUNCTION("GOOGLETRANSLATE($A2193,""en"",""pt-BR"")"),"Gorontalo")</f>
        <v>Gorontalo</v>
      </c>
    </row>
    <row r="2194">
      <c r="A2194" s="9" t="str">
        <f>IFERROR(__xludf.DUMMYFUNCTION("""COMPUTED_VALUE"""),"Jawa Barat")</f>
        <v>Jawa Barat</v>
      </c>
      <c r="B2194" s="9" t="str">
        <f>IFERROR(__xludf.DUMMYFUNCTION("""COMPUTED_VALUE"""),"id-jb")</f>
        <v>id-jb</v>
      </c>
      <c r="C2194" s="9" t="str">
        <f>IFERROR(__xludf.DUMMYFUNCTION("GOOGLETRANSLATE($A2194,""en"",""de"")"),"Jawa Barat")</f>
        <v>Jawa Barat</v>
      </c>
      <c r="D2194" s="9" t="str">
        <f>IFERROR(__xludf.DUMMYFUNCTION("GOOGLETRANSLATE($A2194,""en"",""fr"")"),"Jawa Barat")</f>
        <v>Jawa Barat</v>
      </c>
      <c r="E2194" s="9" t="str">
        <f>IFERROR(__xludf.DUMMYFUNCTION("GOOGLETRANSLATE($A2194,""en"",""es"")"),"Jawa Barat")</f>
        <v>Jawa Barat</v>
      </c>
      <c r="F2194" s="9" t="str">
        <f>IFERROR(__xludf.DUMMYFUNCTION("GOOGLETRANSLATE($A2194,""en"",""it"")"),"Jawa Barat")</f>
        <v>Jawa Barat</v>
      </c>
      <c r="G2194" s="9" t="str">
        <f>IFERROR(__xludf.DUMMYFUNCTION("GOOGLETRANSLATE($A2194,""en"",""zh-cn"")"),"爪哇巴拉特")</f>
        <v>爪哇巴拉特</v>
      </c>
      <c r="H2194" s="9" t="str">
        <f>IFERROR(__xludf.DUMMYFUNCTION("GOOGLETRANSLATE($A2194,""en"",""ja"")"),"ジャワ・バラット")</f>
        <v>ジャワ・バラット</v>
      </c>
      <c r="I2194" s="9" t="str">
        <f>IFERROR(__xludf.DUMMYFUNCTION("GOOGLETRANSLATE($A2194,""en"",""ko"")"),"자와 바라트")</f>
        <v>자와 바라트</v>
      </c>
      <c r="J2194" s="9" t="str">
        <f>IFERROR(__xludf.DUMMYFUNCTION("GOOGLETRANSLATE($A2194,""en"",""pt-BR"")"),"Jawa Barat")</f>
        <v>Jawa Barat</v>
      </c>
    </row>
    <row r="2195">
      <c r="A2195" s="9" t="str">
        <f>IFERROR(__xludf.DUMMYFUNCTION("""COMPUTED_VALUE"""),"Maluku Province")</f>
        <v>Maluku Province</v>
      </c>
      <c r="B2195" s="9" t="str">
        <f>IFERROR(__xludf.DUMMYFUNCTION("""COMPUTED_VALUE"""),"id-ma")</f>
        <v>id-ma</v>
      </c>
      <c r="C2195" s="9" t="str">
        <f>IFERROR(__xludf.DUMMYFUNCTION("GOOGLETRANSLATE($A2195,""en"",""de"")"),"Provinz Maluku")</f>
        <v>Provinz Maluku</v>
      </c>
      <c r="D2195" s="9" t="str">
        <f>IFERROR(__xludf.DUMMYFUNCTION("GOOGLETRANSLATE($A2195,""en"",""fr"")"),"Province des Moluques")</f>
        <v>Province des Moluques</v>
      </c>
      <c r="E2195" s="9" t="str">
        <f>IFERROR(__xludf.DUMMYFUNCTION("GOOGLETRANSLATE($A2195,""en"",""es"")"),"Provincia de Molucas")</f>
        <v>Provincia de Molucas</v>
      </c>
      <c r="F2195" s="9" t="str">
        <f>IFERROR(__xludf.DUMMYFUNCTION("GOOGLETRANSLATE($A2195,""en"",""it"")"),"Provincia delle Molucche")</f>
        <v>Provincia delle Molucche</v>
      </c>
      <c r="G2195" s="9" t="str">
        <f>IFERROR(__xludf.DUMMYFUNCTION("GOOGLETRANSLATE($A2195,""en"",""zh-cn"")"),"马鲁古省")</f>
        <v>马鲁古省</v>
      </c>
      <c r="H2195" s="9" t="str">
        <f>IFERROR(__xludf.DUMMYFUNCTION("GOOGLETRANSLATE($A2195,""en"",""ja"")"),"マルク州")</f>
        <v>マルク州</v>
      </c>
      <c r="I2195" s="9" t="str">
        <f>IFERROR(__xludf.DUMMYFUNCTION("GOOGLETRANSLATE($A2195,""en"",""ko"")"),"말루쿠주")</f>
        <v>말루쿠주</v>
      </c>
      <c r="J2195" s="9" t="str">
        <f>IFERROR(__xludf.DUMMYFUNCTION("GOOGLETRANSLATE($A2195,""en"",""pt-BR"")"),"Província de Maluku")</f>
        <v>Província de Maluku</v>
      </c>
    </row>
    <row r="2196">
      <c r="A2196" s="9" t="str">
        <f>IFERROR(__xludf.DUMMYFUNCTION("""COMPUTED_VALUE"""),"Sumatera Selatan")</f>
        <v>Sumatera Selatan</v>
      </c>
      <c r="B2196" s="9" t="str">
        <f>IFERROR(__xludf.DUMMYFUNCTION("""COMPUTED_VALUE"""),"id-ss")</f>
        <v>id-ss</v>
      </c>
      <c r="C2196" s="9" t="str">
        <f>IFERROR(__xludf.DUMMYFUNCTION("GOOGLETRANSLATE($A2196,""en"",""de"")"),"Sumatera Selatan")</f>
        <v>Sumatera Selatan</v>
      </c>
      <c r="D2196" s="9" t="str">
        <f>IFERROR(__xludf.DUMMYFUNCTION("GOOGLETRANSLATE($A2196,""en"",""fr"")"),"Sumatra Selatan")</f>
        <v>Sumatra Selatan</v>
      </c>
      <c r="E2196" s="9" t="str">
        <f>IFERROR(__xludf.DUMMYFUNCTION("GOOGLETRANSLATE($A2196,""en"",""es"")"),"Selatan de Sumatra")</f>
        <v>Selatan de Sumatra</v>
      </c>
      <c r="F2196" s="9" t="str">
        <f>IFERROR(__xludf.DUMMYFUNCTION("GOOGLETRANSLATE($A2196,""en"",""it"")"),"Sumatra Selatan")</f>
        <v>Sumatra Selatan</v>
      </c>
      <c r="G2196" s="9" t="str">
        <f>IFERROR(__xludf.DUMMYFUNCTION("GOOGLETRANSLATE($A2196,""en"",""zh-cn"")"),"南苏门答腊")</f>
        <v>南苏门答腊</v>
      </c>
      <c r="H2196" s="9" t="str">
        <f>IFERROR(__xludf.DUMMYFUNCTION("GOOGLETRANSLATE($A2196,""en"",""ja"")"),"スマトラ スラタン")</f>
        <v>スマトラ スラタン</v>
      </c>
      <c r="I2196" s="9" t="str">
        <f>IFERROR(__xludf.DUMMYFUNCTION("GOOGLETRANSLATE($A2196,""en"",""ko"")"),"수마트라 셀라탄")</f>
        <v>수마트라 셀라탄</v>
      </c>
      <c r="J2196" s="9" t="str">
        <f>IFERROR(__xludf.DUMMYFUNCTION("GOOGLETRANSLATE($A2196,""en"",""pt-BR"")"),"Sumatra Selatan")</f>
        <v>Sumatra Selatan</v>
      </c>
    </row>
    <row r="2197">
      <c r="A2197" s="9" t="str">
        <f>IFERROR(__xludf.DUMMYFUNCTION("""COMPUTED_VALUE"""),"Sulawesi Utara")</f>
        <v>Sulawesi Utara</v>
      </c>
      <c r="B2197" s="9" t="str">
        <f>IFERROR(__xludf.DUMMYFUNCTION("""COMPUTED_VALUE"""),"id-sa")</f>
        <v>id-sa</v>
      </c>
      <c r="C2197" s="9" t="str">
        <f>IFERROR(__xludf.DUMMYFUNCTION("GOOGLETRANSLATE($A2197,""en"",""de"")"),"Sulawesi Utara")</f>
        <v>Sulawesi Utara</v>
      </c>
      <c r="D2197" s="9" t="str">
        <f>IFERROR(__xludf.DUMMYFUNCTION("GOOGLETRANSLATE($A2197,""en"",""fr"")"),"Sulawesi Utara")</f>
        <v>Sulawesi Utara</v>
      </c>
      <c r="E2197" s="9" t="str">
        <f>IFERROR(__xludf.DUMMYFUNCTION("GOOGLETRANSLATE($A2197,""en"",""es"")"),"Sulawesi Utara")</f>
        <v>Sulawesi Utara</v>
      </c>
      <c r="F2197" s="9" t="str">
        <f>IFERROR(__xludf.DUMMYFUNCTION("GOOGLETRANSLATE($A2197,""en"",""it"")"),"Sulawesi Utara")</f>
        <v>Sulawesi Utara</v>
      </c>
      <c r="G2197" s="9" t="str">
        <f>IFERROR(__xludf.DUMMYFUNCTION("GOOGLETRANSLATE($A2197,""en"",""zh-cn"")"),"北苏拉威西")</f>
        <v>北苏拉威西</v>
      </c>
      <c r="H2197" s="9" t="str">
        <f>IFERROR(__xludf.DUMMYFUNCTION("GOOGLETRANSLATE($A2197,""en"",""ja"")"),"スラウェシ ウタラ")</f>
        <v>スラウェシ ウタラ</v>
      </c>
      <c r="I2197" s="9" t="str">
        <f>IFERROR(__xludf.DUMMYFUNCTION("GOOGLETRANSLATE($A2197,""en"",""ko"")"),"술라웨시 우타라")</f>
        <v>술라웨시 우타라</v>
      </c>
      <c r="J2197" s="9" t="str">
        <f>IFERROR(__xludf.DUMMYFUNCTION("GOOGLETRANSLATE($A2197,""en"",""pt-BR"")"),"Sulawesi Utara")</f>
        <v>Sulawesi Utara</v>
      </c>
    </row>
    <row r="2198">
      <c r="A2198" s="9" t="str">
        <f>IFERROR(__xludf.DUMMYFUNCTION("""COMPUTED_VALUE"""),"Kalimantan")</f>
        <v>Kalimantan</v>
      </c>
      <c r="B2198" s="9" t="str">
        <f>IFERROR(__xludf.DUMMYFUNCTION("""COMPUTED_VALUE"""),"id-ka")</f>
        <v>id-ka</v>
      </c>
      <c r="C2198" s="9" t="str">
        <f>IFERROR(__xludf.DUMMYFUNCTION("GOOGLETRANSLATE($A2198,""en"",""de"")"),"Kalimantan")</f>
        <v>Kalimantan</v>
      </c>
      <c r="D2198" s="9" t="str">
        <f>IFERROR(__xludf.DUMMYFUNCTION("GOOGLETRANSLATE($A2198,""en"",""fr"")"),"Kalimantan")</f>
        <v>Kalimantan</v>
      </c>
      <c r="E2198" s="9" t="str">
        <f>IFERROR(__xludf.DUMMYFUNCTION("GOOGLETRANSLATE($A2198,""en"",""es"")"),"Kalimantán")</f>
        <v>Kalimantán</v>
      </c>
      <c r="F2198" s="9" t="str">
        <f>IFERROR(__xludf.DUMMYFUNCTION("GOOGLETRANSLATE($A2198,""en"",""it"")"),"Kalimantan")</f>
        <v>Kalimantan</v>
      </c>
      <c r="G2198" s="9" t="str">
        <f>IFERROR(__xludf.DUMMYFUNCTION("GOOGLETRANSLATE($A2198,""en"",""zh-cn"")"),"加里曼丹")</f>
        <v>加里曼丹</v>
      </c>
      <c r="H2198" s="9" t="str">
        <f>IFERROR(__xludf.DUMMYFUNCTION("GOOGLETRANSLATE($A2198,""en"",""ja"")"),"カリマンタン")</f>
        <v>カリマンタン</v>
      </c>
      <c r="I2198" s="9" t="str">
        <f>IFERROR(__xludf.DUMMYFUNCTION("GOOGLETRANSLATE($A2198,""en"",""ko"")"),"칼리만탄")</f>
        <v>칼리만탄</v>
      </c>
      <c r="J2198" s="9" t="str">
        <f>IFERROR(__xludf.DUMMYFUNCTION("GOOGLETRANSLATE($A2198,""en"",""pt-BR"")"),"Kalimantan")</f>
        <v>Kalimantan</v>
      </c>
    </row>
    <row r="2199">
      <c r="A2199" s="9" t="str">
        <f>IFERROR(__xludf.DUMMYFUNCTION("""COMPUTED_VALUE"""),"Nusa Tenggara Barat")</f>
        <v>Nusa Tenggara Barat</v>
      </c>
      <c r="B2199" s="9" t="str">
        <f>IFERROR(__xludf.DUMMYFUNCTION("""COMPUTED_VALUE"""),"id-nb")</f>
        <v>id-nb</v>
      </c>
      <c r="C2199" s="9" t="str">
        <f>IFERROR(__xludf.DUMMYFUNCTION("GOOGLETRANSLATE($A2199,""en"",""de"")"),"Nusa Tenggara Barat")</f>
        <v>Nusa Tenggara Barat</v>
      </c>
      <c r="D2199" s="9" t="str">
        <f>IFERROR(__xludf.DUMMYFUNCTION("GOOGLETRANSLATE($A2199,""en"",""fr"")"),"Nusa Tenggara Barat")</f>
        <v>Nusa Tenggara Barat</v>
      </c>
      <c r="E2199" s="9" t="str">
        <f>IFERROR(__xludf.DUMMYFUNCTION("GOOGLETRANSLATE($A2199,""en"",""es"")"),"Nusa Tenggara Barat")</f>
        <v>Nusa Tenggara Barat</v>
      </c>
      <c r="F2199" s="9" t="str">
        <f>IFERROR(__xludf.DUMMYFUNCTION("GOOGLETRANSLATE($A2199,""en"",""it"")"),"Nusa Tenggara Barat")</f>
        <v>Nusa Tenggara Barat</v>
      </c>
      <c r="G2199" s="9" t="str">
        <f>IFERROR(__xludf.DUMMYFUNCTION("GOOGLETRANSLATE($A2199,""en"",""zh-cn"")"),"努沙登加拉巴拉特")</f>
        <v>努沙登加拉巴拉特</v>
      </c>
      <c r="H2199" s="9" t="str">
        <f>IFERROR(__xludf.DUMMYFUNCTION("GOOGLETRANSLATE($A2199,""en"",""ja"")"),"ヌサ トゥンガラ バラット")</f>
        <v>ヌサ トゥンガラ バラット</v>
      </c>
      <c r="I2199" s="9" t="str">
        <f>IFERROR(__xludf.DUMMYFUNCTION("GOOGLETRANSLATE($A2199,""en"",""ko"")"),"누사 텡가라 바라트")</f>
        <v>누사 텡가라 바라트</v>
      </c>
      <c r="J2199" s="9" t="str">
        <f>IFERROR(__xludf.DUMMYFUNCTION("GOOGLETRANSLATE($A2199,""en"",""pt-BR"")"),"Nusa Tenggara Barat")</f>
        <v>Nusa Tenggara Barat</v>
      </c>
    </row>
    <row r="2200">
      <c r="A2200" s="9" t="str">
        <f>IFERROR(__xludf.DUMMYFUNCTION("""COMPUTED_VALUE"""),"Sulawesi Barat")</f>
        <v>Sulawesi Barat</v>
      </c>
      <c r="B2200" s="9" t="str">
        <f>IFERROR(__xludf.DUMMYFUNCTION("""COMPUTED_VALUE"""),"id-sr")</f>
        <v>id-sr</v>
      </c>
      <c r="C2200" s="9" t="str">
        <f>IFERROR(__xludf.DUMMYFUNCTION("GOOGLETRANSLATE($A2200,""en"",""de"")"),"Sulawesi Barat")</f>
        <v>Sulawesi Barat</v>
      </c>
      <c r="D2200" s="9" t="str">
        <f>IFERROR(__xludf.DUMMYFUNCTION("GOOGLETRANSLATE($A2200,""en"",""fr"")"),"Sulawesi-Barat")</f>
        <v>Sulawesi-Barat</v>
      </c>
      <c r="E2200" s="9" t="str">
        <f>IFERROR(__xludf.DUMMYFUNCTION("GOOGLETRANSLATE($A2200,""en"",""es"")"),"Barat de Célebes")</f>
        <v>Barat de Célebes</v>
      </c>
      <c r="F2200" s="9" t="str">
        <f>IFERROR(__xludf.DUMMYFUNCTION("GOOGLETRANSLATE($A2200,""en"",""it"")"),"Sulawesi Barat")</f>
        <v>Sulawesi Barat</v>
      </c>
      <c r="G2200" s="9" t="str">
        <f>IFERROR(__xludf.DUMMYFUNCTION("GOOGLETRANSLATE($A2200,""en"",""zh-cn"")"),"苏拉威西岛")</f>
        <v>苏拉威西岛</v>
      </c>
      <c r="H2200" s="9" t="str">
        <f>IFERROR(__xludf.DUMMYFUNCTION("GOOGLETRANSLATE($A2200,""en"",""ja"")"),"スラウェシ島バラット")</f>
        <v>スラウェシ島バラット</v>
      </c>
      <c r="I2200" s="9" t="str">
        <f>IFERROR(__xludf.DUMMYFUNCTION("GOOGLETRANSLATE($A2200,""en"",""ko"")"),"술라웨시 바라트")</f>
        <v>술라웨시 바라트</v>
      </c>
      <c r="J2200" s="9" t="str">
        <f>IFERROR(__xludf.DUMMYFUNCTION("GOOGLETRANSLATE($A2200,""en"",""pt-BR"")"),"Celebes Barat")</f>
        <v>Celebes Barat</v>
      </c>
    </row>
    <row r="2201">
      <c r="A2201" s="9" t="str">
        <f>IFERROR(__xludf.DUMMYFUNCTION("""COMPUTED_VALUE"""),"Sumatera Barat")</f>
        <v>Sumatera Barat</v>
      </c>
      <c r="B2201" s="9" t="str">
        <f>IFERROR(__xludf.DUMMYFUNCTION("""COMPUTED_VALUE"""),"id-sb")</f>
        <v>id-sb</v>
      </c>
      <c r="C2201" s="9" t="str">
        <f>IFERROR(__xludf.DUMMYFUNCTION("GOOGLETRANSLATE($A2201,""en"",""de"")"),"Sumatera Barat")</f>
        <v>Sumatera Barat</v>
      </c>
      <c r="D2201" s="9" t="str">
        <f>IFERROR(__xludf.DUMMYFUNCTION("GOOGLETRANSLATE($A2201,""en"",""fr"")"),"Sumatra Barat")</f>
        <v>Sumatra Barat</v>
      </c>
      <c r="E2201" s="9" t="str">
        <f>IFERROR(__xludf.DUMMYFUNCTION("GOOGLETRANSLATE($A2201,""en"",""es"")"),"Barat de Sumatra")</f>
        <v>Barat de Sumatra</v>
      </c>
      <c r="F2201" s="9" t="str">
        <f>IFERROR(__xludf.DUMMYFUNCTION("GOOGLETRANSLATE($A2201,""en"",""it"")"),"Sumatra Barat")</f>
        <v>Sumatra Barat</v>
      </c>
      <c r="G2201" s="9" t="str">
        <f>IFERROR(__xludf.DUMMYFUNCTION("GOOGLETRANSLATE($A2201,""en"",""zh-cn"")"),"苏门答腊岛")</f>
        <v>苏门答腊岛</v>
      </c>
      <c r="H2201" s="9" t="str">
        <f>IFERROR(__xludf.DUMMYFUNCTION("GOOGLETRANSLATE($A2201,""en"",""ja"")"),"スマトラ バラット")</f>
        <v>スマトラ バラット</v>
      </c>
      <c r="I2201" s="9" t="str">
        <f>IFERROR(__xludf.DUMMYFUNCTION("GOOGLETRANSLATE($A2201,""en"",""ko"")"),"수마트라 바라트")</f>
        <v>수마트라 바라트</v>
      </c>
      <c r="J2201" s="9" t="str">
        <f>IFERROR(__xludf.DUMMYFUNCTION("GOOGLETRANSLATE($A2201,""en"",""pt-BR"")"),"Sumatra Barat")</f>
        <v>Sumatra Barat</v>
      </c>
    </row>
    <row r="2202">
      <c r="A2202" s="9" t="str">
        <f>IFERROR(__xludf.DUMMYFUNCTION("""COMPUTED_VALUE"""),"Kepulauan Riau")</f>
        <v>Kepulauan Riau</v>
      </c>
      <c r="B2202" s="9" t="str">
        <f>IFERROR(__xludf.DUMMYFUNCTION("""COMPUTED_VALUE"""),"id-kr")</f>
        <v>id-kr</v>
      </c>
      <c r="C2202" s="9" t="str">
        <f>IFERROR(__xludf.DUMMYFUNCTION("GOOGLETRANSLATE($A2202,""en"",""de"")"),"Kepulauan Riau")</f>
        <v>Kepulauan Riau</v>
      </c>
      <c r="D2202" s="9" t="str">
        <f>IFERROR(__xludf.DUMMYFUNCTION("GOOGLETRANSLATE($A2202,""en"",""fr"")"),"Riau des îles Kepulau")</f>
        <v>Riau des îles Kepulau</v>
      </c>
      <c r="E2202" s="9" t="str">
        <f>IFERROR(__xludf.DUMMYFUNCTION("GOOGLETRANSLATE($A2202,""en"",""es"")"),"Riau Kepulauan")</f>
        <v>Riau Kepulauan</v>
      </c>
      <c r="F2202" s="9" t="str">
        <f>IFERROR(__xludf.DUMMYFUNCTION("GOOGLETRANSLATE($A2202,""en"",""it"")"),"Kepulauan Riau")</f>
        <v>Kepulauan Riau</v>
      </c>
      <c r="G2202" s="9" t="str">
        <f>IFERROR(__xludf.DUMMYFUNCTION("GOOGLETRANSLATE($A2202,""en"",""zh-cn"")"),"廖内群岛")</f>
        <v>廖内群岛</v>
      </c>
      <c r="H2202" s="9" t="str">
        <f>IFERROR(__xludf.DUMMYFUNCTION("GOOGLETRANSLATE($A2202,""en"",""ja"")"),"ケプラアン・リアウ")</f>
        <v>ケプラアン・リアウ</v>
      </c>
      <c r="I2202" s="9" t="str">
        <f>IFERROR(__xludf.DUMMYFUNCTION("GOOGLETRANSLATE($A2202,""en"",""ko"")"),"케풀라우안 리아우")</f>
        <v>케풀라우안 리아우</v>
      </c>
      <c r="J2202" s="9" t="str">
        <f>IFERROR(__xludf.DUMMYFUNCTION("GOOGLETRANSLATE($A2202,""en"",""pt-BR"")"),"Kepulauan Riau")</f>
        <v>Kepulauan Riau</v>
      </c>
    </row>
    <row r="2203">
      <c r="A2203" s="9" t="str">
        <f>IFERROR(__xludf.DUMMYFUNCTION("""COMPUTED_VALUE"""),"Bali")</f>
        <v>Bali</v>
      </c>
      <c r="B2203" s="9" t="str">
        <f>IFERROR(__xludf.DUMMYFUNCTION("""COMPUTED_VALUE"""),"id-ba")</f>
        <v>id-ba</v>
      </c>
      <c r="C2203" s="9" t="str">
        <f>IFERROR(__xludf.DUMMYFUNCTION("GOOGLETRANSLATE($A2203,""en"",""de"")"),"Bali")</f>
        <v>Bali</v>
      </c>
      <c r="D2203" s="9" t="str">
        <f>IFERROR(__xludf.DUMMYFUNCTION("GOOGLETRANSLATE($A2203,""en"",""fr"")"),"Bali")</f>
        <v>Bali</v>
      </c>
      <c r="E2203" s="9" t="str">
        <f>IFERROR(__xludf.DUMMYFUNCTION("GOOGLETRANSLATE($A2203,""en"",""es"")"),"Bali")</f>
        <v>Bali</v>
      </c>
      <c r="F2203" s="9" t="str">
        <f>IFERROR(__xludf.DUMMYFUNCTION("GOOGLETRANSLATE($A2203,""en"",""it"")"),"Bali")</f>
        <v>Bali</v>
      </c>
      <c r="G2203" s="9" t="str">
        <f>IFERROR(__xludf.DUMMYFUNCTION("GOOGLETRANSLATE($A2203,""en"",""zh-cn"")"),"巴厘岛")</f>
        <v>巴厘岛</v>
      </c>
      <c r="H2203" s="9" t="str">
        <f>IFERROR(__xludf.DUMMYFUNCTION("GOOGLETRANSLATE($A2203,""en"",""ja"")"),"バリ島")</f>
        <v>バリ島</v>
      </c>
      <c r="I2203" s="9" t="str">
        <f>IFERROR(__xludf.DUMMYFUNCTION("GOOGLETRANSLATE($A2203,""en"",""ko"")"),"발리")</f>
        <v>발리</v>
      </c>
      <c r="J2203" s="9" t="str">
        <f>IFERROR(__xludf.DUMMYFUNCTION("GOOGLETRANSLATE($A2203,""en"",""pt-BR"")"),"Bali")</f>
        <v>Bali</v>
      </c>
    </row>
    <row r="2204">
      <c r="A2204" s="9" t="str">
        <f>IFERROR(__xludf.DUMMYFUNCTION("""COMPUTED_VALUE"""),"Papua Tengah")</f>
        <v>Papua Tengah</v>
      </c>
      <c r="B2204" s="9" t="str">
        <f>IFERROR(__xludf.DUMMYFUNCTION("""COMPUTED_VALUE"""),"id-pt")</f>
        <v>id-pt</v>
      </c>
      <c r="C2204" s="9" t="str">
        <f>IFERROR(__xludf.DUMMYFUNCTION("GOOGLETRANSLATE($A2204,""en"",""de"")"),"Papua Tengah")</f>
        <v>Papua Tengah</v>
      </c>
      <c r="D2204" s="9" t="str">
        <f>IFERROR(__xludf.DUMMYFUNCTION("GOOGLETRANSLATE($A2204,""en"",""fr"")"),"Papouasie Tengah")</f>
        <v>Papouasie Tengah</v>
      </c>
      <c r="E2204" s="9" t="str">
        <f>IFERROR(__xludf.DUMMYFUNCTION("GOOGLETRANSLATE($A2204,""en"",""es"")"),"Papúa Tengah")</f>
        <v>Papúa Tengah</v>
      </c>
      <c r="F2204" s="9" t="str">
        <f>IFERROR(__xludf.DUMMYFUNCTION("GOOGLETRANSLATE($A2204,""en"",""it"")"),"Papua Tengah")</f>
        <v>Papua Tengah</v>
      </c>
      <c r="G2204" s="9" t="str">
        <f>IFERROR(__xludf.DUMMYFUNCTION("GOOGLETRANSLATE($A2204,""en"",""zh-cn"")"),"巴布亚登加")</f>
        <v>巴布亚登加</v>
      </c>
      <c r="H2204" s="9" t="str">
        <f>IFERROR(__xludf.DUMMYFUNCTION("GOOGLETRANSLATE($A2204,""en"",""ja"")"),"パプア・テンガ")</f>
        <v>パプア・テンガ</v>
      </c>
      <c r="I2204" s="9" t="str">
        <f>IFERROR(__xludf.DUMMYFUNCTION("GOOGLETRANSLATE($A2204,""en"",""ko"")"),"파푸아텡가")</f>
        <v>파푸아텡가</v>
      </c>
      <c r="J2204" s="9" t="str">
        <f>IFERROR(__xludf.DUMMYFUNCTION("GOOGLETRANSLATE($A2204,""en"",""pt-BR"")"),"Papua Tengah")</f>
        <v>Papua Tengah</v>
      </c>
    </row>
    <row r="2205">
      <c r="A2205" s="9" t="str">
        <f>IFERROR(__xludf.DUMMYFUNCTION("""COMPUTED_VALUE"""),"Papua Selatan")</f>
        <v>Papua Selatan</v>
      </c>
      <c r="B2205" s="9" t="str">
        <f>IFERROR(__xludf.DUMMYFUNCTION("""COMPUTED_VALUE"""),"id-ps")</f>
        <v>id-ps</v>
      </c>
      <c r="C2205" s="9" t="str">
        <f>IFERROR(__xludf.DUMMYFUNCTION("GOOGLETRANSLATE($A2205,""en"",""de"")"),"Papua Selatan")</f>
        <v>Papua Selatan</v>
      </c>
      <c r="D2205" s="9" t="str">
        <f>IFERROR(__xludf.DUMMYFUNCTION("GOOGLETRANSLATE($A2205,""en"",""fr"")"),"Papouasie Selatan")</f>
        <v>Papouasie Selatan</v>
      </c>
      <c r="E2205" s="9" t="str">
        <f>IFERROR(__xludf.DUMMYFUNCTION("GOOGLETRANSLATE($A2205,""en"",""es"")"),"Papúa Selatan")</f>
        <v>Papúa Selatan</v>
      </c>
      <c r="F2205" s="9" t="str">
        <f>IFERROR(__xludf.DUMMYFUNCTION("GOOGLETRANSLATE($A2205,""en"",""it"")"),"Papua Selatan")</f>
        <v>Papua Selatan</v>
      </c>
      <c r="G2205" s="9" t="str">
        <f>IFERROR(__xludf.DUMMYFUNCTION("GOOGLETRANSLATE($A2205,""en"",""zh-cn"")"),"巴布亚南省")</f>
        <v>巴布亚南省</v>
      </c>
      <c r="H2205" s="9" t="str">
        <f>IFERROR(__xludf.DUMMYFUNCTION("GOOGLETRANSLATE($A2205,""en"",""ja"")"),"パプアスラタン")</f>
        <v>パプアスラタン</v>
      </c>
      <c r="I2205" s="9" t="str">
        <f>IFERROR(__xludf.DUMMYFUNCTION("GOOGLETRANSLATE($A2205,""en"",""ko"")"),"파푸아 셀라탄")</f>
        <v>파푸아 셀라탄</v>
      </c>
      <c r="J2205" s="9" t="str">
        <f>IFERROR(__xludf.DUMMYFUNCTION("GOOGLETRANSLATE($A2205,""en"",""pt-BR"")"),"Papua Selatan")</f>
        <v>Papua Selatan</v>
      </c>
    </row>
    <row r="2206">
      <c r="A2206" s="9" t="str">
        <f>IFERROR(__xludf.DUMMYFUNCTION("""COMPUTED_VALUE"""),"Papua Pengunungan")</f>
        <v>Papua Pengunungan</v>
      </c>
      <c r="B2206" s="9" t="str">
        <f>IFERROR(__xludf.DUMMYFUNCTION("""COMPUTED_VALUE"""),"id-pe")</f>
        <v>id-pe</v>
      </c>
      <c r="C2206" s="9" t="str">
        <f>IFERROR(__xludf.DUMMYFUNCTION("GOOGLETRANSLATE($A2206,""en"",""de"")"),"Papua Pengunungan")</f>
        <v>Papua Pengunungan</v>
      </c>
      <c r="D2206" s="9" t="str">
        <f>IFERROR(__xludf.DUMMYFUNCTION("GOOGLETRANSLATE($A2206,""en"",""fr"")"),"Papouasie Pengunungan")</f>
        <v>Papouasie Pengunungan</v>
      </c>
      <c r="E2206" s="9" t="str">
        <f>IFERROR(__xludf.DUMMYFUNCTION("GOOGLETRANSLATE($A2206,""en"",""es"")"),"Papúa Pengunungan")</f>
        <v>Papúa Pengunungan</v>
      </c>
      <c r="F2206" s="9" t="str">
        <f>IFERROR(__xludf.DUMMYFUNCTION("GOOGLETRANSLATE($A2206,""en"",""it"")"),"Papua Pengunungan")</f>
        <v>Papua Pengunungan</v>
      </c>
      <c r="G2206" s="9" t="str">
        <f>IFERROR(__xludf.DUMMYFUNCTION("GOOGLETRANSLATE($A2206,""en"",""zh-cn"")"),"巴布亚彭古农干岛")</f>
        <v>巴布亚彭古农干岛</v>
      </c>
      <c r="H2206" s="9" t="str">
        <f>IFERROR(__xludf.DUMMYFUNCTION("GOOGLETRANSLATE($A2206,""en"",""ja"")"),"パプア ペングヌンガン")</f>
        <v>パプア ペングヌンガン</v>
      </c>
      <c r="I2206" s="9" t="str">
        <f>IFERROR(__xludf.DUMMYFUNCTION("GOOGLETRANSLATE($A2206,""en"",""ko"")"),"파푸아 펭구눙안")</f>
        <v>파푸아 펭구눙안</v>
      </c>
      <c r="J2206" s="9" t="str">
        <f>IFERROR(__xludf.DUMMYFUNCTION("GOOGLETRANSLATE($A2206,""en"",""pt-BR"")"),"Papua Pengunungan")</f>
        <v>Papua Pengunungan</v>
      </c>
    </row>
    <row r="2207">
      <c r="A2207" s="9" t="str">
        <f>IFERROR(__xludf.DUMMYFUNCTION("""COMPUTED_VALUE"""),"Kalimantan Tengah")</f>
        <v>Kalimantan Tengah</v>
      </c>
      <c r="B2207" s="9" t="str">
        <f>IFERROR(__xludf.DUMMYFUNCTION("""COMPUTED_VALUE"""),"id-kt")</f>
        <v>id-kt</v>
      </c>
      <c r="C2207" s="9" t="str">
        <f>IFERROR(__xludf.DUMMYFUNCTION("GOOGLETRANSLATE($A2207,""en"",""de"")"),"Kalimantan Tengah")</f>
        <v>Kalimantan Tengah</v>
      </c>
      <c r="D2207" s="9" t="str">
        <f>IFERROR(__xludf.DUMMYFUNCTION("GOOGLETRANSLATE($A2207,""en"",""fr"")"),"Kalimantan Tengah")</f>
        <v>Kalimantan Tengah</v>
      </c>
      <c r="E2207" s="9" t="str">
        <f>IFERROR(__xludf.DUMMYFUNCTION("GOOGLETRANSLATE($A2207,""en"",""es"")"),"Kalimantan Tengah")</f>
        <v>Kalimantan Tengah</v>
      </c>
      <c r="F2207" s="9" t="str">
        <f>IFERROR(__xludf.DUMMYFUNCTION("GOOGLETRANSLATE($A2207,""en"",""it"")"),"Kalimantan Tengah")</f>
        <v>Kalimantan Tengah</v>
      </c>
      <c r="G2207" s="9" t="str">
        <f>IFERROR(__xludf.DUMMYFUNCTION("GOOGLETRANSLATE($A2207,""en"",""zh-cn"")"),"加里曼丹中央")</f>
        <v>加里曼丹中央</v>
      </c>
      <c r="H2207" s="9" t="str">
        <f>IFERROR(__xludf.DUMMYFUNCTION("GOOGLETRANSLATE($A2207,""en"",""ja"")"),"カリマンタン テンガ")</f>
        <v>カリマンタン テンガ</v>
      </c>
      <c r="I2207" s="9" t="str">
        <f>IFERROR(__xludf.DUMMYFUNCTION("GOOGLETRANSLATE($A2207,""en"",""ko"")"),"칼리만탄 텡가")</f>
        <v>칼리만탄 텡가</v>
      </c>
      <c r="J2207" s="9" t="str">
        <f>IFERROR(__xludf.DUMMYFUNCTION("GOOGLETRANSLATE($A2207,""en"",""pt-BR"")"),"Kalimantan Tengah")</f>
        <v>Kalimantan Tengah</v>
      </c>
    </row>
    <row r="2208">
      <c r="A2208" s="9" t="str">
        <f>IFERROR(__xludf.DUMMYFUNCTION("""COMPUTED_VALUE"""),"Nusa Tenggara Timur")</f>
        <v>Nusa Tenggara Timur</v>
      </c>
      <c r="B2208" s="9" t="str">
        <f>IFERROR(__xludf.DUMMYFUNCTION("""COMPUTED_VALUE"""),"id-nt")</f>
        <v>id-nt</v>
      </c>
      <c r="C2208" s="9" t="str">
        <f>IFERROR(__xludf.DUMMYFUNCTION("GOOGLETRANSLATE($A2208,""en"",""de"")"),"Nusa Tenggara Timur")</f>
        <v>Nusa Tenggara Timur</v>
      </c>
      <c r="D2208" s="9" t="str">
        <f>IFERROR(__xludf.DUMMYFUNCTION("GOOGLETRANSLATE($A2208,""en"",""fr"")"),"Nusa Tenggara Timur")</f>
        <v>Nusa Tenggara Timur</v>
      </c>
      <c r="E2208" s="9" t="str">
        <f>IFERROR(__xludf.DUMMYFUNCTION("GOOGLETRANSLATE($A2208,""en"",""es"")"),"Nusa Tenggara Timur")</f>
        <v>Nusa Tenggara Timur</v>
      </c>
      <c r="F2208" s="9" t="str">
        <f>IFERROR(__xludf.DUMMYFUNCTION("GOOGLETRANSLATE($A2208,""en"",""it"")"),"Nusa Tenggara Timur")</f>
        <v>Nusa Tenggara Timur</v>
      </c>
      <c r="G2208" s="9" t="str">
        <f>IFERROR(__xludf.DUMMYFUNCTION("GOOGLETRANSLATE($A2208,""en"",""zh-cn"")"),"东努沙登加拉")</f>
        <v>东努沙登加拉</v>
      </c>
      <c r="H2208" s="9" t="str">
        <f>IFERROR(__xludf.DUMMYFUNCTION("GOOGLETRANSLATE($A2208,""en"",""ja"")"),"ヌサ・トゥンガラ・ティムール")</f>
        <v>ヌサ・トゥンガラ・ティムール</v>
      </c>
      <c r="I2208" s="9" t="str">
        <f>IFERROR(__xludf.DUMMYFUNCTION("GOOGLETRANSLATE($A2208,""en"",""ko"")"),"누사 텡가라 티무르")</f>
        <v>누사 텡가라 티무르</v>
      </c>
      <c r="J2208" s="9" t="str">
        <f>IFERROR(__xludf.DUMMYFUNCTION("GOOGLETRANSLATE($A2208,""en"",""pt-BR"")"),"Nusa Tenggara Timur")</f>
        <v>Nusa Tenggara Timur</v>
      </c>
    </row>
    <row r="2209">
      <c r="A2209" s="9" t="str">
        <f>IFERROR(__xludf.DUMMYFUNCTION("""COMPUTED_VALUE"""),"Sulawesi Tenggara")</f>
        <v>Sulawesi Tenggara</v>
      </c>
      <c r="B2209" s="9" t="str">
        <f>IFERROR(__xludf.DUMMYFUNCTION("""COMPUTED_VALUE"""),"id-sg")</f>
        <v>id-sg</v>
      </c>
      <c r="C2209" s="9" t="str">
        <f>IFERROR(__xludf.DUMMYFUNCTION("GOOGLETRANSLATE($A2209,""en"",""de"")"),"Sulawesi Tenggara")</f>
        <v>Sulawesi Tenggara</v>
      </c>
      <c r="D2209" s="9" t="str">
        <f>IFERROR(__xludf.DUMMYFUNCTION("GOOGLETRANSLATE($A2209,""en"",""fr"")"),"Sulawesi Tenggara")</f>
        <v>Sulawesi Tenggara</v>
      </c>
      <c r="E2209" s="9" t="str">
        <f>IFERROR(__xludf.DUMMYFUNCTION("GOOGLETRANSLATE($A2209,""en"",""es"")"),"Tenggara de Sulawesi")</f>
        <v>Tenggara de Sulawesi</v>
      </c>
      <c r="F2209" s="9" t="str">
        <f>IFERROR(__xludf.DUMMYFUNCTION("GOOGLETRANSLATE($A2209,""en"",""it"")"),"Sulawesi Tenggara")</f>
        <v>Sulawesi Tenggara</v>
      </c>
      <c r="G2209" s="9" t="str">
        <f>IFERROR(__xludf.DUMMYFUNCTION("GOOGLETRANSLATE($A2209,""en"",""zh-cn"")"),"苏拉威西登加拉省")</f>
        <v>苏拉威西登加拉省</v>
      </c>
      <c r="H2209" s="9" t="str">
        <f>IFERROR(__xludf.DUMMYFUNCTION("GOOGLETRANSLATE($A2209,""en"",""ja"")"),"スラウェシ島トゥンガラ")</f>
        <v>スラウェシ島トゥンガラ</v>
      </c>
      <c r="I2209" s="9" t="str">
        <f>IFERROR(__xludf.DUMMYFUNCTION("GOOGLETRANSLATE($A2209,""en"",""ko"")"),"술라웨시 텡가라")</f>
        <v>술라웨시 텡가라</v>
      </c>
      <c r="J2209" s="9" t="str">
        <f>IFERROR(__xludf.DUMMYFUNCTION("GOOGLETRANSLATE($A2209,""en"",""pt-BR"")"),"Celebes Tenggara")</f>
        <v>Celebes Tenggara</v>
      </c>
    </row>
    <row r="2210">
      <c r="A2210" s="9" t="str">
        <f>IFERROR(__xludf.DUMMYFUNCTION("""COMPUTED_VALUE"""),"Sulawesi Selatan")</f>
        <v>Sulawesi Selatan</v>
      </c>
      <c r="B2210" s="9" t="str">
        <f>IFERROR(__xludf.DUMMYFUNCTION("""COMPUTED_VALUE"""),"id-sn")</f>
        <v>id-sn</v>
      </c>
      <c r="C2210" s="9" t="str">
        <f>IFERROR(__xludf.DUMMYFUNCTION("GOOGLETRANSLATE($A2210,""en"",""de"")"),"Sulawesi Selatan")</f>
        <v>Sulawesi Selatan</v>
      </c>
      <c r="D2210" s="9" t="str">
        <f>IFERROR(__xludf.DUMMYFUNCTION("GOOGLETRANSLATE($A2210,""en"",""fr"")"),"Sulawesi Selatan")</f>
        <v>Sulawesi Selatan</v>
      </c>
      <c r="E2210" s="9" t="str">
        <f>IFERROR(__xludf.DUMMYFUNCTION("GOOGLETRANSLATE($A2210,""en"",""es"")"),"Selatan de Sulawesi")</f>
        <v>Selatan de Sulawesi</v>
      </c>
      <c r="F2210" s="9" t="str">
        <f>IFERROR(__xludf.DUMMYFUNCTION("GOOGLETRANSLATE($A2210,""en"",""it"")"),"Sulawesi Selatan")</f>
        <v>Sulawesi Selatan</v>
      </c>
      <c r="G2210" s="9" t="str">
        <f>IFERROR(__xludf.DUMMYFUNCTION("GOOGLETRANSLATE($A2210,""en"",""zh-cn"")"),"苏拉威西南部")</f>
        <v>苏拉威西南部</v>
      </c>
      <c r="H2210" s="9" t="str">
        <f>IFERROR(__xludf.DUMMYFUNCTION("GOOGLETRANSLATE($A2210,""en"",""ja"")"),"スラウェシ島セラタン")</f>
        <v>スラウェシ島セラタン</v>
      </c>
      <c r="I2210" s="9" t="str">
        <f>IFERROR(__xludf.DUMMYFUNCTION("GOOGLETRANSLATE($A2210,""en"",""ko"")"),"술라웨시 셀라탄")</f>
        <v>술라웨시 셀라탄</v>
      </c>
      <c r="J2210" s="9" t="str">
        <f>IFERROR(__xludf.DUMMYFUNCTION("GOOGLETRANSLATE($A2210,""en"",""pt-BR"")"),"Sulawesi Selatan")</f>
        <v>Sulawesi Selatan</v>
      </c>
    </row>
    <row r="2211">
      <c r="A2211" s="9" t="str">
        <f>IFERROR(__xludf.DUMMYFUNCTION("""COMPUTED_VALUE"""),"Lampung")</f>
        <v>Lampung</v>
      </c>
      <c r="B2211" s="9" t="str">
        <f>IFERROR(__xludf.DUMMYFUNCTION("""COMPUTED_VALUE"""),"id-la")</f>
        <v>id-la</v>
      </c>
      <c r="C2211" s="9" t="str">
        <f>IFERROR(__xludf.DUMMYFUNCTION("GOOGLETRANSLATE($A2211,""en"",""de"")"),"Lampung")</f>
        <v>Lampung</v>
      </c>
      <c r="D2211" s="9" t="str">
        <f>IFERROR(__xludf.DUMMYFUNCTION("GOOGLETRANSLATE($A2211,""en"",""fr"")"),"Lampung")</f>
        <v>Lampung</v>
      </c>
      <c r="E2211" s="9" t="str">
        <f>IFERROR(__xludf.DUMMYFUNCTION("GOOGLETRANSLATE($A2211,""en"",""es"")"),"Lampung")</f>
        <v>Lampung</v>
      </c>
      <c r="F2211" s="9" t="str">
        <f>IFERROR(__xludf.DUMMYFUNCTION("GOOGLETRANSLATE($A2211,""en"",""it"")"),"Lampung")</f>
        <v>Lampung</v>
      </c>
      <c r="G2211" s="9" t="str">
        <f>IFERROR(__xludf.DUMMYFUNCTION("GOOGLETRANSLATE($A2211,""en"",""zh-cn"")"),"楠榜")</f>
        <v>楠榜</v>
      </c>
      <c r="H2211" s="9" t="str">
        <f>IFERROR(__xludf.DUMMYFUNCTION("GOOGLETRANSLATE($A2211,""en"",""ja"")"),"ランプン")</f>
        <v>ランプン</v>
      </c>
      <c r="I2211" s="9" t="str">
        <f>IFERROR(__xludf.DUMMYFUNCTION("GOOGLETRANSLATE($A2211,""en"",""ko"")"),"람풍")</f>
        <v>람풍</v>
      </c>
      <c r="J2211" s="9" t="str">
        <f>IFERROR(__xludf.DUMMYFUNCTION("GOOGLETRANSLATE($A2211,""en"",""pt-BR"")"),"Lampung")</f>
        <v>Lampung</v>
      </c>
    </row>
    <row r="2212">
      <c r="A2212" s="9" t="str">
        <f>IFERROR(__xludf.DUMMYFUNCTION("""COMPUTED_VALUE"""),"Maluku Utara")</f>
        <v>Maluku Utara</v>
      </c>
      <c r="B2212" s="9" t="str">
        <f>IFERROR(__xludf.DUMMYFUNCTION("""COMPUTED_VALUE"""),"id-mu")</f>
        <v>id-mu</v>
      </c>
      <c r="C2212" s="9" t="str">
        <f>IFERROR(__xludf.DUMMYFUNCTION("GOOGLETRANSLATE($A2212,""en"",""de"")"),"Maluku Utara")</f>
        <v>Maluku Utara</v>
      </c>
      <c r="D2212" s="9" t="str">
        <f>IFERROR(__xludf.DUMMYFUNCTION("GOOGLETRANSLATE($A2212,""en"",""fr"")"),"Moluques Utara")</f>
        <v>Moluques Utara</v>
      </c>
      <c r="E2212" s="9" t="str">
        <f>IFERROR(__xludf.DUMMYFUNCTION("GOOGLETRANSLATE($A2212,""en"",""es"")"),"Molucas Utara")</f>
        <v>Molucas Utara</v>
      </c>
      <c r="F2212" s="9" t="str">
        <f>IFERROR(__xludf.DUMMYFUNCTION("GOOGLETRANSLATE($A2212,""en"",""it"")"),"Maluku Utara")</f>
        <v>Maluku Utara</v>
      </c>
      <c r="G2212" s="9" t="str">
        <f>IFERROR(__xludf.DUMMYFUNCTION("GOOGLETRANSLATE($A2212,""en"",""zh-cn"")"),"马鲁古北")</f>
        <v>马鲁古北</v>
      </c>
      <c r="H2212" s="9" t="str">
        <f>IFERROR(__xludf.DUMMYFUNCTION("GOOGLETRANSLATE($A2212,""en"",""ja"")"),"マルク・ウタラ")</f>
        <v>マルク・ウタラ</v>
      </c>
      <c r="I2212" s="9" t="str">
        <f>IFERROR(__xludf.DUMMYFUNCTION("GOOGLETRANSLATE($A2212,""en"",""ko"")"),"말루쿠 우타라")</f>
        <v>말루쿠 우타라</v>
      </c>
      <c r="J2212" s="9" t="str">
        <f>IFERROR(__xludf.DUMMYFUNCTION("GOOGLETRANSLATE($A2212,""en"",""pt-BR"")"),"Maluku Utara")</f>
        <v>Maluku Utara</v>
      </c>
    </row>
    <row r="2213">
      <c r="A2213" s="9" t="str">
        <f>IFERROR(__xludf.DUMMYFUNCTION("""COMPUTED_VALUE"""),"Papua Province")</f>
        <v>Papua Province</v>
      </c>
      <c r="B2213" s="9" t="str">
        <f>IFERROR(__xludf.DUMMYFUNCTION("""COMPUTED_VALUE"""),"id-pa")</f>
        <v>id-pa</v>
      </c>
      <c r="C2213" s="9" t="str">
        <f>IFERROR(__xludf.DUMMYFUNCTION("GOOGLETRANSLATE($A2213,""en"",""de"")"),"Provinz Papua")</f>
        <v>Provinz Papua</v>
      </c>
      <c r="D2213" s="9" t="str">
        <f>IFERROR(__xludf.DUMMYFUNCTION("GOOGLETRANSLATE($A2213,""en"",""fr"")"),"Province de Papouasie")</f>
        <v>Province de Papouasie</v>
      </c>
      <c r="E2213" s="9" t="str">
        <f>IFERROR(__xludf.DUMMYFUNCTION("GOOGLETRANSLATE($A2213,""en"",""es"")"),"Provincia de Papúa")</f>
        <v>Provincia de Papúa</v>
      </c>
      <c r="F2213" s="9" t="str">
        <f>IFERROR(__xludf.DUMMYFUNCTION("GOOGLETRANSLATE($A2213,""en"",""it"")"),"Provincia di Papua")</f>
        <v>Provincia di Papua</v>
      </c>
      <c r="G2213" s="9" t="str">
        <f>IFERROR(__xludf.DUMMYFUNCTION("GOOGLETRANSLATE($A2213,""en"",""zh-cn"")"),"巴布亚省")</f>
        <v>巴布亚省</v>
      </c>
      <c r="H2213" s="9" t="str">
        <f>IFERROR(__xludf.DUMMYFUNCTION("GOOGLETRANSLATE($A2213,""en"",""ja"")"),"パプア州")</f>
        <v>パプア州</v>
      </c>
      <c r="I2213" s="9" t="str">
        <f>IFERROR(__xludf.DUMMYFUNCTION("GOOGLETRANSLATE($A2213,""en"",""ko"")"),"파푸아 주")</f>
        <v>파푸아 주</v>
      </c>
      <c r="J2213" s="9" t="str">
        <f>IFERROR(__xludf.DUMMYFUNCTION("GOOGLETRANSLATE($A2213,""en"",""pt-BR"")"),"Província de Papua")</f>
        <v>Província de Papua</v>
      </c>
    </row>
    <row r="2214">
      <c r="A2214" s="9" t="str">
        <f>IFERROR(__xludf.DUMMYFUNCTION("""COMPUTED_VALUE"""),"Maluku")</f>
        <v>Maluku</v>
      </c>
      <c r="B2214" s="9" t="str">
        <f>IFERROR(__xludf.DUMMYFUNCTION("""COMPUTED_VALUE"""),"id-ml")</f>
        <v>id-ml</v>
      </c>
      <c r="C2214" s="9" t="str">
        <f>IFERROR(__xludf.DUMMYFUNCTION("GOOGLETRANSLATE($A2214,""en"",""de"")"),"Maluku")</f>
        <v>Maluku</v>
      </c>
      <c r="D2214" s="9" t="str">
        <f>IFERROR(__xludf.DUMMYFUNCTION("GOOGLETRANSLATE($A2214,""en"",""fr"")"),"Moluques")</f>
        <v>Moluques</v>
      </c>
      <c r="E2214" s="9" t="str">
        <f>IFERROR(__xludf.DUMMYFUNCTION("GOOGLETRANSLATE($A2214,""en"",""es"")"),"Molucas")</f>
        <v>Molucas</v>
      </c>
      <c r="F2214" s="9" t="str">
        <f>IFERROR(__xludf.DUMMYFUNCTION("GOOGLETRANSLATE($A2214,""en"",""it"")"),"Molucche")</f>
        <v>Molucche</v>
      </c>
      <c r="G2214" s="9" t="str">
        <f>IFERROR(__xludf.DUMMYFUNCTION("GOOGLETRANSLATE($A2214,""en"",""zh-cn"")"),"马鲁古")</f>
        <v>马鲁古</v>
      </c>
      <c r="H2214" s="9" t="str">
        <f>IFERROR(__xludf.DUMMYFUNCTION("GOOGLETRANSLATE($A2214,""en"",""ja"")"),"マルク")</f>
        <v>マルク</v>
      </c>
      <c r="I2214" s="9" t="str">
        <f>IFERROR(__xludf.DUMMYFUNCTION("GOOGLETRANSLATE($A2214,""en"",""ko"")"),"말루쿠")</f>
        <v>말루쿠</v>
      </c>
      <c r="J2214" s="9" t="str">
        <f>IFERROR(__xludf.DUMMYFUNCTION("GOOGLETRANSLATE($A2214,""en"",""pt-BR"")"),"Malucas")</f>
        <v>Malucas</v>
      </c>
    </row>
    <row r="2215">
      <c r="A2215" s="9" t="str">
        <f>IFERROR(__xludf.DUMMYFUNCTION("""COMPUTED_VALUE"""),"Sulawesi Tengah")</f>
        <v>Sulawesi Tengah</v>
      </c>
      <c r="B2215" s="9" t="str">
        <f>IFERROR(__xludf.DUMMYFUNCTION("""COMPUTED_VALUE"""),"id-st")</f>
        <v>id-st</v>
      </c>
      <c r="C2215" s="9" t="str">
        <f>IFERROR(__xludf.DUMMYFUNCTION("GOOGLETRANSLATE($A2215,""en"",""de"")"),"Sulawesi Tengah")</f>
        <v>Sulawesi Tengah</v>
      </c>
      <c r="D2215" s="9" t="str">
        <f>IFERROR(__xludf.DUMMYFUNCTION("GOOGLETRANSLATE($A2215,""en"",""fr"")"),"Sulawesi Tengah")</f>
        <v>Sulawesi Tengah</v>
      </c>
      <c r="E2215" s="9" t="str">
        <f>IFERROR(__xludf.DUMMYFUNCTION("GOOGLETRANSLATE($A2215,""en"",""es"")"),"Tengah Célebes")</f>
        <v>Tengah Célebes</v>
      </c>
      <c r="F2215" s="9" t="str">
        <f>IFERROR(__xludf.DUMMYFUNCTION("GOOGLETRANSLATE($A2215,""en"",""it"")"),"Sulawesi Tengah")</f>
        <v>Sulawesi Tengah</v>
      </c>
      <c r="G2215" s="9" t="str">
        <f>IFERROR(__xludf.DUMMYFUNCTION("GOOGLETRANSLATE($A2215,""en"",""zh-cn"")"),"苏拉威西登加")</f>
        <v>苏拉威西登加</v>
      </c>
      <c r="H2215" s="9" t="str">
        <f>IFERROR(__xludf.DUMMYFUNCTION("GOOGLETRANSLATE($A2215,""en"",""ja"")"),"スラウェシ テンガ")</f>
        <v>スラウェシ テンガ</v>
      </c>
      <c r="I2215" s="9" t="str">
        <f>IFERROR(__xludf.DUMMYFUNCTION("GOOGLETRANSLATE($A2215,""en"",""ko"")"),"술라웨시 텡가")</f>
        <v>술라웨시 텡가</v>
      </c>
      <c r="J2215" s="9" t="str">
        <f>IFERROR(__xludf.DUMMYFUNCTION("GOOGLETRANSLATE($A2215,""en"",""pt-BR"")"),"Celebes Tengah")</f>
        <v>Celebes Tengah</v>
      </c>
    </row>
    <row r="2216">
      <c r="A2216" s="9" t="str">
        <f>IFERROR(__xludf.DUMMYFUNCTION("""COMPUTED_VALUE"""),"Kepulauan Bangka Belitung")</f>
        <v>Kepulauan Bangka Belitung</v>
      </c>
      <c r="B2216" s="9" t="str">
        <f>IFERROR(__xludf.DUMMYFUNCTION("""COMPUTED_VALUE"""),"id-bb")</f>
        <v>id-bb</v>
      </c>
      <c r="C2216" s="9" t="str">
        <f>IFERROR(__xludf.DUMMYFUNCTION("GOOGLETRANSLATE($A2216,""en"",""de"")"),"Kepulauan Bangka Belitung")</f>
        <v>Kepulauan Bangka Belitung</v>
      </c>
      <c r="D2216" s="9" t="str">
        <f>IFERROR(__xludf.DUMMYFUNCTION("GOOGLETRANSLATE($A2216,""en"",""fr"")"),"Îles Kepulauan Bangka Belitung")</f>
        <v>Îles Kepulauan Bangka Belitung</v>
      </c>
      <c r="E2216" s="9" t="str">
        <f>IFERROR(__xludf.DUMMYFUNCTION("GOOGLETRANSLATE($A2216,""en"",""es"")"),"Kepulauan Bangka Belitung")</f>
        <v>Kepulauan Bangka Belitung</v>
      </c>
      <c r="F2216" s="9" t="str">
        <f>IFERROR(__xludf.DUMMYFUNCTION("GOOGLETRANSLATE($A2216,""en"",""it"")"),"Kepulauan Bangka Belitung")</f>
        <v>Kepulauan Bangka Belitung</v>
      </c>
      <c r="G2216" s="9" t="str">
        <f>IFERROR(__xludf.DUMMYFUNCTION("GOOGLETRANSLATE($A2216,""en"",""zh-cn"")"),"勿里洞岛邦加岛")</f>
        <v>勿里洞岛邦加岛</v>
      </c>
      <c r="H2216" s="9" t="str">
        <f>IFERROR(__xludf.DUMMYFUNCTION("GOOGLETRANSLATE($A2216,""en"",""ja"")"),"ケプラアン バンカ ブリトゥン")</f>
        <v>ケプラアン バンカ ブリトゥン</v>
      </c>
      <c r="I2216" s="9" t="str">
        <f>IFERROR(__xludf.DUMMYFUNCTION("GOOGLETRANSLATE($A2216,""en"",""ko"")"),"케풀라우안 방카 벨리퉁")</f>
        <v>케풀라우안 방카 벨리퉁</v>
      </c>
      <c r="J2216" s="9" t="str">
        <f>IFERROR(__xludf.DUMMYFUNCTION("GOOGLETRANSLATE($A2216,""en"",""pt-BR"")"),"Kepulauan Bangka Belitung")</f>
        <v>Kepulauan Bangka Belitung</v>
      </c>
    </row>
    <row r="2217">
      <c r="A2217" s="9" t="str">
        <f>IFERROR(__xludf.DUMMYFUNCTION("""COMPUTED_VALUE"""),"Irian Jaya")</f>
        <v>Irian Jaya</v>
      </c>
      <c r="B2217" s="9" t="str">
        <f>IFERROR(__xludf.DUMMYFUNCTION("""COMPUTED_VALUE"""),"id-ij")</f>
        <v>id-ij</v>
      </c>
      <c r="C2217" s="9" t="str">
        <f>IFERROR(__xludf.DUMMYFUNCTION("GOOGLETRANSLATE($A2217,""en"",""de"")"),"Irian Jaya")</f>
        <v>Irian Jaya</v>
      </c>
      <c r="D2217" s="9" t="str">
        <f>IFERROR(__xludf.DUMMYFUNCTION("GOOGLETRANSLATE($A2217,""en"",""fr"")"),"Irian Jaya")</f>
        <v>Irian Jaya</v>
      </c>
      <c r="E2217" s="9" t="str">
        <f>IFERROR(__xludf.DUMMYFUNCTION("GOOGLETRANSLATE($A2217,""en"",""es"")"),"Irian Jaya")</f>
        <v>Irian Jaya</v>
      </c>
      <c r="F2217" s="9" t="str">
        <f>IFERROR(__xludf.DUMMYFUNCTION("GOOGLETRANSLATE($A2217,""en"",""it"")"),"Irian Jaya")</f>
        <v>Irian Jaya</v>
      </c>
      <c r="G2217" s="9" t="str">
        <f>IFERROR(__xludf.DUMMYFUNCTION("GOOGLETRANSLATE($A2217,""en"",""zh-cn"")"),"伊里安·贾亚")</f>
        <v>伊里安·贾亚</v>
      </c>
      <c r="H2217" s="9" t="str">
        <f>IFERROR(__xludf.DUMMYFUNCTION("GOOGLETRANSLATE($A2217,""en"",""ja"")"),"イリアン・ジャヤ")</f>
        <v>イリアン・ジャヤ</v>
      </c>
      <c r="I2217" s="9" t="str">
        <f>IFERROR(__xludf.DUMMYFUNCTION("GOOGLETRANSLATE($A2217,""en"",""ko"")"),"이리안 자야")</f>
        <v>이리안 자야</v>
      </c>
      <c r="J2217" s="9" t="str">
        <f>IFERROR(__xludf.DUMMYFUNCTION("GOOGLETRANSLATE($A2217,""en"",""pt-BR"")"),"Irian Jaya")</f>
        <v>Irian Jaya</v>
      </c>
    </row>
    <row r="2218">
      <c r="A2218" s="9" t="str">
        <f>IFERROR(__xludf.DUMMYFUNCTION("""COMPUTED_VALUE"""),"Papua Barat Daya")</f>
        <v>Papua Barat Daya</v>
      </c>
      <c r="B2218" s="9" t="str">
        <f>IFERROR(__xludf.DUMMYFUNCTION("""COMPUTED_VALUE"""),"id-pd")</f>
        <v>id-pd</v>
      </c>
      <c r="C2218" s="9" t="str">
        <f>IFERROR(__xludf.DUMMYFUNCTION("GOOGLETRANSLATE($A2218,""en"",""de"")"),"Papua Barat Daya")</f>
        <v>Papua Barat Daya</v>
      </c>
      <c r="D2218" s="9" t="str">
        <f>IFERROR(__xludf.DUMMYFUNCTION("GOOGLETRANSLATE($A2218,""en"",""fr"")"),"Papouasie Barat Daya")</f>
        <v>Papouasie Barat Daya</v>
      </c>
      <c r="E2218" s="9" t="str">
        <f>IFERROR(__xludf.DUMMYFUNCTION("GOOGLETRANSLATE($A2218,""en"",""es"")"),"Papúa Barat Daya")</f>
        <v>Papúa Barat Daya</v>
      </c>
      <c r="F2218" s="9" t="str">
        <f>IFERROR(__xludf.DUMMYFUNCTION("GOOGLETRANSLATE($A2218,""en"",""it"")"),"Papua Barat Daya")</f>
        <v>Papua Barat Daya</v>
      </c>
      <c r="G2218" s="9" t="str">
        <f>IFERROR(__xludf.DUMMYFUNCTION("GOOGLETRANSLATE($A2218,""en"",""zh-cn"")"),"巴布亚巴拉特达亚")</f>
        <v>巴布亚巴拉特达亚</v>
      </c>
      <c r="H2218" s="9" t="str">
        <f>IFERROR(__xludf.DUMMYFUNCTION("GOOGLETRANSLATE($A2218,""en"",""ja"")"),"パプア バラット ダヤ")</f>
        <v>パプア バラット ダヤ</v>
      </c>
      <c r="I2218" s="9" t="str">
        <f>IFERROR(__xludf.DUMMYFUNCTION("GOOGLETRANSLATE($A2218,""en"",""ko"")"),"파푸아 바라트 다야")</f>
        <v>파푸아 바라트 다야</v>
      </c>
      <c r="J2218" s="9" t="str">
        <f>IFERROR(__xludf.DUMMYFUNCTION("GOOGLETRANSLATE($A2218,""en"",""pt-BR"")"),"Papua Barat Daya")</f>
        <v>Papua Barat Daya</v>
      </c>
    </row>
    <row r="2219">
      <c r="A2219" s="9" t="str">
        <f>IFERROR(__xludf.DUMMYFUNCTION("""COMPUTED_VALUE"""),"Kalimantan Barat")</f>
        <v>Kalimantan Barat</v>
      </c>
      <c r="B2219" s="9" t="str">
        <f>IFERROR(__xludf.DUMMYFUNCTION("""COMPUTED_VALUE"""),"id-kb")</f>
        <v>id-kb</v>
      </c>
      <c r="C2219" s="9" t="str">
        <f>IFERROR(__xludf.DUMMYFUNCTION("GOOGLETRANSLATE($A2219,""en"",""de"")"),"Kalimantan Barat")</f>
        <v>Kalimantan Barat</v>
      </c>
      <c r="D2219" s="9" t="str">
        <f>IFERROR(__xludf.DUMMYFUNCTION("GOOGLETRANSLATE($A2219,""en"",""fr"")"),"Kalimantan-Barat")</f>
        <v>Kalimantan-Barat</v>
      </c>
      <c r="E2219" s="9" t="str">
        <f>IFERROR(__xludf.DUMMYFUNCTION("GOOGLETRANSLATE($A2219,""en"",""es"")"),"Kalimantan Barat")</f>
        <v>Kalimantan Barat</v>
      </c>
      <c r="F2219" s="9" t="str">
        <f>IFERROR(__xludf.DUMMYFUNCTION("GOOGLETRANSLATE($A2219,""en"",""it"")"),"Kalimantan Barat")</f>
        <v>Kalimantan Barat</v>
      </c>
      <c r="G2219" s="9" t="str">
        <f>IFERROR(__xludf.DUMMYFUNCTION("GOOGLETRANSLATE($A2219,""en"",""zh-cn"")"),"加里曼丹巴拉特")</f>
        <v>加里曼丹巴拉特</v>
      </c>
      <c r="H2219" s="9" t="str">
        <f>IFERROR(__xludf.DUMMYFUNCTION("GOOGLETRANSLATE($A2219,""en"",""ja"")"),"カリマンタン バラット")</f>
        <v>カリマンタン バラット</v>
      </c>
      <c r="I2219" s="9" t="str">
        <f>IFERROR(__xludf.DUMMYFUNCTION("GOOGLETRANSLATE($A2219,""en"",""ko"")"),"칼리만탄 바라트")</f>
        <v>칼리만탄 바라트</v>
      </c>
      <c r="J2219" s="9" t="str">
        <f>IFERROR(__xludf.DUMMYFUNCTION("GOOGLETRANSLATE($A2219,""en"",""pt-BR"")"),"Kalimantan Barat")</f>
        <v>Kalimantan Barat</v>
      </c>
    </row>
    <row r="2220">
      <c r="A2220" s="9" t="str">
        <f>IFERROR(__xludf.DUMMYFUNCTION("""COMPUTED_VALUE"""),"Papua Barat")</f>
        <v>Papua Barat</v>
      </c>
      <c r="B2220" s="9" t="str">
        <f>IFERROR(__xludf.DUMMYFUNCTION("""COMPUTED_VALUE"""),"id-pb")</f>
        <v>id-pb</v>
      </c>
      <c r="C2220" s="9" t="str">
        <f>IFERROR(__xludf.DUMMYFUNCTION("GOOGLETRANSLATE($A2220,""en"",""de"")"),"Papua-Barat")</f>
        <v>Papua-Barat</v>
      </c>
      <c r="D2220" s="9" t="str">
        <f>IFERROR(__xludf.DUMMYFUNCTION("GOOGLETRANSLATE($A2220,""en"",""fr"")"),"Papouasie Barat")</f>
        <v>Papouasie Barat</v>
      </c>
      <c r="E2220" s="9" t="str">
        <f>IFERROR(__xludf.DUMMYFUNCTION("GOOGLETRANSLATE($A2220,""en"",""es"")"),"Papúa Barat")</f>
        <v>Papúa Barat</v>
      </c>
      <c r="F2220" s="9" t="str">
        <f>IFERROR(__xludf.DUMMYFUNCTION("GOOGLETRANSLATE($A2220,""en"",""it"")"),"Papua Barat")</f>
        <v>Papua Barat</v>
      </c>
      <c r="G2220" s="9" t="str">
        <f>IFERROR(__xludf.DUMMYFUNCTION("GOOGLETRANSLATE($A2220,""en"",""zh-cn"")"),"巴布亚巴拉特")</f>
        <v>巴布亚巴拉特</v>
      </c>
      <c r="H2220" s="9" t="str">
        <f>IFERROR(__xludf.DUMMYFUNCTION("GOOGLETRANSLATE($A2220,""en"",""ja"")"),"パプア バラット")</f>
        <v>パプア バラット</v>
      </c>
      <c r="I2220" s="9" t="str">
        <f>IFERROR(__xludf.DUMMYFUNCTION("GOOGLETRANSLATE($A2220,""en"",""ko"")"),"파푸아바라트")</f>
        <v>파푸아바라트</v>
      </c>
      <c r="J2220" s="9" t="str">
        <f>IFERROR(__xludf.DUMMYFUNCTION("GOOGLETRANSLATE($A2220,""en"",""pt-BR"")"),"Papua Barat")</f>
        <v>Papua Barat</v>
      </c>
    </row>
    <row r="2221">
      <c r="A2221" s="9" t="str">
        <f>IFERROR(__xludf.DUMMYFUNCTION("""COMPUTED_VALUE"""),"Banten")</f>
        <v>Banten</v>
      </c>
      <c r="B2221" s="9" t="str">
        <f>IFERROR(__xludf.DUMMYFUNCTION("""COMPUTED_VALUE"""),"id-bt")</f>
        <v>id-bt</v>
      </c>
      <c r="C2221" s="9" t="str">
        <f>IFERROR(__xludf.DUMMYFUNCTION("GOOGLETRANSLATE($A2221,""en"",""de"")"),"Banten")</f>
        <v>Banten</v>
      </c>
      <c r="D2221" s="9" t="str">
        <f>IFERROR(__xludf.DUMMYFUNCTION("GOOGLETRANSLATE($A2221,""en"",""fr"")"),"Banten")</f>
        <v>Banten</v>
      </c>
      <c r="E2221" s="9" t="str">
        <f>IFERROR(__xludf.DUMMYFUNCTION("GOOGLETRANSLATE($A2221,""en"",""es"")"),"Bantén")</f>
        <v>Bantén</v>
      </c>
      <c r="F2221" s="9" t="str">
        <f>IFERROR(__xludf.DUMMYFUNCTION("GOOGLETRANSLATE($A2221,""en"",""it"")"),"Banten")</f>
        <v>Banten</v>
      </c>
      <c r="G2221" s="9" t="str">
        <f>IFERROR(__xludf.DUMMYFUNCTION("GOOGLETRANSLATE($A2221,""en"",""zh-cn"")"),"万丹")</f>
        <v>万丹</v>
      </c>
      <c r="H2221" s="9" t="str">
        <f>IFERROR(__xludf.DUMMYFUNCTION("GOOGLETRANSLATE($A2221,""en"",""ja"")"),"バンテン")</f>
        <v>バンテン</v>
      </c>
      <c r="I2221" s="9" t="str">
        <f>IFERROR(__xludf.DUMMYFUNCTION("GOOGLETRANSLATE($A2221,""en"",""ko"")"),"반텐")</f>
        <v>반텐</v>
      </c>
      <c r="J2221" s="9" t="str">
        <f>IFERROR(__xludf.DUMMYFUNCTION("GOOGLETRANSLATE($A2221,""en"",""pt-BR"")"),"Banten")</f>
        <v>Banten</v>
      </c>
    </row>
    <row r="2222">
      <c r="A2222" s="9" t="str">
        <f>IFERROR(__xludf.DUMMYFUNCTION("""COMPUTED_VALUE"""),"Kalimantan Selatan")</f>
        <v>Kalimantan Selatan</v>
      </c>
      <c r="B2222" s="9" t="str">
        <f>IFERROR(__xludf.DUMMYFUNCTION("""COMPUTED_VALUE"""),"id-ks")</f>
        <v>id-ks</v>
      </c>
      <c r="C2222" s="9" t="str">
        <f>IFERROR(__xludf.DUMMYFUNCTION("GOOGLETRANSLATE($A2222,""en"",""de"")"),"Kalimantan Selatan")</f>
        <v>Kalimantan Selatan</v>
      </c>
      <c r="D2222" s="9" t="str">
        <f>IFERROR(__xludf.DUMMYFUNCTION("GOOGLETRANSLATE($A2222,""en"",""fr"")"),"Kalimantan Selatan")</f>
        <v>Kalimantan Selatan</v>
      </c>
      <c r="E2222" s="9" t="str">
        <f>IFERROR(__xludf.DUMMYFUNCTION("GOOGLETRANSLATE($A2222,""en"",""es"")"),"Kalimantan-Selatan")</f>
        <v>Kalimantan-Selatan</v>
      </c>
      <c r="F2222" s="9" t="str">
        <f>IFERROR(__xludf.DUMMYFUNCTION("GOOGLETRANSLATE($A2222,""en"",""it"")"),"Kalimantan Selatan")</f>
        <v>Kalimantan Selatan</v>
      </c>
      <c r="G2222" s="9" t="str">
        <f>IFERROR(__xludf.DUMMYFUNCTION("GOOGLETRANSLATE($A2222,""en"",""zh-cn"")"),"加里曼丹南区")</f>
        <v>加里曼丹南区</v>
      </c>
      <c r="H2222" s="9" t="str">
        <f>IFERROR(__xludf.DUMMYFUNCTION("GOOGLETRANSLATE($A2222,""en"",""ja"")"),"カリマンタン スラタン")</f>
        <v>カリマンタン スラタン</v>
      </c>
      <c r="I2222" s="9" t="str">
        <f>IFERROR(__xludf.DUMMYFUNCTION("GOOGLETRANSLATE($A2222,""en"",""ko"")"),"칼리만탄 셀라탄")</f>
        <v>칼리만탄 셀라탄</v>
      </c>
      <c r="J2222" s="9" t="str">
        <f>IFERROR(__xludf.DUMMYFUNCTION("GOOGLETRANSLATE($A2222,""en"",""pt-BR"")"),"Kalimantan Selatan")</f>
        <v>Kalimantan Selatan</v>
      </c>
    </row>
    <row r="2223">
      <c r="A2223" s="9" t="str">
        <f>IFERROR(__xludf.DUMMYFUNCTION("""COMPUTED_VALUE"""),"Sumatera Utara")</f>
        <v>Sumatera Utara</v>
      </c>
      <c r="B2223" s="9" t="str">
        <f>IFERROR(__xludf.DUMMYFUNCTION("""COMPUTED_VALUE"""),"id-su")</f>
        <v>id-su</v>
      </c>
      <c r="C2223" s="9" t="str">
        <f>IFERROR(__xludf.DUMMYFUNCTION("GOOGLETRANSLATE($A2223,""en"",""de"")"),"Sumatera Utara")</f>
        <v>Sumatera Utara</v>
      </c>
      <c r="D2223" s="9" t="str">
        <f>IFERROR(__xludf.DUMMYFUNCTION("GOOGLETRANSLATE($A2223,""en"",""fr"")"),"Sumatra Utara")</f>
        <v>Sumatra Utara</v>
      </c>
      <c r="E2223" s="9" t="str">
        <f>IFERROR(__xludf.DUMMYFUNCTION("GOOGLETRANSLATE($A2223,""en"",""es"")"),"Sumatra Utara")</f>
        <v>Sumatra Utara</v>
      </c>
      <c r="F2223" s="9" t="str">
        <f>IFERROR(__xludf.DUMMYFUNCTION("GOOGLETRANSLATE($A2223,""en"",""it"")"),"Sumatra Utara")</f>
        <v>Sumatra Utara</v>
      </c>
      <c r="G2223" s="9" t="str">
        <f>IFERROR(__xludf.DUMMYFUNCTION("GOOGLETRANSLATE($A2223,""en"",""zh-cn"")"),"北苏门答腊")</f>
        <v>北苏门答腊</v>
      </c>
      <c r="H2223" s="9" t="str">
        <f>IFERROR(__xludf.DUMMYFUNCTION("GOOGLETRANSLATE($A2223,""en"",""ja"")"),"スマトラウタラ")</f>
        <v>スマトラウタラ</v>
      </c>
      <c r="I2223" s="9" t="str">
        <f>IFERROR(__xludf.DUMMYFUNCTION("GOOGLETRANSLATE($A2223,""en"",""ko"")"),"수마트라 우타라")</f>
        <v>수마트라 우타라</v>
      </c>
      <c r="J2223" s="9" t="str">
        <f>IFERROR(__xludf.DUMMYFUNCTION("GOOGLETRANSLATE($A2223,""en"",""pt-BR"")"),"Sumatra Utara")</f>
        <v>Sumatra Utara</v>
      </c>
    </row>
    <row r="2224">
      <c r="A2224" s="9" t="str">
        <f>IFERROR(__xludf.DUMMYFUNCTION("""COMPUTED_VALUE"""),"Jambi")</f>
        <v>Jambi</v>
      </c>
      <c r="B2224" s="9" t="str">
        <f>IFERROR(__xludf.DUMMYFUNCTION("""COMPUTED_VALUE"""),"id-ja")</f>
        <v>id-ja</v>
      </c>
      <c r="C2224" s="9" t="str">
        <f>IFERROR(__xludf.DUMMYFUNCTION("GOOGLETRANSLATE($A2224,""en"",""de"")"),"Jambi")</f>
        <v>Jambi</v>
      </c>
      <c r="D2224" s="9" t="str">
        <f>IFERROR(__xludf.DUMMYFUNCTION("GOOGLETRANSLATE($A2224,""en"",""fr"")"),"Jambi")</f>
        <v>Jambi</v>
      </c>
      <c r="E2224" s="9" t="str">
        <f>IFERROR(__xludf.DUMMYFUNCTION("GOOGLETRANSLATE($A2224,""en"",""es"")"),"Jambi")</f>
        <v>Jambi</v>
      </c>
      <c r="F2224" s="9" t="str">
        <f>IFERROR(__xludf.DUMMYFUNCTION("GOOGLETRANSLATE($A2224,""en"",""it"")"),"Jambi")</f>
        <v>Jambi</v>
      </c>
      <c r="G2224" s="9" t="str">
        <f>IFERROR(__xludf.DUMMYFUNCTION("GOOGLETRANSLATE($A2224,""en"",""zh-cn"")"),"占碑")</f>
        <v>占碑</v>
      </c>
      <c r="H2224" s="9" t="str">
        <f>IFERROR(__xludf.DUMMYFUNCTION("GOOGLETRANSLATE($A2224,""en"",""ja"")"),"ジャンビ")</f>
        <v>ジャンビ</v>
      </c>
      <c r="I2224" s="9" t="str">
        <f>IFERROR(__xludf.DUMMYFUNCTION("GOOGLETRANSLATE($A2224,""en"",""ko"")"),"잠비")</f>
        <v>잠비</v>
      </c>
      <c r="J2224" s="9" t="str">
        <f>IFERROR(__xludf.DUMMYFUNCTION("GOOGLETRANSLATE($A2224,""en"",""pt-BR"")"),"Jambi")</f>
        <v>Jambi</v>
      </c>
    </row>
    <row r="2225">
      <c r="A2225" s="9" t="str">
        <f>IFERROR(__xludf.DUMMYFUNCTION("""COMPUTED_VALUE"""),"Papua")</f>
        <v>Papua</v>
      </c>
      <c r="B2225" s="9" t="str">
        <f>IFERROR(__xludf.DUMMYFUNCTION("""COMPUTED_VALUE"""),"id-pp")</f>
        <v>id-pp</v>
      </c>
      <c r="C2225" s="9" t="str">
        <f>IFERROR(__xludf.DUMMYFUNCTION("GOOGLETRANSLATE($A2225,""en"",""de"")"),"Papua")</f>
        <v>Papua</v>
      </c>
      <c r="D2225" s="9" t="str">
        <f>IFERROR(__xludf.DUMMYFUNCTION("GOOGLETRANSLATE($A2225,""en"",""fr"")"),"Papouasie")</f>
        <v>Papouasie</v>
      </c>
      <c r="E2225" s="9" t="str">
        <f>IFERROR(__xludf.DUMMYFUNCTION("GOOGLETRANSLATE($A2225,""en"",""es"")"),"Papuasia")</f>
        <v>Papuasia</v>
      </c>
      <c r="F2225" s="9" t="str">
        <f>IFERROR(__xludf.DUMMYFUNCTION("GOOGLETRANSLATE($A2225,""en"",""it"")"),"Papua")</f>
        <v>Papua</v>
      </c>
      <c r="G2225" s="9" t="str">
        <f>IFERROR(__xludf.DUMMYFUNCTION("GOOGLETRANSLATE($A2225,""en"",""zh-cn"")"),"巴布亚")</f>
        <v>巴布亚</v>
      </c>
      <c r="H2225" s="9" t="str">
        <f>IFERROR(__xludf.DUMMYFUNCTION("GOOGLETRANSLATE($A2225,""en"",""ja"")"),"パプア")</f>
        <v>パプア</v>
      </c>
      <c r="I2225" s="9" t="str">
        <f>IFERROR(__xludf.DUMMYFUNCTION("GOOGLETRANSLATE($A2225,""en"",""ko"")"),"파푸아")</f>
        <v>파푸아</v>
      </c>
      <c r="J2225" s="9" t="str">
        <f>IFERROR(__xludf.DUMMYFUNCTION("GOOGLETRANSLATE($A2225,""en"",""pt-BR"")"),"Papua")</f>
        <v>Papua</v>
      </c>
    </row>
    <row r="2226">
      <c r="A2226" s="9" t="str">
        <f>IFERROR(__xludf.DUMMYFUNCTION("""COMPUTED_VALUE"""),"Kalimantan Utara")</f>
        <v>Kalimantan Utara</v>
      </c>
      <c r="B2226" s="9" t="str">
        <f>IFERROR(__xludf.DUMMYFUNCTION("""COMPUTED_VALUE"""),"id-ku")</f>
        <v>id-ku</v>
      </c>
      <c r="C2226" s="9" t="str">
        <f>IFERROR(__xludf.DUMMYFUNCTION("GOOGLETRANSLATE($A2226,""en"",""de"")"),"Kalimantan Utara")</f>
        <v>Kalimantan Utara</v>
      </c>
      <c r="D2226" s="9" t="str">
        <f>IFERROR(__xludf.DUMMYFUNCTION("GOOGLETRANSLATE($A2226,""en"",""fr"")"),"Kalimantan Utara")</f>
        <v>Kalimantan Utara</v>
      </c>
      <c r="E2226" s="9" t="str">
        <f>IFERROR(__xludf.DUMMYFUNCTION("GOOGLETRANSLATE($A2226,""en"",""es"")"),"Kalimantán Utara")</f>
        <v>Kalimantán Utara</v>
      </c>
      <c r="F2226" s="9" t="str">
        <f>IFERROR(__xludf.DUMMYFUNCTION("GOOGLETRANSLATE($A2226,""en"",""it"")"),"Kalimantan Utara")</f>
        <v>Kalimantan Utara</v>
      </c>
      <c r="G2226" s="9" t="str">
        <f>IFERROR(__xludf.DUMMYFUNCTION("GOOGLETRANSLATE($A2226,""en"",""zh-cn"")"),"北加里曼丹")</f>
        <v>北加里曼丹</v>
      </c>
      <c r="H2226" s="9" t="str">
        <f>IFERROR(__xludf.DUMMYFUNCTION("GOOGLETRANSLATE($A2226,""en"",""ja"")"),"カリマンタン ウタラ")</f>
        <v>カリマンタン ウタラ</v>
      </c>
      <c r="I2226" s="9" t="str">
        <f>IFERROR(__xludf.DUMMYFUNCTION("GOOGLETRANSLATE($A2226,""en"",""ko"")"),"칼리만탄 우타라")</f>
        <v>칼리만탄 우타라</v>
      </c>
      <c r="J2226" s="9" t="str">
        <f>IFERROR(__xludf.DUMMYFUNCTION("GOOGLETRANSLATE($A2226,""en"",""pt-BR"")"),"Kalimantan Utara")</f>
        <v>Kalimantan Utara</v>
      </c>
    </row>
    <row r="2227">
      <c r="A2227" s="9" t="str">
        <f>IFERROR(__xludf.DUMMYFUNCTION("""COMPUTED_VALUE"""),"Kalimantan Timur")</f>
        <v>Kalimantan Timur</v>
      </c>
      <c r="B2227" s="9" t="str">
        <f>IFERROR(__xludf.DUMMYFUNCTION("""COMPUTED_VALUE"""),"id-ki")</f>
        <v>id-ki</v>
      </c>
      <c r="C2227" s="9" t="str">
        <f>IFERROR(__xludf.DUMMYFUNCTION("GOOGLETRANSLATE($A2227,""en"",""de"")"),"Kalimantan Timur")</f>
        <v>Kalimantan Timur</v>
      </c>
      <c r="D2227" s="9" t="str">
        <f>IFERROR(__xludf.DUMMYFUNCTION("GOOGLETRANSLATE($A2227,""en"",""fr"")"),"Kalimantan Timur")</f>
        <v>Kalimantan Timur</v>
      </c>
      <c r="E2227" s="9" t="str">
        <f>IFERROR(__xludf.DUMMYFUNCTION("GOOGLETRANSLATE($A2227,""en"",""es"")"),"Kalimantán Timur")</f>
        <v>Kalimantán Timur</v>
      </c>
      <c r="F2227" s="9" t="str">
        <f>IFERROR(__xludf.DUMMYFUNCTION("GOOGLETRANSLATE($A2227,""en"",""it"")"),"Kalimantan Timur")</f>
        <v>Kalimantan Timur</v>
      </c>
      <c r="G2227" s="9" t="str">
        <f>IFERROR(__xludf.DUMMYFUNCTION("GOOGLETRANSLATE($A2227,""en"",""zh-cn"")"),"加里曼丹帖木儿")</f>
        <v>加里曼丹帖木儿</v>
      </c>
      <c r="H2227" s="9" t="str">
        <f>IFERROR(__xludf.DUMMYFUNCTION("GOOGLETRANSLATE($A2227,""en"",""ja"")"),"カリマンタン・ティムール")</f>
        <v>カリマンタン・ティムール</v>
      </c>
      <c r="I2227" s="9" t="str">
        <f>IFERROR(__xludf.DUMMYFUNCTION("GOOGLETRANSLATE($A2227,""en"",""ko"")"),"칼리만탄 티무르")</f>
        <v>칼리만탄 티무르</v>
      </c>
      <c r="J2227" s="9" t="str">
        <f>IFERROR(__xludf.DUMMYFUNCTION("GOOGLETRANSLATE($A2227,""en"",""pt-BR"")"),"Kalimantan Timur")</f>
        <v>Kalimantan Timur</v>
      </c>
    </row>
    <row r="2228">
      <c r="A2228" s="9" t="str">
        <f>IFERROR(__xludf.DUMMYFUNCTION("""COMPUTED_VALUE"""),"Nusa Tenggara")</f>
        <v>Nusa Tenggara</v>
      </c>
      <c r="B2228" s="9" t="str">
        <f>IFERROR(__xludf.DUMMYFUNCTION("""COMPUTED_VALUE"""),"id-nu")</f>
        <v>id-nu</v>
      </c>
      <c r="C2228" s="9" t="str">
        <f>IFERROR(__xludf.DUMMYFUNCTION("GOOGLETRANSLATE($A2228,""en"",""de"")"),"Nusa Tenggara")</f>
        <v>Nusa Tenggara</v>
      </c>
      <c r="D2228" s="9" t="str">
        <f>IFERROR(__xludf.DUMMYFUNCTION("GOOGLETRANSLATE($A2228,""en"",""fr"")"),"Nusa Tenggara")</f>
        <v>Nusa Tenggara</v>
      </c>
      <c r="E2228" s="9" t="str">
        <f>IFERROR(__xludf.DUMMYFUNCTION("GOOGLETRANSLATE($A2228,""en"",""es"")"),"Nusa Tenggara")</f>
        <v>Nusa Tenggara</v>
      </c>
      <c r="F2228" s="9" t="str">
        <f>IFERROR(__xludf.DUMMYFUNCTION("GOOGLETRANSLATE($A2228,""en"",""it"")"),"Nusa Tenggara")</f>
        <v>Nusa Tenggara</v>
      </c>
      <c r="G2228" s="9" t="str">
        <f>IFERROR(__xludf.DUMMYFUNCTION("GOOGLETRANSLATE($A2228,""en"",""zh-cn"")"),"努沙登加拉")</f>
        <v>努沙登加拉</v>
      </c>
      <c r="H2228" s="9" t="str">
        <f>IFERROR(__xludf.DUMMYFUNCTION("GOOGLETRANSLATE($A2228,""en"",""ja"")"),"ヌサ トゥンガラ")</f>
        <v>ヌサ トゥンガラ</v>
      </c>
      <c r="I2228" s="9" t="str">
        <f>IFERROR(__xludf.DUMMYFUNCTION("GOOGLETRANSLATE($A2228,""en"",""ko"")"),"누사 텡가라")</f>
        <v>누사 텡가라</v>
      </c>
      <c r="J2228" s="9" t="str">
        <f>IFERROR(__xludf.DUMMYFUNCTION("GOOGLETRANSLATE($A2228,""en"",""pt-BR"")"),"Nusa Tenggara")</f>
        <v>Nusa Tenggara</v>
      </c>
    </row>
    <row r="2229">
      <c r="A2229" s="9" t="str">
        <f>IFERROR(__xludf.DUMMYFUNCTION("""COMPUTED_VALUE"""),"Jawa Timur")</f>
        <v>Jawa Timur</v>
      </c>
      <c r="B2229" s="9" t="str">
        <f>IFERROR(__xludf.DUMMYFUNCTION("""COMPUTED_VALUE"""),"id-ji")</f>
        <v>id-ji</v>
      </c>
      <c r="C2229" s="9" t="str">
        <f>IFERROR(__xludf.DUMMYFUNCTION("GOOGLETRANSLATE($A2229,""en"",""de"")"),"Jawa Timur")</f>
        <v>Jawa Timur</v>
      </c>
      <c r="D2229" s="9" t="str">
        <f>IFERROR(__xludf.DUMMYFUNCTION("GOOGLETRANSLATE($A2229,""en"",""fr"")"),"Jawa Timur")</f>
        <v>Jawa Timur</v>
      </c>
      <c r="E2229" s="9" t="str">
        <f>IFERROR(__xludf.DUMMYFUNCTION("GOOGLETRANSLATE($A2229,""en"",""es"")"),"Jawa Timur")</f>
        <v>Jawa Timur</v>
      </c>
      <c r="F2229" s="9" t="str">
        <f>IFERROR(__xludf.DUMMYFUNCTION("GOOGLETRANSLATE($A2229,""en"",""it"")"),"Jawa Timur")</f>
        <v>Jawa Timur</v>
      </c>
      <c r="G2229" s="9" t="str">
        <f>IFERROR(__xludf.DUMMYFUNCTION("GOOGLETRANSLATE($A2229,""en"",""zh-cn"")"),"东爪哇")</f>
        <v>东爪哇</v>
      </c>
      <c r="H2229" s="9" t="str">
        <f>IFERROR(__xludf.DUMMYFUNCTION("GOOGLETRANSLATE($A2229,""en"",""ja"")"),"ジャワ・ティムール")</f>
        <v>ジャワ・ティムール</v>
      </c>
      <c r="I2229" s="9" t="str">
        <f>IFERROR(__xludf.DUMMYFUNCTION("GOOGLETRANSLATE($A2229,""en"",""ko"")"),"자와 티무르")</f>
        <v>자와 티무르</v>
      </c>
      <c r="J2229" s="9" t="str">
        <f>IFERROR(__xludf.DUMMYFUNCTION("GOOGLETRANSLATE($A2229,""en"",""pt-BR"")"),"Jawa Timur")</f>
        <v>Jawa Timur</v>
      </c>
    </row>
    <row r="2230">
      <c r="A2230" s="9" t="str">
        <f>IFERROR(__xludf.DUMMYFUNCTION("""COMPUTED_VALUE"""),"Yogyakarta")</f>
        <v>Yogyakarta</v>
      </c>
      <c r="B2230" s="9" t="str">
        <f>IFERROR(__xludf.DUMMYFUNCTION("""COMPUTED_VALUE"""),"id-yo")</f>
        <v>id-yo</v>
      </c>
      <c r="C2230" s="9" t="str">
        <f>IFERROR(__xludf.DUMMYFUNCTION("GOOGLETRANSLATE($A2230,""en"",""de"")"),"Yogyakarta")</f>
        <v>Yogyakarta</v>
      </c>
      <c r="D2230" s="9" t="str">
        <f>IFERROR(__xludf.DUMMYFUNCTION("GOOGLETRANSLATE($A2230,""en"",""fr"")"),"Yogyakarta")</f>
        <v>Yogyakarta</v>
      </c>
      <c r="E2230" s="9" t="str">
        <f>IFERROR(__xludf.DUMMYFUNCTION("GOOGLETRANSLATE($A2230,""en"",""es"")"),"Yogyakarta")</f>
        <v>Yogyakarta</v>
      </c>
      <c r="F2230" s="9" t="str">
        <f>IFERROR(__xludf.DUMMYFUNCTION("GOOGLETRANSLATE($A2230,""en"",""it"")"),"Yogyakarta")</f>
        <v>Yogyakarta</v>
      </c>
      <c r="G2230" s="9" t="str">
        <f>IFERROR(__xludf.DUMMYFUNCTION("GOOGLETRANSLATE($A2230,""en"",""zh-cn"")"),"日惹")</f>
        <v>日惹</v>
      </c>
      <c r="H2230" s="9" t="str">
        <f>IFERROR(__xludf.DUMMYFUNCTION("GOOGLETRANSLATE($A2230,""en"",""ja"")"),"ジョグジャカルタ")</f>
        <v>ジョグジャカルタ</v>
      </c>
      <c r="I2230" s="9" t="str">
        <f>IFERROR(__xludf.DUMMYFUNCTION("GOOGLETRANSLATE($A2230,""en"",""ko"")"),"족자카르타")</f>
        <v>족자카르타</v>
      </c>
      <c r="J2230" s="9" t="str">
        <f>IFERROR(__xludf.DUMMYFUNCTION("GOOGLETRANSLATE($A2230,""en"",""pt-BR"")"),"Jogjacarta")</f>
        <v>Jogjacarta</v>
      </c>
    </row>
    <row r="2231">
      <c r="A2231" s="9" t="str">
        <f>IFERROR(__xludf.DUMMYFUNCTION("""COMPUTED_VALUE"""),"Bengkulu")</f>
        <v>Bengkulu</v>
      </c>
      <c r="B2231" s="9" t="str">
        <f>IFERROR(__xludf.DUMMYFUNCTION("""COMPUTED_VALUE"""),"id-be")</f>
        <v>id-be</v>
      </c>
      <c r="C2231" s="9" t="str">
        <f>IFERROR(__xludf.DUMMYFUNCTION("GOOGLETRANSLATE($A2231,""en"",""de"")"),"Bengkulu")</f>
        <v>Bengkulu</v>
      </c>
      <c r="D2231" s="9" t="str">
        <f>IFERROR(__xludf.DUMMYFUNCTION("GOOGLETRANSLATE($A2231,""en"",""fr"")"),"Bengkulu")</f>
        <v>Bengkulu</v>
      </c>
      <c r="E2231" s="9" t="str">
        <f>IFERROR(__xludf.DUMMYFUNCTION("GOOGLETRANSLATE($A2231,""en"",""es"")"),"Bengkulu")</f>
        <v>Bengkulu</v>
      </c>
      <c r="F2231" s="9" t="str">
        <f>IFERROR(__xludf.DUMMYFUNCTION("GOOGLETRANSLATE($A2231,""en"",""it"")"),"Bengkulu")</f>
        <v>Bengkulu</v>
      </c>
      <c r="G2231" s="9" t="str">
        <f>IFERROR(__xludf.DUMMYFUNCTION("GOOGLETRANSLATE($A2231,""en"",""zh-cn"")"),"明古鲁")</f>
        <v>明古鲁</v>
      </c>
      <c r="H2231" s="9" t="str">
        <f>IFERROR(__xludf.DUMMYFUNCTION("GOOGLETRANSLATE($A2231,""en"",""ja"")"),"ベンクル")</f>
        <v>ベンクル</v>
      </c>
      <c r="I2231" s="9" t="str">
        <f>IFERROR(__xludf.DUMMYFUNCTION("GOOGLETRANSLATE($A2231,""en"",""ko"")"),"벵쿨루")</f>
        <v>벵쿨루</v>
      </c>
      <c r="J2231" s="9" t="str">
        <f>IFERROR(__xludf.DUMMYFUNCTION("GOOGLETRANSLATE($A2231,""en"",""pt-BR"")"),"Bengkulu")</f>
        <v>Bengkulu</v>
      </c>
    </row>
    <row r="2232">
      <c r="A2232" s="9" t="str">
        <f>IFERROR(__xludf.DUMMYFUNCTION("""COMPUTED_VALUE"""),"Karbalā'")</f>
        <v>Karbalā'</v>
      </c>
      <c r="B2232" s="9" t="str">
        <f>IFERROR(__xludf.DUMMYFUNCTION("""COMPUTED_VALUE"""),"iq-ka")</f>
        <v>iq-ka</v>
      </c>
      <c r="C2232" s="9" t="str">
        <f>IFERROR(__xludf.DUMMYFUNCTION("GOOGLETRANSLATE($A2232,""en"",""de"")"),"Karbalā'")</f>
        <v>Karbalā'</v>
      </c>
      <c r="D2232" s="9" t="str">
        <f>IFERROR(__xludf.DUMMYFUNCTION("GOOGLETRANSLATE($A2232,""en"",""fr"")"),"Karbala'")</f>
        <v>Karbala'</v>
      </c>
      <c r="E2232" s="9" t="str">
        <f>IFERROR(__xludf.DUMMYFUNCTION("GOOGLETRANSLATE($A2232,""en"",""es"")"),"Karbala'")</f>
        <v>Karbala'</v>
      </c>
      <c r="F2232" s="9" t="str">
        <f>IFERROR(__xludf.DUMMYFUNCTION("GOOGLETRANSLATE($A2232,""en"",""it"")"),"Karbalā'")</f>
        <v>Karbalā'</v>
      </c>
      <c r="G2232" s="9" t="str">
        <f>IFERROR(__xludf.DUMMYFUNCTION("GOOGLETRANSLATE($A2232,""en"",""zh-cn"")"),"卡尔巴拉")</f>
        <v>卡尔巴拉</v>
      </c>
      <c r="H2232" s="9" t="str">
        <f>IFERROR(__xludf.DUMMYFUNCTION("GOOGLETRANSLATE($A2232,""en"",""ja"")"),"カルバラ")</f>
        <v>カルバラ</v>
      </c>
      <c r="I2232" s="9" t="str">
        <f>IFERROR(__xludf.DUMMYFUNCTION("GOOGLETRANSLATE($A2232,""en"",""ko"")"),"카르발라'")</f>
        <v>카르발라'</v>
      </c>
      <c r="J2232" s="9" t="str">
        <f>IFERROR(__xludf.DUMMYFUNCTION("GOOGLETRANSLATE($A2232,""en"",""pt-BR"")"),"Karbala'")</f>
        <v>Karbala'</v>
      </c>
    </row>
    <row r="2233">
      <c r="A2233" s="9" t="str">
        <f>IFERROR(__xludf.DUMMYFUNCTION("""COMPUTED_VALUE"""),"As Sulaymānīyah")</f>
        <v>As Sulaymānīyah</v>
      </c>
      <c r="B2233" s="9" t="str">
        <f>IFERROR(__xludf.DUMMYFUNCTION("""COMPUTED_VALUE"""),"iq-su")</f>
        <v>iq-su</v>
      </c>
      <c r="C2233" s="9" t="str">
        <f>IFERROR(__xludf.DUMMYFUNCTION("GOOGLETRANSLATE($A2233,""en"",""de"")"),"Als Sulaimaniyya")</f>
        <v>Als Sulaimaniyya</v>
      </c>
      <c r="D2233" s="9" t="str">
        <f>IFERROR(__xludf.DUMMYFUNCTION("GOOGLETRANSLATE($A2233,""en"",""fr"")"),"Comme Sulaymaniyah")</f>
        <v>Comme Sulaymaniyah</v>
      </c>
      <c r="E2233" s="9" t="str">
        <f>IFERROR(__xludf.DUMMYFUNCTION("GOOGLETRANSLATE($A2233,""en"",""es"")"),"Como Sulaymānīyah")</f>
        <v>Como Sulaymānīyah</v>
      </c>
      <c r="F2233" s="9" t="str">
        <f>IFERROR(__xludf.DUMMYFUNCTION("GOOGLETRANSLATE($A2233,""en"",""it"")"),"Come Sulaymānīyah")</f>
        <v>Come Sulaymānīyah</v>
      </c>
      <c r="G2233" s="9" t="str">
        <f>IFERROR(__xludf.DUMMYFUNCTION("GOOGLETRANSLATE($A2233,""en"",""zh-cn"")"),"正如苏莱曼尼亚")</f>
        <v>正如苏莱曼尼亚</v>
      </c>
      <c r="H2233" s="9" t="str">
        <f>IFERROR(__xludf.DUMMYFUNCTION("GOOGLETRANSLATE($A2233,""en"",""ja"")"),"スレイマーニーヤとして")</f>
        <v>スレイマーニーヤとして</v>
      </c>
      <c r="I2233" s="9" t="str">
        <f>IFERROR(__xludf.DUMMYFUNCTION("GOOGLETRANSLATE($A2233,""en"",""ko"")"),"As Sulaymānīyah")</f>
        <v>As Sulaymānīyah</v>
      </c>
      <c r="J2233" s="9" t="str">
        <f>IFERROR(__xludf.DUMMYFUNCTION("GOOGLETRANSLATE($A2233,""en"",""pt-BR"")"),"Como Sulaymānīyah")</f>
        <v>Como Sulaymānīyah</v>
      </c>
    </row>
    <row r="2234">
      <c r="A2234" s="9" t="str">
        <f>IFERROR(__xludf.DUMMYFUNCTION("""COMPUTED_VALUE"""),"Maysān")</f>
        <v>Maysān</v>
      </c>
      <c r="B2234" s="9" t="str">
        <f>IFERROR(__xludf.DUMMYFUNCTION("""COMPUTED_VALUE"""),"iq-ma")</f>
        <v>iq-ma</v>
      </c>
      <c r="C2234" s="9" t="str">
        <f>IFERROR(__xludf.DUMMYFUNCTION("GOOGLETRANSLATE($A2234,""en"",""de"")"),"Maysān")</f>
        <v>Maysān</v>
      </c>
      <c r="D2234" s="9" t="str">
        <f>IFERROR(__xludf.DUMMYFUNCTION("GOOGLETRANSLATE($A2234,""en"",""fr"")"),"Maysan")</f>
        <v>Maysan</v>
      </c>
      <c r="E2234" s="9" t="str">
        <f>IFERROR(__xludf.DUMMYFUNCTION("GOOGLETRANSLATE($A2234,""en"",""es"")"),"Maysan")</f>
        <v>Maysan</v>
      </c>
      <c r="F2234" s="9" t="str">
        <f>IFERROR(__xludf.DUMMYFUNCTION("GOOGLETRANSLATE($A2234,""en"",""it"")"),"Maysan")</f>
        <v>Maysan</v>
      </c>
      <c r="G2234" s="9" t="str">
        <f>IFERROR(__xludf.DUMMYFUNCTION("GOOGLETRANSLATE($A2234,""en"",""zh-cn"")"),"米桑")</f>
        <v>米桑</v>
      </c>
      <c r="H2234" s="9" t="str">
        <f>IFERROR(__xludf.DUMMYFUNCTION("GOOGLETRANSLATE($A2234,""en"",""ja"")"),"メイサン")</f>
        <v>メイサン</v>
      </c>
      <c r="I2234" s="9" t="str">
        <f>IFERROR(__xludf.DUMMYFUNCTION("GOOGLETRANSLATE($A2234,""en"",""ko"")"),"메이산")</f>
        <v>메이산</v>
      </c>
      <c r="J2234" s="9" t="str">
        <f>IFERROR(__xludf.DUMMYFUNCTION("GOOGLETRANSLATE($A2234,""en"",""pt-BR"")"),"Maysan")</f>
        <v>Maysan</v>
      </c>
    </row>
    <row r="2235">
      <c r="A2235" s="9" t="str">
        <f>IFERROR(__xludf.DUMMYFUNCTION("""COMPUTED_VALUE"""),"Dhī Qār")</f>
        <v>Dhī Qār</v>
      </c>
      <c r="B2235" s="9" t="str">
        <f>IFERROR(__xludf.DUMMYFUNCTION("""COMPUTED_VALUE"""),"iq-dq")</f>
        <v>iq-dq</v>
      </c>
      <c r="C2235" s="9" t="str">
        <f>IFERROR(__xludf.DUMMYFUNCTION("GOOGLETRANSLATE($A2235,""en"",""de"")"),"Dhī Qār")</f>
        <v>Dhī Qār</v>
      </c>
      <c r="D2235" s="9" t="str">
        <f>IFERROR(__xludf.DUMMYFUNCTION("GOOGLETRANSLATE($A2235,""en"",""fr"")"),"Dhi Qar")</f>
        <v>Dhi Qar</v>
      </c>
      <c r="E2235" s="9" t="str">
        <f>IFERROR(__xludf.DUMMYFUNCTION("GOOGLETRANSLATE($A2235,""en"",""es"")"),"Dhi Qar")</f>
        <v>Dhi Qar</v>
      </c>
      <c r="F2235" s="9" t="str">
        <f>IFERROR(__xludf.DUMMYFUNCTION("GOOGLETRANSLATE($A2235,""en"",""it"")"),"Dhi Qār")</f>
        <v>Dhi Qār</v>
      </c>
      <c r="G2235" s="9" t="str">
        <f>IFERROR(__xludf.DUMMYFUNCTION("GOOGLETRANSLATE($A2235,""en"",""zh-cn"")"),"迪加尔")</f>
        <v>迪加尔</v>
      </c>
      <c r="H2235" s="9" t="str">
        <f>IFERROR(__xludf.DUMMYFUNCTION("GOOGLETRANSLATE($A2235,""en"",""ja"")"),"ディーカール")</f>
        <v>ディーカール</v>
      </c>
      <c r="I2235" s="9" t="str">
        <f>IFERROR(__xludf.DUMMYFUNCTION("GOOGLETRANSLATE($A2235,""en"",""ko"")"),"디카르")</f>
        <v>디카르</v>
      </c>
      <c r="J2235" s="9" t="str">
        <f>IFERROR(__xludf.DUMMYFUNCTION("GOOGLETRANSLATE($A2235,""en"",""pt-BR"")"),"Dhi Qar")</f>
        <v>Dhi Qar</v>
      </c>
    </row>
    <row r="2236">
      <c r="A2236" s="9" t="str">
        <f>IFERROR(__xludf.DUMMYFUNCTION("""COMPUTED_VALUE"""),"Şalāḩ ad Dīn")</f>
        <v>Şalāḩ ad Dīn</v>
      </c>
      <c r="B2236" s="9" t="str">
        <f>IFERROR(__xludf.DUMMYFUNCTION("""COMPUTED_VALUE"""),"iq-sd")</f>
        <v>iq-sd</v>
      </c>
      <c r="C2236" s="9" t="str">
        <f>IFERROR(__xludf.DUMMYFUNCTION("GOOGLETRANSLATE($A2236,""en"",""de"")"),"Şalāḩ ad Dīn")</f>
        <v>Şalāḩ ad Dīn</v>
      </c>
      <c r="D2236" s="9" t="str">
        <f>IFERROR(__xludf.DUMMYFUNCTION("GOOGLETRANSLATE($A2236,""en"",""fr"")"),"Salah ad Din")</f>
        <v>Salah ad Din</v>
      </c>
      <c r="E2236" s="9" t="str">
        <f>IFERROR(__xludf.DUMMYFUNCTION("GOOGLETRANSLATE($A2236,""en"",""es"")"),"Şalāḩ ad Dīn")</f>
        <v>Şalāḩ ad Dīn</v>
      </c>
      <c r="F2236" s="9" t="str">
        <f>IFERROR(__xludf.DUMMYFUNCTION("GOOGLETRANSLATE($A2236,""en"",""it"")"),"Salāḩ ad Dīn")</f>
        <v>Salāḩ ad Dīn</v>
      </c>
      <c r="G2236" s="9" t="str">
        <f>IFERROR(__xludf.DUMMYFUNCTION("GOOGLETRANSLATE($A2236,""en"",""zh-cn"")"),"Şalāḩ ad Dīn")</f>
        <v>Şalāḩ ad Dīn</v>
      </c>
      <c r="H2236" s="9" t="str">
        <f>IFERROR(__xludf.DUMMYFUNCTION("GOOGLETRANSLATE($A2236,""en"",""ja"")"),"シャラーハ アド ディン")</f>
        <v>シャラーハ アド ディン</v>
      </c>
      <c r="I2236" s="9" t="str">
        <f>IFERROR(__xludf.DUMMYFUNCTION("GOOGLETRANSLATE($A2236,""en"",""ko"")"),"살라하 앗 딘")</f>
        <v>살라하 앗 딘</v>
      </c>
      <c r="J2236" s="9" t="str">
        <f>IFERROR(__xludf.DUMMYFUNCTION("GOOGLETRANSLATE($A2236,""en"",""pt-BR"")"),"Salah ad Din")</f>
        <v>Salah ad Din</v>
      </c>
    </row>
    <row r="2237">
      <c r="A2237" s="9" t="str">
        <f>IFERROR(__xludf.DUMMYFUNCTION("""COMPUTED_VALUE"""),"Bābil")</f>
        <v>Bābil</v>
      </c>
      <c r="B2237" s="9" t="str">
        <f>IFERROR(__xludf.DUMMYFUNCTION("""COMPUTED_VALUE"""),"iq-bb")</f>
        <v>iq-bb</v>
      </c>
      <c r="C2237" s="9" t="str">
        <f>IFERROR(__xludf.DUMMYFUNCTION("GOOGLETRANSLATE($A2237,""en"",""de"")"),"Bābil")</f>
        <v>Bābil</v>
      </c>
      <c r="D2237" s="9" t="str">
        <f>IFERROR(__xludf.DUMMYFUNCTION("GOOGLETRANSLATE($A2237,""en"",""fr"")"),"Babil")</f>
        <v>Babil</v>
      </c>
      <c r="E2237" s="9" t="str">
        <f>IFERROR(__xludf.DUMMYFUNCTION("GOOGLETRANSLATE($A2237,""en"",""es"")"),"babil")</f>
        <v>babil</v>
      </c>
      <c r="F2237" s="9" t="str">
        <f>IFERROR(__xludf.DUMMYFUNCTION("GOOGLETRANSLATE($A2237,""en"",""it"")"),"Babil")</f>
        <v>Babil</v>
      </c>
      <c r="G2237" s="9" t="str">
        <f>IFERROR(__xludf.DUMMYFUNCTION("GOOGLETRANSLATE($A2237,""en"",""zh-cn"")"),"巴比尔")</f>
        <v>巴比尔</v>
      </c>
      <c r="H2237" s="9" t="str">
        <f>IFERROR(__xludf.DUMMYFUNCTION("GOOGLETRANSLATE($A2237,""en"",""ja"")"),"バービル")</f>
        <v>バービル</v>
      </c>
      <c r="I2237" s="9" t="str">
        <f>IFERROR(__xludf.DUMMYFUNCTION("GOOGLETRANSLATE($A2237,""en"",""ko"")"),"바빌")</f>
        <v>바빌</v>
      </c>
      <c r="J2237" s="9" t="str">
        <f>IFERROR(__xludf.DUMMYFUNCTION("GOOGLETRANSLATE($A2237,""en"",""pt-BR"")"),"Babil")</f>
        <v>Babil</v>
      </c>
    </row>
    <row r="2238">
      <c r="A2238" s="9" t="str">
        <f>IFERROR(__xludf.DUMMYFUNCTION("""COMPUTED_VALUE"""),"An Najaf")</f>
        <v>An Najaf</v>
      </c>
      <c r="B2238" s="9" t="str">
        <f>IFERROR(__xludf.DUMMYFUNCTION("""COMPUTED_VALUE"""),"iq-na")</f>
        <v>iq-na</v>
      </c>
      <c r="C2238" s="9" t="str">
        <f>IFERROR(__xludf.DUMMYFUNCTION("GOOGLETRANSLATE($A2238,""en"",""de"")"),"Ein Nadschaf")</f>
        <v>Ein Nadschaf</v>
      </c>
      <c r="D2238" s="9" t="str">
        <f>IFERROR(__xludf.DUMMYFUNCTION("GOOGLETRANSLATE($A2238,""en"",""fr"")"),"Nadjaf")</f>
        <v>Nadjaf</v>
      </c>
      <c r="E2238" s="9" t="str">
        <f>IFERROR(__xludf.DUMMYFUNCTION("GOOGLETRANSLATE($A2238,""en"",""es"")"),"Nayaf")</f>
        <v>Nayaf</v>
      </c>
      <c r="F2238" s="9" t="str">
        <f>IFERROR(__xludf.DUMMYFUNCTION("GOOGLETRANSLATE($A2238,""en"",""it"")"),"An Najaf")</f>
        <v>An Najaf</v>
      </c>
      <c r="G2238" s="9" t="str">
        <f>IFERROR(__xludf.DUMMYFUNCTION("GOOGLETRANSLATE($A2238,""en"",""zh-cn"")"),"纳杰夫")</f>
        <v>纳杰夫</v>
      </c>
      <c r="H2238" s="9" t="str">
        <f>IFERROR(__xludf.DUMMYFUNCTION("GOOGLETRANSLATE($A2238,""en"",""ja"")"),"アン・ナジャフ")</f>
        <v>アン・ナジャフ</v>
      </c>
      <c r="I2238" s="9" t="str">
        <f>IFERROR(__xludf.DUMMYFUNCTION("GOOGLETRANSLATE($A2238,""en"",""ko"")"),"안 나자프")</f>
        <v>안 나자프</v>
      </c>
      <c r="J2238" s="9" t="str">
        <f>IFERROR(__xludf.DUMMYFUNCTION("GOOGLETRANSLATE($A2238,""en"",""pt-BR"")"),"Um Najaf")</f>
        <v>Um Najaf</v>
      </c>
    </row>
    <row r="2239">
      <c r="A2239" s="9" t="str">
        <f>IFERROR(__xludf.DUMMYFUNCTION("""COMPUTED_VALUE"""),"Nīnawá")</f>
        <v>Nīnawá</v>
      </c>
      <c r="B2239" s="9" t="str">
        <f>IFERROR(__xludf.DUMMYFUNCTION("""COMPUTED_VALUE"""),"iq-ni")</f>
        <v>iq-ni</v>
      </c>
      <c r="C2239" s="9" t="str">
        <f>IFERROR(__xludf.DUMMYFUNCTION("GOOGLETRANSLATE($A2239,""en"",""de"")"),"Nīnawa")</f>
        <v>Nīnawa</v>
      </c>
      <c r="D2239" s="9" t="str">
        <f>IFERROR(__xludf.DUMMYFUNCTION("GOOGLETRANSLATE($A2239,""en"",""fr"")"),"Ninive")</f>
        <v>Ninive</v>
      </c>
      <c r="E2239" s="9" t="str">
        <f>IFERROR(__xludf.DUMMYFUNCTION("GOOGLETRANSLATE($A2239,""en"",""es"")"),"Ninawá")</f>
        <v>Ninawá</v>
      </c>
      <c r="F2239" s="9" t="str">
        <f>IFERROR(__xludf.DUMMYFUNCTION("GOOGLETRANSLATE($A2239,""en"",""it"")"),"Nīnawá")</f>
        <v>Nīnawá</v>
      </c>
      <c r="G2239" s="9" t="str">
        <f>IFERROR(__xludf.DUMMYFUNCTION("GOOGLETRANSLATE($A2239,""en"",""zh-cn"")"),"尼纳瓦")</f>
        <v>尼纳瓦</v>
      </c>
      <c r="H2239" s="9" t="str">
        <f>IFERROR(__xludf.DUMMYFUNCTION("GOOGLETRANSLATE($A2239,""en"",""ja"")"),"ニナワ")</f>
        <v>ニナワ</v>
      </c>
      <c r="I2239" s="9" t="str">
        <f>IFERROR(__xludf.DUMMYFUNCTION("GOOGLETRANSLATE($A2239,""en"",""ko"")"),"니나와")</f>
        <v>니나와</v>
      </c>
      <c r="J2239" s="9" t="str">
        <f>IFERROR(__xludf.DUMMYFUNCTION("GOOGLETRANSLATE($A2239,""en"",""pt-BR"")"),"Nīnawá")</f>
        <v>Nīnawá</v>
      </c>
    </row>
    <row r="2240">
      <c r="A2240" s="9" t="str">
        <f>IFERROR(__xludf.DUMMYFUNCTION("""COMPUTED_VALUE"""),"Diyālá")</f>
        <v>Diyālá</v>
      </c>
      <c r="B2240" s="9" t="str">
        <f>IFERROR(__xludf.DUMMYFUNCTION("""COMPUTED_VALUE"""),"iq-di")</f>
        <v>iq-di</v>
      </c>
      <c r="C2240" s="9" t="str">
        <f>IFERROR(__xludf.DUMMYFUNCTION("GOOGLETRANSLATE($A2240,""en"",""de"")"),"Diyālá")</f>
        <v>Diyālá</v>
      </c>
      <c r="D2240" s="9" t="str">
        <f>IFERROR(__xludf.DUMMYFUNCTION("GOOGLETRANSLATE($A2240,""en"",""fr"")"),"Diyala")</f>
        <v>Diyala</v>
      </c>
      <c r="E2240" s="9" t="str">
        <f>IFERROR(__xludf.DUMMYFUNCTION("GOOGLETRANSLATE($A2240,""en"",""es"")"),"Diyalá")</f>
        <v>Diyalá</v>
      </c>
      <c r="F2240" s="9" t="str">
        <f>IFERROR(__xludf.DUMMYFUNCTION("GOOGLETRANSLATE($A2240,""en"",""it"")"),"Diyālá")</f>
        <v>Diyālá</v>
      </c>
      <c r="G2240" s="9" t="str">
        <f>IFERROR(__xludf.DUMMYFUNCTION("GOOGLETRANSLATE($A2240,""en"",""zh-cn"")"),"迪亚拉")</f>
        <v>迪亚拉</v>
      </c>
      <c r="H2240" s="9" t="str">
        <f>IFERROR(__xludf.DUMMYFUNCTION("GOOGLETRANSLATE($A2240,""en"",""ja"")"),"ディヤラ")</f>
        <v>ディヤラ</v>
      </c>
      <c r="I2240" s="9" t="str">
        <f>IFERROR(__xludf.DUMMYFUNCTION("GOOGLETRANSLATE($A2240,""en"",""ko"")"),"디얄라")</f>
        <v>디얄라</v>
      </c>
      <c r="J2240" s="9" t="str">
        <f>IFERROR(__xludf.DUMMYFUNCTION("GOOGLETRANSLATE($A2240,""en"",""pt-BR"")"),"Diyālá")</f>
        <v>Diyālá</v>
      </c>
    </row>
    <row r="2241">
      <c r="A2241" s="9" t="str">
        <f>IFERROR(__xludf.DUMMYFUNCTION("""COMPUTED_VALUE"""),"Baghdād")</f>
        <v>Baghdād</v>
      </c>
      <c r="B2241" s="9" t="str">
        <f>IFERROR(__xludf.DUMMYFUNCTION("""COMPUTED_VALUE"""),"iq-bg")</f>
        <v>iq-bg</v>
      </c>
      <c r="C2241" s="9" t="str">
        <f>IFERROR(__xludf.DUMMYFUNCTION("GOOGLETRANSLATE($A2241,""en"",""de"")"),"Bagdad")</f>
        <v>Bagdad</v>
      </c>
      <c r="D2241" s="9" t="str">
        <f>IFERROR(__xludf.DUMMYFUNCTION("GOOGLETRANSLATE($A2241,""en"",""fr"")"),"Bagdad")</f>
        <v>Bagdad</v>
      </c>
      <c r="E2241" s="9" t="str">
        <f>IFERROR(__xludf.DUMMYFUNCTION("GOOGLETRANSLATE($A2241,""en"",""es"")"),"Bagdad")</f>
        <v>Bagdad</v>
      </c>
      <c r="F2241" s="9" t="str">
        <f>IFERROR(__xludf.DUMMYFUNCTION("GOOGLETRANSLATE($A2241,""en"",""it"")"),"Baghdad")</f>
        <v>Baghdad</v>
      </c>
      <c r="G2241" s="9" t="str">
        <f>IFERROR(__xludf.DUMMYFUNCTION("GOOGLETRANSLATE($A2241,""en"",""zh-cn"")"),"巴格达")</f>
        <v>巴格达</v>
      </c>
      <c r="H2241" s="9" t="str">
        <f>IFERROR(__xludf.DUMMYFUNCTION("GOOGLETRANSLATE($A2241,""en"",""ja"")"),"バグダッド")</f>
        <v>バグダッド</v>
      </c>
      <c r="I2241" s="9" t="str">
        <f>IFERROR(__xludf.DUMMYFUNCTION("GOOGLETRANSLATE($A2241,""en"",""ko"")"),"바그다드")</f>
        <v>바그다드</v>
      </c>
      <c r="J2241" s="9" t="str">
        <f>IFERROR(__xludf.DUMMYFUNCTION("GOOGLETRANSLATE($A2241,""en"",""pt-BR"")"),"Bagdá")</f>
        <v>Bagdá</v>
      </c>
    </row>
    <row r="2242">
      <c r="A2242" s="9" t="str">
        <f>IFERROR(__xludf.DUMMYFUNCTION("""COMPUTED_VALUE"""),"Arbīl")</f>
        <v>Arbīl</v>
      </c>
      <c r="B2242" s="9" t="str">
        <f>IFERROR(__xludf.DUMMYFUNCTION("""COMPUTED_VALUE"""),"iq-ar")</f>
        <v>iq-ar</v>
      </c>
      <c r="C2242" s="9" t="str">
        <f>IFERROR(__xludf.DUMMYFUNCTION("GOOGLETRANSLATE($A2242,""en"",""de"")"),"Arbil")</f>
        <v>Arbil</v>
      </c>
      <c r="D2242" s="9" t="str">
        <f>IFERROR(__xludf.DUMMYFUNCTION("GOOGLETRANSLATE($A2242,""en"",""fr"")"),"Arbil")</f>
        <v>Arbil</v>
      </c>
      <c r="E2242" s="9" t="str">
        <f>IFERROR(__xludf.DUMMYFUNCTION("GOOGLETRANSLATE($A2242,""en"",""es"")"),"Arbil")</f>
        <v>Arbil</v>
      </c>
      <c r="F2242" s="9" t="str">
        <f>IFERROR(__xludf.DUMMYFUNCTION("GOOGLETRANSLATE($A2242,""en"",""it"")"),"Arbil")</f>
        <v>Arbil</v>
      </c>
      <c r="G2242" s="9" t="str">
        <f>IFERROR(__xludf.DUMMYFUNCTION("GOOGLETRANSLATE($A2242,""en"",""zh-cn"")"),"阿尔比勒")</f>
        <v>阿尔比勒</v>
      </c>
      <c r="H2242" s="9" t="str">
        <f>IFERROR(__xludf.DUMMYFUNCTION("GOOGLETRANSLATE($A2242,""en"",""ja"")"),"アルビール")</f>
        <v>アルビール</v>
      </c>
      <c r="I2242" s="9" t="str">
        <f>IFERROR(__xludf.DUMMYFUNCTION("GOOGLETRANSLATE($A2242,""en"",""ko"")"),"아르빌")</f>
        <v>아르빌</v>
      </c>
      <c r="J2242" s="9" t="str">
        <f>IFERROR(__xludf.DUMMYFUNCTION("GOOGLETRANSLATE($A2242,""en"",""pt-BR"")"),"Arbil")</f>
        <v>Arbil</v>
      </c>
    </row>
    <row r="2243">
      <c r="A2243" s="9" t="str">
        <f>IFERROR(__xludf.DUMMYFUNCTION("""COMPUTED_VALUE"""),"Al Başrah")</f>
        <v>Al Başrah</v>
      </c>
      <c r="B2243" s="9" t="str">
        <f>IFERROR(__xludf.DUMMYFUNCTION("""COMPUTED_VALUE"""),"iq-ba")</f>
        <v>iq-ba</v>
      </c>
      <c r="C2243" s="9" t="str">
        <f>IFERROR(__xludf.DUMMYFUNCTION("GOOGLETRANSLATE($A2243,""en"",""de"")"),"Al Başrah")</f>
        <v>Al Başrah</v>
      </c>
      <c r="D2243" s="9" t="str">
        <f>IFERROR(__xludf.DUMMYFUNCTION("GOOGLETRANSLATE($A2243,""en"",""fr"")"),"Al Bassora")</f>
        <v>Al Bassora</v>
      </c>
      <c r="E2243" s="9" t="str">
        <f>IFERROR(__xludf.DUMMYFUNCTION("GOOGLETRANSLATE($A2243,""en"",""es"")"),"Basora")</f>
        <v>Basora</v>
      </c>
      <c r="F2243" s="9" t="str">
        <f>IFERROR(__xludf.DUMMYFUNCTION("GOOGLETRANSLATE($A2243,""en"",""it"")"),"Al Başrah")</f>
        <v>Al Başrah</v>
      </c>
      <c r="G2243" s="9" t="str">
        <f>IFERROR(__xludf.DUMMYFUNCTION("GOOGLETRANSLATE($A2243,""en"",""zh-cn"")"),"巴士拉")</f>
        <v>巴士拉</v>
      </c>
      <c r="H2243" s="9" t="str">
        <f>IFERROR(__xludf.DUMMYFUNCTION("GOOGLETRANSLATE($A2243,""en"",""ja"")"),"アル・バスラ")</f>
        <v>アル・バスラ</v>
      </c>
      <c r="I2243" s="9" t="str">
        <f>IFERROR(__xludf.DUMMYFUNCTION("GOOGLETRANSLATE($A2243,""en"",""ko"")"),"알 바스라")</f>
        <v>알 바스라</v>
      </c>
      <c r="J2243" s="9" t="str">
        <f>IFERROR(__xludf.DUMMYFUNCTION("GOOGLETRANSLATE($A2243,""en"",""pt-BR"")"),"Al Başrah")</f>
        <v>Al Başrah</v>
      </c>
    </row>
    <row r="2244">
      <c r="A2244" s="9" t="str">
        <f>IFERROR(__xludf.DUMMYFUNCTION("""COMPUTED_VALUE"""),"Kirkūk (IQ-TS)")</f>
        <v>Kirkūk (IQ-TS)</v>
      </c>
      <c r="B2244" s="9" t="str">
        <f>IFERROR(__xludf.DUMMYFUNCTION("""COMPUTED_VALUE"""),"iq-ts")</f>
        <v>iq-ts</v>
      </c>
      <c r="C2244" s="9" t="str">
        <f>IFERROR(__xludf.DUMMYFUNCTION("GOOGLETRANSLATE($A2244,""en"",""de"")"),"Kirkūk (IQ-TS)")</f>
        <v>Kirkūk (IQ-TS)</v>
      </c>
      <c r="D2244" s="9" t="str">
        <f>IFERROR(__xludf.DUMMYFUNCTION("GOOGLETRANSLATE($A2244,""en"",""fr"")"),"Kirkouk (IQ-TS)")</f>
        <v>Kirkouk (IQ-TS)</v>
      </c>
      <c r="E2244" s="9" t="str">
        <f>IFERROR(__xludf.DUMMYFUNCTION("GOOGLETRANSLATE($A2244,""en"",""es"")"),"Kirkuk (IQ-TS)")</f>
        <v>Kirkuk (IQ-TS)</v>
      </c>
      <c r="F2244" s="9" t="str">
        <f>IFERROR(__xludf.DUMMYFUNCTION("GOOGLETRANSLATE($A2244,""en"",""it"")"),"Kirkūk (IQ-TS)")</f>
        <v>Kirkūk (IQ-TS)</v>
      </c>
      <c r="G2244" s="9" t="str">
        <f>IFERROR(__xludf.DUMMYFUNCTION("GOOGLETRANSLATE($A2244,""en"",""zh-cn"")"),"基尔库克 (IQ-TS)")</f>
        <v>基尔库克 (IQ-TS)</v>
      </c>
      <c r="H2244" s="9" t="str">
        <f>IFERROR(__xludf.DUMMYFUNCTION("GOOGLETRANSLATE($A2244,""en"",""ja"")"),"キルクーク (IQ-TS)")</f>
        <v>キルクーク (IQ-TS)</v>
      </c>
      <c r="I2244" s="9" t="str">
        <f>IFERROR(__xludf.DUMMYFUNCTION("GOOGLETRANSLATE($A2244,""en"",""ko"")"),"키르쿠크 (IQ-TS)")</f>
        <v>키르쿠크 (IQ-TS)</v>
      </c>
      <c r="J2244" s="9" t="str">
        <f>IFERROR(__xludf.DUMMYFUNCTION("GOOGLETRANSLATE($A2244,""en"",""pt-BR"")"),"Kirkuk (IQ-TS)")</f>
        <v>Kirkuk (IQ-TS)</v>
      </c>
    </row>
    <row r="2245">
      <c r="A2245" s="9" t="str">
        <f>IFERROR(__xludf.DUMMYFUNCTION("""COMPUTED_VALUE"""),"Dahūk")</f>
        <v>Dahūk</v>
      </c>
      <c r="B2245" s="9" t="str">
        <f>IFERROR(__xludf.DUMMYFUNCTION("""COMPUTED_VALUE"""),"iq-da")</f>
        <v>iq-da</v>
      </c>
      <c r="C2245" s="9" t="str">
        <f>IFERROR(__xludf.DUMMYFUNCTION("GOOGLETRANSLATE($A2245,""en"",""de"")"),"Dahuk")</f>
        <v>Dahuk</v>
      </c>
      <c r="D2245" s="9" t="str">
        <f>IFERROR(__xludf.DUMMYFUNCTION("GOOGLETRANSLATE($A2245,""en"",""fr"")"),"Dohuk")</f>
        <v>Dohuk</v>
      </c>
      <c r="E2245" s="9" t="str">
        <f>IFERROR(__xludf.DUMMYFUNCTION("GOOGLETRANSLATE($A2245,""en"",""es"")"),"Duhok")</f>
        <v>Duhok</v>
      </c>
      <c r="F2245" s="9" t="str">
        <f>IFERROR(__xludf.DUMMYFUNCTION("GOOGLETRANSLATE($A2245,""en"",""it"")"),"Dahuk")</f>
        <v>Dahuk</v>
      </c>
      <c r="G2245" s="9" t="str">
        <f>IFERROR(__xludf.DUMMYFUNCTION("GOOGLETRANSLATE($A2245,""en"",""zh-cn"")"),"达胡克")</f>
        <v>达胡克</v>
      </c>
      <c r="H2245" s="9" t="str">
        <f>IFERROR(__xludf.DUMMYFUNCTION("GOOGLETRANSLATE($A2245,""en"",""ja"")"),"ダホーク")</f>
        <v>ダホーク</v>
      </c>
      <c r="I2245" s="9" t="str">
        <f>IFERROR(__xludf.DUMMYFUNCTION("GOOGLETRANSLATE($A2245,""en"",""ko"")"),"다훅")</f>
        <v>다훅</v>
      </c>
      <c r="J2245" s="9" t="str">
        <f>IFERROR(__xludf.DUMMYFUNCTION("GOOGLETRANSLATE($A2245,""en"",""pt-BR"")"),"Dahuk")</f>
        <v>Dahuk</v>
      </c>
    </row>
    <row r="2246">
      <c r="A2246" s="9" t="str">
        <f>IFERROR(__xludf.DUMMYFUNCTION("""COMPUTED_VALUE"""),"Kirkūk")</f>
        <v>Kirkūk</v>
      </c>
      <c r="B2246" s="9" t="str">
        <f>IFERROR(__xludf.DUMMYFUNCTION("""COMPUTED_VALUE"""),"iq-ki")</f>
        <v>iq-ki</v>
      </c>
      <c r="C2246" s="9" t="str">
        <f>IFERROR(__xludf.DUMMYFUNCTION("GOOGLETRANSLATE($A2246,""en"",""de"")"),"Kirkuk")</f>
        <v>Kirkuk</v>
      </c>
      <c r="D2246" s="9" t="str">
        <f>IFERROR(__xludf.DUMMYFUNCTION("GOOGLETRANSLATE($A2246,""en"",""fr"")"),"Kirkouk")</f>
        <v>Kirkouk</v>
      </c>
      <c r="E2246" s="9" t="str">
        <f>IFERROR(__xludf.DUMMYFUNCTION("GOOGLETRANSLATE($A2246,""en"",""es"")"),"Kirkuk")</f>
        <v>Kirkuk</v>
      </c>
      <c r="F2246" s="9" t="str">
        <f>IFERROR(__xludf.DUMMYFUNCTION("GOOGLETRANSLATE($A2246,""en"",""it"")"),"Kirkūk")</f>
        <v>Kirkūk</v>
      </c>
      <c r="G2246" s="9" t="str">
        <f>IFERROR(__xludf.DUMMYFUNCTION("GOOGLETRANSLATE($A2246,""en"",""zh-cn"")"),"基尔库克")</f>
        <v>基尔库克</v>
      </c>
      <c r="H2246" s="9" t="str">
        <f>IFERROR(__xludf.DUMMYFUNCTION("GOOGLETRANSLATE($A2246,""en"",""ja"")"),"キルクーク")</f>
        <v>キルクーク</v>
      </c>
      <c r="I2246" s="9" t="str">
        <f>IFERROR(__xludf.DUMMYFUNCTION("GOOGLETRANSLATE($A2246,""en"",""ko"")"),"키르쿠크")</f>
        <v>키르쿠크</v>
      </c>
      <c r="J2246" s="9" t="str">
        <f>IFERROR(__xludf.DUMMYFUNCTION("GOOGLETRANSLATE($A2246,""en"",""pt-BR"")"),"Kirkuk")</f>
        <v>Kirkuk</v>
      </c>
    </row>
    <row r="2247">
      <c r="A2247" s="9" t="str">
        <f>IFERROR(__xludf.DUMMYFUNCTION("""COMPUTED_VALUE"""),"Iqlīm Kūrdistān")</f>
        <v>Iqlīm Kūrdistān</v>
      </c>
      <c r="B2247" s="9" t="str">
        <f>IFERROR(__xludf.DUMMYFUNCTION("""COMPUTED_VALUE"""),"iq-kr")</f>
        <v>iq-kr</v>
      </c>
      <c r="C2247" s="9" t="str">
        <f>IFERROR(__xludf.DUMMYFUNCTION("GOOGLETRANSLATE($A2247,""en"",""de"")"),"Iqlīm Kūrdistān")</f>
        <v>Iqlīm Kūrdistān</v>
      </c>
      <c r="D2247" s="9" t="str">
        <f>IFERROR(__xludf.DUMMYFUNCTION("GOOGLETRANSLATE($A2247,""en"",""fr"")"),"Iqlim Kurdistan")</f>
        <v>Iqlim Kurdistan</v>
      </c>
      <c r="E2247" s="9" t="str">
        <f>IFERROR(__xludf.DUMMYFUNCTION("GOOGLETRANSLATE($A2247,""en"",""es"")"),"Iqlīm Kurdistán")</f>
        <v>Iqlīm Kurdistán</v>
      </c>
      <c r="F2247" s="9" t="str">
        <f>IFERROR(__xludf.DUMMYFUNCTION("GOOGLETRANSLATE($A2247,""en"",""it"")"),"Iqlīm Kūrdistan")</f>
        <v>Iqlīm Kūrdistan</v>
      </c>
      <c r="G2247" s="9" t="str">
        <f>IFERROR(__xludf.DUMMYFUNCTION("GOOGLETRANSLATE($A2247,""en"",""zh-cn"")"),"伊克利姆库尔德斯坦")</f>
        <v>伊克利姆库尔德斯坦</v>
      </c>
      <c r="H2247" s="9" t="str">
        <f>IFERROR(__xludf.DUMMYFUNCTION("GOOGLETRANSLATE($A2247,""en"",""ja"")"),"イクリム・クルディスタン")</f>
        <v>イクリム・クルディスタン</v>
      </c>
      <c r="I2247" s="9" t="str">
        <f>IFERROR(__xludf.DUMMYFUNCTION("GOOGLETRANSLATE($A2247,""en"",""ko"")"),"이클림 쿠르디스탄")</f>
        <v>이클림 쿠르디스탄</v>
      </c>
      <c r="J2247" s="9" t="str">
        <f>IFERROR(__xludf.DUMMYFUNCTION("GOOGLETRANSLATE($A2247,""en"",""pt-BR"")"),"Iqlim Curdistão")</f>
        <v>Iqlim Curdistão</v>
      </c>
    </row>
    <row r="2248">
      <c r="A2248" s="9" t="str">
        <f>IFERROR(__xludf.DUMMYFUNCTION("""COMPUTED_VALUE"""),"Al Muthanná")</f>
        <v>Al Muthanná</v>
      </c>
      <c r="B2248" s="9" t="str">
        <f>IFERROR(__xludf.DUMMYFUNCTION("""COMPUTED_VALUE"""),"iq-mu")</f>
        <v>iq-mu</v>
      </c>
      <c r="C2248" s="9" t="str">
        <f>IFERROR(__xludf.DUMMYFUNCTION("GOOGLETRANSLATE($A2248,""en"",""de"")"),"Al Muthanná")</f>
        <v>Al Muthanná</v>
      </c>
      <c r="D2248" s="9" t="str">
        <f>IFERROR(__xludf.DUMMYFUNCTION("GOOGLETRANSLATE($A2248,""en"",""fr"")"),"Al Muthanna")</f>
        <v>Al Muthanna</v>
      </c>
      <c r="E2248" s="9" t="str">
        <f>IFERROR(__xludf.DUMMYFUNCTION("GOOGLETRANSLATE($A2248,""en"",""es"")"),"Al Muthanná")</f>
        <v>Al Muthanná</v>
      </c>
      <c r="F2248" s="9" t="str">
        <f>IFERROR(__xludf.DUMMYFUNCTION("GOOGLETRANSLATE($A2248,""en"",""it"")"),"Al Muthanna")</f>
        <v>Al Muthanna</v>
      </c>
      <c r="G2248" s="9" t="str">
        <f>IFERROR(__xludf.DUMMYFUNCTION("GOOGLETRANSLATE($A2248,""en"",""zh-cn"")"),"阿尔·穆萨纳")</f>
        <v>阿尔·穆萨纳</v>
      </c>
      <c r="H2248" s="9" t="str">
        <f>IFERROR(__xludf.DUMMYFUNCTION("GOOGLETRANSLATE($A2248,""en"",""ja"")"),"アル・ムサンナ")</f>
        <v>アル・ムサンナ</v>
      </c>
      <c r="I2248" s="9" t="str">
        <f>IFERROR(__xludf.DUMMYFUNCTION("GOOGLETRANSLATE($A2248,""en"",""ko"")"),"알 무탄나")</f>
        <v>알 무탄나</v>
      </c>
      <c r="J2248" s="9" t="str">
        <f>IFERROR(__xludf.DUMMYFUNCTION("GOOGLETRANSLATE($A2248,""en"",""pt-BR"")"),"Al Muthanná")</f>
        <v>Al Muthanná</v>
      </c>
    </row>
    <row r="2249">
      <c r="A2249" s="9" t="str">
        <f>IFERROR(__xludf.DUMMYFUNCTION("""COMPUTED_VALUE"""),"Al Anbār")</f>
        <v>Al Anbār</v>
      </c>
      <c r="B2249" s="9" t="str">
        <f>IFERROR(__xludf.DUMMYFUNCTION("""COMPUTED_VALUE"""),"iq-an")</f>
        <v>iq-an</v>
      </c>
      <c r="C2249" s="9" t="str">
        <f>IFERROR(__xludf.DUMMYFUNCTION("GOOGLETRANSLATE($A2249,""en"",""de"")"),"Al Anbar")</f>
        <v>Al Anbar</v>
      </c>
      <c r="D2249" s="9" t="str">
        <f>IFERROR(__xludf.DUMMYFUNCTION("GOOGLETRANSLATE($A2249,""en"",""fr"")"),"Al Anbar")</f>
        <v>Al Anbar</v>
      </c>
      <c r="E2249" s="9" t="str">
        <f>IFERROR(__xludf.DUMMYFUNCTION("GOOGLETRANSLATE($A2249,""en"",""es"")"),"Al Anbar")</f>
        <v>Al Anbar</v>
      </c>
      <c r="F2249" s="9" t="str">
        <f>IFERROR(__xludf.DUMMYFUNCTION("GOOGLETRANSLATE($A2249,""en"",""it"")"),"Al Anbar")</f>
        <v>Al Anbar</v>
      </c>
      <c r="G2249" s="9" t="str">
        <f>IFERROR(__xludf.DUMMYFUNCTION("GOOGLETRANSLATE($A2249,""en"",""zh-cn"")"),"安巴尔")</f>
        <v>安巴尔</v>
      </c>
      <c r="H2249" s="9" t="str">
        <f>IFERROR(__xludf.DUMMYFUNCTION("GOOGLETRANSLATE($A2249,""en"",""ja"")"),"アル・アンバール")</f>
        <v>アル・アンバール</v>
      </c>
      <c r="I2249" s="9" t="str">
        <f>IFERROR(__xludf.DUMMYFUNCTION("GOOGLETRANSLATE($A2249,""en"",""ko"")"),"알 안바르")</f>
        <v>알 안바르</v>
      </c>
      <c r="J2249" s="9" t="str">
        <f>IFERROR(__xludf.DUMMYFUNCTION("GOOGLETRANSLATE($A2249,""en"",""pt-BR"")"),"Al Anbar")</f>
        <v>Al Anbar</v>
      </c>
    </row>
    <row r="2250">
      <c r="A2250" s="9" t="str">
        <f>IFERROR(__xludf.DUMMYFUNCTION("""COMPUTED_VALUE"""),"Wāsiţ")</f>
        <v>Wāsiţ</v>
      </c>
      <c r="B2250" s="9" t="str">
        <f>IFERROR(__xludf.DUMMYFUNCTION("""COMPUTED_VALUE"""),"iq-wa")</f>
        <v>iq-wa</v>
      </c>
      <c r="C2250" s="9" t="str">
        <f>IFERROR(__xludf.DUMMYFUNCTION("GOOGLETRANSLATE($A2250,""en"",""de"")"),"Wāsiţ")</f>
        <v>Wāsiţ</v>
      </c>
      <c r="D2250" s="9" t="str">
        <f>IFERROR(__xludf.DUMMYFUNCTION("GOOGLETRANSLATE($A2250,""en"",""fr"")"),"Wasiţ")</f>
        <v>Wasiţ</v>
      </c>
      <c r="E2250" s="9" t="str">
        <f>IFERROR(__xludf.DUMMYFUNCTION("GOOGLETRANSLATE($A2250,""en"",""es"")"),"Wāsiţ")</f>
        <v>Wāsiţ</v>
      </c>
      <c r="F2250" s="9" t="str">
        <f>IFERROR(__xludf.DUMMYFUNCTION("GOOGLETRANSLATE($A2250,""en"",""it"")"),"Wāsiţ")</f>
        <v>Wāsiţ</v>
      </c>
      <c r="G2250" s="9" t="str">
        <f>IFERROR(__xludf.DUMMYFUNCTION("GOOGLETRANSLATE($A2250,""en"",""zh-cn"")"),"瓦西特")</f>
        <v>瓦西特</v>
      </c>
      <c r="H2250" s="9" t="str">
        <f>IFERROR(__xludf.DUMMYFUNCTION("GOOGLETRANSLATE($A2250,""en"",""ja"")"),"ワシシュ")</f>
        <v>ワシシュ</v>
      </c>
      <c r="I2250" s="9" t="str">
        <f>IFERROR(__xludf.DUMMYFUNCTION("GOOGLETRANSLATE($A2250,""en"",""ko"")"),"와시츠")</f>
        <v>와시츠</v>
      </c>
      <c r="J2250" s="9" t="str">
        <f>IFERROR(__xludf.DUMMYFUNCTION("GOOGLETRANSLATE($A2250,""en"",""pt-BR"")"),"Wāsiţ")</f>
        <v>Wāsiţ</v>
      </c>
    </row>
    <row r="2251">
      <c r="A2251" s="9" t="str">
        <f>IFERROR(__xludf.DUMMYFUNCTION("""COMPUTED_VALUE"""),"Al Qādisīyah")</f>
        <v>Al Qādisīyah</v>
      </c>
      <c r="B2251" s="9" t="str">
        <f>IFERROR(__xludf.DUMMYFUNCTION("""COMPUTED_VALUE"""),"iq-qa")</f>
        <v>iq-qa</v>
      </c>
      <c r="C2251" s="9" t="str">
        <f>IFERROR(__xludf.DUMMYFUNCTION("GOOGLETRANSLATE($A2251,""en"",""de"")"),"Al Qādisīyah")</f>
        <v>Al Qādisīyah</v>
      </c>
      <c r="D2251" s="9" t="str">
        <f>IFERROR(__xludf.DUMMYFUNCTION("GOOGLETRANSLATE($A2251,""en"",""fr"")"),"Al Qadisiya")</f>
        <v>Al Qadisiya</v>
      </c>
      <c r="E2251" s="9" t="str">
        <f>IFERROR(__xludf.DUMMYFUNCTION("GOOGLETRANSLATE($A2251,""en"",""es"")"),"Al Qādisīyah")</f>
        <v>Al Qādisīyah</v>
      </c>
      <c r="F2251" s="9" t="str">
        <f>IFERROR(__xludf.DUMMYFUNCTION("GOOGLETRANSLATE($A2251,""en"",""it"")"),"Al Qādisīyah")</f>
        <v>Al Qādisīyah</v>
      </c>
      <c r="G2251" s="9" t="str">
        <f>IFERROR(__xludf.DUMMYFUNCTION("GOOGLETRANSLATE($A2251,""en"",""zh-cn"")"),"卡迪西亚")</f>
        <v>卡迪西亚</v>
      </c>
      <c r="H2251" s="9" t="str">
        <f>IFERROR(__xludf.DUMMYFUNCTION("GOOGLETRANSLATE($A2251,""en"",""ja"")"),"アル・カーディシーヤ")</f>
        <v>アル・カーディシーヤ</v>
      </c>
      <c r="I2251" s="9" t="str">
        <f>IFERROR(__xludf.DUMMYFUNCTION("GOOGLETRANSLATE($A2251,""en"",""ko"")"),"알 카디시야")</f>
        <v>알 카디시야</v>
      </c>
      <c r="J2251" s="9" t="str">
        <f>IFERROR(__xludf.DUMMYFUNCTION("GOOGLETRANSLATE($A2251,""en"",""pt-BR"")"),"Al Qadisiyah")</f>
        <v>Al Qadisiyah</v>
      </c>
    </row>
    <row r="2252">
      <c r="A2252" s="9" t="str">
        <f>IFERROR(__xludf.DUMMYFUNCTION("""COMPUTED_VALUE"""),"Leitrim")</f>
        <v>Leitrim</v>
      </c>
      <c r="B2252" s="9" t="str">
        <f>IFERROR(__xludf.DUMMYFUNCTION("""COMPUTED_VALUE"""),"ie-lm")</f>
        <v>ie-lm</v>
      </c>
      <c r="C2252" s="9" t="str">
        <f>IFERROR(__xludf.DUMMYFUNCTION("GOOGLETRANSLATE($A2252,""en"",""de"")"),"Leitrim")</f>
        <v>Leitrim</v>
      </c>
      <c r="D2252" s="9" t="str">
        <f>IFERROR(__xludf.DUMMYFUNCTION("GOOGLETRANSLATE($A2252,""en"",""fr"")"),"Leitrim")</f>
        <v>Leitrim</v>
      </c>
      <c r="E2252" s="9" t="str">
        <f>IFERROR(__xludf.DUMMYFUNCTION("GOOGLETRANSLATE($A2252,""en"",""es"")"),"Leitrim")</f>
        <v>Leitrim</v>
      </c>
      <c r="F2252" s="9" t="str">
        <f>IFERROR(__xludf.DUMMYFUNCTION("GOOGLETRANSLATE($A2252,""en"",""it"")"),"Leitrim")</f>
        <v>Leitrim</v>
      </c>
      <c r="G2252" s="9" t="str">
        <f>IFERROR(__xludf.DUMMYFUNCTION("GOOGLETRANSLATE($A2252,""en"",""zh-cn"")"),"利特里姆")</f>
        <v>利特里姆</v>
      </c>
      <c r="H2252" s="9" t="str">
        <f>IFERROR(__xludf.DUMMYFUNCTION("GOOGLETRANSLATE($A2252,""en"",""ja"")"),"リートリム")</f>
        <v>リートリム</v>
      </c>
      <c r="I2252" s="9" t="str">
        <f>IFERROR(__xludf.DUMMYFUNCTION("GOOGLETRANSLATE($A2252,""en"",""ko"")"),"라이트림")</f>
        <v>라이트림</v>
      </c>
      <c r="J2252" s="9" t="str">
        <f>IFERROR(__xludf.DUMMYFUNCTION("GOOGLETRANSLATE($A2252,""en"",""pt-BR"")"),"Leitrim")</f>
        <v>Leitrim</v>
      </c>
    </row>
    <row r="2253">
      <c r="A2253" s="9" t="str">
        <f>IFERROR(__xludf.DUMMYFUNCTION("""COMPUTED_VALUE"""),"Limerick")</f>
        <v>Limerick</v>
      </c>
      <c r="B2253" s="9" t="str">
        <f>IFERROR(__xludf.DUMMYFUNCTION("""COMPUTED_VALUE"""),"ie-lk")</f>
        <v>ie-lk</v>
      </c>
      <c r="C2253" s="9" t="str">
        <f>IFERROR(__xludf.DUMMYFUNCTION("GOOGLETRANSLATE($A2253,""en"",""de"")"),"Limerick")</f>
        <v>Limerick</v>
      </c>
      <c r="D2253" s="9" t="str">
        <f>IFERROR(__xludf.DUMMYFUNCTION("GOOGLETRANSLATE($A2253,""en"",""fr"")"),"Limerick")</f>
        <v>Limerick</v>
      </c>
      <c r="E2253" s="9" t="str">
        <f>IFERROR(__xludf.DUMMYFUNCTION("GOOGLETRANSLATE($A2253,""en"",""es"")"),"Quintilla cómica")</f>
        <v>Quintilla cómica</v>
      </c>
      <c r="F2253" s="9" t="str">
        <f>IFERROR(__xludf.DUMMYFUNCTION("GOOGLETRANSLATE($A2253,""en"",""it"")"),"Limerick")</f>
        <v>Limerick</v>
      </c>
      <c r="G2253" s="9" t="str">
        <f>IFERROR(__xludf.DUMMYFUNCTION("GOOGLETRANSLATE($A2253,""en"",""zh-cn"")"),"利默里克")</f>
        <v>利默里克</v>
      </c>
      <c r="H2253" s="9" t="str">
        <f>IFERROR(__xludf.DUMMYFUNCTION("GOOGLETRANSLATE($A2253,""en"",""ja"")"),"リムリック")</f>
        <v>リムリック</v>
      </c>
      <c r="I2253" s="9" t="str">
        <f>IFERROR(__xludf.DUMMYFUNCTION("GOOGLETRANSLATE($A2253,""en"",""ko"")"),"오행 희시")</f>
        <v>오행 희시</v>
      </c>
      <c r="J2253" s="9" t="str">
        <f>IFERROR(__xludf.DUMMYFUNCTION("GOOGLETRANSLATE($A2253,""en"",""pt-BR"")"),"Limerick")</f>
        <v>Limerick</v>
      </c>
    </row>
    <row r="2254">
      <c r="A2254" s="9" t="str">
        <f>IFERROR(__xludf.DUMMYFUNCTION("""COMPUTED_VALUE"""),"Longford")</f>
        <v>Longford</v>
      </c>
      <c r="B2254" s="9" t="str">
        <f>IFERROR(__xludf.DUMMYFUNCTION("""COMPUTED_VALUE"""),"ie-ld")</f>
        <v>ie-ld</v>
      </c>
      <c r="C2254" s="9" t="str">
        <f>IFERROR(__xludf.DUMMYFUNCTION("GOOGLETRANSLATE($A2254,""en"",""de"")"),"Longford")</f>
        <v>Longford</v>
      </c>
      <c r="D2254" s="9" t="str">
        <f>IFERROR(__xludf.DUMMYFUNCTION("GOOGLETRANSLATE($A2254,""en"",""fr"")"),"Longford")</f>
        <v>Longford</v>
      </c>
      <c r="E2254" s="9" t="str">
        <f>IFERROR(__xludf.DUMMYFUNCTION("GOOGLETRANSLATE($A2254,""en"",""es"")"),"Longford")</f>
        <v>Longford</v>
      </c>
      <c r="F2254" s="9" t="str">
        <f>IFERROR(__xludf.DUMMYFUNCTION("GOOGLETRANSLATE($A2254,""en"",""it"")"),"Longford")</f>
        <v>Longford</v>
      </c>
      <c r="G2254" s="9" t="str">
        <f>IFERROR(__xludf.DUMMYFUNCTION("GOOGLETRANSLATE($A2254,""en"",""zh-cn"")"),"朗福德")</f>
        <v>朗福德</v>
      </c>
      <c r="H2254" s="9" t="str">
        <f>IFERROR(__xludf.DUMMYFUNCTION("GOOGLETRANSLATE($A2254,""en"",""ja"")"),"ロングフォード")</f>
        <v>ロングフォード</v>
      </c>
      <c r="I2254" s="9" t="str">
        <f>IFERROR(__xludf.DUMMYFUNCTION("GOOGLETRANSLATE($A2254,""en"",""ko"")"),"롱포드")</f>
        <v>롱포드</v>
      </c>
      <c r="J2254" s="9" t="str">
        <f>IFERROR(__xludf.DUMMYFUNCTION("GOOGLETRANSLATE($A2254,""en"",""pt-BR"")"),"Longford")</f>
        <v>Longford</v>
      </c>
    </row>
    <row r="2255">
      <c r="A2255" s="9" t="str">
        <f>IFERROR(__xludf.DUMMYFUNCTION("""COMPUTED_VALUE"""),"Louth")</f>
        <v>Louth</v>
      </c>
      <c r="B2255" s="9" t="str">
        <f>IFERROR(__xludf.DUMMYFUNCTION("""COMPUTED_VALUE"""),"ie-lh")</f>
        <v>ie-lh</v>
      </c>
      <c r="C2255" s="9" t="str">
        <f>IFERROR(__xludf.DUMMYFUNCTION("GOOGLETRANSLATE($A2255,""en"",""de"")"),"Louth")</f>
        <v>Louth</v>
      </c>
      <c r="D2255" s="9" t="str">
        <f>IFERROR(__xludf.DUMMYFUNCTION("GOOGLETRANSLATE($A2255,""en"",""fr"")"),"Louth")</f>
        <v>Louth</v>
      </c>
      <c r="E2255" s="9" t="str">
        <f>IFERROR(__xludf.DUMMYFUNCTION("GOOGLETRANSLATE($A2255,""en"",""es"")"),"Louth")</f>
        <v>Louth</v>
      </c>
      <c r="F2255" s="9" t="str">
        <f>IFERROR(__xludf.DUMMYFUNCTION("GOOGLETRANSLATE($A2255,""en"",""it"")"),"Louth")</f>
        <v>Louth</v>
      </c>
      <c r="G2255" s="9" t="str">
        <f>IFERROR(__xludf.DUMMYFUNCTION("GOOGLETRANSLATE($A2255,""en"",""zh-cn"")"),"劳斯")</f>
        <v>劳斯</v>
      </c>
      <c r="H2255" s="9" t="str">
        <f>IFERROR(__xludf.DUMMYFUNCTION("GOOGLETRANSLATE($A2255,""en"",""ja"")"),"ラウス")</f>
        <v>ラウス</v>
      </c>
      <c r="I2255" s="9" t="str">
        <f>IFERROR(__xludf.DUMMYFUNCTION("GOOGLETRANSLATE($A2255,""en"",""ko"")"),"라우스")</f>
        <v>라우스</v>
      </c>
      <c r="J2255" s="9" t="str">
        <f>IFERROR(__xludf.DUMMYFUNCTION("GOOGLETRANSLATE($A2255,""en"",""pt-BR"")"),"Louth")</f>
        <v>Louth</v>
      </c>
    </row>
    <row r="2256">
      <c r="A2256" s="9" t="str">
        <f>IFERROR(__xludf.DUMMYFUNCTION("""COMPUTED_VALUE"""),"Kerry")</f>
        <v>Kerry</v>
      </c>
      <c r="B2256" s="9" t="str">
        <f>IFERROR(__xludf.DUMMYFUNCTION("""COMPUTED_VALUE"""),"ie-ky")</f>
        <v>ie-ky</v>
      </c>
      <c r="C2256" s="9" t="str">
        <f>IFERROR(__xludf.DUMMYFUNCTION("GOOGLETRANSLATE($A2256,""en"",""de"")"),"Kerry")</f>
        <v>Kerry</v>
      </c>
      <c r="D2256" s="9" t="str">
        <f>IFERROR(__xludf.DUMMYFUNCTION("GOOGLETRANSLATE($A2256,""en"",""fr"")"),"Kerry")</f>
        <v>Kerry</v>
      </c>
      <c r="E2256" s="9" t="str">
        <f>IFERROR(__xludf.DUMMYFUNCTION("GOOGLETRANSLATE($A2256,""en"",""es"")"),"kerry")</f>
        <v>kerry</v>
      </c>
      <c r="F2256" s="9" t="str">
        <f>IFERROR(__xludf.DUMMYFUNCTION("GOOGLETRANSLATE($A2256,""en"",""it"")"),"Kerry")</f>
        <v>Kerry</v>
      </c>
      <c r="G2256" s="9" t="str">
        <f>IFERROR(__xludf.DUMMYFUNCTION("GOOGLETRANSLATE($A2256,""en"",""zh-cn"")"),"凯里")</f>
        <v>凯里</v>
      </c>
      <c r="H2256" s="9" t="str">
        <f>IFERROR(__xludf.DUMMYFUNCTION("GOOGLETRANSLATE($A2256,""en"",""ja"")"),"ケリー")</f>
        <v>ケリー</v>
      </c>
      <c r="I2256" s="9" t="str">
        <f>IFERROR(__xludf.DUMMYFUNCTION("GOOGLETRANSLATE($A2256,""en"",""ko"")"),"케리")</f>
        <v>케리</v>
      </c>
      <c r="J2256" s="9" t="str">
        <f>IFERROR(__xludf.DUMMYFUNCTION("GOOGLETRANSLATE($A2256,""en"",""pt-BR"")"),"Kerry")</f>
        <v>Kerry</v>
      </c>
    </row>
    <row r="2257">
      <c r="A2257" s="9" t="str">
        <f>IFERROR(__xludf.DUMMYFUNCTION("""COMPUTED_VALUE"""),"Kildare")</f>
        <v>Kildare</v>
      </c>
      <c r="B2257" s="9" t="str">
        <f>IFERROR(__xludf.DUMMYFUNCTION("""COMPUTED_VALUE"""),"ie-ke")</f>
        <v>ie-ke</v>
      </c>
      <c r="C2257" s="9" t="str">
        <f>IFERROR(__xludf.DUMMYFUNCTION("GOOGLETRANSLATE($A2257,""en"",""de"")"),"Kildare")</f>
        <v>Kildare</v>
      </c>
      <c r="D2257" s="9" t="str">
        <f>IFERROR(__xludf.DUMMYFUNCTION("GOOGLETRANSLATE($A2257,""en"",""fr"")"),"Kildare")</f>
        <v>Kildare</v>
      </c>
      <c r="E2257" s="9" t="str">
        <f>IFERROR(__xludf.DUMMYFUNCTION("GOOGLETRANSLATE($A2257,""en"",""es"")"),"Kildare")</f>
        <v>Kildare</v>
      </c>
      <c r="F2257" s="9" t="str">
        <f>IFERROR(__xludf.DUMMYFUNCTION("GOOGLETRANSLATE($A2257,""en"",""it"")"),"Kildare")</f>
        <v>Kildare</v>
      </c>
      <c r="G2257" s="9" t="str">
        <f>IFERROR(__xludf.DUMMYFUNCTION("GOOGLETRANSLATE($A2257,""en"",""zh-cn"")"),"基尔代尔")</f>
        <v>基尔代尔</v>
      </c>
      <c r="H2257" s="9" t="str">
        <f>IFERROR(__xludf.DUMMYFUNCTION("GOOGLETRANSLATE($A2257,""en"",""ja"")"),"キルデア")</f>
        <v>キルデア</v>
      </c>
      <c r="I2257" s="9" t="str">
        <f>IFERROR(__xludf.DUMMYFUNCTION("GOOGLETRANSLATE($A2257,""en"",""ko"")"),"킬데어")</f>
        <v>킬데어</v>
      </c>
      <c r="J2257" s="9" t="str">
        <f>IFERROR(__xludf.DUMMYFUNCTION("GOOGLETRANSLATE($A2257,""en"",""pt-BR"")"),"Kildare")</f>
        <v>Kildare</v>
      </c>
    </row>
    <row r="2258">
      <c r="A2258" s="9" t="str">
        <f>IFERROR(__xludf.DUMMYFUNCTION("""COMPUTED_VALUE"""),"Kilkenny")</f>
        <v>Kilkenny</v>
      </c>
      <c r="B2258" s="9" t="str">
        <f>IFERROR(__xludf.DUMMYFUNCTION("""COMPUTED_VALUE"""),"ie-kk")</f>
        <v>ie-kk</v>
      </c>
      <c r="C2258" s="9" t="str">
        <f>IFERROR(__xludf.DUMMYFUNCTION("GOOGLETRANSLATE($A2258,""en"",""de"")"),"Kilkenny")</f>
        <v>Kilkenny</v>
      </c>
      <c r="D2258" s="9" t="str">
        <f>IFERROR(__xludf.DUMMYFUNCTION("GOOGLETRANSLATE($A2258,""en"",""fr"")"),"Kilkenny")</f>
        <v>Kilkenny</v>
      </c>
      <c r="E2258" s="9" t="str">
        <f>IFERROR(__xludf.DUMMYFUNCTION("GOOGLETRANSLATE($A2258,""en"",""es"")"),"Kilkenny")</f>
        <v>Kilkenny</v>
      </c>
      <c r="F2258" s="9" t="str">
        <f>IFERROR(__xludf.DUMMYFUNCTION("GOOGLETRANSLATE($A2258,""en"",""it"")"),"Kilkenny")</f>
        <v>Kilkenny</v>
      </c>
      <c r="G2258" s="9" t="str">
        <f>IFERROR(__xludf.DUMMYFUNCTION("GOOGLETRANSLATE($A2258,""en"",""zh-cn"")"),"基尔肯尼")</f>
        <v>基尔肯尼</v>
      </c>
      <c r="H2258" s="9" t="str">
        <f>IFERROR(__xludf.DUMMYFUNCTION("GOOGLETRANSLATE($A2258,""en"",""ja"")"),"キルケニー")</f>
        <v>キルケニー</v>
      </c>
      <c r="I2258" s="9" t="str">
        <f>IFERROR(__xludf.DUMMYFUNCTION("GOOGLETRANSLATE($A2258,""en"",""ko"")"),"킬케니")</f>
        <v>킬케니</v>
      </c>
      <c r="J2258" s="9" t="str">
        <f>IFERROR(__xludf.DUMMYFUNCTION("GOOGLETRANSLATE($A2258,""en"",""pt-BR"")"),"Kilkenny")</f>
        <v>Kilkenny</v>
      </c>
    </row>
    <row r="2259">
      <c r="A2259" s="9" t="str">
        <f>IFERROR(__xludf.DUMMYFUNCTION("""COMPUTED_VALUE"""),"Laois")</f>
        <v>Laois</v>
      </c>
      <c r="B2259" s="9" t="str">
        <f>IFERROR(__xludf.DUMMYFUNCTION("""COMPUTED_VALUE"""),"ie-ls")</f>
        <v>ie-ls</v>
      </c>
      <c r="C2259" s="9" t="str">
        <f>IFERROR(__xludf.DUMMYFUNCTION("GOOGLETRANSLATE($A2259,""en"",""de"")"),"Laois")</f>
        <v>Laois</v>
      </c>
      <c r="D2259" s="9" t="str">
        <f>IFERROR(__xludf.DUMMYFUNCTION("GOOGLETRANSLATE($A2259,""en"",""fr"")"),"Laois")</f>
        <v>Laois</v>
      </c>
      <c r="E2259" s="9" t="str">
        <f>IFERROR(__xludf.DUMMYFUNCTION("GOOGLETRANSLATE($A2259,""en"",""es"")"),"Laoise")</f>
        <v>Laoise</v>
      </c>
      <c r="F2259" s="9" t="str">
        <f>IFERROR(__xludf.DUMMYFUNCTION("GOOGLETRANSLATE($A2259,""en"",""it"")"),"Laois")</f>
        <v>Laois</v>
      </c>
      <c r="G2259" s="9" t="str">
        <f>IFERROR(__xludf.DUMMYFUNCTION("GOOGLETRANSLATE($A2259,""en"",""zh-cn"")"),"莱伊什")</f>
        <v>莱伊什</v>
      </c>
      <c r="H2259" s="9" t="str">
        <f>IFERROR(__xludf.DUMMYFUNCTION("GOOGLETRANSLATE($A2259,""en"",""ja"")"),"リーシュ州")</f>
        <v>リーシュ州</v>
      </c>
      <c r="I2259" s="9" t="str">
        <f>IFERROR(__xludf.DUMMYFUNCTION("GOOGLETRANSLATE($A2259,""en"",""ko"")"),"라오이스")</f>
        <v>라오이스</v>
      </c>
      <c r="J2259" s="9" t="str">
        <f>IFERROR(__xludf.DUMMYFUNCTION("GOOGLETRANSLATE($A2259,""en"",""pt-BR"")"),"Laois")</f>
        <v>Laois</v>
      </c>
    </row>
    <row r="2260">
      <c r="A2260" s="9" t="str">
        <f>IFERROR(__xludf.DUMMYFUNCTION("""COMPUTED_VALUE"""),"Cork")</f>
        <v>Cork</v>
      </c>
      <c r="B2260" s="9" t="str">
        <f>IFERROR(__xludf.DUMMYFUNCTION("""COMPUTED_VALUE"""),"ie-co")</f>
        <v>ie-co</v>
      </c>
      <c r="C2260" s="9" t="str">
        <f>IFERROR(__xludf.DUMMYFUNCTION("GOOGLETRANSLATE($A2260,""en"",""de"")"),"Kork")</f>
        <v>Kork</v>
      </c>
      <c r="D2260" s="9" t="str">
        <f>IFERROR(__xludf.DUMMYFUNCTION("GOOGLETRANSLATE($A2260,""en"",""fr"")"),"Liège")</f>
        <v>Liège</v>
      </c>
      <c r="E2260" s="9" t="str">
        <f>IFERROR(__xludf.DUMMYFUNCTION("GOOGLETRANSLATE($A2260,""en"",""es"")"),"Corcho")</f>
        <v>Corcho</v>
      </c>
      <c r="F2260" s="9" t="str">
        <f>IFERROR(__xludf.DUMMYFUNCTION("GOOGLETRANSLATE($A2260,""en"",""it"")"),"Sughero")</f>
        <v>Sughero</v>
      </c>
      <c r="G2260" s="9" t="str">
        <f>IFERROR(__xludf.DUMMYFUNCTION("GOOGLETRANSLATE($A2260,""en"",""zh-cn"")"),"软木")</f>
        <v>软木</v>
      </c>
      <c r="H2260" s="9" t="str">
        <f>IFERROR(__xludf.DUMMYFUNCTION("GOOGLETRANSLATE($A2260,""en"",""ja"")"),"コルク")</f>
        <v>コルク</v>
      </c>
      <c r="I2260" s="9" t="str">
        <f>IFERROR(__xludf.DUMMYFUNCTION("GOOGLETRANSLATE($A2260,""en"",""ko"")"),"코르크")</f>
        <v>코르크</v>
      </c>
      <c r="J2260" s="9" t="str">
        <f>IFERROR(__xludf.DUMMYFUNCTION("GOOGLETRANSLATE($A2260,""en"",""pt-BR"")"),"Cortiça")</f>
        <v>Cortiça</v>
      </c>
    </row>
    <row r="2261">
      <c r="A2261" s="9" t="str">
        <f>IFERROR(__xludf.DUMMYFUNCTION("""COMPUTED_VALUE"""),"Donegal")</f>
        <v>Donegal</v>
      </c>
      <c r="B2261" s="9" t="str">
        <f>IFERROR(__xludf.DUMMYFUNCTION("""COMPUTED_VALUE"""),"ie-dl")</f>
        <v>ie-dl</v>
      </c>
      <c r="C2261" s="9" t="str">
        <f>IFERROR(__xludf.DUMMYFUNCTION("GOOGLETRANSLATE($A2261,""en"",""de"")"),"Donegal")</f>
        <v>Donegal</v>
      </c>
      <c r="D2261" s="9" t="str">
        <f>IFERROR(__xludf.DUMMYFUNCTION("GOOGLETRANSLATE($A2261,""en"",""fr"")"),"Donégal")</f>
        <v>Donégal</v>
      </c>
      <c r="E2261" s="9" t="str">
        <f>IFERROR(__xludf.DUMMYFUNCTION("GOOGLETRANSLATE($A2261,""en"",""es"")"),"Donegal")</f>
        <v>Donegal</v>
      </c>
      <c r="F2261" s="9" t="str">
        <f>IFERROR(__xludf.DUMMYFUNCTION("GOOGLETRANSLATE($A2261,""en"",""it"")"),"Donegal")</f>
        <v>Donegal</v>
      </c>
      <c r="G2261" s="9" t="str">
        <f>IFERROR(__xludf.DUMMYFUNCTION("GOOGLETRANSLATE($A2261,""en"",""zh-cn"")"),"多尼戈尔")</f>
        <v>多尼戈尔</v>
      </c>
      <c r="H2261" s="9" t="str">
        <f>IFERROR(__xludf.DUMMYFUNCTION("GOOGLETRANSLATE($A2261,""en"",""ja"")"),"ドニゴール")</f>
        <v>ドニゴール</v>
      </c>
      <c r="I2261" s="9" t="str">
        <f>IFERROR(__xludf.DUMMYFUNCTION("GOOGLETRANSLATE($A2261,""en"",""ko"")"),"도네갈")</f>
        <v>도네갈</v>
      </c>
      <c r="J2261" s="9" t="str">
        <f>IFERROR(__xludf.DUMMYFUNCTION("GOOGLETRANSLATE($A2261,""en"",""pt-BR"")"),"Donegal")</f>
        <v>Donegal</v>
      </c>
    </row>
    <row r="2262">
      <c r="A2262" s="9" t="str">
        <f>IFERROR(__xludf.DUMMYFUNCTION("""COMPUTED_VALUE"""),"Dublin")</f>
        <v>Dublin</v>
      </c>
      <c r="B2262" s="9" t="str">
        <f>IFERROR(__xludf.DUMMYFUNCTION("""COMPUTED_VALUE"""),"ie-d")</f>
        <v>ie-d</v>
      </c>
      <c r="C2262" s="9" t="str">
        <f>IFERROR(__xludf.DUMMYFUNCTION("GOOGLETRANSLATE($A2262,""en"",""de"")"),"Dublin")</f>
        <v>Dublin</v>
      </c>
      <c r="D2262" s="9" t="str">
        <f>IFERROR(__xludf.DUMMYFUNCTION("GOOGLETRANSLATE($A2262,""en"",""fr"")"),"Dublin")</f>
        <v>Dublin</v>
      </c>
      <c r="E2262" s="9" t="str">
        <f>IFERROR(__xludf.DUMMYFUNCTION("GOOGLETRANSLATE($A2262,""en"",""es"")"),"Dublín")</f>
        <v>Dublín</v>
      </c>
      <c r="F2262" s="9" t="str">
        <f>IFERROR(__xludf.DUMMYFUNCTION("GOOGLETRANSLATE($A2262,""en"",""it"")"),"Dublino")</f>
        <v>Dublino</v>
      </c>
      <c r="G2262" s="9" t="str">
        <f>IFERROR(__xludf.DUMMYFUNCTION("GOOGLETRANSLATE($A2262,""en"",""zh-cn"")"),"都柏林")</f>
        <v>都柏林</v>
      </c>
      <c r="H2262" s="9" t="str">
        <f>IFERROR(__xludf.DUMMYFUNCTION("GOOGLETRANSLATE($A2262,""en"",""ja"")"),"ダブリン")</f>
        <v>ダブリン</v>
      </c>
      <c r="I2262" s="9" t="str">
        <f>IFERROR(__xludf.DUMMYFUNCTION("GOOGLETRANSLATE($A2262,""en"",""ko"")"),"더블린")</f>
        <v>더블린</v>
      </c>
      <c r="J2262" s="9" t="str">
        <f>IFERROR(__xludf.DUMMYFUNCTION("GOOGLETRANSLATE($A2262,""en"",""pt-BR"")"),"Dublin")</f>
        <v>Dublin</v>
      </c>
    </row>
    <row r="2263">
      <c r="A2263" s="9" t="str">
        <f>IFERROR(__xludf.DUMMYFUNCTION("""COMPUTED_VALUE"""),"Galway")</f>
        <v>Galway</v>
      </c>
      <c r="B2263" s="9" t="str">
        <f>IFERROR(__xludf.DUMMYFUNCTION("""COMPUTED_VALUE"""),"ie-g")</f>
        <v>ie-g</v>
      </c>
      <c r="C2263" s="9" t="str">
        <f>IFERROR(__xludf.DUMMYFUNCTION("GOOGLETRANSLATE($A2263,""en"",""de"")"),"Galway")</f>
        <v>Galway</v>
      </c>
      <c r="D2263" s="9" t="str">
        <f>IFERROR(__xludf.DUMMYFUNCTION("GOOGLETRANSLATE($A2263,""en"",""fr"")"),"Galway")</f>
        <v>Galway</v>
      </c>
      <c r="E2263" s="9" t="str">
        <f>IFERROR(__xludf.DUMMYFUNCTION("GOOGLETRANSLATE($A2263,""en"",""es"")"),"Galway")</f>
        <v>Galway</v>
      </c>
      <c r="F2263" s="9" t="str">
        <f>IFERROR(__xludf.DUMMYFUNCTION("GOOGLETRANSLATE($A2263,""en"",""it"")"),"Galway")</f>
        <v>Galway</v>
      </c>
      <c r="G2263" s="9" t="str">
        <f>IFERROR(__xludf.DUMMYFUNCTION("GOOGLETRANSLATE($A2263,""en"",""zh-cn"")"),"戈尔韦")</f>
        <v>戈尔韦</v>
      </c>
      <c r="H2263" s="9" t="str">
        <f>IFERROR(__xludf.DUMMYFUNCTION("GOOGLETRANSLATE($A2263,""en"",""ja"")"),"ゴールウェイ")</f>
        <v>ゴールウェイ</v>
      </c>
      <c r="I2263" s="9" t="str">
        <f>IFERROR(__xludf.DUMMYFUNCTION("GOOGLETRANSLATE($A2263,""en"",""ko"")"),"골웨이")</f>
        <v>골웨이</v>
      </c>
      <c r="J2263" s="9" t="str">
        <f>IFERROR(__xludf.DUMMYFUNCTION("GOOGLETRANSLATE($A2263,""en"",""pt-BR"")"),"Galway")</f>
        <v>Galway</v>
      </c>
    </row>
    <row r="2264">
      <c r="A2264" s="9" t="str">
        <f>IFERROR(__xludf.DUMMYFUNCTION("""COMPUTED_VALUE"""),"Ulster")</f>
        <v>Ulster</v>
      </c>
      <c r="B2264" s="9" t="str">
        <f>IFERROR(__xludf.DUMMYFUNCTION("""COMPUTED_VALUE"""),"ie-u")</f>
        <v>ie-u</v>
      </c>
      <c r="C2264" s="9" t="str">
        <f>IFERROR(__xludf.DUMMYFUNCTION("GOOGLETRANSLATE($A2264,""en"",""de"")"),"Ulster")</f>
        <v>Ulster</v>
      </c>
      <c r="D2264" s="9" t="str">
        <f>IFERROR(__xludf.DUMMYFUNCTION("GOOGLETRANSLATE($A2264,""en"",""fr"")"),"Ulster")</f>
        <v>Ulster</v>
      </c>
      <c r="E2264" s="9" t="str">
        <f>IFERROR(__xludf.DUMMYFUNCTION("GOOGLETRANSLATE($A2264,""en"",""es"")"),"Ulster")</f>
        <v>Ulster</v>
      </c>
      <c r="F2264" s="9" t="str">
        <f>IFERROR(__xludf.DUMMYFUNCTION("GOOGLETRANSLATE($A2264,""en"",""it"")"),"Ulster")</f>
        <v>Ulster</v>
      </c>
      <c r="G2264" s="9" t="str">
        <f>IFERROR(__xludf.DUMMYFUNCTION("GOOGLETRANSLATE($A2264,""en"",""zh-cn"")"),"阿尔斯特")</f>
        <v>阿尔斯特</v>
      </c>
      <c r="H2264" s="9" t="str">
        <f>IFERROR(__xludf.DUMMYFUNCTION("GOOGLETRANSLATE($A2264,""en"",""ja"")"),"アルスター")</f>
        <v>アルスター</v>
      </c>
      <c r="I2264" s="9" t="str">
        <f>IFERROR(__xludf.DUMMYFUNCTION("GOOGLETRANSLATE($A2264,""en"",""ko"")"),"얼스터")</f>
        <v>얼스터</v>
      </c>
      <c r="J2264" s="9" t="str">
        <f>IFERROR(__xludf.DUMMYFUNCTION("GOOGLETRANSLATE($A2264,""en"",""pt-BR"")"),"Ulster")</f>
        <v>Ulster</v>
      </c>
    </row>
    <row r="2265">
      <c r="A2265" s="9" t="str">
        <f>IFERROR(__xludf.DUMMYFUNCTION("""COMPUTED_VALUE"""),"Carlow")</f>
        <v>Carlow</v>
      </c>
      <c r="B2265" s="9" t="str">
        <f>IFERROR(__xludf.DUMMYFUNCTION("""COMPUTED_VALUE"""),"ie-cw")</f>
        <v>ie-cw</v>
      </c>
      <c r="C2265" s="9" t="str">
        <f>IFERROR(__xludf.DUMMYFUNCTION("GOOGLETRANSLATE($A2265,""en"",""de"")"),"Carlow")</f>
        <v>Carlow</v>
      </c>
      <c r="D2265" s="9" t="str">
        <f>IFERROR(__xludf.DUMMYFUNCTION("GOOGLETRANSLATE($A2265,""en"",""fr"")"),"Carlow")</f>
        <v>Carlow</v>
      </c>
      <c r="E2265" s="9" t="str">
        <f>IFERROR(__xludf.DUMMYFUNCTION("GOOGLETRANSLATE($A2265,""en"",""es"")"),"carlow")</f>
        <v>carlow</v>
      </c>
      <c r="F2265" s="9" t="str">
        <f>IFERROR(__xludf.DUMMYFUNCTION("GOOGLETRANSLATE($A2265,""en"",""it"")"),"Carlow")</f>
        <v>Carlow</v>
      </c>
      <c r="G2265" s="9" t="str">
        <f>IFERROR(__xludf.DUMMYFUNCTION("GOOGLETRANSLATE($A2265,""en"",""zh-cn"")"),"卡洛")</f>
        <v>卡洛</v>
      </c>
      <c r="H2265" s="9" t="str">
        <f>IFERROR(__xludf.DUMMYFUNCTION("GOOGLETRANSLATE($A2265,""en"",""ja"")"),"カーロウ")</f>
        <v>カーロウ</v>
      </c>
      <c r="I2265" s="9" t="str">
        <f>IFERROR(__xludf.DUMMYFUNCTION("GOOGLETRANSLATE($A2265,""en"",""ko"")"),"칼로")</f>
        <v>칼로</v>
      </c>
      <c r="J2265" s="9" t="str">
        <f>IFERROR(__xludf.DUMMYFUNCTION("GOOGLETRANSLATE($A2265,""en"",""pt-BR"")"),"Carlow")</f>
        <v>Carlow</v>
      </c>
    </row>
    <row r="2266">
      <c r="A2266" s="9" t="str">
        <f>IFERROR(__xludf.DUMMYFUNCTION("""COMPUTED_VALUE"""),"Cavan")</f>
        <v>Cavan</v>
      </c>
      <c r="B2266" s="9" t="str">
        <f>IFERROR(__xludf.DUMMYFUNCTION("""COMPUTED_VALUE"""),"ie-cn")</f>
        <v>ie-cn</v>
      </c>
      <c r="C2266" s="9" t="str">
        <f>IFERROR(__xludf.DUMMYFUNCTION("GOOGLETRANSLATE($A2266,""en"",""de"")"),"Cavan")</f>
        <v>Cavan</v>
      </c>
      <c r="D2266" s="9" t="str">
        <f>IFERROR(__xludf.DUMMYFUNCTION("GOOGLETRANSLATE($A2266,""en"",""fr"")"),"Cavan")</f>
        <v>Cavan</v>
      </c>
      <c r="E2266" s="9" t="str">
        <f>IFERROR(__xludf.DUMMYFUNCTION("GOOGLETRANSLATE($A2266,""en"",""es"")"),"cavan")</f>
        <v>cavan</v>
      </c>
      <c r="F2266" s="9" t="str">
        <f>IFERROR(__xludf.DUMMYFUNCTION("GOOGLETRANSLATE($A2266,""en"",""it"")"),"Cavan")</f>
        <v>Cavan</v>
      </c>
      <c r="G2266" s="9" t="str">
        <f>IFERROR(__xludf.DUMMYFUNCTION("GOOGLETRANSLATE($A2266,""en"",""zh-cn"")"),"卡文")</f>
        <v>卡文</v>
      </c>
      <c r="H2266" s="9" t="str">
        <f>IFERROR(__xludf.DUMMYFUNCTION("GOOGLETRANSLATE($A2266,""en"",""ja"")"),"キャバン")</f>
        <v>キャバン</v>
      </c>
      <c r="I2266" s="9" t="str">
        <f>IFERROR(__xludf.DUMMYFUNCTION("GOOGLETRANSLATE($A2266,""en"",""ko"")"),"캐번")</f>
        <v>캐번</v>
      </c>
      <c r="J2266" s="9" t="str">
        <f>IFERROR(__xludf.DUMMYFUNCTION("GOOGLETRANSLATE($A2266,""en"",""pt-BR"")"),"Cavan")</f>
        <v>Cavan</v>
      </c>
    </row>
    <row r="2267">
      <c r="A2267" s="9" t="str">
        <f>IFERROR(__xludf.DUMMYFUNCTION("""COMPUTED_VALUE"""),"Clare")</f>
        <v>Clare</v>
      </c>
      <c r="B2267" s="9" t="str">
        <f>IFERROR(__xludf.DUMMYFUNCTION("""COMPUTED_VALUE"""),"ie-ce")</f>
        <v>ie-ce</v>
      </c>
      <c r="C2267" s="9" t="str">
        <f>IFERROR(__xludf.DUMMYFUNCTION("GOOGLETRANSLATE($A2267,""en"",""de"")"),"Clare")</f>
        <v>Clare</v>
      </c>
      <c r="D2267" s="9" t="str">
        <f>IFERROR(__xludf.DUMMYFUNCTION("GOOGLETRANSLATE($A2267,""en"",""fr"")"),"Claire")</f>
        <v>Claire</v>
      </c>
      <c r="E2267" s="9" t="str">
        <f>IFERROR(__xludf.DUMMYFUNCTION("GOOGLETRANSLATE($A2267,""en"",""es"")"),"clara")</f>
        <v>clara</v>
      </c>
      <c r="F2267" s="9" t="str">
        <f>IFERROR(__xludf.DUMMYFUNCTION("GOOGLETRANSLATE($A2267,""en"",""it"")"),"Chiara")</f>
        <v>Chiara</v>
      </c>
      <c r="G2267" s="9" t="str">
        <f>IFERROR(__xludf.DUMMYFUNCTION("GOOGLETRANSLATE($A2267,""en"",""zh-cn"")"),"克莱尔")</f>
        <v>克莱尔</v>
      </c>
      <c r="H2267" s="9" t="str">
        <f>IFERROR(__xludf.DUMMYFUNCTION("GOOGLETRANSLATE($A2267,""en"",""ja"")"),"クレア")</f>
        <v>クレア</v>
      </c>
      <c r="I2267" s="9" t="str">
        <f>IFERROR(__xludf.DUMMYFUNCTION("GOOGLETRANSLATE($A2267,""en"",""ko"")"),"클레어")</f>
        <v>클레어</v>
      </c>
      <c r="J2267" s="9" t="str">
        <f>IFERROR(__xludf.DUMMYFUNCTION("GOOGLETRANSLATE($A2267,""en"",""pt-BR"")"),"Clara")</f>
        <v>Clara</v>
      </c>
    </row>
    <row r="2268">
      <c r="A2268" s="9" t="str">
        <f>IFERROR(__xludf.DUMMYFUNCTION("""COMPUTED_VALUE"""),"Westmeath")</f>
        <v>Westmeath</v>
      </c>
      <c r="B2268" s="9" t="str">
        <f>IFERROR(__xludf.DUMMYFUNCTION("""COMPUTED_VALUE"""),"ie-wh")</f>
        <v>ie-wh</v>
      </c>
      <c r="C2268" s="9" t="str">
        <f>IFERROR(__xludf.DUMMYFUNCTION("GOOGLETRANSLATE($A2268,""en"",""de"")"),"Westmeath")</f>
        <v>Westmeath</v>
      </c>
      <c r="D2268" s="9" t="str">
        <f>IFERROR(__xludf.DUMMYFUNCTION("GOOGLETRANSLATE($A2268,""en"",""fr"")"),"Westmeath")</f>
        <v>Westmeath</v>
      </c>
      <c r="E2268" s="9" t="str">
        <f>IFERROR(__xludf.DUMMYFUNCTION("GOOGLETRANSLATE($A2268,""en"",""es"")"),"Westmeath")</f>
        <v>Westmeath</v>
      </c>
      <c r="F2268" s="9" t="str">
        <f>IFERROR(__xludf.DUMMYFUNCTION("GOOGLETRANSLATE($A2268,""en"",""it"")"),"Westmeath")</f>
        <v>Westmeath</v>
      </c>
      <c r="G2268" s="9" t="str">
        <f>IFERROR(__xludf.DUMMYFUNCTION("GOOGLETRANSLATE($A2268,""en"",""zh-cn"")"),"韦斯特米斯")</f>
        <v>韦斯特米斯</v>
      </c>
      <c r="H2268" s="9" t="str">
        <f>IFERROR(__xludf.DUMMYFUNCTION("GOOGLETRANSLATE($A2268,""en"",""ja"")"),"ウェストミース")</f>
        <v>ウェストミース</v>
      </c>
      <c r="I2268" s="9" t="str">
        <f>IFERROR(__xludf.DUMMYFUNCTION("GOOGLETRANSLATE($A2268,""en"",""ko"")"),"웨스트미스")</f>
        <v>웨스트미스</v>
      </c>
      <c r="J2268" s="9" t="str">
        <f>IFERROR(__xludf.DUMMYFUNCTION("GOOGLETRANSLATE($A2268,""en"",""pt-BR"")"),"Westmeath")</f>
        <v>Westmeath</v>
      </c>
    </row>
    <row r="2269">
      <c r="A2269" s="9" t="str">
        <f>IFERROR(__xludf.DUMMYFUNCTION("""COMPUTED_VALUE"""),"Wexford")</f>
        <v>Wexford</v>
      </c>
      <c r="B2269" s="9" t="str">
        <f>IFERROR(__xludf.DUMMYFUNCTION("""COMPUTED_VALUE"""),"ie-wx")</f>
        <v>ie-wx</v>
      </c>
      <c r="C2269" s="9" t="str">
        <f>IFERROR(__xludf.DUMMYFUNCTION("GOOGLETRANSLATE($A2269,""en"",""de"")"),"Wexford")</f>
        <v>Wexford</v>
      </c>
      <c r="D2269" s="9" t="str">
        <f>IFERROR(__xludf.DUMMYFUNCTION("GOOGLETRANSLATE($A2269,""en"",""fr"")"),"Wexford")</f>
        <v>Wexford</v>
      </c>
      <c r="E2269" s="9" t="str">
        <f>IFERROR(__xludf.DUMMYFUNCTION("GOOGLETRANSLATE($A2269,""en"",""es"")"),"Wexford")</f>
        <v>Wexford</v>
      </c>
      <c r="F2269" s="9" t="str">
        <f>IFERROR(__xludf.DUMMYFUNCTION("GOOGLETRANSLATE($A2269,""en"",""it"")"),"Wexford")</f>
        <v>Wexford</v>
      </c>
      <c r="G2269" s="9" t="str">
        <f>IFERROR(__xludf.DUMMYFUNCTION("GOOGLETRANSLATE($A2269,""en"",""zh-cn"")"),"韦克斯福德")</f>
        <v>韦克斯福德</v>
      </c>
      <c r="H2269" s="9" t="str">
        <f>IFERROR(__xludf.DUMMYFUNCTION("GOOGLETRANSLATE($A2269,""en"",""ja"")"),"ウェックスフォード")</f>
        <v>ウェックスフォード</v>
      </c>
      <c r="I2269" s="9" t="str">
        <f>IFERROR(__xludf.DUMMYFUNCTION("GOOGLETRANSLATE($A2269,""en"",""ko"")"),"웩스퍼드")</f>
        <v>웩스퍼드</v>
      </c>
      <c r="J2269" s="9" t="str">
        <f>IFERROR(__xludf.DUMMYFUNCTION("GOOGLETRANSLATE($A2269,""en"",""pt-BR"")"),"Wexford")</f>
        <v>Wexford</v>
      </c>
    </row>
    <row r="2270">
      <c r="A2270" s="9" t="str">
        <f>IFERROR(__xludf.DUMMYFUNCTION("""COMPUTED_VALUE"""),"Wicklow")</f>
        <v>Wicklow</v>
      </c>
      <c r="B2270" s="9" t="str">
        <f>IFERROR(__xludf.DUMMYFUNCTION("""COMPUTED_VALUE"""),"ie-ww")</f>
        <v>ie-ww</v>
      </c>
      <c r="C2270" s="9" t="str">
        <f>IFERROR(__xludf.DUMMYFUNCTION("GOOGLETRANSLATE($A2270,""en"",""de"")"),"Wicklow")</f>
        <v>Wicklow</v>
      </c>
      <c r="D2270" s="9" t="str">
        <f>IFERROR(__xludf.DUMMYFUNCTION("GOOGLETRANSLATE($A2270,""en"",""fr"")"),"Wicklow")</f>
        <v>Wicklow</v>
      </c>
      <c r="E2270" s="9" t="str">
        <f>IFERROR(__xludf.DUMMYFUNCTION("GOOGLETRANSLATE($A2270,""en"",""es"")"),"Wicklow")</f>
        <v>Wicklow</v>
      </c>
      <c r="F2270" s="9" t="str">
        <f>IFERROR(__xludf.DUMMYFUNCTION("GOOGLETRANSLATE($A2270,""en"",""it"")"),"Wicklow")</f>
        <v>Wicklow</v>
      </c>
      <c r="G2270" s="9" t="str">
        <f>IFERROR(__xludf.DUMMYFUNCTION("GOOGLETRANSLATE($A2270,""en"",""zh-cn"")"),"威克洛")</f>
        <v>威克洛</v>
      </c>
      <c r="H2270" s="9" t="str">
        <f>IFERROR(__xludf.DUMMYFUNCTION("GOOGLETRANSLATE($A2270,""en"",""ja"")"),"ウィックロー")</f>
        <v>ウィックロー</v>
      </c>
      <c r="I2270" s="9" t="str">
        <f>IFERROR(__xludf.DUMMYFUNCTION("GOOGLETRANSLATE($A2270,""en"",""ko"")"),"위클로")</f>
        <v>위클로</v>
      </c>
      <c r="J2270" s="9" t="str">
        <f>IFERROR(__xludf.DUMMYFUNCTION("GOOGLETRANSLATE($A2270,""en"",""pt-BR"")"),"Wicklow")</f>
        <v>Wicklow</v>
      </c>
    </row>
    <row r="2271">
      <c r="A2271" s="9" t="str">
        <f>IFERROR(__xludf.DUMMYFUNCTION("""COMPUTED_VALUE"""),"Roscommon")</f>
        <v>Roscommon</v>
      </c>
      <c r="B2271" s="9" t="str">
        <f>IFERROR(__xludf.DUMMYFUNCTION("""COMPUTED_VALUE"""),"ie-rn")</f>
        <v>ie-rn</v>
      </c>
      <c r="C2271" s="9" t="str">
        <f>IFERROR(__xludf.DUMMYFUNCTION("GOOGLETRANSLATE($A2271,""en"",""de"")"),"Roscommon")</f>
        <v>Roscommon</v>
      </c>
      <c r="D2271" s="9" t="str">
        <f>IFERROR(__xludf.DUMMYFUNCTION("GOOGLETRANSLATE($A2271,""en"",""fr"")"),"Roscommon")</f>
        <v>Roscommon</v>
      </c>
      <c r="E2271" s="9" t="str">
        <f>IFERROR(__xludf.DUMMYFUNCTION("GOOGLETRANSLATE($A2271,""en"",""es"")"),"Roscomún")</f>
        <v>Roscomún</v>
      </c>
      <c r="F2271" s="9" t="str">
        <f>IFERROR(__xludf.DUMMYFUNCTION("GOOGLETRANSLATE($A2271,""en"",""it"")"),"Roscommon")</f>
        <v>Roscommon</v>
      </c>
      <c r="G2271" s="9" t="str">
        <f>IFERROR(__xludf.DUMMYFUNCTION("GOOGLETRANSLATE($A2271,""en"",""zh-cn"")"),"罗斯康门")</f>
        <v>罗斯康门</v>
      </c>
      <c r="H2271" s="9" t="str">
        <f>IFERROR(__xludf.DUMMYFUNCTION("GOOGLETRANSLATE($A2271,""en"",""ja"")"),"ロスコモン")</f>
        <v>ロスコモン</v>
      </c>
      <c r="I2271" s="9" t="str">
        <f>IFERROR(__xludf.DUMMYFUNCTION("GOOGLETRANSLATE($A2271,""en"",""ko"")"),"로스커먼")</f>
        <v>로스커먼</v>
      </c>
      <c r="J2271" s="9" t="str">
        <f>IFERROR(__xludf.DUMMYFUNCTION("GOOGLETRANSLATE($A2271,""en"",""pt-BR"")"),"Roscommon")</f>
        <v>Roscommon</v>
      </c>
    </row>
    <row r="2272">
      <c r="A2272" s="9" t="str">
        <f>IFERROR(__xludf.DUMMYFUNCTION("""COMPUTED_VALUE"""),"Sligo")</f>
        <v>Sligo</v>
      </c>
      <c r="B2272" s="9" t="str">
        <f>IFERROR(__xludf.DUMMYFUNCTION("""COMPUTED_VALUE"""),"ie-so")</f>
        <v>ie-so</v>
      </c>
      <c r="C2272" s="9" t="str">
        <f>IFERROR(__xludf.DUMMYFUNCTION("GOOGLETRANSLATE($A2272,""en"",""de"")"),"Sligo")</f>
        <v>Sligo</v>
      </c>
      <c r="D2272" s="9" t="str">
        <f>IFERROR(__xludf.DUMMYFUNCTION("GOOGLETRANSLATE($A2272,""en"",""fr"")"),"Sligo")</f>
        <v>Sligo</v>
      </c>
      <c r="E2272" s="9" t="str">
        <f>IFERROR(__xludf.DUMMYFUNCTION("GOOGLETRANSLATE($A2272,""en"",""es"")"),"sligo")</f>
        <v>sligo</v>
      </c>
      <c r="F2272" s="9" t="str">
        <f>IFERROR(__xludf.DUMMYFUNCTION("GOOGLETRANSLATE($A2272,""en"",""it"")"),"Sligo")</f>
        <v>Sligo</v>
      </c>
      <c r="G2272" s="9" t="str">
        <f>IFERROR(__xludf.DUMMYFUNCTION("GOOGLETRANSLATE($A2272,""en"",""zh-cn"")"),"斯莱戈")</f>
        <v>斯莱戈</v>
      </c>
      <c r="H2272" s="9" t="str">
        <f>IFERROR(__xludf.DUMMYFUNCTION("GOOGLETRANSLATE($A2272,""en"",""ja"")"),"スライゴ")</f>
        <v>スライゴ</v>
      </c>
      <c r="I2272" s="9" t="str">
        <f>IFERROR(__xludf.DUMMYFUNCTION("GOOGLETRANSLATE($A2272,""en"",""ko"")"),"슬라이고")</f>
        <v>슬라이고</v>
      </c>
      <c r="J2272" s="9" t="str">
        <f>IFERROR(__xludf.DUMMYFUNCTION("GOOGLETRANSLATE($A2272,""en"",""pt-BR"")"),"Sligo")</f>
        <v>Sligo</v>
      </c>
    </row>
    <row r="2273">
      <c r="A2273" s="9" t="str">
        <f>IFERROR(__xludf.DUMMYFUNCTION("""COMPUTED_VALUE"""),"Tipperary")</f>
        <v>Tipperary</v>
      </c>
      <c r="B2273" s="9" t="str">
        <f>IFERROR(__xludf.DUMMYFUNCTION("""COMPUTED_VALUE"""),"ie-ta")</f>
        <v>ie-ta</v>
      </c>
      <c r="C2273" s="9" t="str">
        <f>IFERROR(__xludf.DUMMYFUNCTION("GOOGLETRANSLATE($A2273,""en"",""de"")"),"Tipperary")</f>
        <v>Tipperary</v>
      </c>
      <c r="D2273" s="9" t="str">
        <f>IFERROR(__xludf.DUMMYFUNCTION("GOOGLETRANSLATE($A2273,""en"",""fr"")"),"Tipperaire")</f>
        <v>Tipperaire</v>
      </c>
      <c r="E2273" s="9" t="str">
        <f>IFERROR(__xludf.DUMMYFUNCTION("GOOGLETRANSLATE($A2273,""en"",""es"")"),"Tipperary")</f>
        <v>Tipperary</v>
      </c>
      <c r="F2273" s="9" t="str">
        <f>IFERROR(__xludf.DUMMYFUNCTION("GOOGLETRANSLATE($A2273,""en"",""it"")"),"Tipperary")</f>
        <v>Tipperary</v>
      </c>
      <c r="G2273" s="9" t="str">
        <f>IFERROR(__xludf.DUMMYFUNCTION("GOOGLETRANSLATE($A2273,""en"",""zh-cn"")"),"蒂珀雷里")</f>
        <v>蒂珀雷里</v>
      </c>
      <c r="H2273" s="9" t="str">
        <f>IFERROR(__xludf.DUMMYFUNCTION("GOOGLETRANSLATE($A2273,""en"",""ja"")"),"ティペラリー")</f>
        <v>ティペラリー</v>
      </c>
      <c r="I2273" s="9" t="str">
        <f>IFERROR(__xludf.DUMMYFUNCTION("GOOGLETRANSLATE($A2273,""en"",""ko"")"),"티퍼레리")</f>
        <v>티퍼레리</v>
      </c>
      <c r="J2273" s="9" t="str">
        <f>IFERROR(__xludf.DUMMYFUNCTION("GOOGLETRANSLATE($A2273,""en"",""pt-BR"")"),"Tipperário")</f>
        <v>Tipperário</v>
      </c>
    </row>
    <row r="2274">
      <c r="A2274" s="9" t="str">
        <f>IFERROR(__xludf.DUMMYFUNCTION("""COMPUTED_VALUE"""),"Waterford")</f>
        <v>Waterford</v>
      </c>
      <c r="B2274" s="9" t="str">
        <f>IFERROR(__xludf.DUMMYFUNCTION("""COMPUTED_VALUE"""),"ie-wd")</f>
        <v>ie-wd</v>
      </c>
      <c r="C2274" s="9" t="str">
        <f>IFERROR(__xludf.DUMMYFUNCTION("GOOGLETRANSLATE($A2274,""en"",""de"")"),"Waterford")</f>
        <v>Waterford</v>
      </c>
      <c r="D2274" s="9" t="str">
        <f>IFERROR(__xludf.DUMMYFUNCTION("GOOGLETRANSLATE($A2274,""en"",""fr"")"),"Waterford")</f>
        <v>Waterford</v>
      </c>
      <c r="E2274" s="9" t="str">
        <f>IFERROR(__xludf.DUMMYFUNCTION("GOOGLETRANSLATE($A2274,""en"",""es"")"),"Waterford")</f>
        <v>Waterford</v>
      </c>
      <c r="F2274" s="9" t="str">
        <f>IFERROR(__xludf.DUMMYFUNCTION("GOOGLETRANSLATE($A2274,""en"",""it"")"),"Waterford")</f>
        <v>Waterford</v>
      </c>
      <c r="G2274" s="9" t="str">
        <f>IFERROR(__xludf.DUMMYFUNCTION("GOOGLETRANSLATE($A2274,""en"",""zh-cn"")"),"沃特福德")</f>
        <v>沃特福德</v>
      </c>
      <c r="H2274" s="9" t="str">
        <f>IFERROR(__xludf.DUMMYFUNCTION("GOOGLETRANSLATE($A2274,""en"",""ja"")"),"ウォーターフォード")</f>
        <v>ウォーターフォード</v>
      </c>
      <c r="I2274" s="9" t="str">
        <f>IFERROR(__xludf.DUMMYFUNCTION("GOOGLETRANSLATE($A2274,""en"",""ko"")"),"워터퍼드")</f>
        <v>워터퍼드</v>
      </c>
      <c r="J2274" s="9" t="str">
        <f>IFERROR(__xludf.DUMMYFUNCTION("GOOGLETRANSLATE($A2274,""en"",""pt-BR"")"),"Waterford")</f>
        <v>Waterford</v>
      </c>
    </row>
    <row r="2275">
      <c r="A2275" s="9" t="str">
        <f>IFERROR(__xludf.DUMMYFUNCTION("""COMPUTED_VALUE"""),"Mayo")</f>
        <v>Mayo</v>
      </c>
      <c r="B2275" s="9" t="str">
        <f>IFERROR(__xludf.DUMMYFUNCTION("""COMPUTED_VALUE"""),"ie-mo")</f>
        <v>ie-mo</v>
      </c>
      <c r="C2275" s="9" t="str">
        <f>IFERROR(__xludf.DUMMYFUNCTION("GOOGLETRANSLATE($A2275,""en"",""de"")"),"Mayo")</f>
        <v>Mayo</v>
      </c>
      <c r="D2275" s="9" t="str">
        <f>IFERROR(__xludf.DUMMYFUNCTION("GOOGLETRANSLATE($A2275,""en"",""fr"")"),"Mayo")</f>
        <v>Mayo</v>
      </c>
      <c r="E2275" s="9" t="str">
        <f>IFERROR(__xludf.DUMMYFUNCTION("GOOGLETRANSLATE($A2275,""en"",""es"")"),"Mayonesa")</f>
        <v>Mayonesa</v>
      </c>
      <c r="F2275" s="9" t="str">
        <f>IFERROR(__xludf.DUMMYFUNCTION("GOOGLETRANSLATE($A2275,""en"",""it"")"),"Mayo")</f>
        <v>Mayo</v>
      </c>
      <c r="G2275" s="9" t="str">
        <f>IFERROR(__xludf.DUMMYFUNCTION("GOOGLETRANSLATE($A2275,""en"",""zh-cn"")"),"梅奥")</f>
        <v>梅奥</v>
      </c>
      <c r="H2275" s="9" t="str">
        <f>IFERROR(__xludf.DUMMYFUNCTION("GOOGLETRANSLATE($A2275,""en"",""ja"")"),"マヨ")</f>
        <v>マヨ</v>
      </c>
      <c r="I2275" s="9" t="str">
        <f>IFERROR(__xludf.DUMMYFUNCTION("GOOGLETRANSLATE($A2275,""en"",""ko"")"),"마요네즈")</f>
        <v>마요네즈</v>
      </c>
      <c r="J2275" s="9" t="str">
        <f>IFERROR(__xludf.DUMMYFUNCTION("GOOGLETRANSLATE($A2275,""en"",""pt-BR"")"),"Maionese")</f>
        <v>Maionese</v>
      </c>
    </row>
    <row r="2276">
      <c r="A2276" s="9" t="str">
        <f>IFERROR(__xludf.DUMMYFUNCTION("""COMPUTED_VALUE"""),"Meath")</f>
        <v>Meath</v>
      </c>
      <c r="B2276" s="9" t="str">
        <f>IFERROR(__xludf.DUMMYFUNCTION("""COMPUTED_VALUE"""),"ie-mh")</f>
        <v>ie-mh</v>
      </c>
      <c r="C2276" s="9" t="str">
        <f>IFERROR(__xludf.DUMMYFUNCTION("GOOGLETRANSLATE($A2276,""en"",""de"")"),"Meath")</f>
        <v>Meath</v>
      </c>
      <c r="D2276" s="9" t="str">
        <f>IFERROR(__xludf.DUMMYFUNCTION("GOOGLETRANSLATE($A2276,""en"",""fr"")"),"Viande")</f>
        <v>Viande</v>
      </c>
      <c r="E2276" s="9" t="str">
        <f>IFERROR(__xludf.DUMMYFUNCTION("GOOGLETRANSLATE($A2276,""en"",""es"")"),"carne")</f>
        <v>carne</v>
      </c>
      <c r="F2276" s="9" t="str">
        <f>IFERROR(__xludf.DUMMYFUNCTION("GOOGLETRANSLATE($A2276,""en"",""it"")"),"Meath")</f>
        <v>Meath</v>
      </c>
      <c r="G2276" s="9" t="str">
        <f>IFERROR(__xludf.DUMMYFUNCTION("GOOGLETRANSLATE($A2276,""en"",""zh-cn"")"),"米斯")</f>
        <v>米斯</v>
      </c>
      <c r="H2276" s="9" t="str">
        <f>IFERROR(__xludf.DUMMYFUNCTION("GOOGLETRANSLATE($A2276,""en"",""ja"")"),"ミース")</f>
        <v>ミース</v>
      </c>
      <c r="I2276" s="9" t="str">
        <f>IFERROR(__xludf.DUMMYFUNCTION("GOOGLETRANSLATE($A2276,""en"",""ko"")"),"메스")</f>
        <v>메스</v>
      </c>
      <c r="J2276" s="9" t="str">
        <f>IFERROR(__xludf.DUMMYFUNCTION("GOOGLETRANSLATE($A2276,""en"",""pt-BR"")"),"Carne")</f>
        <v>Carne</v>
      </c>
    </row>
    <row r="2277">
      <c r="A2277" s="9" t="str">
        <f>IFERROR(__xludf.DUMMYFUNCTION("""COMPUTED_VALUE"""),"Monaghan")</f>
        <v>Monaghan</v>
      </c>
      <c r="B2277" s="9" t="str">
        <f>IFERROR(__xludf.DUMMYFUNCTION("""COMPUTED_VALUE"""),"ie-mn")</f>
        <v>ie-mn</v>
      </c>
      <c r="C2277" s="9" t="str">
        <f>IFERROR(__xludf.DUMMYFUNCTION("GOOGLETRANSLATE($A2277,""en"",""de"")"),"Monaghan")</f>
        <v>Monaghan</v>
      </c>
      <c r="D2277" s="9" t="str">
        <f>IFERROR(__xludf.DUMMYFUNCTION("GOOGLETRANSLATE($A2277,""en"",""fr"")"),"Monaghan")</f>
        <v>Monaghan</v>
      </c>
      <c r="E2277" s="9" t="str">
        <f>IFERROR(__xludf.DUMMYFUNCTION("GOOGLETRANSLATE($A2277,""en"",""es"")"),"Monaghan")</f>
        <v>Monaghan</v>
      </c>
      <c r="F2277" s="9" t="str">
        <f>IFERROR(__xludf.DUMMYFUNCTION("GOOGLETRANSLATE($A2277,""en"",""it"")"),"Monaghan")</f>
        <v>Monaghan</v>
      </c>
      <c r="G2277" s="9" t="str">
        <f>IFERROR(__xludf.DUMMYFUNCTION("GOOGLETRANSLATE($A2277,""en"",""zh-cn"")"),"莫纳汉")</f>
        <v>莫纳汉</v>
      </c>
      <c r="H2277" s="9" t="str">
        <f>IFERROR(__xludf.DUMMYFUNCTION("GOOGLETRANSLATE($A2277,""en"",""ja"")"),"モナハン")</f>
        <v>モナハン</v>
      </c>
      <c r="I2277" s="9" t="str">
        <f>IFERROR(__xludf.DUMMYFUNCTION("GOOGLETRANSLATE($A2277,""en"",""ko"")"),"모나한")</f>
        <v>모나한</v>
      </c>
      <c r="J2277" s="9" t="str">
        <f>IFERROR(__xludf.DUMMYFUNCTION("GOOGLETRANSLATE($A2277,""en"",""pt-BR"")"),"Monaghan")</f>
        <v>Monaghan</v>
      </c>
    </row>
    <row r="2278">
      <c r="A2278" s="9" t="str">
        <f>IFERROR(__xludf.DUMMYFUNCTION("""COMPUTED_VALUE"""),"Offaly")</f>
        <v>Offaly</v>
      </c>
      <c r="B2278" s="9" t="str">
        <f>IFERROR(__xludf.DUMMYFUNCTION("""COMPUTED_VALUE"""),"ie-oy")</f>
        <v>ie-oy</v>
      </c>
      <c r="C2278" s="9" t="str">
        <f>IFERROR(__xludf.DUMMYFUNCTION("GOOGLETRANSLATE($A2278,""en"",""de"")"),"Offaly")</f>
        <v>Offaly</v>
      </c>
      <c r="D2278" s="9" t="str">
        <f>IFERROR(__xludf.DUMMYFUNCTION("GOOGLETRANSLATE($A2278,""en"",""fr"")"),"Offaly")</f>
        <v>Offaly</v>
      </c>
      <c r="E2278" s="9" t="str">
        <f>IFERROR(__xludf.DUMMYFUNCTION("GOOGLETRANSLATE($A2278,""en"",""es"")"),"Offaly")</f>
        <v>Offaly</v>
      </c>
      <c r="F2278" s="9" t="str">
        <f>IFERROR(__xludf.DUMMYFUNCTION("GOOGLETRANSLATE($A2278,""en"",""it"")"),"Offaly")</f>
        <v>Offaly</v>
      </c>
      <c r="G2278" s="9" t="str">
        <f>IFERROR(__xludf.DUMMYFUNCTION("GOOGLETRANSLATE($A2278,""en"",""zh-cn"")"),"奥法利")</f>
        <v>奥法利</v>
      </c>
      <c r="H2278" s="9" t="str">
        <f>IFERROR(__xludf.DUMMYFUNCTION("GOOGLETRANSLATE($A2278,""en"",""ja"")"),"オファリー")</f>
        <v>オファリー</v>
      </c>
      <c r="I2278" s="9" t="str">
        <f>IFERROR(__xludf.DUMMYFUNCTION("GOOGLETRANSLATE($A2278,""en"",""ko"")"),"오팔리")</f>
        <v>오팔리</v>
      </c>
      <c r="J2278" s="9" t="str">
        <f>IFERROR(__xludf.DUMMYFUNCTION("GOOGLETRANSLATE($A2278,""en"",""pt-BR"")"),"Offaly")</f>
        <v>Offaly</v>
      </c>
    </row>
    <row r="2279">
      <c r="A2279" s="9" t="str">
        <f>IFERROR(__xludf.DUMMYFUNCTION("""COMPUTED_VALUE"""),"Connaught")</f>
        <v>Connaught</v>
      </c>
      <c r="B2279" s="9" t="str">
        <f>IFERROR(__xludf.DUMMYFUNCTION("""COMPUTED_VALUE"""),"ie-c")</f>
        <v>ie-c</v>
      </c>
      <c r="C2279" s="9" t="str">
        <f>IFERROR(__xludf.DUMMYFUNCTION("GOOGLETRANSLATE($A2279,""en"",""de"")"),"Connaught")</f>
        <v>Connaught</v>
      </c>
      <c r="D2279" s="9" t="str">
        <f>IFERROR(__xludf.DUMMYFUNCTION("GOOGLETRANSLATE($A2279,""en"",""fr"")"),"Connaught")</f>
        <v>Connaught</v>
      </c>
      <c r="E2279" s="9" t="str">
        <f>IFERROR(__xludf.DUMMYFUNCTION("GOOGLETRANSLATE($A2279,""en"",""es"")"),"Connaught")</f>
        <v>Connaught</v>
      </c>
      <c r="F2279" s="9" t="str">
        <f>IFERROR(__xludf.DUMMYFUNCTION("GOOGLETRANSLATE($A2279,""en"",""it"")"),"Connaught")</f>
        <v>Connaught</v>
      </c>
      <c r="G2279" s="9" t="str">
        <f>IFERROR(__xludf.DUMMYFUNCTION("GOOGLETRANSLATE($A2279,""en"",""zh-cn"")"),"诺")</f>
        <v>诺</v>
      </c>
      <c r="H2279" s="9" t="str">
        <f>IFERROR(__xludf.DUMMYFUNCTION("GOOGLETRANSLATE($A2279,""en"",""ja"")"),"コノート")</f>
        <v>コノート</v>
      </c>
      <c r="I2279" s="9" t="str">
        <f>IFERROR(__xludf.DUMMYFUNCTION("GOOGLETRANSLATE($A2279,""en"",""ko"")"),"코노트")</f>
        <v>코노트</v>
      </c>
      <c r="J2279" s="9" t="str">
        <f>IFERROR(__xludf.DUMMYFUNCTION("GOOGLETRANSLATE($A2279,""en"",""pt-BR"")"),"Connaught")</f>
        <v>Connaught</v>
      </c>
    </row>
    <row r="2280">
      <c r="A2280" s="9" t="str">
        <f>IFERROR(__xludf.DUMMYFUNCTION("""COMPUTED_VALUE"""),"Leinster")</f>
        <v>Leinster</v>
      </c>
      <c r="B2280" s="9" t="str">
        <f>IFERROR(__xludf.DUMMYFUNCTION("""COMPUTED_VALUE"""),"ie-l")</f>
        <v>ie-l</v>
      </c>
      <c r="C2280" s="9" t="str">
        <f>IFERROR(__xludf.DUMMYFUNCTION("GOOGLETRANSLATE($A2280,""en"",""de"")"),"Leinster")</f>
        <v>Leinster</v>
      </c>
      <c r="D2280" s="9" t="str">
        <f>IFERROR(__xludf.DUMMYFUNCTION("GOOGLETRANSLATE($A2280,""en"",""fr"")"),"Leinster")</f>
        <v>Leinster</v>
      </c>
      <c r="E2280" s="9" t="str">
        <f>IFERROR(__xludf.DUMMYFUNCTION("GOOGLETRANSLATE($A2280,""en"",""es"")"),"leinster")</f>
        <v>leinster</v>
      </c>
      <c r="F2280" s="9" t="str">
        <f>IFERROR(__xludf.DUMMYFUNCTION("GOOGLETRANSLATE($A2280,""en"",""it"")"),"Leinster")</f>
        <v>Leinster</v>
      </c>
      <c r="G2280" s="9" t="str">
        <f>IFERROR(__xludf.DUMMYFUNCTION("GOOGLETRANSLATE($A2280,""en"",""zh-cn"")"),"伦斯特")</f>
        <v>伦斯特</v>
      </c>
      <c r="H2280" s="9" t="str">
        <f>IFERROR(__xludf.DUMMYFUNCTION("GOOGLETRANSLATE($A2280,""en"",""ja"")"),"レンスター")</f>
        <v>レンスター</v>
      </c>
      <c r="I2280" s="9" t="str">
        <f>IFERROR(__xludf.DUMMYFUNCTION("GOOGLETRANSLATE($A2280,""en"",""ko"")"),"렌스터")</f>
        <v>렌스터</v>
      </c>
      <c r="J2280" s="9" t="str">
        <f>IFERROR(__xludf.DUMMYFUNCTION("GOOGLETRANSLATE($A2280,""en"",""pt-BR"")"),"Leinster")</f>
        <v>Leinster</v>
      </c>
    </row>
    <row r="2281">
      <c r="A2281" s="9" t="str">
        <f>IFERROR(__xludf.DUMMYFUNCTION("""COMPUTED_VALUE"""),"Munster")</f>
        <v>Munster</v>
      </c>
      <c r="B2281" s="9" t="str">
        <f>IFERROR(__xludf.DUMMYFUNCTION("""COMPUTED_VALUE"""),"ie-m")</f>
        <v>ie-m</v>
      </c>
      <c r="C2281" s="9" t="str">
        <f>IFERROR(__xludf.DUMMYFUNCTION("GOOGLETRANSLATE($A2281,""en"",""de"")"),"Münster")</f>
        <v>Münster</v>
      </c>
      <c r="D2281" s="9" t="str">
        <f>IFERROR(__xludf.DUMMYFUNCTION("GOOGLETRANSLATE($A2281,""en"",""fr"")"),"Munster")</f>
        <v>Munster</v>
      </c>
      <c r="E2281" s="9" t="str">
        <f>IFERROR(__xludf.DUMMYFUNCTION("GOOGLETRANSLATE($A2281,""en"",""es"")"),"Münster")</f>
        <v>Münster</v>
      </c>
      <c r="F2281" s="9" t="str">
        <f>IFERROR(__xludf.DUMMYFUNCTION("GOOGLETRANSLATE($A2281,""en"",""it"")"),"Münster")</f>
        <v>Münster</v>
      </c>
      <c r="G2281" s="9" t="str">
        <f>IFERROR(__xludf.DUMMYFUNCTION("GOOGLETRANSLATE($A2281,""en"",""zh-cn"")"),"明斯特")</f>
        <v>明斯特</v>
      </c>
      <c r="H2281" s="9" t="str">
        <f>IFERROR(__xludf.DUMMYFUNCTION("GOOGLETRANSLATE($A2281,""en"",""ja"")"),"ミュンスター")</f>
        <v>ミュンスター</v>
      </c>
      <c r="I2281" s="9" t="str">
        <f>IFERROR(__xludf.DUMMYFUNCTION("GOOGLETRANSLATE($A2281,""en"",""ko"")"),"뮌스터")</f>
        <v>뮌스터</v>
      </c>
      <c r="J2281" s="9" t="str">
        <f>IFERROR(__xludf.DUMMYFUNCTION("GOOGLETRANSLATE($A2281,""en"",""pt-BR"")"),"Münster")</f>
        <v>Münster</v>
      </c>
    </row>
    <row r="2282">
      <c r="A2282" s="9" t="str">
        <f>IFERROR(__xludf.DUMMYFUNCTION("""COMPUTED_VALUE"""),"Lorestān")</f>
        <v>Lorestān</v>
      </c>
      <c r="B2282" s="9" t="str">
        <f>IFERROR(__xludf.DUMMYFUNCTION("""COMPUTED_VALUE"""),"ir-20")</f>
        <v>ir-20</v>
      </c>
      <c r="C2282" s="9" t="str">
        <f>IFERROR(__xludf.DUMMYFUNCTION("GOOGLETRANSLATE($A2282,""en"",""de"")"),"Lorestan")</f>
        <v>Lorestan</v>
      </c>
      <c r="D2282" s="9" t="str">
        <f>IFERROR(__xludf.DUMMYFUNCTION("GOOGLETRANSLATE($A2282,""en"",""fr"")"),"Lorestan")</f>
        <v>Lorestan</v>
      </c>
      <c r="E2282" s="9" t="str">
        <f>IFERROR(__xludf.DUMMYFUNCTION("GOOGLETRANSLATE($A2282,""en"",""es"")"),"Lorestán")</f>
        <v>Lorestán</v>
      </c>
      <c r="F2282" s="9" t="str">
        <f>IFERROR(__xludf.DUMMYFUNCTION("GOOGLETRANSLATE($A2282,""en"",""it"")"),"Lorestan")</f>
        <v>Lorestan</v>
      </c>
      <c r="G2282" s="9" t="str">
        <f>IFERROR(__xludf.DUMMYFUNCTION("GOOGLETRANSLATE($A2282,""en"",""zh-cn"")"),"洛雷斯坦")</f>
        <v>洛雷斯坦</v>
      </c>
      <c r="H2282" s="9" t="str">
        <f>IFERROR(__xludf.DUMMYFUNCTION("GOOGLETRANSLATE($A2282,""en"",""ja"")"),"ロレスタン")</f>
        <v>ロレスタン</v>
      </c>
      <c r="I2282" s="9" t="str">
        <f>IFERROR(__xludf.DUMMYFUNCTION("GOOGLETRANSLATE($A2282,""en"",""ko"")"),"로레스탄")</f>
        <v>로레스탄</v>
      </c>
      <c r="J2282" s="9" t="str">
        <f>IFERROR(__xludf.DUMMYFUNCTION("GOOGLETRANSLATE($A2282,""en"",""pt-BR"")"),"Lorestan")</f>
        <v>Lorestan</v>
      </c>
    </row>
    <row r="2283">
      <c r="A2283" s="9" t="str">
        <f>IFERROR(__xludf.DUMMYFUNCTION("""COMPUTED_VALUE"""),"Sīstān va Balūchestān")</f>
        <v>Sīstān va Balūchestān</v>
      </c>
      <c r="B2283" s="9" t="str">
        <f>IFERROR(__xludf.DUMMYFUNCTION("""COMPUTED_VALUE"""),"ir-13")</f>
        <v>ir-13</v>
      </c>
      <c r="C2283" s="9" t="str">
        <f>IFERROR(__xludf.DUMMYFUNCTION("GOOGLETRANSLATE($A2283,""en"",""de"")"),"Sīstān va Balūchestān")</f>
        <v>Sīstān va Balūchestān</v>
      </c>
      <c r="D2283" s="9" t="str">
        <f>IFERROR(__xludf.DUMMYFUNCTION("GOOGLETRANSLATE($A2283,""en"",""fr"")"),"Sīstān va Baluchestān")</f>
        <v>Sīstān va Baluchestān</v>
      </c>
      <c r="E2283" s="9" t="str">
        <f>IFERROR(__xludf.DUMMYFUNCTION("GOOGLETRANSLATE($A2283,""en"",""es"")"),"Sīstān va Balūchestān")</f>
        <v>Sīstān va Balūchestān</v>
      </c>
      <c r="F2283" s="9" t="str">
        <f>IFERROR(__xludf.DUMMYFUNCTION("GOOGLETRANSLATE($A2283,""en"",""it"")"),"Sīstan va Balūchestan")</f>
        <v>Sīstan va Balūchestan</v>
      </c>
      <c r="G2283" s="9" t="str">
        <f>IFERROR(__xludf.DUMMYFUNCTION("GOOGLETRANSLATE($A2283,""en"",""zh-cn"")"),"俾路支斯坦的锡斯坦")</f>
        <v>俾路支斯坦的锡斯坦</v>
      </c>
      <c r="H2283" s="9" t="str">
        <f>IFERROR(__xludf.DUMMYFUNCTION("GOOGLETRANSLATE($A2283,""en"",""ja"")"),"シスターン・ヴァ・バルチェスターン")</f>
        <v>シスターン・ヴァ・バルチェスターン</v>
      </c>
      <c r="I2283" s="9" t="str">
        <f>IFERROR(__xludf.DUMMYFUNCTION("GOOGLETRANSLATE($A2283,""en"",""ko"")"),"시스탄 바 발루체스탄")</f>
        <v>시스탄 바 발루체스탄</v>
      </c>
      <c r="J2283" s="9" t="str">
        <f>IFERROR(__xludf.DUMMYFUNCTION("GOOGLETRANSLATE($A2283,""en"",""pt-BR"")"),"Sistão e Baluchistão")</f>
        <v>Sistão e Baluchistão</v>
      </c>
    </row>
    <row r="2284">
      <c r="A2284" s="9" t="str">
        <f>IFERROR(__xludf.DUMMYFUNCTION("""COMPUTED_VALUE"""),"Būshehr")</f>
        <v>Būshehr</v>
      </c>
      <c r="B2284" s="9" t="str">
        <f>IFERROR(__xludf.DUMMYFUNCTION("""COMPUTED_VALUE"""),"ir-06")</f>
        <v>ir-06</v>
      </c>
      <c r="C2284" s="9" t="str">
        <f>IFERROR(__xludf.DUMMYFUNCTION("GOOGLETRANSLATE($A2284,""en"",""de"")"),"Buschehr")</f>
        <v>Buschehr</v>
      </c>
      <c r="D2284" s="9" t="str">
        <f>IFERROR(__xludf.DUMMYFUNCTION("GOOGLETRANSLATE($A2284,""en"",""fr"")"),"Bouchehr")</f>
        <v>Bouchehr</v>
      </c>
      <c r="E2284" s="9" t="str">
        <f>IFERROR(__xludf.DUMMYFUNCTION("GOOGLETRANSLATE($A2284,""en"",""es"")"),"Bushehr")</f>
        <v>Bushehr</v>
      </c>
      <c r="F2284" s="9" t="str">
        <f>IFERROR(__xludf.DUMMYFUNCTION("GOOGLETRANSLATE($A2284,""en"",""it"")"),"Būshehr")</f>
        <v>Būshehr</v>
      </c>
      <c r="G2284" s="9" t="str">
        <f>IFERROR(__xludf.DUMMYFUNCTION("GOOGLETRANSLATE($A2284,""en"",""zh-cn"")"),"布什尔")</f>
        <v>布什尔</v>
      </c>
      <c r="H2284" s="9" t="str">
        <f>IFERROR(__xludf.DUMMYFUNCTION("GOOGLETRANSLATE($A2284,""en"",""ja"")"),"ブーシェフル")</f>
        <v>ブーシェフル</v>
      </c>
      <c r="I2284" s="9" t="str">
        <f>IFERROR(__xludf.DUMMYFUNCTION("GOOGLETRANSLATE($A2284,""en"",""ko"")"),"부쉐르")</f>
        <v>부쉐르</v>
      </c>
      <c r="J2284" s="9" t="str">
        <f>IFERROR(__xludf.DUMMYFUNCTION("GOOGLETRANSLATE($A2284,""en"",""pt-BR"")"),"Bushehr")</f>
        <v>Bushehr</v>
      </c>
    </row>
    <row r="2285">
      <c r="A2285" s="9" t="str">
        <f>IFERROR(__xludf.DUMMYFUNCTION("""COMPUTED_VALUE"""),"Āz̄arbāyjān-e Sharqī")</f>
        <v>Āz̄arbāyjān-e Sharqī</v>
      </c>
      <c r="B2285" s="9" t="str">
        <f>IFERROR(__xludf.DUMMYFUNCTION("""COMPUTED_VALUE"""),"ir-01")</f>
        <v>ir-01</v>
      </c>
      <c r="C2285" s="9" t="str">
        <f>IFERROR(__xludf.DUMMYFUNCTION("GOOGLETRANSLATE($A2285,""en"",""de"")"),"Āz̄arbāyjān-e Sharqī")</f>
        <v>Āz̄arbāyjān-e Sharqī</v>
      </c>
      <c r="D2285" s="9" t="str">
        <f>IFERROR(__xludf.DUMMYFUNCTION("GOOGLETRANSLATE($A2285,""en"",""fr"")"),"Āz̄arbayjān-e Sharqi")</f>
        <v>Āz̄arbayjān-e Sharqi</v>
      </c>
      <c r="E2285" s="9" t="str">
        <f>IFERROR(__xludf.DUMMYFUNCTION("GOOGLETRANSLATE($A2285,""en"",""es"")"),"Āz̄arbāyjān-e Sharqī")</f>
        <v>Āz̄arbāyjān-e Sharqī</v>
      </c>
      <c r="F2285" s="9" t="str">
        <f>IFERROR(__xludf.DUMMYFUNCTION("GOOGLETRANSLATE($A2285,""en"",""it"")"),"Āz̄arbāyjān-e Sharqī")</f>
        <v>Āz̄arbāyjān-e Sharqī</v>
      </c>
      <c r="G2285" s="9" t="str">
        <f>IFERROR(__xludf.DUMMYFUNCTION("GOOGLETRANSLATE($A2285,""en"",""zh-cn"")"),"Āz̄arbāyjān-e Sharqī")</f>
        <v>Āz̄arbāyjān-e Sharqī</v>
      </c>
      <c r="H2285" s="9" t="str">
        <f>IFERROR(__xludf.DUMMYFUNCTION("GOOGLETRANSLATE($A2285,""en"",""ja"")"),"アズアルバイジャン・エ・シャルキー")</f>
        <v>アズアルバイジャン・エ・シャルキー</v>
      </c>
      <c r="I2285" s="9" t="str">
        <f>IFERROR(__xludf.DUMMYFUNCTION("GOOGLETRANSLATE($A2285,""en"",""ko"")"),"Āz̄arbāyjān-e Sharqī")</f>
        <v>Āz̄arbāyjān-e Sharqī</v>
      </c>
      <c r="J2285" s="9" t="str">
        <f>IFERROR(__xludf.DUMMYFUNCTION("GOOGLETRANSLATE($A2285,""en"",""pt-BR"")"),"Āz̄arbayjān-e Sharqī")</f>
        <v>Āz̄arbayjān-e Sharqī</v>
      </c>
    </row>
    <row r="2286">
      <c r="A2286" s="9" t="str">
        <f>IFERROR(__xludf.DUMMYFUNCTION("""COMPUTED_VALUE"""),"Kermānshāh")</f>
        <v>Kermānshāh</v>
      </c>
      <c r="B2286" s="9" t="str">
        <f>IFERROR(__xludf.DUMMYFUNCTION("""COMPUTED_VALUE"""),"ir-17")</f>
        <v>ir-17</v>
      </c>
      <c r="C2286" s="9" t="str">
        <f>IFERROR(__xludf.DUMMYFUNCTION("GOOGLETRANSLATE($A2286,""en"",""de"")"),"Kermanschāh")</f>
        <v>Kermanschāh</v>
      </c>
      <c r="D2286" s="9" t="str">
        <f>IFERROR(__xludf.DUMMYFUNCTION("GOOGLETRANSLATE($A2286,""en"",""fr"")"),"Kermanshah")</f>
        <v>Kermanshah</v>
      </c>
      <c r="E2286" s="9" t="str">
        <f>IFERROR(__xludf.DUMMYFUNCTION("GOOGLETRANSLATE($A2286,""en"",""es"")"),"Kermanshah")</f>
        <v>Kermanshah</v>
      </c>
      <c r="F2286" s="9" t="str">
        <f>IFERROR(__xludf.DUMMYFUNCTION("GOOGLETRANSLATE($A2286,""en"",""it"")"),"Kermānshāh")</f>
        <v>Kermānshāh</v>
      </c>
      <c r="G2286" s="9" t="str">
        <f>IFERROR(__xludf.DUMMYFUNCTION("GOOGLETRANSLATE($A2286,""en"",""zh-cn"")"),"克尔曼沙赫")</f>
        <v>克尔曼沙赫</v>
      </c>
      <c r="H2286" s="9" t="str">
        <f>IFERROR(__xludf.DUMMYFUNCTION("GOOGLETRANSLATE($A2286,""en"",""ja"")"),"ケルマーンシャー")</f>
        <v>ケルマーンシャー</v>
      </c>
      <c r="I2286" s="9" t="str">
        <f>IFERROR(__xludf.DUMMYFUNCTION("GOOGLETRANSLATE($A2286,""en"",""ko"")"),"케르만샤")</f>
        <v>케르만샤</v>
      </c>
      <c r="J2286" s="9" t="str">
        <f>IFERROR(__xludf.DUMMYFUNCTION("GOOGLETRANSLATE($A2286,""en"",""pt-BR"")"),"Kermanshah")</f>
        <v>Kermanshah</v>
      </c>
    </row>
    <row r="2287">
      <c r="A2287" s="9" t="str">
        <f>IFERROR(__xludf.DUMMYFUNCTION("""COMPUTED_VALUE"""),"Zanjān")</f>
        <v>Zanjān</v>
      </c>
      <c r="B2287" s="9" t="str">
        <f>IFERROR(__xludf.DUMMYFUNCTION("""COMPUTED_VALUE"""),"ir-11")</f>
        <v>ir-11</v>
      </c>
      <c r="C2287" s="9" t="str">
        <f>IFERROR(__xludf.DUMMYFUNCTION("GOOGLETRANSLATE($A2287,""en"",""de"")"),"Zanjan")</f>
        <v>Zanjan</v>
      </c>
      <c r="D2287" s="9" t="str">
        <f>IFERROR(__xludf.DUMMYFUNCTION("GOOGLETRANSLATE($A2287,""en"",""fr"")"),"Zanjan")</f>
        <v>Zanjan</v>
      </c>
      <c r="E2287" s="9" t="str">
        <f>IFERROR(__xludf.DUMMYFUNCTION("GOOGLETRANSLATE($A2287,""en"",""es"")"),"Zanjan")</f>
        <v>Zanjan</v>
      </c>
      <c r="F2287" s="9" t="str">
        <f>IFERROR(__xludf.DUMMYFUNCTION("GOOGLETRANSLATE($A2287,""en"",""it"")"),"Zanjan")</f>
        <v>Zanjan</v>
      </c>
      <c r="G2287" s="9" t="str">
        <f>IFERROR(__xludf.DUMMYFUNCTION("GOOGLETRANSLATE($A2287,""en"",""zh-cn"")"),"赞詹")</f>
        <v>赞詹</v>
      </c>
      <c r="H2287" s="9" t="str">
        <f>IFERROR(__xludf.DUMMYFUNCTION("GOOGLETRANSLATE($A2287,""en"",""ja"")"),"ザンジャーン")</f>
        <v>ザンジャーン</v>
      </c>
      <c r="I2287" s="9" t="str">
        <f>IFERROR(__xludf.DUMMYFUNCTION("GOOGLETRANSLATE($A2287,""en"",""ko"")"),"잔잔")</f>
        <v>잔잔</v>
      </c>
      <c r="J2287" s="9" t="str">
        <f>IFERROR(__xludf.DUMMYFUNCTION("GOOGLETRANSLATE($A2287,""en"",""pt-BR"")"),"Zanjã")</f>
        <v>Zanjã</v>
      </c>
    </row>
    <row r="2288">
      <c r="A2288" s="9" t="str">
        <f>IFERROR(__xludf.DUMMYFUNCTION("""COMPUTED_VALUE"""),"Gīlān")</f>
        <v>Gīlān</v>
      </c>
      <c r="B2288" s="9" t="str">
        <f>IFERROR(__xludf.DUMMYFUNCTION("""COMPUTED_VALUE"""),"ir-19")</f>
        <v>ir-19</v>
      </c>
      <c r="C2288" s="9" t="str">
        <f>IFERROR(__xludf.DUMMYFUNCTION("GOOGLETRANSLATE($A2288,""en"",""de"")"),"Gilan")</f>
        <v>Gilan</v>
      </c>
      <c r="D2288" s="9" t="str">
        <f>IFERROR(__xludf.DUMMYFUNCTION("GOOGLETRANSLATE($A2288,""en"",""fr"")"),"Gilan")</f>
        <v>Gilan</v>
      </c>
      <c r="E2288" s="9" t="str">
        <f>IFERROR(__xludf.DUMMYFUNCTION("GOOGLETRANSLATE($A2288,""en"",""es"")"),"Gīlān")</f>
        <v>Gīlān</v>
      </c>
      <c r="F2288" s="9" t="str">
        <f>IFERROR(__xludf.DUMMYFUNCTION("GOOGLETRANSLATE($A2288,""en"",""it"")"),"Gilan")</f>
        <v>Gilan</v>
      </c>
      <c r="G2288" s="9" t="str">
        <f>IFERROR(__xludf.DUMMYFUNCTION("GOOGLETRANSLATE($A2288,""en"",""zh-cn"")"),"吉兰")</f>
        <v>吉兰</v>
      </c>
      <c r="H2288" s="9" t="str">
        <f>IFERROR(__xludf.DUMMYFUNCTION("GOOGLETRANSLATE($A2288,""en"",""ja"")"),"ギラン")</f>
        <v>ギラン</v>
      </c>
      <c r="I2288" s="9" t="str">
        <f>IFERROR(__xludf.DUMMYFUNCTION("GOOGLETRANSLATE($A2288,""en"",""ko"")"),"길란")</f>
        <v>길란</v>
      </c>
      <c r="J2288" s="9" t="str">
        <f>IFERROR(__xludf.DUMMYFUNCTION("GOOGLETRANSLATE($A2288,""en"",""pt-BR"")"),"Gilan")</f>
        <v>Gilan</v>
      </c>
    </row>
    <row r="2289">
      <c r="A2289" s="9" t="str">
        <f>IFERROR(__xludf.DUMMYFUNCTION("""COMPUTED_VALUE"""),"Īlām")</f>
        <v>Īlām</v>
      </c>
      <c r="B2289" s="9" t="str">
        <f>IFERROR(__xludf.DUMMYFUNCTION("""COMPUTED_VALUE"""),"ir-05")</f>
        <v>ir-05</v>
      </c>
      <c r="C2289" s="9" t="str">
        <f>IFERROR(__xludf.DUMMYFUNCTION("GOOGLETRANSLATE($A2289,""en"",""de"")"),"Īlām")</f>
        <v>Īlām</v>
      </c>
      <c r="D2289" s="9" t="str">
        <f>IFERROR(__xludf.DUMMYFUNCTION("GOOGLETRANSLATE($A2289,""en"",""fr"")"),"Īlām")</f>
        <v>Īlām</v>
      </c>
      <c r="E2289" s="9" t="str">
        <f>IFERROR(__xludf.DUMMYFUNCTION("GOOGLETRANSLATE($A2289,""en"",""es"")"),"Ilam")</f>
        <v>Ilam</v>
      </c>
      <c r="F2289" s="9" t="str">
        <f>IFERROR(__xludf.DUMMYFUNCTION("GOOGLETRANSLATE($A2289,""en"",""it"")"),"Ilam")</f>
        <v>Ilam</v>
      </c>
      <c r="G2289" s="9" t="str">
        <f>IFERROR(__xludf.DUMMYFUNCTION("GOOGLETRANSLATE($A2289,""en"",""zh-cn"")"),"阿拉姆")</f>
        <v>阿拉姆</v>
      </c>
      <c r="H2289" s="9" t="str">
        <f>IFERROR(__xludf.DUMMYFUNCTION("GOOGLETRANSLATE($A2289,""en"",""ja"")"),"イーラム")</f>
        <v>イーラム</v>
      </c>
      <c r="I2289" s="9" t="str">
        <f>IFERROR(__xludf.DUMMYFUNCTION("GOOGLETRANSLATE($A2289,""en"",""ko"")"),"일람")</f>
        <v>일람</v>
      </c>
      <c r="J2289" s="9" t="str">
        <f>IFERROR(__xludf.DUMMYFUNCTION("GOOGLETRANSLATE($A2289,""en"",""pt-BR"")"),"Ilam")</f>
        <v>Ilam</v>
      </c>
    </row>
    <row r="2290">
      <c r="A2290" s="9" t="str">
        <f>IFERROR(__xludf.DUMMYFUNCTION("""COMPUTED_VALUE"""),"Alborz")</f>
        <v>Alborz</v>
      </c>
      <c r="B2290" s="9" t="str">
        <f>IFERROR(__xludf.DUMMYFUNCTION("""COMPUTED_VALUE"""),"ir-32")</f>
        <v>ir-32</v>
      </c>
      <c r="C2290" s="9" t="str">
        <f>IFERROR(__xludf.DUMMYFUNCTION("GOOGLETRANSLATE($A2290,""en"",""de"")"),"Alborz")</f>
        <v>Alborz</v>
      </c>
      <c r="D2290" s="9" t="str">
        <f>IFERROR(__xludf.DUMMYFUNCTION("GOOGLETRANSLATE($A2290,""en"",""fr"")"),"Alborz")</f>
        <v>Alborz</v>
      </c>
      <c r="E2290" s="9" t="str">
        <f>IFERROR(__xludf.DUMMYFUNCTION("GOOGLETRANSLATE($A2290,""en"",""es"")"),"Alborz")</f>
        <v>Alborz</v>
      </c>
      <c r="F2290" s="9" t="str">
        <f>IFERROR(__xludf.DUMMYFUNCTION("GOOGLETRANSLATE($A2290,""en"",""it"")"),"Alborz")</f>
        <v>Alborz</v>
      </c>
      <c r="G2290" s="9" t="str">
        <f>IFERROR(__xludf.DUMMYFUNCTION("GOOGLETRANSLATE($A2290,""en"",""zh-cn"")"),"厄尔布尔士")</f>
        <v>厄尔布尔士</v>
      </c>
      <c r="H2290" s="9" t="str">
        <f>IFERROR(__xludf.DUMMYFUNCTION("GOOGLETRANSLATE($A2290,""en"",""ja"")"),"アルボルズ")</f>
        <v>アルボルズ</v>
      </c>
      <c r="I2290" s="9" t="str">
        <f>IFERROR(__xludf.DUMMYFUNCTION("GOOGLETRANSLATE($A2290,""en"",""ko"")"),"알보르즈")</f>
        <v>알보르즈</v>
      </c>
      <c r="J2290" s="9" t="str">
        <f>IFERROR(__xludf.DUMMYFUNCTION("GOOGLETRANSLATE($A2290,""en"",""pt-BR"")"),"Alborz")</f>
        <v>Alborz</v>
      </c>
    </row>
    <row r="2291">
      <c r="A2291" s="9" t="str">
        <f>IFERROR(__xludf.DUMMYFUNCTION("""COMPUTED_VALUE"""),"Hormozgān")</f>
        <v>Hormozgān</v>
      </c>
      <c r="B2291" s="9" t="str">
        <f>IFERROR(__xludf.DUMMYFUNCTION("""COMPUTED_VALUE"""),"ir-23")</f>
        <v>ir-23</v>
      </c>
      <c r="C2291" s="9" t="str">
        <f>IFERROR(__xludf.DUMMYFUNCTION("GOOGLETRANSLATE($A2291,""en"",""de"")"),"Hormozgan")</f>
        <v>Hormozgan</v>
      </c>
      <c r="D2291" s="9" t="str">
        <f>IFERROR(__xludf.DUMMYFUNCTION("GOOGLETRANSLATE($A2291,""en"",""fr"")"),"Hormozgan")</f>
        <v>Hormozgan</v>
      </c>
      <c r="E2291" s="9" t="str">
        <f>IFERROR(__xludf.DUMMYFUNCTION("GOOGLETRANSLATE($A2291,""en"",""es"")"),"Hormozgán")</f>
        <v>Hormozgán</v>
      </c>
      <c r="F2291" s="9" t="str">
        <f>IFERROR(__xludf.DUMMYFUNCTION("GOOGLETRANSLATE($A2291,""en"",""it"")"),"Hormozgan")</f>
        <v>Hormozgan</v>
      </c>
      <c r="G2291" s="9" t="str">
        <f>IFERROR(__xludf.DUMMYFUNCTION("GOOGLETRANSLATE($A2291,""en"",""zh-cn"")"),"霍尔木兹甘")</f>
        <v>霍尔木兹甘</v>
      </c>
      <c r="H2291" s="9" t="str">
        <f>IFERROR(__xludf.DUMMYFUNCTION("GOOGLETRANSLATE($A2291,""en"",""ja"")"),"ホルモズガーン")</f>
        <v>ホルモズガーン</v>
      </c>
      <c r="I2291" s="9" t="str">
        <f>IFERROR(__xludf.DUMMYFUNCTION("GOOGLETRANSLATE($A2291,""en"",""ko"")"),"호르모즈간")</f>
        <v>호르모즈간</v>
      </c>
      <c r="J2291" s="9" t="str">
        <f>IFERROR(__xludf.DUMMYFUNCTION("GOOGLETRANSLATE($A2291,""en"",""pt-BR"")"),"Hormozgan")</f>
        <v>Hormozgan</v>
      </c>
    </row>
    <row r="2292">
      <c r="A2292" s="9" t="str">
        <f>IFERROR(__xludf.DUMMYFUNCTION("""COMPUTED_VALUE"""),"Fārs")</f>
        <v>Fārs</v>
      </c>
      <c r="B2292" s="9" t="str">
        <f>IFERROR(__xludf.DUMMYFUNCTION("""COMPUTED_VALUE"""),"ir-14")</f>
        <v>ir-14</v>
      </c>
      <c r="C2292" s="9" t="str">
        <f>IFERROR(__xludf.DUMMYFUNCTION("GOOGLETRANSLATE($A2292,""en"",""de"")"),"Fars")</f>
        <v>Fars</v>
      </c>
      <c r="D2292" s="9" t="str">
        <f>IFERROR(__xludf.DUMMYFUNCTION("GOOGLETRANSLATE($A2292,""en"",""fr"")"),"Fars")</f>
        <v>Fars</v>
      </c>
      <c r="E2292" s="9" t="str">
        <f>IFERROR(__xludf.DUMMYFUNCTION("GOOGLETRANSLATE($A2292,""en"",""es"")"),"Fars")</f>
        <v>Fars</v>
      </c>
      <c r="F2292" s="9" t="str">
        <f>IFERROR(__xludf.DUMMYFUNCTION("GOOGLETRANSLATE($A2292,""en"",""it"")"),"Fars")</f>
        <v>Fars</v>
      </c>
      <c r="G2292" s="9" t="str">
        <f>IFERROR(__xludf.DUMMYFUNCTION("GOOGLETRANSLATE($A2292,""en"",""zh-cn"")"),"法尔斯")</f>
        <v>法尔斯</v>
      </c>
      <c r="H2292" s="9" t="str">
        <f>IFERROR(__xludf.DUMMYFUNCTION("GOOGLETRANSLATE($A2292,""en"",""ja"")"),"ファールス")</f>
        <v>ファールス</v>
      </c>
      <c r="I2292" s="9" t="str">
        <f>IFERROR(__xludf.DUMMYFUNCTION("GOOGLETRANSLATE($A2292,""en"",""ko"")"),"파르스")</f>
        <v>파르스</v>
      </c>
      <c r="J2292" s="9" t="str">
        <f>IFERROR(__xludf.DUMMYFUNCTION("GOOGLETRANSLATE($A2292,""en"",""pt-BR"")"),"Fars")</f>
        <v>Fars</v>
      </c>
    </row>
    <row r="2293">
      <c r="A2293" s="9" t="str">
        <f>IFERROR(__xludf.DUMMYFUNCTION("""COMPUTED_VALUE"""),"Qom")</f>
        <v>Qom</v>
      </c>
      <c r="B2293" s="9" t="str">
        <f>IFERROR(__xludf.DUMMYFUNCTION("""COMPUTED_VALUE"""),"ir-26")</f>
        <v>ir-26</v>
      </c>
      <c r="C2293" s="9" t="str">
        <f>IFERROR(__xludf.DUMMYFUNCTION("GOOGLETRANSLATE($A2293,""en"",""de"")"),"Qom")</f>
        <v>Qom</v>
      </c>
      <c r="D2293" s="9" t="str">
        <f>IFERROR(__xludf.DUMMYFUNCTION("GOOGLETRANSLATE($A2293,""en"",""fr"")"),"Qom")</f>
        <v>Qom</v>
      </c>
      <c r="E2293" s="9" t="str">
        <f>IFERROR(__xludf.DUMMYFUNCTION("GOOGLETRANSLATE($A2293,""en"",""es"")"),"qom")</f>
        <v>qom</v>
      </c>
      <c r="F2293" s="9" t="str">
        <f>IFERROR(__xludf.DUMMYFUNCTION("GOOGLETRANSLATE($A2293,""en"",""it"")"),"Qom")</f>
        <v>Qom</v>
      </c>
      <c r="G2293" s="9" t="str">
        <f>IFERROR(__xludf.DUMMYFUNCTION("GOOGLETRANSLATE($A2293,""en"",""zh-cn"")"),"库姆")</f>
        <v>库姆</v>
      </c>
      <c r="H2293" s="9" t="str">
        <f>IFERROR(__xludf.DUMMYFUNCTION("GOOGLETRANSLATE($A2293,""en"",""ja"")"),"コム")</f>
        <v>コム</v>
      </c>
      <c r="I2293" s="9" t="str">
        <f>IFERROR(__xludf.DUMMYFUNCTION("GOOGLETRANSLATE($A2293,""en"",""ko"")"),"쿰")</f>
        <v>쿰</v>
      </c>
      <c r="J2293" s="9" t="str">
        <f>IFERROR(__xludf.DUMMYFUNCTION("GOOGLETRANSLATE($A2293,""en"",""pt-BR"")"),"Qom")</f>
        <v>Qom</v>
      </c>
    </row>
    <row r="2294">
      <c r="A2294" s="9" t="str">
        <f>IFERROR(__xludf.DUMMYFUNCTION("""COMPUTED_VALUE"""),"Semnān")</f>
        <v>Semnān</v>
      </c>
      <c r="B2294" s="9" t="str">
        <f>IFERROR(__xludf.DUMMYFUNCTION("""COMPUTED_VALUE"""),"ir-12")</f>
        <v>ir-12</v>
      </c>
      <c r="C2294" s="9" t="str">
        <f>IFERROR(__xludf.DUMMYFUNCTION("GOOGLETRANSLATE($A2294,""en"",""de"")"),"Semnān")</f>
        <v>Semnān</v>
      </c>
      <c r="D2294" s="9" t="str">
        <f>IFERROR(__xludf.DUMMYFUNCTION("GOOGLETRANSLATE($A2294,""en"",""fr"")"),"Semnan")</f>
        <v>Semnan</v>
      </c>
      <c r="E2294" s="9" t="str">
        <f>IFERROR(__xludf.DUMMYFUNCTION("GOOGLETRANSLATE($A2294,""en"",""es"")"),"Semnan")</f>
        <v>Semnan</v>
      </c>
      <c r="F2294" s="9" t="str">
        <f>IFERROR(__xludf.DUMMYFUNCTION("GOOGLETRANSLATE($A2294,""en"",""it"")"),"Semnan")</f>
        <v>Semnan</v>
      </c>
      <c r="G2294" s="9" t="str">
        <f>IFERROR(__xludf.DUMMYFUNCTION("GOOGLETRANSLATE($A2294,""en"",""zh-cn"")"),"塞姆南")</f>
        <v>塞姆南</v>
      </c>
      <c r="H2294" s="9" t="str">
        <f>IFERROR(__xludf.DUMMYFUNCTION("GOOGLETRANSLATE($A2294,""en"",""ja"")"),"セムナン")</f>
        <v>セムナン</v>
      </c>
      <c r="I2294" s="9" t="str">
        <f>IFERROR(__xludf.DUMMYFUNCTION("GOOGLETRANSLATE($A2294,""en"",""ko"")"),"셈난")</f>
        <v>셈난</v>
      </c>
      <c r="J2294" s="9" t="str">
        <f>IFERROR(__xludf.DUMMYFUNCTION("GOOGLETRANSLATE($A2294,""en"",""pt-BR"")"),"Semnan")</f>
        <v>Semnan</v>
      </c>
    </row>
    <row r="2295">
      <c r="A2295" s="9" t="str">
        <f>IFERROR(__xludf.DUMMYFUNCTION("""COMPUTED_VALUE"""),"Kordestān")</f>
        <v>Kordestān</v>
      </c>
      <c r="B2295" s="9" t="str">
        <f>IFERROR(__xludf.DUMMYFUNCTION("""COMPUTED_VALUE"""),"ir-16")</f>
        <v>ir-16</v>
      </c>
      <c r="C2295" s="9" t="str">
        <f>IFERROR(__xludf.DUMMYFUNCTION("GOOGLETRANSLATE($A2295,""en"",""de"")"),"Kordestan")</f>
        <v>Kordestan</v>
      </c>
      <c r="D2295" s="9" t="str">
        <f>IFERROR(__xludf.DUMMYFUNCTION("GOOGLETRANSLATE($A2295,""en"",""fr"")"),"Kordistan")</f>
        <v>Kordistan</v>
      </c>
      <c r="E2295" s="9" t="str">
        <f>IFERROR(__xludf.DUMMYFUNCTION("GOOGLETRANSLATE($A2295,""en"",""es"")"),"Kurdistán")</f>
        <v>Kurdistán</v>
      </c>
      <c r="F2295" s="9" t="str">
        <f>IFERROR(__xludf.DUMMYFUNCTION("GOOGLETRANSLATE($A2295,""en"",""it"")"),"Kordestan")</f>
        <v>Kordestan</v>
      </c>
      <c r="G2295" s="9" t="str">
        <f>IFERROR(__xludf.DUMMYFUNCTION("GOOGLETRANSLATE($A2295,""en"",""zh-cn"")"),"科德斯坦")</f>
        <v>科德斯坦</v>
      </c>
      <c r="H2295" s="9" t="str">
        <f>IFERROR(__xludf.DUMMYFUNCTION("GOOGLETRANSLATE($A2295,""en"",""ja"")"),"コルデスターン")</f>
        <v>コルデスターン</v>
      </c>
      <c r="I2295" s="9" t="str">
        <f>IFERROR(__xludf.DUMMYFUNCTION("GOOGLETRANSLATE($A2295,""en"",""ko"")"),"코르데스탄")</f>
        <v>코르데스탄</v>
      </c>
      <c r="J2295" s="9" t="str">
        <f>IFERROR(__xludf.DUMMYFUNCTION("GOOGLETRANSLATE($A2295,""en"",""pt-BR"")"),"Cordestão")</f>
        <v>Cordestão</v>
      </c>
    </row>
    <row r="2296">
      <c r="A2296" s="9" t="str">
        <f>IFERROR(__xludf.DUMMYFUNCTION("""COMPUTED_VALUE"""),"Kohgīlūyeh va Būyer Aḩmad")</f>
        <v>Kohgīlūyeh va Būyer Aḩmad</v>
      </c>
      <c r="B2296" s="9" t="str">
        <f>IFERROR(__xludf.DUMMYFUNCTION("""COMPUTED_VALUE"""),"ir-18")</f>
        <v>ir-18</v>
      </c>
      <c r="C2296" s="9" t="str">
        <f>IFERROR(__xludf.DUMMYFUNCTION("GOOGLETRANSLATE($A2296,""en"",""de"")"),"Kohgīlūyeh va Būyer Aḩmad")</f>
        <v>Kohgīlūyeh va Būyer Aḩmad</v>
      </c>
      <c r="D2296" s="9" t="str">
        <f>IFERROR(__xludf.DUMMYFUNCTION("GOOGLETRANSLATE($A2296,""en"",""fr"")"),"Kohgīlūyeh va Būyer Aḩmad")</f>
        <v>Kohgīlūyeh va Būyer Aḩmad</v>
      </c>
      <c r="E2296" s="9" t="str">
        <f>IFERROR(__xludf.DUMMYFUNCTION("GOOGLETRANSLATE($A2296,""en"",""es"")"),"Kohgīlūyeh va Būyer Aḩmad")</f>
        <v>Kohgīlūyeh va Būyer Aḩmad</v>
      </c>
      <c r="F2296" s="9" t="str">
        <f>IFERROR(__xludf.DUMMYFUNCTION("GOOGLETRANSLATE($A2296,""en"",""it"")"),"Kohgīlūyeh va Būyer Aḩmad")</f>
        <v>Kohgīlūyeh va Būyer Aḩmad</v>
      </c>
      <c r="G2296" s="9" t="str">
        <f>IFERROR(__xludf.DUMMYFUNCTION("GOOGLETRANSLATE($A2296,""en"",""zh-cn"")"),"买家艾哈迈德·科吉鲁耶")</f>
        <v>买家艾哈迈德·科吉鲁耶</v>
      </c>
      <c r="H2296" s="9" t="str">
        <f>IFERROR(__xludf.DUMMYFUNCTION("GOOGLETRANSLATE($A2296,""en"",""ja"")"),"コギルイェ・ヴァ・ブイヤー・アハマド")</f>
        <v>コギルイェ・ヴァ・ブイヤー・アハマド</v>
      </c>
      <c r="I2296" s="9" t="str">
        <f>IFERROR(__xludf.DUMMYFUNCTION("GOOGLETRANSLATE($A2296,""en"",""ko"")"),"Kohgīlūyeh va Būyer Aḩmad")</f>
        <v>Kohgīlūyeh va Būyer Aḩmad</v>
      </c>
      <c r="J2296" s="9" t="str">
        <f>IFERROR(__xludf.DUMMYFUNCTION("GOOGLETRANSLATE($A2296,""en"",""pt-BR"")"),"Kohgīlūyeh e Comprador Aḩmad")</f>
        <v>Kohgīlūyeh e Comprador Aḩmad</v>
      </c>
    </row>
    <row r="2297">
      <c r="A2297" s="9" t="str">
        <f>IFERROR(__xludf.DUMMYFUNCTION("""COMPUTED_VALUE"""),"Khorāsān-e Shemālī")</f>
        <v>Khorāsān-e Shemālī</v>
      </c>
      <c r="B2297" s="9" t="str">
        <f>IFERROR(__xludf.DUMMYFUNCTION("""COMPUTED_VALUE"""),"ir-31")</f>
        <v>ir-31</v>
      </c>
      <c r="C2297" s="9" t="str">
        <f>IFERROR(__xludf.DUMMYFUNCTION("GOOGLETRANSLATE($A2297,""en"",""de"")"),"Khorāsān-e Shemālī")</f>
        <v>Khorāsān-e Shemālī</v>
      </c>
      <c r="D2297" s="9" t="str">
        <f>IFERROR(__xludf.DUMMYFUNCTION("GOOGLETRANSLATE($A2297,""en"",""fr"")"),"Khorāsān-e Shemāli")</f>
        <v>Khorāsān-e Shemāli</v>
      </c>
      <c r="E2297" s="9" t="str">
        <f>IFERROR(__xludf.DUMMYFUNCTION("GOOGLETRANSLATE($A2297,""en"",""es"")"),"Khorāsān-e Shemālī")</f>
        <v>Khorāsān-e Shemālī</v>
      </c>
      <c r="F2297" s="9" t="str">
        <f>IFERROR(__xludf.DUMMYFUNCTION("GOOGLETRANSLATE($A2297,""en"",""it"")"),"Khorasān-e Shemālī")</f>
        <v>Khorasān-e Shemālī</v>
      </c>
      <c r="G2297" s="9" t="str">
        <f>IFERROR(__xludf.DUMMYFUNCTION("GOOGLETRANSLATE($A2297,""en"",""zh-cn"")"),"呼罗珊·谢玛利")</f>
        <v>呼罗珊·谢玛利</v>
      </c>
      <c r="H2297" s="9" t="str">
        <f>IFERROR(__xludf.DUMMYFUNCTION("GOOGLETRANSLATE($A2297,""en"",""ja"")"),"ホラーサンエ シェマーリー")</f>
        <v>ホラーサンエ シェマーリー</v>
      </c>
      <c r="I2297" s="9" t="str">
        <f>IFERROR(__xludf.DUMMYFUNCTION("GOOGLETRANSLATE($A2297,""en"",""ko"")"),"Khorāsān-e Shemālī")</f>
        <v>Khorāsān-e Shemālī</v>
      </c>
      <c r="J2297" s="9" t="str">
        <f>IFERROR(__xludf.DUMMYFUNCTION("GOOGLETRANSLATE($A2297,""en"",""pt-BR"")"),"Khorāsān-e Shemālī")</f>
        <v>Khorāsān-e Shemālī</v>
      </c>
    </row>
    <row r="2298">
      <c r="A2298" s="9" t="str">
        <f>IFERROR(__xludf.DUMMYFUNCTION("""COMPUTED_VALUE"""),"Māzandarān")</f>
        <v>Māzandarān</v>
      </c>
      <c r="B2298" s="9" t="str">
        <f>IFERROR(__xludf.DUMMYFUNCTION("""COMPUTED_VALUE"""),"ir-21")</f>
        <v>ir-21</v>
      </c>
      <c r="C2298" s="9" t="str">
        <f>IFERROR(__xludf.DUMMYFUNCTION("GOOGLETRANSLATE($A2298,""en"",""de"")"),"Mazandaran")</f>
        <v>Mazandaran</v>
      </c>
      <c r="D2298" s="9" t="str">
        <f>IFERROR(__xludf.DUMMYFUNCTION("GOOGLETRANSLATE($A2298,""en"",""fr"")"),"Mazandaran")</f>
        <v>Mazandaran</v>
      </c>
      <c r="E2298" s="9" t="str">
        <f>IFERROR(__xludf.DUMMYFUNCTION("GOOGLETRANSLATE($A2298,""en"",""es"")"),"Mazandarán")</f>
        <v>Mazandarán</v>
      </c>
      <c r="F2298" s="9" t="str">
        <f>IFERROR(__xludf.DUMMYFUNCTION("GOOGLETRANSLATE($A2298,""en"",""it"")"),"Māzandarān")</f>
        <v>Māzandarān</v>
      </c>
      <c r="G2298" s="9" t="str">
        <f>IFERROR(__xludf.DUMMYFUNCTION("GOOGLETRANSLATE($A2298,""en"",""zh-cn"")"),"马赞达兰")</f>
        <v>马赞达兰</v>
      </c>
      <c r="H2298" s="9" t="str">
        <f>IFERROR(__xludf.DUMMYFUNCTION("GOOGLETRANSLATE($A2298,""en"",""ja"")"),"マーザンダラン")</f>
        <v>マーザンダラン</v>
      </c>
      <c r="I2298" s="9" t="str">
        <f>IFERROR(__xludf.DUMMYFUNCTION("GOOGLETRANSLATE($A2298,""en"",""ko"")"),"마잔다란")</f>
        <v>마잔다란</v>
      </c>
      <c r="J2298" s="9" t="str">
        <f>IFERROR(__xludf.DUMMYFUNCTION("GOOGLETRANSLATE($A2298,""en"",""pt-BR"")"),"Mazandaran")</f>
        <v>Mazandaran</v>
      </c>
    </row>
    <row r="2299">
      <c r="A2299" s="9" t="str">
        <f>IFERROR(__xludf.DUMMYFUNCTION("""COMPUTED_VALUE"""),"Hamadān")</f>
        <v>Hamadān</v>
      </c>
      <c r="B2299" s="9" t="str">
        <f>IFERROR(__xludf.DUMMYFUNCTION("""COMPUTED_VALUE"""),"ir-24")</f>
        <v>ir-24</v>
      </c>
      <c r="C2299" s="9" t="str">
        <f>IFERROR(__xludf.DUMMYFUNCTION("GOOGLETRANSLATE($A2299,""en"",""de"")"),"Hamadan")</f>
        <v>Hamadan</v>
      </c>
      <c r="D2299" s="9" t="str">
        <f>IFERROR(__xludf.DUMMYFUNCTION("GOOGLETRANSLATE($A2299,""en"",""fr"")"),"Hamadan")</f>
        <v>Hamadan</v>
      </c>
      <c r="E2299" s="9" t="str">
        <f>IFERROR(__xludf.DUMMYFUNCTION("GOOGLETRANSLATE($A2299,""en"",""es"")"),"Hamadán")</f>
        <v>Hamadán</v>
      </c>
      <c r="F2299" s="9" t="str">
        <f>IFERROR(__xludf.DUMMYFUNCTION("GOOGLETRANSLATE($A2299,""en"",""it"")"),"Hamadan")</f>
        <v>Hamadan</v>
      </c>
      <c r="G2299" s="9" t="str">
        <f>IFERROR(__xludf.DUMMYFUNCTION("GOOGLETRANSLATE($A2299,""en"",""zh-cn"")"),"哈马丹")</f>
        <v>哈马丹</v>
      </c>
      <c r="H2299" s="9" t="str">
        <f>IFERROR(__xludf.DUMMYFUNCTION("GOOGLETRANSLATE($A2299,""en"",""ja"")"),"ハマダーン")</f>
        <v>ハマダーン</v>
      </c>
      <c r="I2299" s="9" t="str">
        <f>IFERROR(__xludf.DUMMYFUNCTION("GOOGLETRANSLATE($A2299,""en"",""ko"")"),"하마단")</f>
        <v>하마단</v>
      </c>
      <c r="J2299" s="9" t="str">
        <f>IFERROR(__xludf.DUMMYFUNCTION("GOOGLETRANSLATE($A2299,""en"",""pt-BR"")"),"Hamadã")</f>
        <v>Hamadã</v>
      </c>
    </row>
    <row r="2300">
      <c r="A2300" s="9" t="str">
        <f>IFERROR(__xludf.DUMMYFUNCTION("""COMPUTED_VALUE"""),"Yazd")</f>
        <v>Yazd</v>
      </c>
      <c r="B2300" s="9" t="str">
        <f>IFERROR(__xludf.DUMMYFUNCTION("""COMPUTED_VALUE"""),"ir-25")</f>
        <v>ir-25</v>
      </c>
      <c r="C2300" s="9" t="str">
        <f>IFERROR(__xludf.DUMMYFUNCTION("GOOGLETRANSLATE($A2300,""en"",""de"")"),"Yazd")</f>
        <v>Yazd</v>
      </c>
      <c r="D2300" s="9" t="str">
        <f>IFERROR(__xludf.DUMMYFUNCTION("GOOGLETRANSLATE($A2300,""en"",""fr"")"),"Yazd")</f>
        <v>Yazd</v>
      </c>
      <c r="E2300" s="9" t="str">
        <f>IFERROR(__xludf.DUMMYFUNCTION("GOOGLETRANSLATE($A2300,""en"",""es"")"),"Yazd")</f>
        <v>Yazd</v>
      </c>
      <c r="F2300" s="9" t="str">
        <f>IFERROR(__xludf.DUMMYFUNCTION("GOOGLETRANSLATE($A2300,""en"",""it"")"),"Yazd")</f>
        <v>Yazd</v>
      </c>
      <c r="G2300" s="9" t="str">
        <f>IFERROR(__xludf.DUMMYFUNCTION("GOOGLETRANSLATE($A2300,""en"",""zh-cn"")"),"亚兹德")</f>
        <v>亚兹德</v>
      </c>
      <c r="H2300" s="9" t="str">
        <f>IFERROR(__xludf.DUMMYFUNCTION("GOOGLETRANSLATE($A2300,""en"",""ja"")"),"ヤズド")</f>
        <v>ヤズド</v>
      </c>
      <c r="I2300" s="9" t="str">
        <f>IFERROR(__xludf.DUMMYFUNCTION("GOOGLETRANSLATE($A2300,""en"",""ko"")"),"야즈드")</f>
        <v>야즈드</v>
      </c>
      <c r="J2300" s="9" t="str">
        <f>IFERROR(__xludf.DUMMYFUNCTION("GOOGLETRANSLATE($A2300,""en"",""pt-BR"")"),"Yazd")</f>
        <v>Yazd</v>
      </c>
    </row>
    <row r="2301">
      <c r="A2301" s="9" t="str">
        <f>IFERROR(__xludf.DUMMYFUNCTION("""COMPUTED_VALUE"""),"Khorāsān-e Janūbī")</f>
        <v>Khorāsān-e Janūbī</v>
      </c>
      <c r="B2301" s="9" t="str">
        <f>IFERROR(__xludf.DUMMYFUNCTION("""COMPUTED_VALUE"""),"ir-29")</f>
        <v>ir-29</v>
      </c>
      <c r="C2301" s="9" t="str">
        <f>IFERROR(__xludf.DUMMYFUNCTION("GOOGLETRANSLATE($A2301,""en"",""de"")"),"Khorāsān-e Janūbī")</f>
        <v>Khorāsān-e Janūbī</v>
      </c>
      <c r="D2301" s="9" t="str">
        <f>IFERROR(__xludf.DUMMYFUNCTION("GOOGLETRANSLATE($A2301,""en"",""fr"")"),"Khorāsān-e Janūbi")</f>
        <v>Khorāsān-e Janūbi</v>
      </c>
      <c r="E2301" s="9" t="str">
        <f>IFERROR(__xludf.DUMMYFUNCTION("GOOGLETRANSLATE($A2301,""en"",""es"")"),"Khorāsān-e Janūbī")</f>
        <v>Khorāsān-e Janūbī</v>
      </c>
      <c r="F2301" s="9" t="str">
        <f>IFERROR(__xludf.DUMMYFUNCTION("GOOGLETRANSLATE($A2301,""en"",""it"")"),"Khorasān-e Janūbī")</f>
        <v>Khorasān-e Janūbī</v>
      </c>
      <c r="G2301" s="9" t="str">
        <f>IFERROR(__xludf.DUMMYFUNCTION("GOOGLETRANSLATE($A2301,""en"",""zh-cn"")"),"呼罗珊贾努比")</f>
        <v>呼罗珊贾努比</v>
      </c>
      <c r="H2301" s="9" t="str">
        <f>IFERROR(__xludf.DUMMYFUNCTION("GOOGLETRANSLATE($A2301,""en"",""ja"")"),"ホラーサーン・エ・ジャヌビー")</f>
        <v>ホラーサーン・エ・ジャヌビー</v>
      </c>
      <c r="I2301" s="9" t="str">
        <f>IFERROR(__xludf.DUMMYFUNCTION("GOOGLETRANSLATE($A2301,""en"",""ko"")"),"코라산-에 자누비")</f>
        <v>코라산-에 자누비</v>
      </c>
      <c r="J2301" s="9" t="str">
        <f>IFERROR(__xludf.DUMMYFUNCTION("GOOGLETRANSLATE($A2301,""en"",""pt-BR"")"),"Khorāsān-e Janūbī")</f>
        <v>Khorāsān-e Janūbī</v>
      </c>
    </row>
    <row r="2302">
      <c r="A2302" s="9" t="str">
        <f>IFERROR(__xludf.DUMMYFUNCTION("""COMPUTED_VALUE"""),"Golestān")</f>
        <v>Golestān</v>
      </c>
      <c r="B2302" s="9" t="str">
        <f>IFERROR(__xludf.DUMMYFUNCTION("""COMPUTED_VALUE"""),"ir-27")</f>
        <v>ir-27</v>
      </c>
      <c r="C2302" s="9" t="str">
        <f>IFERROR(__xludf.DUMMYFUNCTION("GOOGLETRANSLATE($A2302,""en"",""de"")"),"Golestan")</f>
        <v>Golestan</v>
      </c>
      <c r="D2302" s="9" t="str">
        <f>IFERROR(__xludf.DUMMYFUNCTION("GOOGLETRANSLATE($A2302,""en"",""fr"")"),"Golestan")</f>
        <v>Golestan</v>
      </c>
      <c r="E2302" s="9" t="str">
        <f>IFERROR(__xludf.DUMMYFUNCTION("GOOGLETRANSLATE($A2302,""en"",""es"")"),"Golestán")</f>
        <v>Golestán</v>
      </c>
      <c r="F2302" s="9" t="str">
        <f>IFERROR(__xludf.DUMMYFUNCTION("GOOGLETRANSLATE($A2302,""en"",""it"")"),"Golestan")</f>
        <v>Golestan</v>
      </c>
      <c r="G2302" s="9" t="str">
        <f>IFERROR(__xludf.DUMMYFUNCTION("GOOGLETRANSLATE($A2302,""en"",""zh-cn"")"),"戈勒斯坦")</f>
        <v>戈勒斯坦</v>
      </c>
      <c r="H2302" s="9" t="str">
        <f>IFERROR(__xludf.DUMMYFUNCTION("GOOGLETRANSLATE($A2302,""en"",""ja"")"),"ゴレスターン")</f>
        <v>ゴレスターン</v>
      </c>
      <c r="I2302" s="9" t="str">
        <f>IFERROR(__xludf.DUMMYFUNCTION("GOOGLETRANSLATE($A2302,""en"",""ko"")"),"골레스탄")</f>
        <v>골레스탄</v>
      </c>
      <c r="J2302" s="9" t="str">
        <f>IFERROR(__xludf.DUMMYFUNCTION("GOOGLETRANSLATE($A2302,""en"",""pt-BR"")"),"Golestão")</f>
        <v>Golestão</v>
      </c>
    </row>
    <row r="2303">
      <c r="A2303" s="9" t="str">
        <f>IFERROR(__xludf.DUMMYFUNCTION("""COMPUTED_VALUE"""),"Chahār Maḩāll va Bakhtīārī")</f>
        <v>Chahār Maḩāll va Bakhtīārī</v>
      </c>
      <c r="B2303" s="9" t="str">
        <f>IFERROR(__xludf.DUMMYFUNCTION("""COMPUTED_VALUE"""),"ir-08")</f>
        <v>ir-08</v>
      </c>
      <c r="C2303" s="9" t="str">
        <f>IFERROR(__xludf.DUMMYFUNCTION("GOOGLETRANSLATE($A2303,""en"",""de"")"),"Chahār Maḩāll va Bakhtīārī")</f>
        <v>Chahār Maḩāll va Bakhtīārī</v>
      </c>
      <c r="D2303" s="9" t="str">
        <f>IFERROR(__xludf.DUMMYFUNCTION("GOOGLETRANSLATE($A2303,""en"",""fr"")"),"Chahār Maḩāll va Bakhtīārī")</f>
        <v>Chahār Maḩāll va Bakhtīārī</v>
      </c>
      <c r="E2303" s="9" t="str">
        <f>IFERROR(__xludf.DUMMYFUNCTION("GOOGLETRANSLATE($A2303,""en"",""es"")"),"Chahār Mahāll va Bakhtīārī")</f>
        <v>Chahār Mahāll va Bakhtīārī</v>
      </c>
      <c r="F2303" s="9" t="str">
        <f>IFERROR(__xludf.DUMMYFUNCTION("GOOGLETRANSLATE($A2303,""en"",""it"")"),"Chahār Maḩāll va Bakhtīārī")</f>
        <v>Chahār Maḩāll va Bakhtīārī</v>
      </c>
      <c r="G2303" s="9" t="str">
        <f>IFERROR(__xludf.DUMMYFUNCTION("GOOGLETRANSLATE($A2303,""en"",""zh-cn"")"),"查哈尔·马哈尔·瓦·巴赫蒂亚里")</f>
        <v>查哈尔·马哈尔·瓦·巴赫蒂亚里</v>
      </c>
      <c r="H2303" s="9" t="str">
        <f>IFERROR(__xludf.DUMMYFUNCTION("GOOGLETRANSLATE($A2303,""en"",""ja"")"),"チャハール・マハール・ヴァ・バクティーアーリー")</f>
        <v>チャハール・マハール・ヴァ・バクティーアーリー</v>
      </c>
      <c r="I2303" s="9" t="str">
        <f>IFERROR(__xludf.DUMMYFUNCTION("GOOGLETRANSLATE($A2303,""en"",""ko"")"),"Chahār Maḩāll va Bakhtīārī")</f>
        <v>Chahār Maḩāll va Bakhtīārī</v>
      </c>
      <c r="J2303" s="9" t="str">
        <f>IFERROR(__xludf.DUMMYFUNCTION("GOOGLETRANSLATE($A2303,""en"",""pt-BR"")"),"Chahār Mahāll va Bakhtīārī")</f>
        <v>Chahār Mahāll va Bakhtīārī</v>
      </c>
    </row>
    <row r="2304">
      <c r="A2304" s="9" t="str">
        <f>IFERROR(__xludf.DUMMYFUNCTION("""COMPUTED_VALUE"""),"Tehrān")</f>
        <v>Tehrān</v>
      </c>
      <c r="B2304" s="9" t="str">
        <f>IFERROR(__xludf.DUMMYFUNCTION("""COMPUTED_VALUE"""),"ir-07")</f>
        <v>ir-07</v>
      </c>
      <c r="C2304" s="9" t="str">
        <f>IFERROR(__xludf.DUMMYFUNCTION("GOOGLETRANSLATE($A2304,""en"",""de"")"),"Teheran")</f>
        <v>Teheran</v>
      </c>
      <c r="D2304" s="9" t="str">
        <f>IFERROR(__xludf.DUMMYFUNCTION("GOOGLETRANSLATE($A2304,""en"",""fr"")"),"Téhéran")</f>
        <v>Téhéran</v>
      </c>
      <c r="E2304" s="9" t="str">
        <f>IFERROR(__xludf.DUMMYFUNCTION("GOOGLETRANSLATE($A2304,""en"",""es"")"),"Teherán")</f>
        <v>Teherán</v>
      </c>
      <c r="F2304" s="9" t="str">
        <f>IFERROR(__xludf.DUMMYFUNCTION("GOOGLETRANSLATE($A2304,""en"",""it"")"),"Teheran")</f>
        <v>Teheran</v>
      </c>
      <c r="G2304" s="9" t="str">
        <f>IFERROR(__xludf.DUMMYFUNCTION("GOOGLETRANSLATE($A2304,""en"",""zh-cn"")"),"德黑兰")</f>
        <v>德黑兰</v>
      </c>
      <c r="H2304" s="9" t="str">
        <f>IFERROR(__xludf.DUMMYFUNCTION("GOOGLETRANSLATE($A2304,""en"",""ja"")"),"テヘラン")</f>
        <v>テヘラン</v>
      </c>
      <c r="I2304" s="9" t="str">
        <f>IFERROR(__xludf.DUMMYFUNCTION("GOOGLETRANSLATE($A2304,""en"",""ko"")"),"테헤란")</f>
        <v>테헤란</v>
      </c>
      <c r="J2304" s="9" t="str">
        <f>IFERROR(__xludf.DUMMYFUNCTION("GOOGLETRANSLATE($A2304,""en"",""pt-BR"")"),"Teerã")</f>
        <v>Teerã</v>
      </c>
    </row>
    <row r="2305">
      <c r="A2305" s="9" t="str">
        <f>IFERROR(__xludf.DUMMYFUNCTION("""COMPUTED_VALUE"""),"Ardabīl")</f>
        <v>Ardabīl</v>
      </c>
      <c r="B2305" s="9" t="str">
        <f>IFERROR(__xludf.DUMMYFUNCTION("""COMPUTED_VALUE"""),"ir-03")</f>
        <v>ir-03</v>
      </c>
      <c r="C2305" s="9" t="str">
        <f>IFERROR(__xludf.DUMMYFUNCTION("GOOGLETRANSLATE($A2305,""en"",""de"")"),"Ardabil")</f>
        <v>Ardabil</v>
      </c>
      <c r="D2305" s="9" t="str">
        <f>IFERROR(__xludf.DUMMYFUNCTION("GOOGLETRANSLATE($A2305,""en"",""fr"")"),"Ardabil")</f>
        <v>Ardabil</v>
      </c>
      <c r="E2305" s="9" t="str">
        <f>IFERROR(__xludf.DUMMYFUNCTION("GOOGLETRANSLATE($A2305,""en"",""es"")"),"Ardabil")</f>
        <v>Ardabil</v>
      </c>
      <c r="F2305" s="9" t="str">
        <f>IFERROR(__xludf.DUMMYFUNCTION("GOOGLETRANSLATE($A2305,""en"",""it"")"),"Ardabil")</f>
        <v>Ardabil</v>
      </c>
      <c r="G2305" s="9" t="str">
        <f>IFERROR(__xludf.DUMMYFUNCTION("GOOGLETRANSLATE($A2305,""en"",""zh-cn"")"),"阿尔达比尔")</f>
        <v>阿尔达比尔</v>
      </c>
      <c r="H2305" s="9" t="str">
        <f>IFERROR(__xludf.DUMMYFUNCTION("GOOGLETRANSLATE($A2305,""en"",""ja"")"),"アルダビール")</f>
        <v>アルダビール</v>
      </c>
      <c r="I2305" s="9" t="str">
        <f>IFERROR(__xludf.DUMMYFUNCTION("GOOGLETRANSLATE($A2305,""en"",""ko"")"),"아르다빌")</f>
        <v>아르다빌</v>
      </c>
      <c r="J2305" s="9" t="str">
        <f>IFERROR(__xludf.DUMMYFUNCTION("GOOGLETRANSLATE($A2305,""en"",""pt-BR"")"),"Ardabil")</f>
        <v>Ardabil</v>
      </c>
    </row>
    <row r="2306">
      <c r="A2306" s="9" t="str">
        <f>IFERROR(__xludf.DUMMYFUNCTION("""COMPUTED_VALUE"""),"Markazī")</f>
        <v>Markazī</v>
      </c>
      <c r="B2306" s="9" t="str">
        <f>IFERROR(__xludf.DUMMYFUNCTION("""COMPUTED_VALUE"""),"ir-22")</f>
        <v>ir-22</v>
      </c>
      <c r="C2306" s="9" t="str">
        <f>IFERROR(__xludf.DUMMYFUNCTION("GOOGLETRANSLATE($A2306,""en"",""de"")"),"Markazi")</f>
        <v>Markazi</v>
      </c>
      <c r="D2306" s="9" t="str">
        <f>IFERROR(__xludf.DUMMYFUNCTION("GOOGLETRANSLATE($A2306,""en"",""fr"")"),"Markazi")</f>
        <v>Markazi</v>
      </c>
      <c r="E2306" s="9" t="str">
        <f>IFERROR(__xludf.DUMMYFUNCTION("GOOGLETRANSLATE($A2306,""en"",""es"")"),"Markazi")</f>
        <v>Markazi</v>
      </c>
      <c r="F2306" s="9" t="str">
        <f>IFERROR(__xludf.DUMMYFUNCTION("GOOGLETRANSLATE($A2306,""en"",""it"")"),"Markazī")</f>
        <v>Markazī</v>
      </c>
      <c r="G2306" s="9" t="str">
        <f>IFERROR(__xludf.DUMMYFUNCTION("GOOGLETRANSLATE($A2306,""en"",""zh-cn"")"),"马尔卡齐")</f>
        <v>马尔卡齐</v>
      </c>
      <c r="H2306" s="9" t="str">
        <f>IFERROR(__xludf.DUMMYFUNCTION("GOOGLETRANSLATE($A2306,""en"",""ja"")"),"マルカジー")</f>
        <v>マルカジー</v>
      </c>
      <c r="I2306" s="9" t="str">
        <f>IFERROR(__xludf.DUMMYFUNCTION("GOOGLETRANSLATE($A2306,""en"",""ko"")"),"마르카지")</f>
        <v>마르카지</v>
      </c>
      <c r="J2306" s="9" t="str">
        <f>IFERROR(__xludf.DUMMYFUNCTION("GOOGLETRANSLATE($A2306,""en"",""pt-BR"")"),"Markazi")</f>
        <v>Markazi</v>
      </c>
    </row>
    <row r="2307">
      <c r="A2307" s="9" t="str">
        <f>IFERROR(__xludf.DUMMYFUNCTION("""COMPUTED_VALUE"""),"Khorāsān-e Razavī")</f>
        <v>Khorāsān-e Razavī</v>
      </c>
      <c r="B2307" s="9" t="str">
        <f>IFERROR(__xludf.DUMMYFUNCTION("""COMPUTED_VALUE"""),"ir-30")</f>
        <v>ir-30</v>
      </c>
      <c r="C2307" s="9" t="str">
        <f>IFERROR(__xludf.DUMMYFUNCTION("GOOGLETRANSLATE($A2307,""en"",""de"")"),"Khorāsān-e Razavi")</f>
        <v>Khorāsān-e Razavi</v>
      </c>
      <c r="D2307" s="9" t="str">
        <f>IFERROR(__xludf.DUMMYFUNCTION("GOOGLETRANSLATE($A2307,""en"",""fr"")"),"Khorāsān-e Razavi")</f>
        <v>Khorāsān-e Razavi</v>
      </c>
      <c r="E2307" s="9" t="str">
        <f>IFERROR(__xludf.DUMMYFUNCTION("GOOGLETRANSLATE($A2307,""en"",""es"")"),"Khorāsān-e Razavī")</f>
        <v>Khorāsān-e Razavī</v>
      </c>
      <c r="F2307" s="9" t="str">
        <f>IFERROR(__xludf.DUMMYFUNCTION("GOOGLETRANSLATE($A2307,""en"",""it"")"),"Khorasān-e Razavī")</f>
        <v>Khorasān-e Razavī</v>
      </c>
      <c r="G2307" s="9" t="str">
        <f>IFERROR(__xludf.DUMMYFUNCTION("GOOGLETRANSLATE($A2307,""en"",""zh-cn"")"),"呼罗珊·拉扎维")</f>
        <v>呼罗珊·拉扎维</v>
      </c>
      <c r="H2307" s="9" t="str">
        <f>IFERROR(__xludf.DUMMYFUNCTION("GOOGLETRANSLATE($A2307,""en"",""ja"")"),"ホラーサーン・エ・ラザヴィー")</f>
        <v>ホラーサーン・エ・ラザヴィー</v>
      </c>
      <c r="I2307" s="9" t="str">
        <f>IFERROR(__xludf.DUMMYFUNCTION("GOOGLETRANSLATE($A2307,""en"",""ko"")"),"Khorāsān-e Razavī")</f>
        <v>Khorāsān-e Razavī</v>
      </c>
      <c r="J2307" s="9" t="str">
        <f>IFERROR(__xludf.DUMMYFUNCTION("GOOGLETRANSLATE($A2307,""en"",""pt-BR"")"),"Khorāsān-e Razavi")</f>
        <v>Khorāsān-e Razavi</v>
      </c>
    </row>
    <row r="2308">
      <c r="A2308" s="9" t="str">
        <f>IFERROR(__xludf.DUMMYFUNCTION("""COMPUTED_VALUE"""),"Kermān")</f>
        <v>Kermān</v>
      </c>
      <c r="B2308" s="9" t="str">
        <f>IFERROR(__xludf.DUMMYFUNCTION("""COMPUTED_VALUE"""),"ir-15")</f>
        <v>ir-15</v>
      </c>
      <c r="C2308" s="9" t="str">
        <f>IFERROR(__xludf.DUMMYFUNCTION("GOOGLETRANSLATE($A2308,""en"",""de"")"),"Kerman")</f>
        <v>Kerman</v>
      </c>
      <c r="D2308" s="9" t="str">
        <f>IFERROR(__xludf.DUMMYFUNCTION("GOOGLETRANSLATE($A2308,""en"",""fr"")"),"Kerman")</f>
        <v>Kerman</v>
      </c>
      <c r="E2308" s="9" t="str">
        <f>IFERROR(__xludf.DUMMYFUNCTION("GOOGLETRANSLATE($A2308,""en"",""es"")"),"Kermán")</f>
        <v>Kermán</v>
      </c>
      <c r="F2308" s="9" t="str">
        <f>IFERROR(__xludf.DUMMYFUNCTION("GOOGLETRANSLATE($A2308,""en"",""it"")"),"Kerman")</f>
        <v>Kerman</v>
      </c>
      <c r="G2308" s="9" t="str">
        <f>IFERROR(__xludf.DUMMYFUNCTION("GOOGLETRANSLATE($A2308,""en"",""zh-cn"")"),"克尔曼")</f>
        <v>克尔曼</v>
      </c>
      <c r="H2308" s="9" t="str">
        <f>IFERROR(__xludf.DUMMYFUNCTION("GOOGLETRANSLATE($A2308,""en"",""ja"")"),"ケルマン")</f>
        <v>ケルマン</v>
      </c>
      <c r="I2308" s="9" t="str">
        <f>IFERROR(__xludf.DUMMYFUNCTION("GOOGLETRANSLATE($A2308,""en"",""ko"")"),"케르만")</f>
        <v>케르만</v>
      </c>
      <c r="J2308" s="9" t="str">
        <f>IFERROR(__xludf.DUMMYFUNCTION("GOOGLETRANSLATE($A2308,""en"",""pt-BR"")"),"Kerman")</f>
        <v>Kerman</v>
      </c>
    </row>
    <row r="2309">
      <c r="A2309" s="9" t="str">
        <f>IFERROR(__xludf.DUMMYFUNCTION("""COMPUTED_VALUE"""),"Eşfahān")</f>
        <v>Eşfahān</v>
      </c>
      <c r="B2309" s="9" t="str">
        <f>IFERROR(__xludf.DUMMYFUNCTION("""COMPUTED_VALUE"""),"ir-04")</f>
        <v>ir-04</v>
      </c>
      <c r="C2309" s="9" t="str">
        <f>IFERROR(__xludf.DUMMYFUNCTION("GOOGLETRANSLATE($A2309,""en"",""de"")"),"Esfahān")</f>
        <v>Esfahān</v>
      </c>
      <c r="D2309" s="9" t="str">
        <f>IFERROR(__xludf.DUMMYFUNCTION("GOOGLETRANSLATE($A2309,""en"",""fr"")"),"Espahan")</f>
        <v>Espahan</v>
      </c>
      <c r="E2309" s="9" t="str">
        <f>IFERROR(__xludf.DUMMYFUNCTION("GOOGLETRANSLATE($A2309,""en"",""es"")"),"Effahán")</f>
        <v>Effahán</v>
      </c>
      <c r="F2309" s="9" t="str">
        <f>IFERROR(__xludf.DUMMYFUNCTION("GOOGLETRANSLATE($A2309,""en"",""it"")"),"Esfahan")</f>
        <v>Esfahan</v>
      </c>
      <c r="G2309" s="9" t="str">
        <f>IFERROR(__xludf.DUMMYFUNCTION("GOOGLETRANSLATE($A2309,""en"",""zh-cn"")"),"埃斯法罕")</f>
        <v>埃斯法罕</v>
      </c>
      <c r="H2309" s="9" t="str">
        <f>IFERROR(__xludf.DUMMYFUNCTION("GOOGLETRANSLATE($A2309,""en"",""ja"")"),"エスファハーン")</f>
        <v>エスファハーン</v>
      </c>
      <c r="I2309" s="9" t="str">
        <f>IFERROR(__xludf.DUMMYFUNCTION("GOOGLETRANSLATE($A2309,""en"",""ko"")"),"에슈파한")</f>
        <v>에슈파한</v>
      </c>
      <c r="J2309" s="9" t="str">
        <f>IFERROR(__xludf.DUMMYFUNCTION("GOOGLETRANSLATE($A2309,""en"",""pt-BR"")"),"Eşfahan")</f>
        <v>Eşfahan</v>
      </c>
    </row>
    <row r="2310">
      <c r="A2310" s="9" t="str">
        <f>IFERROR(__xludf.DUMMYFUNCTION("""COMPUTED_VALUE"""),"Qazvīn")</f>
        <v>Qazvīn</v>
      </c>
      <c r="B2310" s="9" t="str">
        <f>IFERROR(__xludf.DUMMYFUNCTION("""COMPUTED_VALUE"""),"ir-28")</f>
        <v>ir-28</v>
      </c>
      <c r="C2310" s="9" t="str">
        <f>IFERROR(__xludf.DUMMYFUNCTION("GOOGLETRANSLATE($A2310,""en"",""de"")"),"Qazvīn")</f>
        <v>Qazvīn</v>
      </c>
      <c r="D2310" s="9" t="str">
        <f>IFERROR(__xludf.DUMMYFUNCTION("GOOGLETRANSLATE($A2310,""en"",""fr"")"),"Qazvin")</f>
        <v>Qazvin</v>
      </c>
      <c r="E2310" s="9" t="str">
        <f>IFERROR(__xludf.DUMMYFUNCTION("GOOGLETRANSLATE($A2310,""en"",""es"")"),"Qazvin")</f>
        <v>Qazvin</v>
      </c>
      <c r="F2310" s="9" t="str">
        <f>IFERROR(__xludf.DUMMYFUNCTION("GOOGLETRANSLATE($A2310,""en"",""it"")"),"Qazvin")</f>
        <v>Qazvin</v>
      </c>
      <c r="G2310" s="9" t="str">
        <f>IFERROR(__xludf.DUMMYFUNCTION("GOOGLETRANSLATE($A2310,""en"",""zh-cn"")"),"加兹温")</f>
        <v>加兹温</v>
      </c>
      <c r="H2310" s="9" t="str">
        <f>IFERROR(__xludf.DUMMYFUNCTION("GOOGLETRANSLATE($A2310,""en"",""ja"")"),"ガズヴィン")</f>
        <v>ガズヴィン</v>
      </c>
      <c r="I2310" s="9" t="str">
        <f>IFERROR(__xludf.DUMMYFUNCTION("GOOGLETRANSLATE($A2310,""en"",""ko"")"),"카즈빈")</f>
        <v>카즈빈</v>
      </c>
      <c r="J2310" s="9" t="str">
        <f>IFERROR(__xludf.DUMMYFUNCTION("GOOGLETRANSLATE($A2310,""en"",""pt-BR"")"),"Qazvin")</f>
        <v>Qazvin</v>
      </c>
    </row>
    <row r="2311">
      <c r="A2311" s="9" t="str">
        <f>IFERROR(__xludf.DUMMYFUNCTION("""COMPUTED_VALUE"""),"Khūzestān")</f>
        <v>Khūzestān</v>
      </c>
      <c r="B2311" s="9" t="str">
        <f>IFERROR(__xludf.DUMMYFUNCTION("""COMPUTED_VALUE"""),"ir-10")</f>
        <v>ir-10</v>
      </c>
      <c r="C2311" s="9" t="str">
        <f>IFERROR(__xludf.DUMMYFUNCTION("GOOGLETRANSLATE($A2311,""en"",""de"")"),"Khūzestan")</f>
        <v>Khūzestan</v>
      </c>
      <c r="D2311" s="9" t="str">
        <f>IFERROR(__xludf.DUMMYFUNCTION("GOOGLETRANSLATE($A2311,""en"",""fr"")"),"Khuzestan")</f>
        <v>Khuzestan</v>
      </c>
      <c r="E2311" s="9" t="str">
        <f>IFERROR(__xludf.DUMMYFUNCTION("GOOGLETRANSLATE($A2311,""en"",""es"")"),"Juzestán")</f>
        <v>Juzestán</v>
      </c>
      <c r="F2311" s="9" t="str">
        <f>IFERROR(__xludf.DUMMYFUNCTION("GOOGLETRANSLATE($A2311,""en"",""it"")"),"Khūzestān")</f>
        <v>Khūzestān</v>
      </c>
      <c r="G2311" s="9" t="str">
        <f>IFERROR(__xludf.DUMMYFUNCTION("GOOGLETRANSLATE($A2311,""en"",""zh-cn"")"),"胡齐斯坦")</f>
        <v>胡齐斯坦</v>
      </c>
      <c r="H2311" s="9" t="str">
        <f>IFERROR(__xludf.DUMMYFUNCTION("GOOGLETRANSLATE($A2311,""en"",""ja"")"),"フーゼスターン")</f>
        <v>フーゼスターン</v>
      </c>
      <c r="I2311" s="9" t="str">
        <f>IFERROR(__xludf.DUMMYFUNCTION("GOOGLETRANSLATE($A2311,""en"",""ko"")"),"쿠제스탄")</f>
        <v>쿠제스탄</v>
      </c>
      <c r="J2311" s="9" t="str">
        <f>IFERROR(__xludf.DUMMYFUNCTION("GOOGLETRANSLATE($A2311,""en"",""pt-BR"")"),"Khuzistão")</f>
        <v>Khuzistão</v>
      </c>
    </row>
    <row r="2312">
      <c r="A2312" s="9" t="str">
        <f>IFERROR(__xludf.DUMMYFUNCTION("""COMPUTED_VALUE"""),"Āz̄arbāyjān-e Gharbī")</f>
        <v>Āz̄arbāyjān-e Gharbī</v>
      </c>
      <c r="B2312" s="9" t="str">
        <f>IFERROR(__xludf.DUMMYFUNCTION("""COMPUTED_VALUE"""),"ir-02")</f>
        <v>ir-02</v>
      </c>
      <c r="C2312" s="9" t="str">
        <f>IFERROR(__xludf.DUMMYFUNCTION("GOOGLETRANSLATE($A2312,""en"",""de"")"),"Āz̄arbāyjān-e Gharbī")</f>
        <v>Āz̄arbāyjān-e Gharbī</v>
      </c>
      <c r="D2312" s="9" t="str">
        <f>IFERROR(__xludf.DUMMYFUNCTION("GOOGLETRANSLATE($A2312,""en"",""fr"")"),"Āz̄arbayjān-e Gharbi")</f>
        <v>Āz̄arbayjān-e Gharbi</v>
      </c>
      <c r="E2312" s="9" t="str">
        <f>IFERROR(__xludf.DUMMYFUNCTION("GOOGLETRANSLATE($A2312,""en"",""es"")"),"Āz̄arbāyjān-e Gharbī")</f>
        <v>Āz̄arbāyjān-e Gharbī</v>
      </c>
      <c r="F2312" s="9" t="str">
        <f>IFERROR(__xludf.DUMMYFUNCTION("GOOGLETRANSLATE($A2312,""en"",""it"")"),"Āz̄arbāyjān-e Gharbī")</f>
        <v>Āz̄arbāyjān-e Gharbī</v>
      </c>
      <c r="G2312" s="9" t="str">
        <f>IFERROR(__xludf.DUMMYFUNCTION("GOOGLETRANSLATE($A2312,""en"",""zh-cn"")"),"加尔比")</f>
        <v>加尔比</v>
      </c>
      <c r="H2312" s="9" t="str">
        <f>IFERROR(__xludf.DUMMYFUNCTION("GOOGLETRANSLATE($A2312,""en"",""ja"")"),"アズアルバイジャンエ・ガルビー")</f>
        <v>アズアルバイジャンエ・ガルビー</v>
      </c>
      <c r="I2312" s="9" t="str">
        <f>IFERROR(__xludf.DUMMYFUNCTION("GOOGLETRANSLATE($A2312,""en"",""ko"")"),"Āz̄arbāyjān-e Gharbī")</f>
        <v>Āz̄arbāyjān-e Gharbī</v>
      </c>
      <c r="J2312" s="9" t="str">
        <f>IFERROR(__xludf.DUMMYFUNCTION("GOOGLETRANSLATE($A2312,""en"",""pt-BR"")"),"Āz̄arbayjān-e Gharbī")</f>
        <v>Āz̄arbayjān-e Gharbī</v>
      </c>
    </row>
    <row r="2313">
      <c r="A2313" s="9" t="str">
        <f>IFERROR(__xludf.DUMMYFUNCTION("""COMPUTED_VALUE"""),"Southern")</f>
        <v>Southern</v>
      </c>
      <c r="B2313" s="9" t="str">
        <f>IFERROR(__xludf.DUMMYFUNCTION("""COMPUTED_VALUE"""),"il-d")</f>
        <v>il-d</v>
      </c>
      <c r="C2313" s="9" t="str">
        <f>IFERROR(__xludf.DUMMYFUNCTION("GOOGLETRANSLATE($A2313,""en"",""de"")"),"Süd")</f>
        <v>Süd</v>
      </c>
      <c r="D2313" s="9" t="str">
        <f>IFERROR(__xludf.DUMMYFUNCTION("GOOGLETRANSLATE($A2313,""en"",""fr"")"),"Du sud")</f>
        <v>Du sud</v>
      </c>
      <c r="E2313" s="9" t="str">
        <f>IFERROR(__xludf.DUMMYFUNCTION("GOOGLETRANSLATE($A2313,""en"",""es"")"),"Del sur")</f>
        <v>Del sur</v>
      </c>
      <c r="F2313" s="9" t="str">
        <f>IFERROR(__xludf.DUMMYFUNCTION("GOOGLETRANSLATE($A2313,""en"",""it"")"),"Meridionale")</f>
        <v>Meridionale</v>
      </c>
      <c r="G2313" s="9" t="str">
        <f>IFERROR(__xludf.DUMMYFUNCTION("GOOGLETRANSLATE($A2313,""en"",""zh-cn"")"),"南方")</f>
        <v>南方</v>
      </c>
      <c r="H2313" s="9" t="str">
        <f>IFERROR(__xludf.DUMMYFUNCTION("GOOGLETRANSLATE($A2313,""en"",""ja"")"),"南部")</f>
        <v>南部</v>
      </c>
      <c r="I2313" s="9" t="str">
        <f>IFERROR(__xludf.DUMMYFUNCTION("GOOGLETRANSLATE($A2313,""en"",""ko"")"),"남부 지방 사투리")</f>
        <v>남부 지방 사투리</v>
      </c>
      <c r="J2313" s="9" t="str">
        <f>IFERROR(__xludf.DUMMYFUNCTION("GOOGLETRANSLATE($A2313,""en"",""pt-BR"")"),"Sul")</f>
        <v>Sul</v>
      </c>
    </row>
    <row r="2314">
      <c r="A2314" s="9" t="str">
        <f>IFERROR(__xludf.DUMMYFUNCTION("""COMPUTED_VALUE"""),"Northern")</f>
        <v>Northern</v>
      </c>
      <c r="B2314" s="9" t="str">
        <f>IFERROR(__xludf.DUMMYFUNCTION("""COMPUTED_VALUE"""),"il-z")</f>
        <v>il-z</v>
      </c>
      <c r="C2314" s="9" t="str">
        <f>IFERROR(__xludf.DUMMYFUNCTION("GOOGLETRANSLATE($A2314,""en"",""de"")"),"Nördlich")</f>
        <v>Nördlich</v>
      </c>
      <c r="D2314" s="9" t="str">
        <f>IFERROR(__xludf.DUMMYFUNCTION("GOOGLETRANSLATE($A2314,""en"",""fr"")"),"Nord")</f>
        <v>Nord</v>
      </c>
      <c r="E2314" s="9" t="str">
        <f>IFERROR(__xludf.DUMMYFUNCTION("GOOGLETRANSLATE($A2314,""en"",""es"")"),"Del norte")</f>
        <v>Del norte</v>
      </c>
      <c r="F2314" s="9" t="str">
        <f>IFERROR(__xludf.DUMMYFUNCTION("GOOGLETRANSLATE($A2314,""en"",""it"")"),"Settentrionale")</f>
        <v>Settentrionale</v>
      </c>
      <c r="G2314" s="9" t="str">
        <f>IFERROR(__xludf.DUMMYFUNCTION("GOOGLETRANSLATE($A2314,""en"",""zh-cn"")"),"北方")</f>
        <v>北方</v>
      </c>
      <c r="H2314" s="9" t="str">
        <f>IFERROR(__xludf.DUMMYFUNCTION("GOOGLETRANSLATE($A2314,""en"",""ja"")"),"北部")</f>
        <v>北部</v>
      </c>
      <c r="I2314" s="9" t="str">
        <f>IFERROR(__xludf.DUMMYFUNCTION("GOOGLETRANSLATE($A2314,""en"",""ko"")"),"북부 사투리")</f>
        <v>북부 사투리</v>
      </c>
      <c r="J2314" s="9" t="str">
        <f>IFERROR(__xludf.DUMMYFUNCTION("GOOGLETRANSLATE($A2314,""en"",""pt-BR"")"),"Norte")</f>
        <v>Norte</v>
      </c>
    </row>
    <row r="2315">
      <c r="A2315" s="9" t="str">
        <f>IFERROR(__xludf.DUMMYFUNCTION("""COMPUTED_VALUE"""),"Central")</f>
        <v>Central</v>
      </c>
      <c r="B2315" s="9" t="str">
        <f>IFERROR(__xludf.DUMMYFUNCTION("""COMPUTED_VALUE"""),"il-m")</f>
        <v>il-m</v>
      </c>
      <c r="C2315" s="9" t="str">
        <f>IFERROR(__xludf.DUMMYFUNCTION("GOOGLETRANSLATE($A2315,""en"",""de"")"),"Zentral")</f>
        <v>Zentral</v>
      </c>
      <c r="D2315" s="9" t="str">
        <f>IFERROR(__xludf.DUMMYFUNCTION("GOOGLETRANSLATE($A2315,""en"",""fr"")"),"Central")</f>
        <v>Central</v>
      </c>
      <c r="E2315" s="9" t="str">
        <f>IFERROR(__xludf.DUMMYFUNCTION("GOOGLETRANSLATE($A2315,""en"",""es"")"),"Central")</f>
        <v>Central</v>
      </c>
      <c r="F2315" s="9" t="str">
        <f>IFERROR(__xludf.DUMMYFUNCTION("GOOGLETRANSLATE($A2315,""en"",""it"")"),"Centrale")</f>
        <v>Centrale</v>
      </c>
      <c r="G2315" s="9" t="str">
        <f>IFERROR(__xludf.DUMMYFUNCTION("GOOGLETRANSLATE($A2315,""en"",""zh-cn"")"),"中央")</f>
        <v>中央</v>
      </c>
      <c r="H2315" s="9" t="str">
        <f>IFERROR(__xludf.DUMMYFUNCTION("GOOGLETRANSLATE($A2315,""en"",""ja"")"),"中央")</f>
        <v>中央</v>
      </c>
      <c r="I2315" s="9" t="str">
        <f>IFERROR(__xludf.DUMMYFUNCTION("GOOGLETRANSLATE($A2315,""en"",""ko"")"),"본부")</f>
        <v>본부</v>
      </c>
      <c r="J2315" s="9" t="str">
        <f>IFERROR(__xludf.DUMMYFUNCTION("GOOGLETRANSLATE($A2315,""en"",""pt-BR"")"),"Central")</f>
        <v>Central</v>
      </c>
    </row>
    <row r="2316">
      <c r="A2316" s="9" t="str">
        <f>IFERROR(__xludf.DUMMYFUNCTION("""COMPUTED_VALUE"""),"Tel Aviv")</f>
        <v>Tel Aviv</v>
      </c>
      <c r="B2316" s="9" t="str">
        <f>IFERROR(__xludf.DUMMYFUNCTION("""COMPUTED_VALUE"""),"il-ta")</f>
        <v>il-ta</v>
      </c>
      <c r="C2316" s="9" t="str">
        <f>IFERROR(__xludf.DUMMYFUNCTION("GOOGLETRANSLATE($A2316,""en"",""de"")"),"Tel Aviv")</f>
        <v>Tel Aviv</v>
      </c>
      <c r="D2316" s="9" t="str">
        <f>IFERROR(__xludf.DUMMYFUNCTION("GOOGLETRANSLATE($A2316,""en"",""fr"")"),"Tel-Aviv")</f>
        <v>Tel-Aviv</v>
      </c>
      <c r="E2316" s="9" t="str">
        <f>IFERROR(__xludf.DUMMYFUNCTION("GOOGLETRANSLATE($A2316,""en"",""es"")"),"Tel-Aviv")</f>
        <v>Tel-Aviv</v>
      </c>
      <c r="F2316" s="9" t="str">
        <f>IFERROR(__xludf.DUMMYFUNCTION("GOOGLETRANSLATE($A2316,""en"",""it"")"),"Tel Aviv")</f>
        <v>Tel Aviv</v>
      </c>
      <c r="G2316" s="9" t="str">
        <f>IFERROR(__xludf.DUMMYFUNCTION("GOOGLETRANSLATE($A2316,""en"",""zh-cn"")"),"特拉维夫")</f>
        <v>特拉维夫</v>
      </c>
      <c r="H2316" s="9" t="str">
        <f>IFERROR(__xludf.DUMMYFUNCTION("GOOGLETRANSLATE($A2316,""en"",""ja"")"),"テルアビブ")</f>
        <v>テルアビブ</v>
      </c>
      <c r="I2316" s="9" t="str">
        <f>IFERROR(__xludf.DUMMYFUNCTION("GOOGLETRANSLATE($A2316,""en"",""ko"")"),"텔아비브")</f>
        <v>텔아비브</v>
      </c>
      <c r="J2316" s="9" t="str">
        <f>IFERROR(__xludf.DUMMYFUNCTION("GOOGLETRANSLATE($A2316,""en"",""pt-BR"")"),"Telavive")</f>
        <v>Telavive</v>
      </c>
    </row>
    <row r="2317">
      <c r="A2317" s="9" t="str">
        <f>IFERROR(__xludf.DUMMYFUNCTION("""COMPUTED_VALUE"""),"Haifa")</f>
        <v>Haifa</v>
      </c>
      <c r="B2317" s="9" t="str">
        <f>IFERROR(__xludf.DUMMYFUNCTION("""COMPUTED_VALUE"""),"il-ha")</f>
        <v>il-ha</v>
      </c>
      <c r="C2317" s="9" t="str">
        <f>IFERROR(__xludf.DUMMYFUNCTION("GOOGLETRANSLATE($A2317,""en"",""de"")"),"Haifa")</f>
        <v>Haifa</v>
      </c>
      <c r="D2317" s="9" t="str">
        <f>IFERROR(__xludf.DUMMYFUNCTION("GOOGLETRANSLATE($A2317,""en"",""fr"")"),"Haïfa")</f>
        <v>Haïfa</v>
      </c>
      <c r="E2317" s="9" t="str">
        <f>IFERROR(__xludf.DUMMYFUNCTION("GOOGLETRANSLATE($A2317,""en"",""es"")"),"Haifa")</f>
        <v>Haifa</v>
      </c>
      <c r="F2317" s="9" t="str">
        <f>IFERROR(__xludf.DUMMYFUNCTION("GOOGLETRANSLATE($A2317,""en"",""it"")"),"Haifa")</f>
        <v>Haifa</v>
      </c>
      <c r="G2317" s="9" t="str">
        <f>IFERROR(__xludf.DUMMYFUNCTION("GOOGLETRANSLATE($A2317,""en"",""zh-cn"")"),"海法")</f>
        <v>海法</v>
      </c>
      <c r="H2317" s="9" t="str">
        <f>IFERROR(__xludf.DUMMYFUNCTION("GOOGLETRANSLATE($A2317,""en"",""ja"")"),"ハイファ")</f>
        <v>ハイファ</v>
      </c>
      <c r="I2317" s="9" t="str">
        <f>IFERROR(__xludf.DUMMYFUNCTION("GOOGLETRANSLATE($A2317,""en"",""ko"")"),"하이파")</f>
        <v>하이파</v>
      </c>
      <c r="J2317" s="9" t="str">
        <f>IFERROR(__xludf.DUMMYFUNCTION("GOOGLETRANSLATE($A2317,""en"",""pt-BR"")"),"Haifa")</f>
        <v>Haifa</v>
      </c>
    </row>
    <row r="2318">
      <c r="A2318" s="9" t="str">
        <f>IFERROR(__xludf.DUMMYFUNCTION("""COMPUTED_VALUE"""),"Jerusalem (Israel)")</f>
        <v>Jerusalem (Israel)</v>
      </c>
      <c r="B2318" s="9" t="str">
        <f>IFERROR(__xludf.DUMMYFUNCTION("""COMPUTED_VALUE"""),"il-jm")</f>
        <v>il-jm</v>
      </c>
      <c r="C2318" s="9" t="str">
        <f>IFERROR(__xludf.DUMMYFUNCTION("GOOGLETRANSLATE($A2318,""en"",""de"")"),"Jerusalem (Israel)")</f>
        <v>Jerusalem (Israel)</v>
      </c>
      <c r="D2318" s="9" t="str">
        <f>IFERROR(__xludf.DUMMYFUNCTION("GOOGLETRANSLATE($A2318,""en"",""fr"")"),"Jérusalem (Israël)")</f>
        <v>Jérusalem (Israël)</v>
      </c>
      <c r="E2318" s="9" t="str">
        <f>IFERROR(__xludf.DUMMYFUNCTION("GOOGLETRANSLATE($A2318,""en"",""es"")"),"Jerusalén (Israel)")</f>
        <v>Jerusalén (Israel)</v>
      </c>
      <c r="F2318" s="9" t="str">
        <f>IFERROR(__xludf.DUMMYFUNCTION("GOOGLETRANSLATE($A2318,""en"",""it"")"),"Gerusalemme (Israele)")</f>
        <v>Gerusalemme (Israele)</v>
      </c>
      <c r="G2318" s="9" t="str">
        <f>IFERROR(__xludf.DUMMYFUNCTION("GOOGLETRANSLATE($A2318,""en"",""zh-cn"")"),"耶路撒冷（以色列）")</f>
        <v>耶路撒冷（以色列）</v>
      </c>
      <c r="H2318" s="9" t="str">
        <f>IFERROR(__xludf.DUMMYFUNCTION("GOOGLETRANSLATE($A2318,""en"",""ja"")"),"エルサレム (イスラエル)")</f>
        <v>エルサレム (イスラエル)</v>
      </c>
      <c r="I2318" s="9" t="str">
        <f>IFERROR(__xludf.DUMMYFUNCTION("GOOGLETRANSLATE($A2318,""en"",""ko"")"),"예루살렘 (이스라엘)")</f>
        <v>예루살렘 (이스라엘)</v>
      </c>
      <c r="J2318" s="9" t="str">
        <f>IFERROR(__xludf.DUMMYFUNCTION("GOOGLETRANSLATE($A2318,""en"",""pt-BR"")"),"Jerusalém (Israel)")</f>
        <v>Jerusalém (Israel)</v>
      </c>
    </row>
    <row r="2319">
      <c r="A2319" s="9" t="str">
        <f>IFERROR(__xludf.DUMMYFUNCTION("""COMPUTED_VALUE"""),"Rome")</f>
        <v>Rome</v>
      </c>
      <c r="B2319" s="9" t="str">
        <f>IFERROR(__xludf.DUMMYFUNCTION("""COMPUTED_VALUE"""),"it-rm")</f>
        <v>it-rm</v>
      </c>
      <c r="C2319" s="9" t="str">
        <f>IFERROR(__xludf.DUMMYFUNCTION("GOOGLETRANSLATE($A2319,""en"",""de"")"),"Rom")</f>
        <v>Rom</v>
      </c>
      <c r="D2319" s="9" t="str">
        <f>IFERROR(__xludf.DUMMYFUNCTION("GOOGLETRANSLATE($A2319,""en"",""fr"")"),"Rome")</f>
        <v>Rome</v>
      </c>
      <c r="E2319" s="9" t="str">
        <f>IFERROR(__xludf.DUMMYFUNCTION("GOOGLETRANSLATE($A2319,""en"",""es"")"),"Roma")</f>
        <v>Roma</v>
      </c>
      <c r="F2319" s="9" t="str">
        <f>IFERROR(__xludf.DUMMYFUNCTION("GOOGLETRANSLATE($A2319,""en"",""it"")"),"Roma")</f>
        <v>Roma</v>
      </c>
      <c r="G2319" s="9" t="str">
        <f>IFERROR(__xludf.DUMMYFUNCTION("GOOGLETRANSLATE($A2319,""en"",""zh-cn"")"),"罗马")</f>
        <v>罗马</v>
      </c>
      <c r="H2319" s="9" t="str">
        <f>IFERROR(__xludf.DUMMYFUNCTION("GOOGLETRANSLATE($A2319,""en"",""ja"")"),"ローマ")</f>
        <v>ローマ</v>
      </c>
      <c r="I2319" s="9" t="str">
        <f>IFERROR(__xludf.DUMMYFUNCTION("GOOGLETRANSLATE($A2319,""en"",""ko"")"),"로마")</f>
        <v>로마</v>
      </c>
      <c r="J2319" s="9" t="str">
        <f>IFERROR(__xludf.DUMMYFUNCTION("GOOGLETRANSLATE($A2319,""en"",""pt-BR"")"),"Roma")</f>
        <v>Roma</v>
      </c>
    </row>
    <row r="2320">
      <c r="A2320" s="9" t="str">
        <f>IFERROR(__xludf.DUMMYFUNCTION("""COMPUTED_VALUE"""),"Rovigo")</f>
        <v>Rovigo</v>
      </c>
      <c r="B2320" s="9" t="str">
        <f>IFERROR(__xludf.DUMMYFUNCTION("""COMPUTED_VALUE"""),"it-ro")</f>
        <v>it-ro</v>
      </c>
      <c r="C2320" s="9" t="str">
        <f>IFERROR(__xludf.DUMMYFUNCTION("GOOGLETRANSLATE($A2320,""en"",""de"")"),"Rovigo")</f>
        <v>Rovigo</v>
      </c>
      <c r="D2320" s="9" t="str">
        <f>IFERROR(__xludf.DUMMYFUNCTION("GOOGLETRANSLATE($A2320,""en"",""fr"")"),"Rovigo")</f>
        <v>Rovigo</v>
      </c>
      <c r="E2320" s="9" t="str">
        <f>IFERROR(__xludf.DUMMYFUNCTION("GOOGLETRANSLATE($A2320,""en"",""es"")"),"Rovigo")</f>
        <v>Rovigo</v>
      </c>
      <c r="F2320" s="9" t="str">
        <f>IFERROR(__xludf.DUMMYFUNCTION("GOOGLETRANSLATE($A2320,""en"",""it"")"),"Rovigo")</f>
        <v>Rovigo</v>
      </c>
      <c r="G2320" s="9" t="str">
        <f>IFERROR(__xludf.DUMMYFUNCTION("GOOGLETRANSLATE($A2320,""en"",""zh-cn"")"),"罗维戈")</f>
        <v>罗维戈</v>
      </c>
      <c r="H2320" s="9" t="str">
        <f>IFERROR(__xludf.DUMMYFUNCTION("GOOGLETRANSLATE($A2320,""en"",""ja"")"),"ロビゴ")</f>
        <v>ロビゴ</v>
      </c>
      <c r="I2320" s="9" t="str">
        <f>IFERROR(__xludf.DUMMYFUNCTION("GOOGLETRANSLATE($A2320,""en"",""ko"")"),"로비고")</f>
        <v>로비고</v>
      </c>
      <c r="J2320" s="9" t="str">
        <f>IFERROR(__xludf.DUMMYFUNCTION("GOOGLETRANSLATE($A2320,""en"",""pt-BR"")"),"Rovigo")</f>
        <v>Rovigo</v>
      </c>
    </row>
    <row r="2321">
      <c r="A2321" s="9" t="str">
        <f>IFERROR(__xludf.DUMMYFUNCTION("""COMPUTED_VALUE"""),"Salerno")</f>
        <v>Salerno</v>
      </c>
      <c r="B2321" s="9" t="str">
        <f>IFERROR(__xludf.DUMMYFUNCTION("""COMPUTED_VALUE"""),"it-sa")</f>
        <v>it-sa</v>
      </c>
      <c r="C2321" s="9" t="str">
        <f>IFERROR(__xludf.DUMMYFUNCTION("GOOGLETRANSLATE($A2321,""en"",""de"")"),"Salerno")</f>
        <v>Salerno</v>
      </c>
      <c r="D2321" s="9" t="str">
        <f>IFERROR(__xludf.DUMMYFUNCTION("GOOGLETRANSLATE($A2321,""en"",""fr"")"),"Salerne")</f>
        <v>Salerne</v>
      </c>
      <c r="E2321" s="9" t="str">
        <f>IFERROR(__xludf.DUMMYFUNCTION("GOOGLETRANSLATE($A2321,""en"",""es"")"),"Salerno")</f>
        <v>Salerno</v>
      </c>
      <c r="F2321" s="9" t="str">
        <f>IFERROR(__xludf.DUMMYFUNCTION("GOOGLETRANSLATE($A2321,""en"",""it"")"),"Salerno")</f>
        <v>Salerno</v>
      </c>
      <c r="G2321" s="9" t="str">
        <f>IFERROR(__xludf.DUMMYFUNCTION("GOOGLETRANSLATE($A2321,""en"",""zh-cn"")"),"萨勒诺")</f>
        <v>萨勒诺</v>
      </c>
      <c r="H2321" s="9" t="str">
        <f>IFERROR(__xludf.DUMMYFUNCTION("GOOGLETRANSLATE($A2321,""en"",""ja"")"),"サレルノ")</f>
        <v>サレルノ</v>
      </c>
      <c r="I2321" s="9" t="str">
        <f>IFERROR(__xludf.DUMMYFUNCTION("GOOGLETRANSLATE($A2321,""en"",""ko"")"),"살레르노")</f>
        <v>살레르노</v>
      </c>
      <c r="J2321" s="9" t="str">
        <f>IFERROR(__xludf.DUMMYFUNCTION("GOOGLETRANSLATE($A2321,""en"",""pt-BR"")"),"Salerno")</f>
        <v>Salerno</v>
      </c>
    </row>
    <row r="2322">
      <c r="A2322" s="9" t="str">
        <f>IFERROR(__xludf.DUMMYFUNCTION("""COMPUTED_VALUE"""),"Sassari")</f>
        <v>Sassari</v>
      </c>
      <c r="B2322" s="9" t="str">
        <f>IFERROR(__xludf.DUMMYFUNCTION("""COMPUTED_VALUE"""),"it-ss")</f>
        <v>it-ss</v>
      </c>
      <c r="C2322" s="9" t="str">
        <f>IFERROR(__xludf.DUMMYFUNCTION("GOOGLETRANSLATE($A2322,""en"",""de"")"),"Sassari")</f>
        <v>Sassari</v>
      </c>
      <c r="D2322" s="9" t="str">
        <f>IFERROR(__xludf.DUMMYFUNCTION("GOOGLETRANSLATE($A2322,""en"",""fr"")"),"Sassari")</f>
        <v>Sassari</v>
      </c>
      <c r="E2322" s="9" t="str">
        <f>IFERROR(__xludf.DUMMYFUNCTION("GOOGLETRANSLATE($A2322,""en"",""es"")"),"Sassari")</f>
        <v>Sassari</v>
      </c>
      <c r="F2322" s="9" t="str">
        <f>IFERROR(__xludf.DUMMYFUNCTION("GOOGLETRANSLATE($A2322,""en"",""it"")"),"Sassari")</f>
        <v>Sassari</v>
      </c>
      <c r="G2322" s="9" t="str">
        <f>IFERROR(__xludf.DUMMYFUNCTION("GOOGLETRANSLATE($A2322,""en"",""zh-cn"")"),"萨萨里")</f>
        <v>萨萨里</v>
      </c>
      <c r="H2322" s="9" t="str">
        <f>IFERROR(__xludf.DUMMYFUNCTION("GOOGLETRANSLATE($A2322,""en"",""ja"")"),"サッサリ")</f>
        <v>サッサリ</v>
      </c>
      <c r="I2322" s="9" t="str">
        <f>IFERROR(__xludf.DUMMYFUNCTION("GOOGLETRANSLATE($A2322,""en"",""ko"")"),"사사리")</f>
        <v>사사리</v>
      </c>
      <c r="J2322" s="9" t="str">
        <f>IFERROR(__xludf.DUMMYFUNCTION("GOOGLETRANSLATE($A2322,""en"",""pt-BR"")"),"Sássari")</f>
        <v>Sássari</v>
      </c>
    </row>
    <row r="2323">
      <c r="A2323" s="9" t="str">
        <f>IFERROR(__xludf.DUMMYFUNCTION("""COMPUTED_VALUE"""),"Reggio Calabria")</f>
        <v>Reggio Calabria</v>
      </c>
      <c r="B2323" s="9" t="str">
        <f>IFERROR(__xludf.DUMMYFUNCTION("""COMPUTED_VALUE"""),"it-rc")</f>
        <v>it-rc</v>
      </c>
      <c r="C2323" s="9" t="str">
        <f>IFERROR(__xludf.DUMMYFUNCTION("GOOGLETRANSLATE($A2323,""en"",""de"")"),"Reggio Kalabrien")</f>
        <v>Reggio Kalabrien</v>
      </c>
      <c r="D2323" s="9" t="str">
        <f>IFERROR(__xludf.DUMMYFUNCTION("GOOGLETRANSLATE($A2323,""en"",""fr"")"),"Reggio de Calabre")</f>
        <v>Reggio de Calabre</v>
      </c>
      <c r="E2323" s="9" t="str">
        <f>IFERROR(__xludf.DUMMYFUNCTION("GOOGLETRANSLATE($A2323,""en"",""es"")"),"Regio de Calabria")</f>
        <v>Regio de Calabria</v>
      </c>
      <c r="F2323" s="9" t="str">
        <f>IFERROR(__xludf.DUMMYFUNCTION("GOOGLETRANSLATE($A2323,""en"",""it"")"),"ReggioCalabria")</f>
        <v>ReggioCalabria</v>
      </c>
      <c r="G2323" s="9" t="str">
        <f>IFERROR(__xludf.DUMMYFUNCTION("GOOGLETRANSLATE($A2323,""en"",""zh-cn"")"),"雷焦卡拉布里亚")</f>
        <v>雷焦卡拉布里亚</v>
      </c>
      <c r="H2323" s="9" t="str">
        <f>IFERROR(__xludf.DUMMYFUNCTION("GOOGLETRANSLATE($A2323,""en"",""ja"")"),"レッジョ カラブリア")</f>
        <v>レッジョ カラブリア</v>
      </c>
      <c r="I2323" s="9" t="str">
        <f>IFERROR(__xludf.DUMMYFUNCTION("GOOGLETRANSLATE($A2323,""en"",""ko"")"),"레지오 칼라브리아")</f>
        <v>레지오 칼라브리아</v>
      </c>
      <c r="J2323" s="9" t="str">
        <f>IFERROR(__xludf.DUMMYFUNCTION("GOOGLETRANSLATE($A2323,""en"",""pt-BR"")"),"Régio da Calábria")</f>
        <v>Régio da Calábria</v>
      </c>
    </row>
    <row r="2324">
      <c r="A2324" s="9" t="str">
        <f>IFERROR(__xludf.DUMMYFUNCTION("""COMPUTED_VALUE"""),"Reggio Emilia")</f>
        <v>Reggio Emilia</v>
      </c>
      <c r="B2324" s="9" t="str">
        <f>IFERROR(__xludf.DUMMYFUNCTION("""COMPUTED_VALUE"""),"it-re")</f>
        <v>it-re</v>
      </c>
      <c r="C2324" s="9" t="str">
        <f>IFERROR(__xludf.DUMMYFUNCTION("GOOGLETRANSLATE($A2324,""en"",""de"")"),"Reggio Emilia")</f>
        <v>Reggio Emilia</v>
      </c>
      <c r="D2324" s="9" t="str">
        <f>IFERROR(__xludf.DUMMYFUNCTION("GOOGLETRANSLATE($A2324,""en"",""fr"")"),"Reggio d'Émilie")</f>
        <v>Reggio d'Émilie</v>
      </c>
      <c r="E2324" s="9" t="str">
        <f>IFERROR(__xludf.DUMMYFUNCTION("GOOGLETRANSLATE($A2324,""en"",""es"")"),"Regio de Emilia")</f>
        <v>Regio de Emilia</v>
      </c>
      <c r="F2324" s="9" t="str">
        <f>IFERROR(__xludf.DUMMYFUNCTION("GOOGLETRANSLATE($A2324,""en"",""it"")"),"Reggio Emilia")</f>
        <v>Reggio Emilia</v>
      </c>
      <c r="G2324" s="9" t="str">
        <f>IFERROR(__xludf.DUMMYFUNCTION("GOOGLETRANSLATE($A2324,""en"",""zh-cn"")"),"雷焦艾米利亚")</f>
        <v>雷焦艾米利亚</v>
      </c>
      <c r="H2324" s="9" t="str">
        <f>IFERROR(__xludf.DUMMYFUNCTION("GOOGLETRANSLATE($A2324,""en"",""ja"")"),"レッジョ エミリア")</f>
        <v>レッジョ エミリア</v>
      </c>
      <c r="I2324" s="9" t="str">
        <f>IFERROR(__xludf.DUMMYFUNCTION("GOOGLETRANSLATE($A2324,""en"",""ko"")"),"레지오 에밀리아")</f>
        <v>레지오 에밀리아</v>
      </c>
      <c r="J2324" s="9" t="str">
        <f>IFERROR(__xludf.DUMMYFUNCTION("GOOGLETRANSLATE($A2324,""en"",""pt-BR"")"),"Régio Emília")</f>
        <v>Régio Emília</v>
      </c>
    </row>
    <row r="2325">
      <c r="A2325" s="9" t="str">
        <f>IFERROR(__xludf.DUMMYFUNCTION("""COMPUTED_VALUE"""),"Rieti")</f>
        <v>Rieti</v>
      </c>
      <c r="B2325" s="9" t="str">
        <f>IFERROR(__xludf.DUMMYFUNCTION("""COMPUTED_VALUE"""),"it-ri")</f>
        <v>it-ri</v>
      </c>
      <c r="C2325" s="9" t="str">
        <f>IFERROR(__xludf.DUMMYFUNCTION("GOOGLETRANSLATE($A2325,""en"",""de"")"),"Rieti")</f>
        <v>Rieti</v>
      </c>
      <c r="D2325" s="9" t="str">
        <f>IFERROR(__xludf.DUMMYFUNCTION("GOOGLETRANSLATE($A2325,""en"",""fr"")"),"Riéti")</f>
        <v>Riéti</v>
      </c>
      <c r="E2325" s="9" t="str">
        <f>IFERROR(__xludf.DUMMYFUNCTION("GOOGLETRANSLATE($A2325,""en"",""es"")"),"Rieti")</f>
        <v>Rieti</v>
      </c>
      <c r="F2325" s="9" t="str">
        <f>IFERROR(__xludf.DUMMYFUNCTION("GOOGLETRANSLATE($A2325,""en"",""it"")"),"Rieti")</f>
        <v>Rieti</v>
      </c>
      <c r="G2325" s="9" t="str">
        <f>IFERROR(__xludf.DUMMYFUNCTION("GOOGLETRANSLATE($A2325,""en"",""zh-cn"")"),"列蒂")</f>
        <v>列蒂</v>
      </c>
      <c r="H2325" s="9" t="str">
        <f>IFERROR(__xludf.DUMMYFUNCTION("GOOGLETRANSLATE($A2325,""en"",""ja"")"),"リエティ")</f>
        <v>リエティ</v>
      </c>
      <c r="I2325" s="9" t="str">
        <f>IFERROR(__xludf.DUMMYFUNCTION("GOOGLETRANSLATE($A2325,""en"",""ko"")"),"리에티")</f>
        <v>리에티</v>
      </c>
      <c r="J2325" s="9" t="str">
        <f>IFERROR(__xludf.DUMMYFUNCTION("GOOGLETRANSLATE($A2325,""en"",""pt-BR"")"),"Rieti")</f>
        <v>Rieti</v>
      </c>
    </row>
    <row r="2326">
      <c r="A2326" s="9" t="str">
        <f>IFERROR(__xludf.DUMMYFUNCTION("""COMPUTED_VALUE"""),"Rimini")</f>
        <v>Rimini</v>
      </c>
      <c r="B2326" s="9" t="str">
        <f>IFERROR(__xludf.DUMMYFUNCTION("""COMPUTED_VALUE"""),"it-rn")</f>
        <v>it-rn</v>
      </c>
      <c r="C2326" s="9" t="str">
        <f>IFERROR(__xludf.DUMMYFUNCTION("GOOGLETRANSLATE($A2326,""en"",""de"")"),"Rimini")</f>
        <v>Rimini</v>
      </c>
      <c r="D2326" s="9" t="str">
        <f>IFERROR(__xludf.DUMMYFUNCTION("GOOGLETRANSLATE($A2326,""en"",""fr"")"),"Rimini")</f>
        <v>Rimini</v>
      </c>
      <c r="E2326" s="9" t="str">
        <f>IFERROR(__xludf.DUMMYFUNCTION("GOOGLETRANSLATE($A2326,""en"",""es"")"),"Rímini")</f>
        <v>Rímini</v>
      </c>
      <c r="F2326" s="9" t="str">
        <f>IFERROR(__xludf.DUMMYFUNCTION("GOOGLETRANSLATE($A2326,""en"",""it"")"),"Rimini")</f>
        <v>Rimini</v>
      </c>
      <c r="G2326" s="9" t="str">
        <f>IFERROR(__xludf.DUMMYFUNCTION("GOOGLETRANSLATE($A2326,""en"",""zh-cn"")"),"里米尼")</f>
        <v>里米尼</v>
      </c>
      <c r="H2326" s="9" t="str">
        <f>IFERROR(__xludf.DUMMYFUNCTION("GOOGLETRANSLATE($A2326,""en"",""ja"")"),"リミニ")</f>
        <v>リミニ</v>
      </c>
      <c r="I2326" s="9" t="str">
        <f>IFERROR(__xludf.DUMMYFUNCTION("GOOGLETRANSLATE($A2326,""en"",""ko"")"),"리미니")</f>
        <v>리미니</v>
      </c>
      <c r="J2326" s="9" t="str">
        <f>IFERROR(__xludf.DUMMYFUNCTION("GOOGLETRANSLATE($A2326,""en"",""pt-BR"")"),"Rimini")</f>
        <v>Rimini</v>
      </c>
    </row>
    <row r="2327">
      <c r="A2327" s="9" t="str">
        <f>IFERROR(__xludf.DUMMYFUNCTION("""COMPUTED_VALUE"""),"Potenza")</f>
        <v>Potenza</v>
      </c>
      <c r="B2327" s="9" t="str">
        <f>IFERROR(__xludf.DUMMYFUNCTION("""COMPUTED_VALUE"""),"it-pz")</f>
        <v>it-pz</v>
      </c>
      <c r="C2327" s="9" t="str">
        <f>IFERROR(__xludf.DUMMYFUNCTION("GOOGLETRANSLATE($A2327,""en"",""de"")"),"Potenza")</f>
        <v>Potenza</v>
      </c>
      <c r="D2327" s="9" t="str">
        <f>IFERROR(__xludf.DUMMYFUNCTION("GOOGLETRANSLATE($A2327,""en"",""fr"")"),"Potence")</f>
        <v>Potence</v>
      </c>
      <c r="E2327" s="9" t="str">
        <f>IFERROR(__xludf.DUMMYFUNCTION("GOOGLETRANSLATE($A2327,""en"",""es"")"),"potencia")</f>
        <v>potencia</v>
      </c>
      <c r="F2327" s="9" t="str">
        <f>IFERROR(__xludf.DUMMYFUNCTION("GOOGLETRANSLATE($A2327,""en"",""it"")"),"Potenza")</f>
        <v>Potenza</v>
      </c>
      <c r="G2327" s="9" t="str">
        <f>IFERROR(__xludf.DUMMYFUNCTION("GOOGLETRANSLATE($A2327,""en"",""zh-cn"")"),"波坦察")</f>
        <v>波坦察</v>
      </c>
      <c r="H2327" s="9" t="str">
        <f>IFERROR(__xludf.DUMMYFUNCTION("GOOGLETRANSLATE($A2327,""en"",""ja"")"),"ポテンザ")</f>
        <v>ポテンザ</v>
      </c>
      <c r="I2327" s="9" t="str">
        <f>IFERROR(__xludf.DUMMYFUNCTION("GOOGLETRANSLATE($A2327,""en"",""ko"")"),"포텐자")</f>
        <v>포텐자</v>
      </c>
      <c r="J2327" s="9" t="str">
        <f>IFERROR(__xludf.DUMMYFUNCTION("GOOGLETRANSLATE($A2327,""en"",""pt-BR"")"),"Potenza")</f>
        <v>Potenza</v>
      </c>
    </row>
    <row r="2328">
      <c r="A2328" s="9" t="str">
        <f>IFERROR(__xludf.DUMMYFUNCTION("""COMPUTED_VALUE"""),"Prato")</f>
        <v>Prato</v>
      </c>
      <c r="B2328" s="9" t="str">
        <f>IFERROR(__xludf.DUMMYFUNCTION("""COMPUTED_VALUE"""),"it-po")</f>
        <v>it-po</v>
      </c>
      <c r="C2328" s="9" t="str">
        <f>IFERROR(__xludf.DUMMYFUNCTION("GOOGLETRANSLATE($A2328,""en"",""de"")"),"Prato")</f>
        <v>Prato</v>
      </c>
      <c r="D2328" s="9" t="str">
        <f>IFERROR(__xludf.DUMMYFUNCTION("GOOGLETRANSLATE($A2328,""en"",""fr"")"),"Prato")</f>
        <v>Prato</v>
      </c>
      <c r="E2328" s="9" t="str">
        <f>IFERROR(__xludf.DUMMYFUNCTION("GOOGLETRANSLATE($A2328,""en"",""es"")"),"Prato")</f>
        <v>Prato</v>
      </c>
      <c r="F2328" s="9" t="str">
        <f>IFERROR(__xludf.DUMMYFUNCTION("GOOGLETRANSLATE($A2328,""en"",""it"")"),"Prato")</f>
        <v>Prato</v>
      </c>
      <c r="G2328" s="9" t="str">
        <f>IFERROR(__xludf.DUMMYFUNCTION("GOOGLETRANSLATE($A2328,""en"",""zh-cn"")"),"普拉托")</f>
        <v>普拉托</v>
      </c>
      <c r="H2328" s="9" t="str">
        <f>IFERROR(__xludf.DUMMYFUNCTION("GOOGLETRANSLATE($A2328,""en"",""ja"")"),"プラート")</f>
        <v>プラート</v>
      </c>
      <c r="I2328" s="9" t="str">
        <f>IFERROR(__xludf.DUMMYFUNCTION("GOOGLETRANSLATE($A2328,""en"",""ko"")"),"프라토")</f>
        <v>프라토</v>
      </c>
      <c r="J2328" s="9" t="str">
        <f>IFERROR(__xludf.DUMMYFUNCTION("GOOGLETRANSLATE($A2328,""en"",""pt-BR"")"),"Prato")</f>
        <v>Prato</v>
      </c>
    </row>
    <row r="2329">
      <c r="A2329" s="9" t="str">
        <f>IFERROR(__xludf.DUMMYFUNCTION("""COMPUTED_VALUE"""),"Ragusa")</f>
        <v>Ragusa</v>
      </c>
      <c r="B2329" s="9" t="str">
        <f>IFERROR(__xludf.DUMMYFUNCTION("""COMPUTED_VALUE"""),"it-rg")</f>
        <v>it-rg</v>
      </c>
      <c r="C2329" s="9" t="str">
        <f>IFERROR(__xludf.DUMMYFUNCTION("GOOGLETRANSLATE($A2329,""en"",""de"")"),"Ragusa")</f>
        <v>Ragusa</v>
      </c>
      <c r="D2329" s="9" t="str">
        <f>IFERROR(__xludf.DUMMYFUNCTION("GOOGLETRANSLATE($A2329,""en"",""fr"")"),"Raguse")</f>
        <v>Raguse</v>
      </c>
      <c r="E2329" s="9" t="str">
        <f>IFERROR(__xludf.DUMMYFUNCTION("GOOGLETRANSLATE($A2329,""en"",""es"")"),"Ragusa")</f>
        <v>Ragusa</v>
      </c>
      <c r="F2329" s="9" t="str">
        <f>IFERROR(__xludf.DUMMYFUNCTION("GOOGLETRANSLATE($A2329,""en"",""it"")"),"Ragusa")</f>
        <v>Ragusa</v>
      </c>
      <c r="G2329" s="9" t="str">
        <f>IFERROR(__xludf.DUMMYFUNCTION("GOOGLETRANSLATE($A2329,""en"",""zh-cn"")"),"拉古萨")</f>
        <v>拉古萨</v>
      </c>
      <c r="H2329" s="9" t="str">
        <f>IFERROR(__xludf.DUMMYFUNCTION("GOOGLETRANSLATE($A2329,""en"",""ja"")"),"ラグーザ")</f>
        <v>ラグーザ</v>
      </c>
      <c r="I2329" s="9" t="str">
        <f>IFERROR(__xludf.DUMMYFUNCTION("GOOGLETRANSLATE($A2329,""en"",""ko"")"),"라구사")</f>
        <v>라구사</v>
      </c>
      <c r="J2329" s="9" t="str">
        <f>IFERROR(__xludf.DUMMYFUNCTION("GOOGLETRANSLATE($A2329,""en"",""pt-BR"")"),"Ragusa")</f>
        <v>Ragusa</v>
      </c>
    </row>
    <row r="2330">
      <c r="A2330" s="9" t="str">
        <f>IFERROR(__xludf.DUMMYFUNCTION("""COMPUTED_VALUE"""),"Ravenna")</f>
        <v>Ravenna</v>
      </c>
      <c r="B2330" s="9" t="str">
        <f>IFERROR(__xludf.DUMMYFUNCTION("""COMPUTED_VALUE"""),"it-ra")</f>
        <v>it-ra</v>
      </c>
      <c r="C2330" s="9" t="str">
        <f>IFERROR(__xludf.DUMMYFUNCTION("GOOGLETRANSLATE($A2330,""en"",""de"")"),"Ravenna")</f>
        <v>Ravenna</v>
      </c>
      <c r="D2330" s="9" t="str">
        <f>IFERROR(__xludf.DUMMYFUNCTION("GOOGLETRANSLATE($A2330,""en"",""fr"")"),"Ravenne")</f>
        <v>Ravenne</v>
      </c>
      <c r="E2330" s="9" t="str">
        <f>IFERROR(__xludf.DUMMYFUNCTION("GOOGLETRANSLATE($A2330,""en"",""es"")"),"Rávena")</f>
        <v>Rávena</v>
      </c>
      <c r="F2330" s="9" t="str">
        <f>IFERROR(__xludf.DUMMYFUNCTION("GOOGLETRANSLATE($A2330,""en"",""it"")"),"ravennate")</f>
        <v>ravennate</v>
      </c>
      <c r="G2330" s="9" t="str">
        <f>IFERROR(__xludf.DUMMYFUNCTION("GOOGLETRANSLATE($A2330,""en"",""zh-cn"")"),"拉文纳")</f>
        <v>拉文纳</v>
      </c>
      <c r="H2330" s="9" t="str">
        <f>IFERROR(__xludf.DUMMYFUNCTION("GOOGLETRANSLATE($A2330,""en"",""ja"")"),"ラヴェンナ")</f>
        <v>ラヴェンナ</v>
      </c>
      <c r="I2330" s="9" t="str">
        <f>IFERROR(__xludf.DUMMYFUNCTION("GOOGLETRANSLATE($A2330,""en"",""ko"")"),"라벤나")</f>
        <v>라벤나</v>
      </c>
      <c r="J2330" s="9" t="str">
        <f>IFERROR(__xludf.DUMMYFUNCTION("GOOGLETRANSLATE($A2330,""en"",""pt-BR"")"),"Ravena")</f>
        <v>Ravena</v>
      </c>
    </row>
    <row r="2331">
      <c r="A2331" s="9" t="str">
        <f>IFERROR(__xludf.DUMMYFUNCTION("""COMPUTED_VALUE"""),"Piacenza")</f>
        <v>Piacenza</v>
      </c>
      <c r="B2331" s="9" t="str">
        <f>IFERROR(__xludf.DUMMYFUNCTION("""COMPUTED_VALUE"""),"it-pc")</f>
        <v>it-pc</v>
      </c>
      <c r="C2331" s="9" t="str">
        <f>IFERROR(__xludf.DUMMYFUNCTION("GOOGLETRANSLATE($A2331,""en"",""de"")"),"Piacenza")</f>
        <v>Piacenza</v>
      </c>
      <c r="D2331" s="9" t="str">
        <f>IFERROR(__xludf.DUMMYFUNCTION("GOOGLETRANSLATE($A2331,""en"",""fr"")"),"Plaisance")</f>
        <v>Plaisance</v>
      </c>
      <c r="E2331" s="9" t="str">
        <f>IFERROR(__xludf.DUMMYFUNCTION("GOOGLETRANSLATE($A2331,""en"",""es"")"),"Plasencia")</f>
        <v>Plasencia</v>
      </c>
      <c r="F2331" s="9" t="str">
        <f>IFERROR(__xludf.DUMMYFUNCTION("GOOGLETRANSLATE($A2331,""en"",""it"")"),"Piacenza")</f>
        <v>Piacenza</v>
      </c>
      <c r="G2331" s="9" t="str">
        <f>IFERROR(__xludf.DUMMYFUNCTION("GOOGLETRANSLATE($A2331,""en"",""zh-cn"")"),"皮亚琴察")</f>
        <v>皮亚琴察</v>
      </c>
      <c r="H2331" s="9" t="str">
        <f>IFERROR(__xludf.DUMMYFUNCTION("GOOGLETRANSLATE($A2331,""en"",""ja"")"),"ピアチェンツァ")</f>
        <v>ピアチェンツァ</v>
      </c>
      <c r="I2331" s="9" t="str">
        <f>IFERROR(__xludf.DUMMYFUNCTION("GOOGLETRANSLATE($A2331,""en"",""ko"")"),"피아첸차")</f>
        <v>피아첸차</v>
      </c>
      <c r="J2331" s="9" t="str">
        <f>IFERROR(__xludf.DUMMYFUNCTION("GOOGLETRANSLATE($A2331,""en"",""pt-BR"")"),"Placência")</f>
        <v>Placência</v>
      </c>
    </row>
    <row r="2332">
      <c r="A2332" s="9" t="str">
        <f>IFERROR(__xludf.DUMMYFUNCTION("""COMPUTED_VALUE"""),"Pisa")</f>
        <v>Pisa</v>
      </c>
      <c r="B2332" s="9" t="str">
        <f>IFERROR(__xludf.DUMMYFUNCTION("""COMPUTED_VALUE"""),"it-pi")</f>
        <v>it-pi</v>
      </c>
      <c r="C2332" s="9" t="str">
        <f>IFERROR(__xludf.DUMMYFUNCTION("GOOGLETRANSLATE($A2332,""en"",""de"")"),"Pisa")</f>
        <v>Pisa</v>
      </c>
      <c r="D2332" s="9" t="str">
        <f>IFERROR(__xludf.DUMMYFUNCTION("GOOGLETRANSLATE($A2332,""en"",""fr"")"),"Pise")</f>
        <v>Pise</v>
      </c>
      <c r="E2332" s="9" t="str">
        <f>IFERROR(__xludf.DUMMYFUNCTION("GOOGLETRANSLATE($A2332,""en"",""es"")"),"Pisa")</f>
        <v>Pisa</v>
      </c>
      <c r="F2332" s="9" t="str">
        <f>IFERROR(__xludf.DUMMYFUNCTION("GOOGLETRANSLATE($A2332,""en"",""it"")"),"Pisa")</f>
        <v>Pisa</v>
      </c>
      <c r="G2332" s="9" t="str">
        <f>IFERROR(__xludf.DUMMYFUNCTION("GOOGLETRANSLATE($A2332,""en"",""zh-cn"")"),"比萨")</f>
        <v>比萨</v>
      </c>
      <c r="H2332" s="9" t="str">
        <f>IFERROR(__xludf.DUMMYFUNCTION("GOOGLETRANSLATE($A2332,""en"",""ja"")"),"ピサ")</f>
        <v>ピサ</v>
      </c>
      <c r="I2332" s="9" t="str">
        <f>IFERROR(__xludf.DUMMYFUNCTION("GOOGLETRANSLATE($A2332,""en"",""ko"")"),"피사")</f>
        <v>피사</v>
      </c>
      <c r="J2332" s="9" t="str">
        <f>IFERROR(__xludf.DUMMYFUNCTION("GOOGLETRANSLATE($A2332,""en"",""pt-BR"")"),"Pisa")</f>
        <v>Pisa</v>
      </c>
    </row>
    <row r="2333">
      <c r="A2333" s="9" t="str">
        <f>IFERROR(__xludf.DUMMYFUNCTION("""COMPUTED_VALUE"""),"Pistoia")</f>
        <v>Pistoia</v>
      </c>
      <c r="B2333" s="9" t="str">
        <f>IFERROR(__xludf.DUMMYFUNCTION("""COMPUTED_VALUE"""),"it-pt")</f>
        <v>it-pt</v>
      </c>
      <c r="C2333" s="9" t="str">
        <f>IFERROR(__xludf.DUMMYFUNCTION("GOOGLETRANSLATE($A2333,""en"",""de"")"),"Pistoia")</f>
        <v>Pistoia</v>
      </c>
      <c r="D2333" s="9" t="str">
        <f>IFERROR(__xludf.DUMMYFUNCTION("GOOGLETRANSLATE($A2333,""en"",""fr"")"),"Pistoia")</f>
        <v>Pistoia</v>
      </c>
      <c r="E2333" s="9" t="str">
        <f>IFERROR(__xludf.DUMMYFUNCTION("GOOGLETRANSLATE($A2333,""en"",""es"")"),"Pistoia")</f>
        <v>Pistoia</v>
      </c>
      <c r="F2333" s="9" t="str">
        <f>IFERROR(__xludf.DUMMYFUNCTION("GOOGLETRANSLATE($A2333,""en"",""it"")"),"Pistoia")</f>
        <v>Pistoia</v>
      </c>
      <c r="G2333" s="9" t="str">
        <f>IFERROR(__xludf.DUMMYFUNCTION("GOOGLETRANSLATE($A2333,""en"",""zh-cn"")"),"皮斯托亚")</f>
        <v>皮斯托亚</v>
      </c>
      <c r="H2333" s="9" t="str">
        <f>IFERROR(__xludf.DUMMYFUNCTION("GOOGLETRANSLATE($A2333,""en"",""ja"")"),"ピストイア")</f>
        <v>ピストイア</v>
      </c>
      <c r="I2333" s="9" t="str">
        <f>IFERROR(__xludf.DUMMYFUNCTION("GOOGLETRANSLATE($A2333,""en"",""ko"")"),"피스토이아")</f>
        <v>피스토이아</v>
      </c>
      <c r="J2333" s="9" t="str">
        <f>IFERROR(__xludf.DUMMYFUNCTION("GOOGLETRANSLATE($A2333,""en"",""pt-BR"")"),"Pistóia")</f>
        <v>Pistóia</v>
      </c>
    </row>
    <row r="2334">
      <c r="A2334" s="9" t="str">
        <f>IFERROR(__xludf.DUMMYFUNCTION("""COMPUTED_VALUE"""),"Pordenone")</f>
        <v>Pordenone</v>
      </c>
      <c r="B2334" s="9" t="str">
        <f>IFERROR(__xludf.DUMMYFUNCTION("""COMPUTED_VALUE"""),"it-pn")</f>
        <v>it-pn</v>
      </c>
      <c r="C2334" s="9" t="str">
        <f>IFERROR(__xludf.DUMMYFUNCTION("GOOGLETRANSLATE($A2334,""en"",""de"")"),"Pordenone")</f>
        <v>Pordenone</v>
      </c>
      <c r="D2334" s="9" t="str">
        <f>IFERROR(__xludf.DUMMYFUNCTION("GOOGLETRANSLATE($A2334,""en"",""fr"")"),"Pordénone")</f>
        <v>Pordénone</v>
      </c>
      <c r="E2334" s="9" t="str">
        <f>IFERROR(__xludf.DUMMYFUNCTION("GOOGLETRANSLATE($A2334,""en"",""es"")"),"Pordenona")</f>
        <v>Pordenona</v>
      </c>
      <c r="F2334" s="9" t="str">
        <f>IFERROR(__xludf.DUMMYFUNCTION("GOOGLETRANSLATE($A2334,""en"",""it"")"),"Pordenone")</f>
        <v>Pordenone</v>
      </c>
      <c r="G2334" s="9" t="str">
        <f>IFERROR(__xludf.DUMMYFUNCTION("GOOGLETRANSLATE($A2334,""en"",""zh-cn"")"),"波代诺内")</f>
        <v>波代诺内</v>
      </c>
      <c r="H2334" s="9" t="str">
        <f>IFERROR(__xludf.DUMMYFUNCTION("GOOGLETRANSLATE($A2334,""en"",""ja"")"),"ポルデノーネ")</f>
        <v>ポルデノーネ</v>
      </c>
      <c r="I2334" s="9" t="str">
        <f>IFERROR(__xludf.DUMMYFUNCTION("GOOGLETRANSLATE($A2334,""en"",""ko"")"),"포르데논")</f>
        <v>포르데논</v>
      </c>
      <c r="J2334" s="9" t="str">
        <f>IFERROR(__xludf.DUMMYFUNCTION("GOOGLETRANSLATE($A2334,""en"",""pt-BR"")"),"Pordenone")</f>
        <v>Pordenone</v>
      </c>
    </row>
    <row r="2335">
      <c r="A2335" s="9" t="str">
        <f>IFERROR(__xludf.DUMMYFUNCTION("""COMPUTED_VALUE"""),"Udine")</f>
        <v>Udine</v>
      </c>
      <c r="B2335" s="9" t="str">
        <f>IFERROR(__xludf.DUMMYFUNCTION("""COMPUTED_VALUE"""),"it-ud")</f>
        <v>it-ud</v>
      </c>
      <c r="C2335" s="9" t="str">
        <f>IFERROR(__xludf.DUMMYFUNCTION("GOOGLETRANSLATE($A2335,""en"",""de"")"),"Udine")</f>
        <v>Udine</v>
      </c>
      <c r="D2335" s="9" t="str">
        <f>IFERROR(__xludf.DUMMYFUNCTION("GOOGLETRANSLATE($A2335,""en"",""fr"")"),"Udine")</f>
        <v>Udine</v>
      </c>
      <c r="E2335" s="9" t="str">
        <f>IFERROR(__xludf.DUMMYFUNCTION("GOOGLETRANSLATE($A2335,""en"",""es"")"),"Údine")</f>
        <v>Údine</v>
      </c>
      <c r="F2335" s="9" t="str">
        <f>IFERROR(__xludf.DUMMYFUNCTION("GOOGLETRANSLATE($A2335,""en"",""it"")"),"Udine")</f>
        <v>Udine</v>
      </c>
      <c r="G2335" s="9" t="str">
        <f>IFERROR(__xludf.DUMMYFUNCTION("GOOGLETRANSLATE($A2335,""en"",""zh-cn"")"),"乌迪内")</f>
        <v>乌迪内</v>
      </c>
      <c r="H2335" s="9" t="str">
        <f>IFERROR(__xludf.DUMMYFUNCTION("GOOGLETRANSLATE($A2335,""en"",""ja"")"),"ウディネ")</f>
        <v>ウディネ</v>
      </c>
      <c r="I2335" s="9" t="str">
        <f>IFERROR(__xludf.DUMMYFUNCTION("GOOGLETRANSLATE($A2335,""en"",""ko"")"),"우디네")</f>
        <v>우디네</v>
      </c>
      <c r="J2335" s="9" t="str">
        <f>IFERROR(__xludf.DUMMYFUNCTION("GOOGLETRANSLATE($A2335,""en"",""pt-BR"")"),"Údine")</f>
        <v>Údine</v>
      </c>
    </row>
    <row r="2336">
      <c r="A2336" s="9" t="str">
        <f>IFERROR(__xludf.DUMMYFUNCTION("""COMPUTED_VALUE"""),"Varese")</f>
        <v>Varese</v>
      </c>
      <c r="B2336" s="9" t="str">
        <f>IFERROR(__xludf.DUMMYFUNCTION("""COMPUTED_VALUE"""),"it-va")</f>
        <v>it-va</v>
      </c>
      <c r="C2336" s="9" t="str">
        <f>IFERROR(__xludf.DUMMYFUNCTION("GOOGLETRANSLATE($A2336,""en"",""de"")"),"Varese")</f>
        <v>Varese</v>
      </c>
      <c r="D2336" s="9" t="str">
        <f>IFERROR(__xludf.DUMMYFUNCTION("GOOGLETRANSLATE($A2336,""en"",""fr"")"),"Varèse")</f>
        <v>Varèse</v>
      </c>
      <c r="E2336" s="9" t="str">
        <f>IFERROR(__xludf.DUMMYFUNCTION("GOOGLETRANSLATE($A2336,""en"",""es"")"),"varese")</f>
        <v>varese</v>
      </c>
      <c r="F2336" s="9" t="str">
        <f>IFERROR(__xludf.DUMMYFUNCTION("GOOGLETRANSLATE($A2336,""en"",""it"")"),"Varese")</f>
        <v>Varese</v>
      </c>
      <c r="G2336" s="9" t="str">
        <f>IFERROR(__xludf.DUMMYFUNCTION("GOOGLETRANSLATE($A2336,""en"",""zh-cn"")"),"瓦雷泽")</f>
        <v>瓦雷泽</v>
      </c>
      <c r="H2336" s="9" t="str">
        <f>IFERROR(__xludf.DUMMYFUNCTION("GOOGLETRANSLATE($A2336,""en"",""ja"")"),"ヴァレーゼ")</f>
        <v>ヴァレーゼ</v>
      </c>
      <c r="I2336" s="9" t="str">
        <f>IFERROR(__xludf.DUMMYFUNCTION("GOOGLETRANSLATE($A2336,""en"",""ko"")"),"바레세")</f>
        <v>바레세</v>
      </c>
      <c r="J2336" s="9" t="str">
        <f>IFERROR(__xludf.DUMMYFUNCTION("GOOGLETRANSLATE($A2336,""en"",""pt-BR"")"),"Varese")</f>
        <v>Varese</v>
      </c>
    </row>
    <row r="2337">
      <c r="A2337" s="9" t="str">
        <f>IFERROR(__xludf.DUMMYFUNCTION("""COMPUTED_VALUE"""),"Venice")</f>
        <v>Venice</v>
      </c>
      <c r="B2337" s="9" t="str">
        <f>IFERROR(__xludf.DUMMYFUNCTION("""COMPUTED_VALUE"""),"it-ve")</f>
        <v>it-ve</v>
      </c>
      <c r="C2337" s="9" t="str">
        <f>IFERROR(__xludf.DUMMYFUNCTION("GOOGLETRANSLATE($A2337,""en"",""de"")"),"Venedig")</f>
        <v>Venedig</v>
      </c>
      <c r="D2337" s="9" t="str">
        <f>IFERROR(__xludf.DUMMYFUNCTION("GOOGLETRANSLATE($A2337,""en"",""fr"")"),"Venise")</f>
        <v>Venise</v>
      </c>
      <c r="E2337" s="9" t="str">
        <f>IFERROR(__xludf.DUMMYFUNCTION("GOOGLETRANSLATE($A2337,""en"",""es"")"),"Venecia")</f>
        <v>Venecia</v>
      </c>
      <c r="F2337" s="9" t="str">
        <f>IFERROR(__xludf.DUMMYFUNCTION("GOOGLETRANSLATE($A2337,""en"",""it"")"),"Venezia")</f>
        <v>Venezia</v>
      </c>
      <c r="G2337" s="9" t="str">
        <f>IFERROR(__xludf.DUMMYFUNCTION("GOOGLETRANSLATE($A2337,""en"",""zh-cn"")"),"威尼斯")</f>
        <v>威尼斯</v>
      </c>
      <c r="H2337" s="9" t="str">
        <f>IFERROR(__xludf.DUMMYFUNCTION("GOOGLETRANSLATE($A2337,""en"",""ja"")"),"ヴェネツィア")</f>
        <v>ヴェネツィア</v>
      </c>
      <c r="I2337" s="9" t="str">
        <f>IFERROR(__xludf.DUMMYFUNCTION("GOOGLETRANSLATE($A2337,""en"",""ko"")"),"베니스")</f>
        <v>베니스</v>
      </c>
      <c r="J2337" s="9" t="str">
        <f>IFERROR(__xludf.DUMMYFUNCTION("GOOGLETRANSLATE($A2337,""en"",""pt-BR"")"),"Veneza")</f>
        <v>Veneza</v>
      </c>
    </row>
    <row r="2338">
      <c r="A2338" s="9" t="str">
        <f>IFERROR(__xludf.DUMMYFUNCTION("""COMPUTED_VALUE"""),"Verbano-Cusio-Ossola")</f>
        <v>Verbano-Cusio-Ossola</v>
      </c>
      <c r="B2338" s="9" t="str">
        <f>IFERROR(__xludf.DUMMYFUNCTION("""COMPUTED_VALUE"""),"it-vb")</f>
        <v>it-vb</v>
      </c>
      <c r="C2338" s="9" t="str">
        <f>IFERROR(__xludf.DUMMYFUNCTION("GOOGLETRANSLATE($A2338,""en"",""de"")"),"Verbano-Cusio-Ossola")</f>
        <v>Verbano-Cusio-Ossola</v>
      </c>
      <c r="D2338" s="9" t="str">
        <f>IFERROR(__xludf.DUMMYFUNCTION("GOOGLETRANSLATE($A2338,""en"",""fr"")"),"Verbano-Cusio-Ossola")</f>
        <v>Verbano-Cusio-Ossola</v>
      </c>
      <c r="E2338" s="9" t="str">
        <f>IFERROR(__xludf.DUMMYFUNCTION("GOOGLETRANSLATE($A2338,""en"",""es"")"),"Verbano-Cusio-Ossola")</f>
        <v>Verbano-Cusio-Ossola</v>
      </c>
      <c r="F2338" s="9" t="str">
        <f>IFERROR(__xludf.DUMMYFUNCTION("GOOGLETRANSLATE($A2338,""en"",""it"")"),"Verbano-Cusio-Ossola")</f>
        <v>Verbano-Cusio-Ossola</v>
      </c>
      <c r="G2338" s="9" t="str">
        <f>IFERROR(__xludf.DUMMYFUNCTION("GOOGLETRANSLATE($A2338,""en"",""zh-cn"")"),"韦尔巴诺-库西奥-奥索拉")</f>
        <v>韦尔巴诺-库西奥-奥索拉</v>
      </c>
      <c r="H2338" s="9" t="str">
        <f>IFERROR(__xludf.DUMMYFUNCTION("GOOGLETRANSLATE($A2338,""en"",""ja"")"),"ヴェルバーノ・クシオ・オッソラ")</f>
        <v>ヴェルバーノ・クシオ・オッソラ</v>
      </c>
      <c r="I2338" s="9" t="str">
        <f>IFERROR(__xludf.DUMMYFUNCTION("GOOGLETRANSLATE($A2338,""en"",""ko"")"),"베르바노-쿠시오-오솔라")</f>
        <v>베르바노-쿠시오-오솔라</v>
      </c>
      <c r="J2338" s="9" t="str">
        <f>IFERROR(__xludf.DUMMYFUNCTION("GOOGLETRANSLATE($A2338,""en"",""pt-BR"")"),"Verbano-Cusio-Ossola")</f>
        <v>Verbano-Cusio-Ossola</v>
      </c>
    </row>
    <row r="2339">
      <c r="A2339" s="9" t="str">
        <f>IFERROR(__xludf.DUMMYFUNCTION("""COMPUTED_VALUE"""),"Trapani")</f>
        <v>Trapani</v>
      </c>
      <c r="B2339" s="9" t="str">
        <f>IFERROR(__xludf.DUMMYFUNCTION("""COMPUTED_VALUE"""),"it-tp")</f>
        <v>it-tp</v>
      </c>
      <c r="C2339" s="9" t="str">
        <f>IFERROR(__xludf.DUMMYFUNCTION("GOOGLETRANSLATE($A2339,""en"",""de"")"),"Trapani")</f>
        <v>Trapani</v>
      </c>
      <c r="D2339" s="9" t="str">
        <f>IFERROR(__xludf.DUMMYFUNCTION("GOOGLETRANSLATE($A2339,""en"",""fr"")"),"Trapani")</f>
        <v>Trapani</v>
      </c>
      <c r="E2339" s="9" t="str">
        <f>IFERROR(__xludf.DUMMYFUNCTION("GOOGLETRANSLATE($A2339,""en"",""es"")"),"Trápani")</f>
        <v>Trápani</v>
      </c>
      <c r="F2339" s="9" t="str">
        <f>IFERROR(__xludf.DUMMYFUNCTION("GOOGLETRANSLATE($A2339,""en"",""it"")"),"Trapani")</f>
        <v>Trapani</v>
      </c>
      <c r="G2339" s="9" t="str">
        <f>IFERROR(__xludf.DUMMYFUNCTION("GOOGLETRANSLATE($A2339,""en"",""zh-cn"")"),"特拉帕尼")</f>
        <v>特拉帕尼</v>
      </c>
      <c r="H2339" s="9" t="str">
        <f>IFERROR(__xludf.DUMMYFUNCTION("GOOGLETRANSLATE($A2339,""en"",""ja"")"),"トラーパニ")</f>
        <v>トラーパニ</v>
      </c>
      <c r="I2339" s="9" t="str">
        <f>IFERROR(__xludf.DUMMYFUNCTION("GOOGLETRANSLATE($A2339,""en"",""ko"")"),"트라파니")</f>
        <v>트라파니</v>
      </c>
      <c r="J2339" s="9" t="str">
        <f>IFERROR(__xludf.DUMMYFUNCTION("GOOGLETRANSLATE($A2339,""en"",""pt-BR"")"),"Trápani")</f>
        <v>Trápani</v>
      </c>
    </row>
    <row r="2340">
      <c r="A2340" s="9" t="str">
        <f>IFERROR(__xludf.DUMMYFUNCTION("""COMPUTED_VALUE"""),"Trento")</f>
        <v>Trento</v>
      </c>
      <c r="B2340" s="9" t="str">
        <f>IFERROR(__xludf.DUMMYFUNCTION("""COMPUTED_VALUE"""),"it-tn")</f>
        <v>it-tn</v>
      </c>
      <c r="C2340" s="9" t="str">
        <f>IFERROR(__xludf.DUMMYFUNCTION("GOOGLETRANSLATE($A2340,""en"",""de"")"),"Trient")</f>
        <v>Trient</v>
      </c>
      <c r="D2340" s="9" t="str">
        <f>IFERROR(__xludf.DUMMYFUNCTION("GOOGLETRANSLATE($A2340,""en"",""fr"")"),"Trente")</f>
        <v>Trente</v>
      </c>
      <c r="E2340" s="9" t="str">
        <f>IFERROR(__xludf.DUMMYFUNCTION("GOOGLETRANSLATE($A2340,""en"",""es"")"),"trento")</f>
        <v>trento</v>
      </c>
      <c r="F2340" s="9" t="str">
        <f>IFERROR(__xludf.DUMMYFUNCTION("GOOGLETRANSLATE($A2340,""en"",""it"")"),"Trento")</f>
        <v>Trento</v>
      </c>
      <c r="G2340" s="9" t="str">
        <f>IFERROR(__xludf.DUMMYFUNCTION("GOOGLETRANSLATE($A2340,""en"",""zh-cn"")"),"特伦托")</f>
        <v>特伦托</v>
      </c>
      <c r="H2340" s="9" t="str">
        <f>IFERROR(__xludf.DUMMYFUNCTION("GOOGLETRANSLATE($A2340,""en"",""ja"")"),"トレント")</f>
        <v>トレント</v>
      </c>
      <c r="I2340" s="9" t="str">
        <f>IFERROR(__xludf.DUMMYFUNCTION("GOOGLETRANSLATE($A2340,""en"",""ko"")"),"트렌토")</f>
        <v>트렌토</v>
      </c>
      <c r="J2340" s="9" t="str">
        <f>IFERROR(__xludf.DUMMYFUNCTION("GOOGLETRANSLATE($A2340,""en"",""pt-BR"")"),"Trento")</f>
        <v>Trento</v>
      </c>
    </row>
    <row r="2341">
      <c r="A2341" s="9" t="str">
        <f>IFERROR(__xludf.DUMMYFUNCTION("""COMPUTED_VALUE"""),"Treviso")</f>
        <v>Treviso</v>
      </c>
      <c r="B2341" s="9" t="str">
        <f>IFERROR(__xludf.DUMMYFUNCTION("""COMPUTED_VALUE"""),"it-tv")</f>
        <v>it-tv</v>
      </c>
      <c r="C2341" s="9" t="str">
        <f>IFERROR(__xludf.DUMMYFUNCTION("GOOGLETRANSLATE($A2341,""en"",""de"")"),"Treviso")</f>
        <v>Treviso</v>
      </c>
      <c r="D2341" s="9" t="str">
        <f>IFERROR(__xludf.DUMMYFUNCTION("GOOGLETRANSLATE($A2341,""en"",""fr"")"),"Trévise")</f>
        <v>Trévise</v>
      </c>
      <c r="E2341" s="9" t="str">
        <f>IFERROR(__xludf.DUMMYFUNCTION("GOOGLETRANSLATE($A2341,""en"",""es"")"),"Treviso")</f>
        <v>Treviso</v>
      </c>
      <c r="F2341" s="9" t="str">
        <f>IFERROR(__xludf.DUMMYFUNCTION("GOOGLETRANSLATE($A2341,""en"",""it"")"),"Trevisano")</f>
        <v>Trevisano</v>
      </c>
      <c r="G2341" s="9" t="str">
        <f>IFERROR(__xludf.DUMMYFUNCTION("GOOGLETRANSLATE($A2341,""en"",""zh-cn"")"),"特雷维索")</f>
        <v>特雷维索</v>
      </c>
      <c r="H2341" s="9" t="str">
        <f>IFERROR(__xludf.DUMMYFUNCTION("GOOGLETRANSLATE($A2341,""en"",""ja"")"),"トレヴィーゾ")</f>
        <v>トレヴィーゾ</v>
      </c>
      <c r="I2341" s="9" t="str">
        <f>IFERROR(__xludf.DUMMYFUNCTION("GOOGLETRANSLATE($A2341,""en"",""ko"")"),"트레비소")</f>
        <v>트레비소</v>
      </c>
      <c r="J2341" s="9" t="str">
        <f>IFERROR(__xludf.DUMMYFUNCTION("GOOGLETRANSLATE($A2341,""en"",""pt-BR"")"),"Treviso")</f>
        <v>Treviso</v>
      </c>
    </row>
    <row r="2342">
      <c r="A2342" s="9" t="str">
        <f>IFERROR(__xludf.DUMMYFUNCTION("""COMPUTED_VALUE"""),"Trieste")</f>
        <v>Trieste</v>
      </c>
      <c r="B2342" s="9" t="str">
        <f>IFERROR(__xludf.DUMMYFUNCTION("""COMPUTED_VALUE"""),"it-ts")</f>
        <v>it-ts</v>
      </c>
      <c r="C2342" s="9" t="str">
        <f>IFERROR(__xludf.DUMMYFUNCTION("GOOGLETRANSLATE($A2342,""en"",""de"")"),"Triest")</f>
        <v>Triest</v>
      </c>
      <c r="D2342" s="9" t="str">
        <f>IFERROR(__xludf.DUMMYFUNCTION("GOOGLETRANSLATE($A2342,""en"",""fr"")"),"Trieste")</f>
        <v>Trieste</v>
      </c>
      <c r="E2342" s="9" t="str">
        <f>IFERROR(__xludf.DUMMYFUNCTION("GOOGLETRANSLATE($A2342,""en"",""es"")"),"Trieste")</f>
        <v>Trieste</v>
      </c>
      <c r="F2342" s="9" t="str">
        <f>IFERROR(__xludf.DUMMYFUNCTION("GOOGLETRANSLATE($A2342,""en"",""it"")"),"Trieste")</f>
        <v>Trieste</v>
      </c>
      <c r="G2342" s="9" t="str">
        <f>IFERROR(__xludf.DUMMYFUNCTION("GOOGLETRANSLATE($A2342,""en"",""zh-cn"")"),"的里雅斯特")</f>
        <v>的里雅斯特</v>
      </c>
      <c r="H2342" s="9" t="str">
        <f>IFERROR(__xludf.DUMMYFUNCTION("GOOGLETRANSLATE($A2342,""en"",""ja"")"),"トリエステ")</f>
        <v>トリエステ</v>
      </c>
      <c r="I2342" s="9" t="str">
        <f>IFERROR(__xludf.DUMMYFUNCTION("GOOGLETRANSLATE($A2342,""en"",""ko"")"),"트리에스테")</f>
        <v>트리에스테</v>
      </c>
      <c r="J2342" s="9" t="str">
        <f>IFERROR(__xludf.DUMMYFUNCTION("GOOGLETRANSLATE($A2342,""en"",""pt-BR"")"),"Trieste")</f>
        <v>Trieste</v>
      </c>
    </row>
    <row r="2343">
      <c r="A2343" s="9" t="str">
        <f>IFERROR(__xludf.DUMMYFUNCTION("""COMPUTED_VALUE"""),"Taranto")</f>
        <v>Taranto</v>
      </c>
      <c r="B2343" s="9" t="str">
        <f>IFERROR(__xludf.DUMMYFUNCTION("""COMPUTED_VALUE"""),"it-ta")</f>
        <v>it-ta</v>
      </c>
      <c r="C2343" s="9" t="str">
        <f>IFERROR(__xludf.DUMMYFUNCTION("GOOGLETRANSLATE($A2343,""en"",""de"")"),"Taranto")</f>
        <v>Taranto</v>
      </c>
      <c r="D2343" s="9" t="str">
        <f>IFERROR(__xludf.DUMMYFUNCTION("GOOGLETRANSLATE($A2343,""en"",""fr"")"),"Tarente")</f>
        <v>Tarente</v>
      </c>
      <c r="E2343" s="9" t="str">
        <f>IFERROR(__xludf.DUMMYFUNCTION("GOOGLETRANSLATE($A2343,""en"",""es"")"),"Tarento")</f>
        <v>Tarento</v>
      </c>
      <c r="F2343" s="9" t="str">
        <f>IFERROR(__xludf.DUMMYFUNCTION("GOOGLETRANSLATE($A2343,""en"",""it"")"),"Tarantino")</f>
        <v>Tarantino</v>
      </c>
      <c r="G2343" s="9" t="str">
        <f>IFERROR(__xludf.DUMMYFUNCTION("GOOGLETRANSLATE($A2343,""en"",""zh-cn"")"),"塔兰托")</f>
        <v>塔兰托</v>
      </c>
      <c r="H2343" s="9" t="str">
        <f>IFERROR(__xludf.DUMMYFUNCTION("GOOGLETRANSLATE($A2343,""en"",""ja"")"),"ターラント")</f>
        <v>ターラント</v>
      </c>
      <c r="I2343" s="9" t="str">
        <f>IFERROR(__xludf.DUMMYFUNCTION("GOOGLETRANSLATE($A2343,""en"",""ko"")"),"타란토")</f>
        <v>타란토</v>
      </c>
      <c r="J2343" s="9" t="str">
        <f>IFERROR(__xludf.DUMMYFUNCTION("GOOGLETRANSLATE($A2343,""en"",""pt-BR"")"),"Taranto")</f>
        <v>Taranto</v>
      </c>
    </row>
    <row r="2344">
      <c r="A2344" s="9" t="str">
        <f>IFERROR(__xludf.DUMMYFUNCTION("""COMPUTED_VALUE"""),"Teramo")</f>
        <v>Teramo</v>
      </c>
      <c r="B2344" s="9" t="str">
        <f>IFERROR(__xludf.DUMMYFUNCTION("""COMPUTED_VALUE"""),"it-te")</f>
        <v>it-te</v>
      </c>
      <c r="C2344" s="9" t="str">
        <f>IFERROR(__xludf.DUMMYFUNCTION("GOOGLETRANSLATE($A2344,""en"",""de"")"),"Teramo")</f>
        <v>Teramo</v>
      </c>
      <c r="D2344" s="9" t="str">
        <f>IFERROR(__xludf.DUMMYFUNCTION("GOOGLETRANSLATE($A2344,""en"",""fr"")"),"Teramo")</f>
        <v>Teramo</v>
      </c>
      <c r="E2344" s="9" t="str">
        <f>IFERROR(__xludf.DUMMYFUNCTION("GOOGLETRANSLATE($A2344,""en"",""es"")"),"Téramo")</f>
        <v>Téramo</v>
      </c>
      <c r="F2344" s="9" t="str">
        <f>IFERROR(__xludf.DUMMYFUNCTION("GOOGLETRANSLATE($A2344,""en"",""it"")"),"Teramo")</f>
        <v>Teramo</v>
      </c>
      <c r="G2344" s="9" t="str">
        <f>IFERROR(__xludf.DUMMYFUNCTION("GOOGLETRANSLATE($A2344,""en"",""zh-cn"")"),"泰拉莫")</f>
        <v>泰拉莫</v>
      </c>
      <c r="H2344" s="9" t="str">
        <f>IFERROR(__xludf.DUMMYFUNCTION("GOOGLETRANSLATE($A2344,""en"",""ja"")"),"テラモ")</f>
        <v>テラモ</v>
      </c>
      <c r="I2344" s="9" t="str">
        <f>IFERROR(__xludf.DUMMYFUNCTION("GOOGLETRANSLATE($A2344,""en"",""ko"")"),"테라모")</f>
        <v>테라모</v>
      </c>
      <c r="J2344" s="9" t="str">
        <f>IFERROR(__xludf.DUMMYFUNCTION("GOOGLETRANSLATE($A2344,""en"",""pt-BR"")"),"Téramo")</f>
        <v>Téramo</v>
      </c>
    </row>
    <row r="2345">
      <c r="A2345" s="9" t="str">
        <f>IFERROR(__xludf.DUMMYFUNCTION("""COMPUTED_VALUE"""),"Terni")</f>
        <v>Terni</v>
      </c>
      <c r="B2345" s="9" t="str">
        <f>IFERROR(__xludf.DUMMYFUNCTION("""COMPUTED_VALUE"""),"it-tr")</f>
        <v>it-tr</v>
      </c>
      <c r="C2345" s="9" t="str">
        <f>IFERROR(__xludf.DUMMYFUNCTION("GOOGLETRANSLATE($A2345,""en"",""de"")"),"Terni")</f>
        <v>Terni</v>
      </c>
      <c r="D2345" s="9" t="str">
        <f>IFERROR(__xludf.DUMMYFUNCTION("GOOGLETRANSLATE($A2345,""en"",""fr"")"),"Terni")</f>
        <v>Terni</v>
      </c>
      <c r="E2345" s="9" t="str">
        <f>IFERROR(__xludf.DUMMYFUNCTION("GOOGLETRANSLATE($A2345,""en"",""es"")"),"Terni")</f>
        <v>Terni</v>
      </c>
      <c r="F2345" s="9" t="str">
        <f>IFERROR(__xludf.DUMMYFUNCTION("GOOGLETRANSLATE($A2345,""en"",""it"")"),"Terni")</f>
        <v>Terni</v>
      </c>
      <c r="G2345" s="9" t="str">
        <f>IFERROR(__xludf.DUMMYFUNCTION("GOOGLETRANSLATE($A2345,""en"",""zh-cn"")"),"特尔尼")</f>
        <v>特尔尼</v>
      </c>
      <c r="H2345" s="9" t="str">
        <f>IFERROR(__xludf.DUMMYFUNCTION("GOOGLETRANSLATE($A2345,""en"",""ja"")"),"テルニ")</f>
        <v>テルニ</v>
      </c>
      <c r="I2345" s="9" t="str">
        <f>IFERROR(__xludf.DUMMYFUNCTION("GOOGLETRANSLATE($A2345,""en"",""ko"")"),"테르니")</f>
        <v>테르니</v>
      </c>
      <c r="J2345" s="9" t="str">
        <f>IFERROR(__xludf.DUMMYFUNCTION("GOOGLETRANSLATE($A2345,""en"",""pt-BR"")"),"Terni")</f>
        <v>Terni</v>
      </c>
    </row>
    <row r="2346">
      <c r="A2346" s="9" t="str">
        <f>IFERROR(__xludf.DUMMYFUNCTION("""COMPUTED_VALUE"""),"Turin")</f>
        <v>Turin</v>
      </c>
      <c r="B2346" s="9" t="str">
        <f>IFERROR(__xludf.DUMMYFUNCTION("""COMPUTED_VALUE"""),"it-to")</f>
        <v>it-to</v>
      </c>
      <c r="C2346" s="9" t="str">
        <f>IFERROR(__xludf.DUMMYFUNCTION("GOOGLETRANSLATE($A2346,""en"",""de"")"),"Turin")</f>
        <v>Turin</v>
      </c>
      <c r="D2346" s="9" t="str">
        <f>IFERROR(__xludf.DUMMYFUNCTION("GOOGLETRANSLATE($A2346,""en"",""fr"")"),"Turin")</f>
        <v>Turin</v>
      </c>
      <c r="E2346" s="9" t="str">
        <f>IFERROR(__xludf.DUMMYFUNCTION("GOOGLETRANSLATE($A2346,""en"",""es"")"),"Turín")</f>
        <v>Turín</v>
      </c>
      <c r="F2346" s="9" t="str">
        <f>IFERROR(__xludf.DUMMYFUNCTION("GOOGLETRANSLATE($A2346,""en"",""it"")"),"Torino")</f>
        <v>Torino</v>
      </c>
      <c r="G2346" s="9" t="str">
        <f>IFERROR(__xludf.DUMMYFUNCTION("GOOGLETRANSLATE($A2346,""en"",""zh-cn"")"),"都灵")</f>
        <v>都灵</v>
      </c>
      <c r="H2346" s="9" t="str">
        <f>IFERROR(__xludf.DUMMYFUNCTION("GOOGLETRANSLATE($A2346,""en"",""ja"")"),"トリノ")</f>
        <v>トリノ</v>
      </c>
      <c r="I2346" s="9" t="str">
        <f>IFERROR(__xludf.DUMMYFUNCTION("GOOGLETRANSLATE($A2346,""en"",""ko"")"),"토리노")</f>
        <v>토리노</v>
      </c>
      <c r="J2346" s="9" t="str">
        <f>IFERROR(__xludf.DUMMYFUNCTION("GOOGLETRANSLATE($A2346,""en"",""pt-BR"")"),"Turim")</f>
        <v>Turim</v>
      </c>
    </row>
    <row r="2347">
      <c r="A2347" s="9" t="str">
        <f>IFERROR(__xludf.DUMMYFUNCTION("""COMPUTED_VALUE"""),"Savona")</f>
        <v>Savona</v>
      </c>
      <c r="B2347" s="9" t="str">
        <f>IFERROR(__xludf.DUMMYFUNCTION("""COMPUTED_VALUE"""),"it-sv")</f>
        <v>it-sv</v>
      </c>
      <c r="C2347" s="9" t="str">
        <f>IFERROR(__xludf.DUMMYFUNCTION("GOOGLETRANSLATE($A2347,""en"",""de"")"),"Savona")</f>
        <v>Savona</v>
      </c>
      <c r="D2347" s="9" t="str">
        <f>IFERROR(__xludf.DUMMYFUNCTION("GOOGLETRANSLATE($A2347,""en"",""fr"")"),"Savone")</f>
        <v>Savone</v>
      </c>
      <c r="E2347" s="9" t="str">
        <f>IFERROR(__xludf.DUMMYFUNCTION("GOOGLETRANSLATE($A2347,""en"",""es"")"),"Savona")</f>
        <v>Savona</v>
      </c>
      <c r="F2347" s="9" t="str">
        <f>IFERROR(__xludf.DUMMYFUNCTION("GOOGLETRANSLATE($A2347,""en"",""it"")"),"Savona")</f>
        <v>Savona</v>
      </c>
      <c r="G2347" s="9" t="str">
        <f>IFERROR(__xludf.DUMMYFUNCTION("GOOGLETRANSLATE($A2347,""en"",""zh-cn"")"),"萨沃纳")</f>
        <v>萨沃纳</v>
      </c>
      <c r="H2347" s="9" t="str">
        <f>IFERROR(__xludf.DUMMYFUNCTION("GOOGLETRANSLATE($A2347,""en"",""ja"")"),"サヴォーナ")</f>
        <v>サヴォーナ</v>
      </c>
      <c r="I2347" s="9" t="str">
        <f>IFERROR(__xludf.DUMMYFUNCTION("GOOGLETRANSLATE($A2347,""en"",""ko"")"),"사보나")</f>
        <v>사보나</v>
      </c>
      <c r="J2347" s="9" t="str">
        <f>IFERROR(__xludf.DUMMYFUNCTION("GOOGLETRANSLATE($A2347,""en"",""pt-BR"")"),"Savona")</f>
        <v>Savona</v>
      </c>
    </row>
    <row r="2348">
      <c r="A2348" s="9" t="str">
        <f>IFERROR(__xludf.DUMMYFUNCTION("""COMPUTED_VALUE"""),"Siena")</f>
        <v>Siena</v>
      </c>
      <c r="B2348" s="9" t="str">
        <f>IFERROR(__xludf.DUMMYFUNCTION("""COMPUTED_VALUE"""),"it-si")</f>
        <v>it-si</v>
      </c>
      <c r="C2348" s="9" t="str">
        <f>IFERROR(__xludf.DUMMYFUNCTION("GOOGLETRANSLATE($A2348,""en"",""de"")"),"Siena")</f>
        <v>Siena</v>
      </c>
      <c r="D2348" s="9" t="str">
        <f>IFERROR(__xludf.DUMMYFUNCTION("GOOGLETRANSLATE($A2348,""en"",""fr"")"),"Sienne")</f>
        <v>Sienne</v>
      </c>
      <c r="E2348" s="9" t="str">
        <f>IFERROR(__xludf.DUMMYFUNCTION("GOOGLETRANSLATE($A2348,""en"",""es"")"),"Siena")</f>
        <v>Siena</v>
      </c>
      <c r="F2348" s="9" t="str">
        <f>IFERROR(__xludf.DUMMYFUNCTION("GOOGLETRANSLATE($A2348,""en"",""it"")"),"Siena")</f>
        <v>Siena</v>
      </c>
      <c r="G2348" s="9" t="str">
        <f>IFERROR(__xludf.DUMMYFUNCTION("GOOGLETRANSLATE($A2348,""en"",""zh-cn"")"),"锡耶纳")</f>
        <v>锡耶纳</v>
      </c>
      <c r="H2348" s="9" t="str">
        <f>IFERROR(__xludf.DUMMYFUNCTION("GOOGLETRANSLATE($A2348,""en"",""ja"")"),"シエナ")</f>
        <v>シエナ</v>
      </c>
      <c r="I2348" s="9" t="str">
        <f>IFERROR(__xludf.DUMMYFUNCTION("GOOGLETRANSLATE($A2348,""en"",""ko"")"),"시에나")</f>
        <v>시에나</v>
      </c>
      <c r="J2348" s="9" t="str">
        <f>IFERROR(__xludf.DUMMYFUNCTION("GOOGLETRANSLATE($A2348,""en"",""pt-BR"")"),"Siena")</f>
        <v>Siena</v>
      </c>
    </row>
    <row r="2349">
      <c r="A2349" s="9" t="str">
        <f>IFERROR(__xludf.DUMMYFUNCTION("""COMPUTED_VALUE"""),"Siracusa")</f>
        <v>Siracusa</v>
      </c>
      <c r="B2349" s="9" t="str">
        <f>IFERROR(__xludf.DUMMYFUNCTION("""COMPUTED_VALUE"""),"it-sr")</f>
        <v>it-sr</v>
      </c>
      <c r="C2349" s="9" t="str">
        <f>IFERROR(__xludf.DUMMYFUNCTION("GOOGLETRANSLATE($A2349,""en"",""de"")"),"Syrakus")</f>
        <v>Syrakus</v>
      </c>
      <c r="D2349" s="9" t="str">
        <f>IFERROR(__xludf.DUMMYFUNCTION("GOOGLETRANSLATE($A2349,""en"",""fr"")"),"Syracuse")</f>
        <v>Syracuse</v>
      </c>
      <c r="E2349" s="9" t="str">
        <f>IFERROR(__xludf.DUMMYFUNCTION("GOOGLETRANSLATE($A2349,""en"",""es"")"),"Siracusa")</f>
        <v>Siracusa</v>
      </c>
      <c r="F2349" s="9" t="str">
        <f>IFERROR(__xludf.DUMMYFUNCTION("GOOGLETRANSLATE($A2349,""en"",""it"")"),"Siracusa")</f>
        <v>Siracusa</v>
      </c>
      <c r="G2349" s="9" t="str">
        <f>IFERROR(__xludf.DUMMYFUNCTION("GOOGLETRANSLATE($A2349,""en"",""zh-cn"")"),"锡拉库扎")</f>
        <v>锡拉库扎</v>
      </c>
      <c r="H2349" s="9" t="str">
        <f>IFERROR(__xludf.DUMMYFUNCTION("GOOGLETRANSLATE($A2349,""en"",""ja"")"),"シラクーサ")</f>
        <v>シラクーサ</v>
      </c>
      <c r="I2349" s="9" t="str">
        <f>IFERROR(__xludf.DUMMYFUNCTION("GOOGLETRANSLATE($A2349,""en"",""ko"")"),"시라쿠사")</f>
        <v>시라쿠사</v>
      </c>
      <c r="J2349" s="9" t="str">
        <f>IFERROR(__xludf.DUMMYFUNCTION("GOOGLETRANSLATE($A2349,""en"",""pt-BR"")"),"Siracusa")</f>
        <v>Siracusa</v>
      </c>
    </row>
    <row r="2350">
      <c r="A2350" s="9" t="str">
        <f>IFERROR(__xludf.DUMMYFUNCTION("""COMPUTED_VALUE"""),"Sondrio")</f>
        <v>Sondrio</v>
      </c>
      <c r="B2350" s="9" t="str">
        <f>IFERROR(__xludf.DUMMYFUNCTION("""COMPUTED_VALUE"""),"it-so")</f>
        <v>it-so</v>
      </c>
      <c r="C2350" s="9" t="str">
        <f>IFERROR(__xludf.DUMMYFUNCTION("GOOGLETRANSLATE($A2350,""en"",""de"")"),"Sondrio")</f>
        <v>Sondrio</v>
      </c>
      <c r="D2350" s="9" t="str">
        <f>IFERROR(__xludf.DUMMYFUNCTION("GOOGLETRANSLATE($A2350,""en"",""fr"")"),"Sondrio")</f>
        <v>Sondrio</v>
      </c>
      <c r="E2350" s="9" t="str">
        <f>IFERROR(__xludf.DUMMYFUNCTION("GOOGLETRANSLATE($A2350,""en"",""es"")"),"Sondrio")</f>
        <v>Sondrio</v>
      </c>
      <c r="F2350" s="9" t="str">
        <f>IFERROR(__xludf.DUMMYFUNCTION("GOOGLETRANSLATE($A2350,""en"",""it"")"),"Sondrio")</f>
        <v>Sondrio</v>
      </c>
      <c r="G2350" s="9" t="str">
        <f>IFERROR(__xludf.DUMMYFUNCTION("GOOGLETRANSLATE($A2350,""en"",""zh-cn"")"),"桑德里奥")</f>
        <v>桑德里奥</v>
      </c>
      <c r="H2350" s="9" t="str">
        <f>IFERROR(__xludf.DUMMYFUNCTION("GOOGLETRANSLATE($A2350,""en"",""ja"")"),"ソンドリオ")</f>
        <v>ソンドリオ</v>
      </c>
      <c r="I2350" s="9" t="str">
        <f>IFERROR(__xludf.DUMMYFUNCTION("GOOGLETRANSLATE($A2350,""en"",""ko"")"),"손드리오")</f>
        <v>손드리오</v>
      </c>
      <c r="J2350" s="9" t="str">
        <f>IFERROR(__xludf.DUMMYFUNCTION("GOOGLETRANSLATE($A2350,""en"",""pt-BR"")"),"Sondrio")</f>
        <v>Sondrio</v>
      </c>
    </row>
    <row r="2351">
      <c r="A2351" s="9" t="str">
        <f>IFERROR(__xludf.DUMMYFUNCTION("""COMPUTED_VALUE"""),"Viterbo")</f>
        <v>Viterbo</v>
      </c>
      <c r="B2351" s="9" t="str">
        <f>IFERROR(__xludf.DUMMYFUNCTION("""COMPUTED_VALUE"""),"it-vt")</f>
        <v>it-vt</v>
      </c>
      <c r="C2351" s="9" t="str">
        <f>IFERROR(__xludf.DUMMYFUNCTION("GOOGLETRANSLATE($A2351,""en"",""de"")"),"Viterbo")</f>
        <v>Viterbo</v>
      </c>
      <c r="D2351" s="9" t="str">
        <f>IFERROR(__xludf.DUMMYFUNCTION("GOOGLETRANSLATE($A2351,""en"",""fr"")"),"Viterbe")</f>
        <v>Viterbe</v>
      </c>
      <c r="E2351" s="9" t="str">
        <f>IFERROR(__xludf.DUMMYFUNCTION("GOOGLETRANSLATE($A2351,""en"",""es"")"),"Viterbo")</f>
        <v>Viterbo</v>
      </c>
      <c r="F2351" s="9" t="str">
        <f>IFERROR(__xludf.DUMMYFUNCTION("GOOGLETRANSLATE($A2351,""en"",""it"")"),"Viterbo")</f>
        <v>Viterbo</v>
      </c>
      <c r="G2351" s="9" t="str">
        <f>IFERROR(__xludf.DUMMYFUNCTION("GOOGLETRANSLATE($A2351,""en"",""zh-cn"")"),"维泰博")</f>
        <v>维泰博</v>
      </c>
      <c r="H2351" s="9" t="str">
        <f>IFERROR(__xludf.DUMMYFUNCTION("GOOGLETRANSLATE($A2351,""en"",""ja"")"),"ビテルボ")</f>
        <v>ビテルボ</v>
      </c>
      <c r="I2351" s="9" t="str">
        <f>IFERROR(__xludf.DUMMYFUNCTION("GOOGLETRANSLATE($A2351,""en"",""ko"")"),"비테르보")</f>
        <v>비테르보</v>
      </c>
      <c r="J2351" s="9" t="str">
        <f>IFERROR(__xludf.DUMMYFUNCTION("GOOGLETRANSLATE($A2351,""en"",""pt-BR"")"),"Viterbo")</f>
        <v>Viterbo</v>
      </c>
    </row>
    <row r="2352">
      <c r="A2352" s="9" t="str">
        <f>IFERROR(__xludf.DUMMYFUNCTION("""COMPUTED_VALUE"""),"Vercelli")</f>
        <v>Vercelli</v>
      </c>
      <c r="B2352" s="9" t="str">
        <f>IFERROR(__xludf.DUMMYFUNCTION("""COMPUTED_VALUE"""),"it-vc")</f>
        <v>it-vc</v>
      </c>
      <c r="C2352" s="9" t="str">
        <f>IFERROR(__xludf.DUMMYFUNCTION("GOOGLETRANSLATE($A2352,""en"",""de"")"),"Vercelli")</f>
        <v>Vercelli</v>
      </c>
      <c r="D2352" s="9" t="str">
        <f>IFERROR(__xludf.DUMMYFUNCTION("GOOGLETRANSLATE($A2352,""en"",""fr"")"),"Verceil")</f>
        <v>Verceil</v>
      </c>
      <c r="E2352" s="9" t="str">
        <f>IFERROR(__xludf.DUMMYFUNCTION("GOOGLETRANSLATE($A2352,""en"",""es"")"),"Vercelli")</f>
        <v>Vercelli</v>
      </c>
      <c r="F2352" s="9" t="str">
        <f>IFERROR(__xludf.DUMMYFUNCTION("GOOGLETRANSLATE($A2352,""en"",""it"")"),"Vercelli")</f>
        <v>Vercelli</v>
      </c>
      <c r="G2352" s="9" t="str">
        <f>IFERROR(__xludf.DUMMYFUNCTION("GOOGLETRANSLATE($A2352,""en"",""zh-cn"")"),"韦尔切利")</f>
        <v>韦尔切利</v>
      </c>
      <c r="H2352" s="9" t="str">
        <f>IFERROR(__xludf.DUMMYFUNCTION("GOOGLETRANSLATE($A2352,""en"",""ja"")"),"ヴェルチェッリ")</f>
        <v>ヴェルチェッリ</v>
      </c>
      <c r="I2352" s="9" t="str">
        <f>IFERROR(__xludf.DUMMYFUNCTION("GOOGLETRANSLATE($A2352,""en"",""ko"")"),"베르첼리")</f>
        <v>베르첼리</v>
      </c>
      <c r="J2352" s="9" t="str">
        <f>IFERROR(__xludf.DUMMYFUNCTION("GOOGLETRANSLATE($A2352,""en"",""pt-BR"")"),"Vercelli")</f>
        <v>Vercelli</v>
      </c>
    </row>
    <row r="2353">
      <c r="A2353" s="9" t="str">
        <f>IFERROR(__xludf.DUMMYFUNCTION("""COMPUTED_VALUE"""),"Verona")</f>
        <v>Verona</v>
      </c>
      <c r="B2353" s="9" t="str">
        <f>IFERROR(__xludf.DUMMYFUNCTION("""COMPUTED_VALUE"""),"it-vr")</f>
        <v>it-vr</v>
      </c>
      <c r="C2353" s="9" t="str">
        <f>IFERROR(__xludf.DUMMYFUNCTION("GOOGLETRANSLATE($A2353,""en"",""de"")"),"Verona")</f>
        <v>Verona</v>
      </c>
      <c r="D2353" s="9" t="str">
        <f>IFERROR(__xludf.DUMMYFUNCTION("GOOGLETRANSLATE($A2353,""en"",""fr"")"),"Vérone")</f>
        <v>Vérone</v>
      </c>
      <c r="E2353" s="9" t="str">
        <f>IFERROR(__xludf.DUMMYFUNCTION("GOOGLETRANSLATE($A2353,""en"",""es"")"),"Verona")</f>
        <v>Verona</v>
      </c>
      <c r="F2353" s="9" t="str">
        <f>IFERROR(__xludf.DUMMYFUNCTION("GOOGLETRANSLATE($A2353,""en"",""it"")"),"Verona")</f>
        <v>Verona</v>
      </c>
      <c r="G2353" s="9" t="str">
        <f>IFERROR(__xludf.DUMMYFUNCTION("GOOGLETRANSLATE($A2353,""en"",""zh-cn"")"),"维罗纳")</f>
        <v>维罗纳</v>
      </c>
      <c r="H2353" s="9" t="str">
        <f>IFERROR(__xludf.DUMMYFUNCTION("GOOGLETRANSLATE($A2353,""en"",""ja"")"),"ヴェローナ")</f>
        <v>ヴェローナ</v>
      </c>
      <c r="I2353" s="9" t="str">
        <f>IFERROR(__xludf.DUMMYFUNCTION("GOOGLETRANSLATE($A2353,""en"",""ko"")"),"베로나")</f>
        <v>베로나</v>
      </c>
      <c r="J2353" s="9" t="str">
        <f>IFERROR(__xludf.DUMMYFUNCTION("GOOGLETRANSLATE($A2353,""en"",""pt-BR"")"),"Verona")</f>
        <v>Verona</v>
      </c>
    </row>
    <row r="2354">
      <c r="A2354" s="9" t="str">
        <f>IFERROR(__xludf.DUMMYFUNCTION("""COMPUTED_VALUE"""),"Vibo Valentia")</f>
        <v>Vibo Valentia</v>
      </c>
      <c r="B2354" s="9" t="str">
        <f>IFERROR(__xludf.DUMMYFUNCTION("""COMPUTED_VALUE"""),"it-vv")</f>
        <v>it-vv</v>
      </c>
      <c r="C2354" s="9" t="str">
        <f>IFERROR(__xludf.DUMMYFUNCTION("GOOGLETRANSLATE($A2354,""en"",""de"")"),"Vibo Valentia")</f>
        <v>Vibo Valentia</v>
      </c>
      <c r="D2354" s="9" t="str">
        <f>IFERROR(__xludf.DUMMYFUNCTION("GOOGLETRANSLATE($A2354,""en"",""fr"")"),"Vibo Valentia")</f>
        <v>Vibo Valentia</v>
      </c>
      <c r="E2354" s="9" t="str">
        <f>IFERROR(__xludf.DUMMYFUNCTION("GOOGLETRANSLATE($A2354,""en"",""es"")"),"Vibo Valentia")</f>
        <v>Vibo Valentia</v>
      </c>
      <c r="F2354" s="9" t="str">
        <f>IFERROR(__xludf.DUMMYFUNCTION("GOOGLETRANSLATE($A2354,""en"",""it"")"),"Vibo Valentia")</f>
        <v>Vibo Valentia</v>
      </c>
      <c r="G2354" s="9" t="str">
        <f>IFERROR(__xludf.DUMMYFUNCTION("GOOGLETRANSLATE($A2354,""en"",""zh-cn"")"),"维博瓦伦蒂亚")</f>
        <v>维博瓦伦蒂亚</v>
      </c>
      <c r="H2354" s="9" t="str">
        <f>IFERROR(__xludf.DUMMYFUNCTION("GOOGLETRANSLATE($A2354,""en"",""ja"")"),"ヴィボ・ヴァレンティア")</f>
        <v>ヴィボ・ヴァレンティア</v>
      </c>
      <c r="I2354" s="9" t="str">
        <f>IFERROR(__xludf.DUMMYFUNCTION("GOOGLETRANSLATE($A2354,""en"",""ko"")"),"비보 발렌시아")</f>
        <v>비보 발렌시아</v>
      </c>
      <c r="J2354" s="9" t="str">
        <f>IFERROR(__xludf.DUMMYFUNCTION("GOOGLETRANSLATE($A2354,""en"",""pt-BR"")"),"Vibo Valentia")</f>
        <v>Vibo Valentia</v>
      </c>
    </row>
    <row r="2355">
      <c r="A2355" s="9" t="str">
        <f>IFERROR(__xludf.DUMMYFUNCTION("""COMPUTED_VALUE"""),"Vicenza")</f>
        <v>Vicenza</v>
      </c>
      <c r="B2355" s="9" t="str">
        <f>IFERROR(__xludf.DUMMYFUNCTION("""COMPUTED_VALUE"""),"it-vi")</f>
        <v>it-vi</v>
      </c>
      <c r="C2355" s="9" t="str">
        <f>IFERROR(__xludf.DUMMYFUNCTION("GOOGLETRANSLATE($A2355,""en"",""de"")"),"Vicenza")</f>
        <v>Vicenza</v>
      </c>
      <c r="D2355" s="9" t="str">
        <f>IFERROR(__xludf.DUMMYFUNCTION("GOOGLETRANSLATE($A2355,""en"",""fr"")"),"Vicence")</f>
        <v>Vicence</v>
      </c>
      <c r="E2355" s="9" t="str">
        <f>IFERROR(__xludf.DUMMYFUNCTION("GOOGLETRANSLATE($A2355,""en"",""es"")"),"Vicenza")</f>
        <v>Vicenza</v>
      </c>
      <c r="F2355" s="9" t="str">
        <f>IFERROR(__xludf.DUMMYFUNCTION("GOOGLETRANSLATE($A2355,""en"",""it"")"),"Vicenza")</f>
        <v>Vicenza</v>
      </c>
      <c r="G2355" s="9" t="str">
        <f>IFERROR(__xludf.DUMMYFUNCTION("GOOGLETRANSLATE($A2355,""en"",""zh-cn"")"),"维琴察")</f>
        <v>维琴察</v>
      </c>
      <c r="H2355" s="9" t="str">
        <f>IFERROR(__xludf.DUMMYFUNCTION("GOOGLETRANSLATE($A2355,""en"",""ja"")"),"ヴィチェンツァ")</f>
        <v>ヴィチェンツァ</v>
      </c>
      <c r="I2355" s="9" t="str">
        <f>IFERROR(__xludf.DUMMYFUNCTION("GOOGLETRANSLATE($A2355,""en"",""ko"")"),"비첸차")</f>
        <v>비첸차</v>
      </c>
      <c r="J2355" s="9" t="str">
        <f>IFERROR(__xludf.DUMMYFUNCTION("GOOGLETRANSLATE($A2355,""en"",""pt-BR"")"),"Vicenza")</f>
        <v>Vicenza</v>
      </c>
    </row>
    <row r="2356">
      <c r="A2356" s="9" t="str">
        <f>IFERROR(__xludf.DUMMYFUNCTION("""COMPUTED_VALUE"""),"La Spezia")</f>
        <v>La Spezia</v>
      </c>
      <c r="B2356" s="9" t="str">
        <f>IFERROR(__xludf.DUMMYFUNCTION("""COMPUTED_VALUE"""),"it-sp")</f>
        <v>it-sp</v>
      </c>
      <c r="C2356" s="9" t="str">
        <f>IFERROR(__xludf.DUMMYFUNCTION("GOOGLETRANSLATE($A2356,""en"",""de"")"),"La Spezia")</f>
        <v>La Spezia</v>
      </c>
      <c r="D2356" s="9" t="str">
        <f>IFERROR(__xludf.DUMMYFUNCTION("GOOGLETRANSLATE($A2356,""en"",""fr"")"),"La Spezia")</f>
        <v>La Spezia</v>
      </c>
      <c r="E2356" s="9" t="str">
        <f>IFERROR(__xludf.DUMMYFUNCTION("GOOGLETRANSLATE($A2356,""en"",""es"")"),"La Spezia")</f>
        <v>La Spezia</v>
      </c>
      <c r="F2356" s="9" t="str">
        <f>IFERROR(__xludf.DUMMYFUNCTION("GOOGLETRANSLATE($A2356,""en"",""it"")"),"La Spezia")</f>
        <v>La Spezia</v>
      </c>
      <c r="G2356" s="9" t="str">
        <f>IFERROR(__xludf.DUMMYFUNCTION("GOOGLETRANSLATE($A2356,""en"",""zh-cn"")"),"拉斯佩齐亚")</f>
        <v>拉斯佩齐亚</v>
      </c>
      <c r="H2356" s="9" t="str">
        <f>IFERROR(__xludf.DUMMYFUNCTION("GOOGLETRANSLATE($A2356,""en"",""ja"")"),"ラ・スペツィア")</f>
        <v>ラ・スペツィア</v>
      </c>
      <c r="I2356" s="9" t="str">
        <f>IFERROR(__xludf.DUMMYFUNCTION("GOOGLETRANSLATE($A2356,""en"",""ko"")"),"라스페치아")</f>
        <v>라스페치아</v>
      </c>
      <c r="J2356" s="9" t="str">
        <f>IFERROR(__xludf.DUMMYFUNCTION("GOOGLETRANSLATE($A2356,""en"",""pt-BR"")"),"La Spezia")</f>
        <v>La Spezia</v>
      </c>
    </row>
    <row r="2357">
      <c r="A2357" s="9" t="str">
        <f>IFERROR(__xludf.DUMMYFUNCTION("""COMPUTED_VALUE"""),"L'Aquila")</f>
        <v>L'Aquila</v>
      </c>
      <c r="B2357" s="9" t="str">
        <f>IFERROR(__xludf.DUMMYFUNCTION("""COMPUTED_VALUE"""),"it-aq")</f>
        <v>it-aq</v>
      </c>
      <c r="C2357" s="9" t="str">
        <f>IFERROR(__xludf.DUMMYFUNCTION("GOOGLETRANSLATE($A2357,""en"",""de"")"),"L'Aquila")</f>
        <v>L'Aquila</v>
      </c>
      <c r="D2357" s="9" t="str">
        <f>IFERROR(__xludf.DUMMYFUNCTION("GOOGLETRANSLATE($A2357,""en"",""fr"")"),"L'Aquila")</f>
        <v>L'Aquila</v>
      </c>
      <c r="E2357" s="9" t="str">
        <f>IFERROR(__xludf.DUMMYFUNCTION("GOOGLETRANSLATE($A2357,""en"",""es"")"),"L'Aquila")</f>
        <v>L'Aquila</v>
      </c>
      <c r="F2357" s="9" t="str">
        <f>IFERROR(__xludf.DUMMYFUNCTION("GOOGLETRANSLATE($A2357,""en"",""it"")"),"L'Aquila")</f>
        <v>L'Aquila</v>
      </c>
      <c r="G2357" s="9" t="str">
        <f>IFERROR(__xludf.DUMMYFUNCTION("GOOGLETRANSLATE($A2357,""en"",""zh-cn"")"),"拉奎拉")</f>
        <v>拉奎拉</v>
      </c>
      <c r="H2357" s="9" t="str">
        <f>IFERROR(__xludf.DUMMYFUNCTION("GOOGLETRANSLATE($A2357,""en"",""ja"")"),"ラクイラ")</f>
        <v>ラクイラ</v>
      </c>
      <c r="I2357" s="9" t="str">
        <f>IFERROR(__xludf.DUMMYFUNCTION("GOOGLETRANSLATE($A2357,""en"",""ko"")"),"라퀼라")</f>
        <v>라퀼라</v>
      </c>
      <c r="J2357" s="9" t="str">
        <f>IFERROR(__xludf.DUMMYFUNCTION("GOOGLETRANSLATE($A2357,""en"",""pt-BR"")"),"Áquila")</f>
        <v>Áquila</v>
      </c>
    </row>
    <row r="2358">
      <c r="A2358" s="9" t="str">
        <f>IFERROR(__xludf.DUMMYFUNCTION("""COMPUTED_VALUE"""),"Latina")</f>
        <v>Latina</v>
      </c>
      <c r="B2358" s="9" t="str">
        <f>IFERROR(__xludf.DUMMYFUNCTION("""COMPUTED_VALUE"""),"it-lt")</f>
        <v>it-lt</v>
      </c>
      <c r="C2358" s="9" t="str">
        <f>IFERROR(__xludf.DUMMYFUNCTION("GOOGLETRANSLATE($A2358,""en"",""de"")"),"Latina")</f>
        <v>Latina</v>
      </c>
      <c r="D2358" s="9" t="str">
        <f>IFERROR(__xludf.DUMMYFUNCTION("GOOGLETRANSLATE($A2358,""en"",""fr"")"),"Latine")</f>
        <v>Latine</v>
      </c>
      <c r="E2358" s="9" t="str">
        <f>IFERROR(__xludf.DUMMYFUNCTION("GOOGLETRANSLATE($A2358,""en"",""es"")"),"latinas")</f>
        <v>latinas</v>
      </c>
      <c r="F2358" s="9" t="str">
        <f>IFERROR(__xludf.DUMMYFUNCTION("GOOGLETRANSLATE($A2358,""en"",""it"")"),"Latina")</f>
        <v>Latina</v>
      </c>
      <c r="G2358" s="9" t="str">
        <f>IFERROR(__xludf.DUMMYFUNCTION("GOOGLETRANSLATE($A2358,""en"",""zh-cn"")"),"拉丁裔")</f>
        <v>拉丁裔</v>
      </c>
      <c r="H2358" s="9" t="str">
        <f>IFERROR(__xludf.DUMMYFUNCTION("GOOGLETRANSLATE($A2358,""en"",""ja"")"),"ラティーナ")</f>
        <v>ラティーナ</v>
      </c>
      <c r="I2358" s="9" t="str">
        <f>IFERROR(__xludf.DUMMYFUNCTION("GOOGLETRANSLATE($A2358,""en"",""ko"")"),"라틴계")</f>
        <v>라틴계</v>
      </c>
      <c r="J2358" s="9" t="str">
        <f>IFERROR(__xludf.DUMMYFUNCTION("GOOGLETRANSLATE($A2358,""en"",""pt-BR"")"),"Latina")</f>
        <v>Latina</v>
      </c>
    </row>
    <row r="2359">
      <c r="A2359" s="9" t="str">
        <f>IFERROR(__xludf.DUMMYFUNCTION("""COMPUTED_VALUE"""),"Lecce")</f>
        <v>Lecce</v>
      </c>
      <c r="B2359" s="9" t="str">
        <f>IFERROR(__xludf.DUMMYFUNCTION("""COMPUTED_VALUE"""),"it-le")</f>
        <v>it-le</v>
      </c>
      <c r="C2359" s="9" t="str">
        <f>IFERROR(__xludf.DUMMYFUNCTION("GOOGLETRANSLATE($A2359,""en"",""de"")"),"Lecce")</f>
        <v>Lecce</v>
      </c>
      <c r="D2359" s="9" t="str">
        <f>IFERROR(__xludf.DUMMYFUNCTION("GOOGLETRANSLATE($A2359,""en"",""fr"")"),"Lecce")</f>
        <v>Lecce</v>
      </c>
      <c r="E2359" s="9" t="str">
        <f>IFERROR(__xludf.DUMMYFUNCTION("GOOGLETRANSLATE($A2359,""en"",""es"")"),"Lecce")</f>
        <v>Lecce</v>
      </c>
      <c r="F2359" s="9" t="str">
        <f>IFERROR(__xludf.DUMMYFUNCTION("GOOGLETRANSLATE($A2359,""en"",""it"")"),"Lecce")</f>
        <v>Lecce</v>
      </c>
      <c r="G2359" s="9" t="str">
        <f>IFERROR(__xludf.DUMMYFUNCTION("GOOGLETRANSLATE($A2359,""en"",""zh-cn"")"),"莱切")</f>
        <v>莱切</v>
      </c>
      <c r="H2359" s="9" t="str">
        <f>IFERROR(__xludf.DUMMYFUNCTION("GOOGLETRANSLATE($A2359,""en"",""ja"")"),"レッチェ")</f>
        <v>レッチェ</v>
      </c>
      <c r="I2359" s="9" t="str">
        <f>IFERROR(__xludf.DUMMYFUNCTION("GOOGLETRANSLATE($A2359,""en"",""ko"")"),"레체")</f>
        <v>레체</v>
      </c>
      <c r="J2359" s="9" t="str">
        <f>IFERROR(__xludf.DUMMYFUNCTION("GOOGLETRANSLATE($A2359,""en"",""pt-BR"")"),"Lecce")</f>
        <v>Lecce</v>
      </c>
    </row>
    <row r="2360">
      <c r="A2360" s="9" t="str">
        <f>IFERROR(__xludf.DUMMYFUNCTION("""COMPUTED_VALUE"""),"Gorizia")</f>
        <v>Gorizia</v>
      </c>
      <c r="B2360" s="9" t="str">
        <f>IFERROR(__xludf.DUMMYFUNCTION("""COMPUTED_VALUE"""),"it-go")</f>
        <v>it-go</v>
      </c>
      <c r="C2360" s="9" t="str">
        <f>IFERROR(__xludf.DUMMYFUNCTION("GOOGLETRANSLATE($A2360,""en"",""de"")"),"Görz")</f>
        <v>Görz</v>
      </c>
      <c r="D2360" s="9" t="str">
        <f>IFERROR(__xludf.DUMMYFUNCTION("GOOGLETRANSLATE($A2360,""en"",""fr"")"),"Gorizia")</f>
        <v>Gorizia</v>
      </c>
      <c r="E2360" s="9" t="str">
        <f>IFERROR(__xludf.DUMMYFUNCTION("GOOGLETRANSLATE($A2360,""en"",""es"")"),"gorizia")</f>
        <v>gorizia</v>
      </c>
      <c r="F2360" s="9" t="str">
        <f>IFERROR(__xludf.DUMMYFUNCTION("GOOGLETRANSLATE($A2360,""en"",""it"")"),"Gorizia")</f>
        <v>Gorizia</v>
      </c>
      <c r="G2360" s="9" t="str">
        <f>IFERROR(__xludf.DUMMYFUNCTION("GOOGLETRANSLATE($A2360,""en"",""zh-cn"")"),"戈里齐亚")</f>
        <v>戈里齐亚</v>
      </c>
      <c r="H2360" s="9" t="str">
        <f>IFERROR(__xludf.DUMMYFUNCTION("GOOGLETRANSLATE($A2360,""en"",""ja"")"),"ゴリツィア")</f>
        <v>ゴリツィア</v>
      </c>
      <c r="I2360" s="9" t="str">
        <f>IFERROR(__xludf.DUMMYFUNCTION("GOOGLETRANSLATE($A2360,""en"",""ko"")"),"고리치아")</f>
        <v>고리치아</v>
      </c>
      <c r="J2360" s="9" t="str">
        <f>IFERROR(__xludf.DUMMYFUNCTION("GOOGLETRANSLATE($A2360,""en"",""pt-BR"")"),"Gorizia")</f>
        <v>Gorizia</v>
      </c>
    </row>
    <row r="2361">
      <c r="A2361" s="9" t="str">
        <f>IFERROR(__xludf.DUMMYFUNCTION("""COMPUTED_VALUE"""),"Grosseto")</f>
        <v>Grosseto</v>
      </c>
      <c r="B2361" s="9" t="str">
        <f>IFERROR(__xludf.DUMMYFUNCTION("""COMPUTED_VALUE"""),"it-gr")</f>
        <v>it-gr</v>
      </c>
      <c r="C2361" s="9" t="str">
        <f>IFERROR(__xludf.DUMMYFUNCTION("GOOGLETRANSLATE($A2361,""en"",""de"")"),"Grosseto")</f>
        <v>Grosseto</v>
      </c>
      <c r="D2361" s="9" t="str">
        <f>IFERROR(__xludf.DUMMYFUNCTION("GOOGLETRANSLATE($A2361,""en"",""fr"")"),"Grosseto")</f>
        <v>Grosseto</v>
      </c>
      <c r="E2361" s="9" t="str">
        <f>IFERROR(__xludf.DUMMYFUNCTION("GOOGLETRANSLATE($A2361,""en"",""es"")"),"Grosseto")</f>
        <v>Grosseto</v>
      </c>
      <c r="F2361" s="9" t="str">
        <f>IFERROR(__xludf.DUMMYFUNCTION("GOOGLETRANSLATE($A2361,""en"",""it"")"),"Grosseto")</f>
        <v>Grosseto</v>
      </c>
      <c r="G2361" s="9" t="str">
        <f>IFERROR(__xludf.DUMMYFUNCTION("GOOGLETRANSLATE($A2361,""en"",""zh-cn"")"),"格罗塞托")</f>
        <v>格罗塞托</v>
      </c>
      <c r="H2361" s="9" t="str">
        <f>IFERROR(__xludf.DUMMYFUNCTION("GOOGLETRANSLATE($A2361,""en"",""ja"")"),"グロッセート")</f>
        <v>グロッセート</v>
      </c>
      <c r="I2361" s="9" t="str">
        <f>IFERROR(__xludf.DUMMYFUNCTION("GOOGLETRANSLATE($A2361,""en"",""ko"")"),"그로세토")</f>
        <v>그로세토</v>
      </c>
      <c r="J2361" s="9" t="str">
        <f>IFERROR(__xludf.DUMMYFUNCTION("GOOGLETRANSLATE($A2361,""en"",""pt-BR"")"),"Grosseto")</f>
        <v>Grosseto</v>
      </c>
    </row>
    <row r="2362">
      <c r="A2362" s="9" t="str">
        <f>IFERROR(__xludf.DUMMYFUNCTION("""COMPUTED_VALUE"""),"Imperia")</f>
        <v>Imperia</v>
      </c>
      <c r="B2362" s="9" t="str">
        <f>IFERROR(__xludf.DUMMYFUNCTION("""COMPUTED_VALUE"""),"it-im")</f>
        <v>it-im</v>
      </c>
      <c r="C2362" s="9" t="str">
        <f>IFERROR(__xludf.DUMMYFUNCTION("GOOGLETRANSLATE($A2362,""en"",""de"")"),"Imperia")</f>
        <v>Imperia</v>
      </c>
      <c r="D2362" s="9" t="str">
        <f>IFERROR(__xludf.DUMMYFUNCTION("GOOGLETRANSLATE($A2362,""en"",""fr"")"),"Impéria")</f>
        <v>Impéria</v>
      </c>
      <c r="E2362" s="9" t="str">
        <f>IFERROR(__xludf.DUMMYFUNCTION("GOOGLETRANSLATE($A2362,""en"",""es"")"),"Imperia")</f>
        <v>Imperia</v>
      </c>
      <c r="F2362" s="9" t="str">
        <f>IFERROR(__xludf.DUMMYFUNCTION("GOOGLETRANSLATE($A2362,""en"",""it"")"),"Imperia")</f>
        <v>Imperia</v>
      </c>
      <c r="G2362" s="9" t="str">
        <f>IFERROR(__xludf.DUMMYFUNCTION("GOOGLETRANSLATE($A2362,""en"",""zh-cn"")"),"因佩里亚")</f>
        <v>因佩里亚</v>
      </c>
      <c r="H2362" s="9" t="str">
        <f>IFERROR(__xludf.DUMMYFUNCTION("GOOGLETRANSLATE($A2362,""en"",""ja"")"),"インペリア")</f>
        <v>インペリア</v>
      </c>
      <c r="I2362" s="9" t="str">
        <f>IFERROR(__xludf.DUMMYFUNCTION("GOOGLETRANSLATE($A2362,""en"",""ko"")"),"임페리아")</f>
        <v>임페리아</v>
      </c>
      <c r="J2362" s="9" t="str">
        <f>IFERROR(__xludf.DUMMYFUNCTION("GOOGLETRANSLATE($A2362,""en"",""pt-BR"")"),"Império")</f>
        <v>Império</v>
      </c>
    </row>
    <row r="2363">
      <c r="A2363" s="9" t="str">
        <f>IFERROR(__xludf.DUMMYFUNCTION("""COMPUTED_VALUE"""),"Isernia")</f>
        <v>Isernia</v>
      </c>
      <c r="B2363" s="9" t="str">
        <f>IFERROR(__xludf.DUMMYFUNCTION("""COMPUTED_VALUE"""),"it-is")</f>
        <v>it-is</v>
      </c>
      <c r="C2363" s="9" t="str">
        <f>IFERROR(__xludf.DUMMYFUNCTION("GOOGLETRANSLATE($A2363,""en"",""de"")"),"Isernia")</f>
        <v>Isernia</v>
      </c>
      <c r="D2363" s="9" t="str">
        <f>IFERROR(__xludf.DUMMYFUNCTION("GOOGLETRANSLATE($A2363,""en"",""fr"")"),"Isernia")</f>
        <v>Isernia</v>
      </c>
      <c r="E2363" s="9" t="str">
        <f>IFERROR(__xludf.DUMMYFUNCTION("GOOGLETRANSLATE($A2363,""en"",""es"")"),"Isernia")</f>
        <v>Isernia</v>
      </c>
      <c r="F2363" s="9" t="str">
        <f>IFERROR(__xludf.DUMMYFUNCTION("GOOGLETRANSLATE($A2363,""en"",""it"")"),"Isernia")</f>
        <v>Isernia</v>
      </c>
      <c r="G2363" s="9" t="str">
        <f>IFERROR(__xludf.DUMMYFUNCTION("GOOGLETRANSLATE($A2363,""en"",""zh-cn"")"),"伊塞尔尼亚")</f>
        <v>伊塞尔尼亚</v>
      </c>
      <c r="H2363" s="9" t="str">
        <f>IFERROR(__xludf.DUMMYFUNCTION("GOOGLETRANSLATE($A2363,""en"",""ja"")"),"イゼルニア")</f>
        <v>イゼルニア</v>
      </c>
      <c r="I2363" s="9" t="str">
        <f>IFERROR(__xludf.DUMMYFUNCTION("GOOGLETRANSLATE($A2363,""en"",""ko"")"),"이세르니아")</f>
        <v>이세르니아</v>
      </c>
      <c r="J2363" s="9" t="str">
        <f>IFERROR(__xludf.DUMMYFUNCTION("GOOGLETRANSLATE($A2363,""en"",""pt-BR"")"),"Isérnia")</f>
        <v>Isérnia</v>
      </c>
    </row>
    <row r="2364">
      <c r="A2364" s="9" t="str">
        <f>IFERROR(__xludf.DUMMYFUNCTION("""COMPUTED_VALUE"""),"Foggia")</f>
        <v>Foggia</v>
      </c>
      <c r="B2364" s="9" t="str">
        <f>IFERROR(__xludf.DUMMYFUNCTION("""COMPUTED_VALUE"""),"it-fg")</f>
        <v>it-fg</v>
      </c>
      <c r="C2364" s="9" t="str">
        <f>IFERROR(__xludf.DUMMYFUNCTION("GOOGLETRANSLATE($A2364,""en"",""de"")"),"Foggia")</f>
        <v>Foggia</v>
      </c>
      <c r="D2364" s="9" t="str">
        <f>IFERROR(__xludf.DUMMYFUNCTION("GOOGLETRANSLATE($A2364,""en"",""fr"")"),"Foggia")</f>
        <v>Foggia</v>
      </c>
      <c r="E2364" s="9" t="str">
        <f>IFERROR(__xludf.DUMMYFUNCTION("GOOGLETRANSLATE($A2364,""en"",""es"")"),"Foggia")</f>
        <v>Foggia</v>
      </c>
      <c r="F2364" s="9" t="str">
        <f>IFERROR(__xludf.DUMMYFUNCTION("GOOGLETRANSLATE($A2364,""en"",""it"")"),"Foggia")</f>
        <v>Foggia</v>
      </c>
      <c r="G2364" s="9" t="str">
        <f>IFERROR(__xludf.DUMMYFUNCTION("GOOGLETRANSLATE($A2364,""en"",""zh-cn"")"),"福贾")</f>
        <v>福贾</v>
      </c>
      <c r="H2364" s="9" t="str">
        <f>IFERROR(__xludf.DUMMYFUNCTION("GOOGLETRANSLATE($A2364,""en"",""ja"")"),"フォッジャ")</f>
        <v>フォッジャ</v>
      </c>
      <c r="I2364" s="9" t="str">
        <f>IFERROR(__xludf.DUMMYFUNCTION("GOOGLETRANSLATE($A2364,""en"",""ko"")"),"포지아")</f>
        <v>포지아</v>
      </c>
      <c r="J2364" s="9" t="str">
        <f>IFERROR(__xludf.DUMMYFUNCTION("GOOGLETRANSLATE($A2364,""en"",""pt-BR"")"),"Foggia")</f>
        <v>Foggia</v>
      </c>
    </row>
    <row r="2365">
      <c r="A2365" s="9" t="str">
        <f>IFERROR(__xludf.DUMMYFUNCTION("""COMPUTED_VALUE"""),"Forlì-Cesena")</f>
        <v>Forlì-Cesena</v>
      </c>
      <c r="B2365" s="9" t="str">
        <f>IFERROR(__xludf.DUMMYFUNCTION("""COMPUTED_VALUE"""),"it-fc")</f>
        <v>it-fc</v>
      </c>
      <c r="C2365" s="9" t="str">
        <f>IFERROR(__xludf.DUMMYFUNCTION("GOOGLETRANSLATE($A2365,""en"",""de"")"),"Forlì-Cesena")</f>
        <v>Forlì-Cesena</v>
      </c>
      <c r="D2365" s="9" t="str">
        <f>IFERROR(__xludf.DUMMYFUNCTION("GOOGLETRANSLATE($A2365,""en"",""fr"")"),"Forlì-Césène")</f>
        <v>Forlì-Césène</v>
      </c>
      <c r="E2365" s="9" t="str">
        <f>IFERROR(__xludf.DUMMYFUNCTION("GOOGLETRANSLATE($A2365,""en"",""es"")"),"Forlì-Cesena")</f>
        <v>Forlì-Cesena</v>
      </c>
      <c r="F2365" s="9" t="str">
        <f>IFERROR(__xludf.DUMMYFUNCTION("GOOGLETRANSLATE($A2365,""en"",""it"")"),"Forlì-Cesena")</f>
        <v>Forlì-Cesena</v>
      </c>
      <c r="G2365" s="9" t="str">
        <f>IFERROR(__xludf.DUMMYFUNCTION("GOOGLETRANSLATE($A2365,""en"",""zh-cn"")"),"弗利-切塞纳")</f>
        <v>弗利-切塞纳</v>
      </c>
      <c r="H2365" s="9" t="str">
        <f>IFERROR(__xludf.DUMMYFUNCTION("GOOGLETRANSLATE($A2365,""en"",""ja"")"),"フォルリ チェゼーナ")</f>
        <v>フォルリ チェゼーナ</v>
      </c>
      <c r="I2365" s="9" t="str">
        <f>IFERROR(__xludf.DUMMYFUNCTION("GOOGLETRANSLATE($A2365,""en"",""ko"")"),"포를리 체세나")</f>
        <v>포를리 체세나</v>
      </c>
      <c r="J2365" s="9" t="str">
        <f>IFERROR(__xludf.DUMMYFUNCTION("GOOGLETRANSLATE($A2365,""en"",""pt-BR"")"),"Forlì-Cesena")</f>
        <v>Forlì-Cesena</v>
      </c>
    </row>
    <row r="2366">
      <c r="A2366" s="9" t="str">
        <f>IFERROR(__xludf.DUMMYFUNCTION("""COMPUTED_VALUE"""),"Frosinone")</f>
        <v>Frosinone</v>
      </c>
      <c r="B2366" s="9" t="str">
        <f>IFERROR(__xludf.DUMMYFUNCTION("""COMPUTED_VALUE"""),"it-fr")</f>
        <v>it-fr</v>
      </c>
      <c r="C2366" s="9" t="str">
        <f>IFERROR(__xludf.DUMMYFUNCTION("GOOGLETRANSLATE($A2366,""en"",""de"")"),"Frosinon")</f>
        <v>Frosinon</v>
      </c>
      <c r="D2366" s="9" t="str">
        <f>IFERROR(__xludf.DUMMYFUNCTION("GOOGLETRANSLATE($A2366,""en"",""fr"")"),"Frosinone")</f>
        <v>Frosinone</v>
      </c>
      <c r="E2366" s="9" t="str">
        <f>IFERROR(__xludf.DUMMYFUNCTION("GOOGLETRANSLATE($A2366,""en"",""es"")"),"Frosinona")</f>
        <v>Frosinona</v>
      </c>
      <c r="F2366" s="9" t="str">
        <f>IFERROR(__xludf.DUMMYFUNCTION("GOOGLETRANSLATE($A2366,""en"",""it"")"),"Frosinone")</f>
        <v>Frosinone</v>
      </c>
      <c r="G2366" s="9" t="str">
        <f>IFERROR(__xludf.DUMMYFUNCTION("GOOGLETRANSLATE($A2366,""en"",""zh-cn"")"),"弗罗西诺内")</f>
        <v>弗罗西诺内</v>
      </c>
      <c r="H2366" s="9" t="str">
        <f>IFERROR(__xludf.DUMMYFUNCTION("GOOGLETRANSLATE($A2366,""en"",""ja"")"),"フロジノーネ")</f>
        <v>フロジノーネ</v>
      </c>
      <c r="I2366" s="9" t="str">
        <f>IFERROR(__xludf.DUMMYFUNCTION("GOOGLETRANSLATE($A2366,""en"",""ko"")"),"프로시논")</f>
        <v>프로시논</v>
      </c>
      <c r="J2366" s="9" t="str">
        <f>IFERROR(__xludf.DUMMYFUNCTION("GOOGLETRANSLATE($A2366,""en"",""pt-BR"")"),"Frosinona")</f>
        <v>Frosinona</v>
      </c>
    </row>
    <row r="2367">
      <c r="A2367" s="9" t="str">
        <f>IFERROR(__xludf.DUMMYFUNCTION("""COMPUTED_VALUE"""),"Genoa")</f>
        <v>Genoa</v>
      </c>
      <c r="B2367" s="9" t="str">
        <f>IFERROR(__xludf.DUMMYFUNCTION("""COMPUTED_VALUE"""),"it-ge")</f>
        <v>it-ge</v>
      </c>
      <c r="C2367" s="9" t="str">
        <f>IFERROR(__xludf.DUMMYFUNCTION("GOOGLETRANSLATE($A2367,""en"",""de"")"),"Genua")</f>
        <v>Genua</v>
      </c>
      <c r="D2367" s="9" t="str">
        <f>IFERROR(__xludf.DUMMYFUNCTION("GOOGLETRANSLATE($A2367,""en"",""fr"")"),"Gênes")</f>
        <v>Gênes</v>
      </c>
      <c r="E2367" s="9" t="str">
        <f>IFERROR(__xludf.DUMMYFUNCTION("GOOGLETRANSLATE($A2367,""en"",""es"")"),"Génova")</f>
        <v>Génova</v>
      </c>
      <c r="F2367" s="9" t="str">
        <f>IFERROR(__xludf.DUMMYFUNCTION("GOOGLETRANSLATE($A2367,""en"",""it"")"),"Genova")</f>
        <v>Genova</v>
      </c>
      <c r="G2367" s="9" t="str">
        <f>IFERROR(__xludf.DUMMYFUNCTION("GOOGLETRANSLATE($A2367,""en"",""zh-cn"")"),"热那亚")</f>
        <v>热那亚</v>
      </c>
      <c r="H2367" s="9" t="str">
        <f>IFERROR(__xludf.DUMMYFUNCTION("GOOGLETRANSLATE($A2367,""en"",""ja"")"),"ジェノヴァ")</f>
        <v>ジェノヴァ</v>
      </c>
      <c r="I2367" s="9" t="str">
        <f>IFERROR(__xludf.DUMMYFUNCTION("GOOGLETRANSLATE($A2367,""en"",""ko"")"),"제노바")</f>
        <v>제노바</v>
      </c>
      <c r="J2367" s="9" t="str">
        <f>IFERROR(__xludf.DUMMYFUNCTION("GOOGLETRANSLATE($A2367,""en"",""pt-BR"")"),"Gênova")</f>
        <v>Gênova</v>
      </c>
    </row>
    <row r="2368">
      <c r="A2368" s="9" t="str">
        <f>IFERROR(__xludf.DUMMYFUNCTION("""COMPUTED_VALUE"""),"Enna")</f>
        <v>Enna</v>
      </c>
      <c r="B2368" s="9" t="str">
        <f>IFERROR(__xludf.DUMMYFUNCTION("""COMPUTED_VALUE"""),"it-en")</f>
        <v>it-en</v>
      </c>
      <c r="C2368" s="9" t="str">
        <f>IFERROR(__xludf.DUMMYFUNCTION("GOOGLETRANSLATE($A2368,""en"",""de"")"),"Enna")</f>
        <v>Enna</v>
      </c>
      <c r="D2368" s="9" t="str">
        <f>IFERROR(__xludf.DUMMYFUNCTION("GOOGLETRANSLATE($A2368,""en"",""fr"")"),"Enna")</f>
        <v>Enna</v>
      </c>
      <c r="E2368" s="9" t="str">
        <f>IFERROR(__xludf.DUMMYFUNCTION("GOOGLETRANSLATE($A2368,""en"",""es"")"),"enna")</f>
        <v>enna</v>
      </c>
      <c r="F2368" s="9" t="str">
        <f>IFERROR(__xludf.DUMMYFUNCTION("GOOGLETRANSLATE($A2368,""en"",""it"")"),"Enna")</f>
        <v>Enna</v>
      </c>
      <c r="G2368" s="9" t="str">
        <f>IFERROR(__xludf.DUMMYFUNCTION("GOOGLETRANSLATE($A2368,""en"",""zh-cn"")"),"恩纳")</f>
        <v>恩纳</v>
      </c>
      <c r="H2368" s="9" t="str">
        <f>IFERROR(__xludf.DUMMYFUNCTION("GOOGLETRANSLATE($A2368,""en"",""ja"")"),"エンナ")</f>
        <v>エンナ</v>
      </c>
      <c r="I2368" s="9" t="str">
        <f>IFERROR(__xludf.DUMMYFUNCTION("GOOGLETRANSLATE($A2368,""en"",""ko"")"),"엔나")</f>
        <v>엔나</v>
      </c>
      <c r="J2368" s="9" t="str">
        <f>IFERROR(__xludf.DUMMYFUNCTION("GOOGLETRANSLATE($A2368,""en"",""pt-BR"")"),"Enna")</f>
        <v>Enna</v>
      </c>
    </row>
    <row r="2369">
      <c r="A2369" s="9" t="str">
        <f>IFERROR(__xludf.DUMMYFUNCTION("""COMPUTED_VALUE"""),"Fermo")</f>
        <v>Fermo</v>
      </c>
      <c r="B2369" s="9" t="str">
        <f>IFERROR(__xludf.DUMMYFUNCTION("""COMPUTED_VALUE"""),"it-fm")</f>
        <v>it-fm</v>
      </c>
      <c r="C2369" s="9" t="str">
        <f>IFERROR(__xludf.DUMMYFUNCTION("GOOGLETRANSLATE($A2369,""en"",""de"")"),"Fermo")</f>
        <v>Fermo</v>
      </c>
      <c r="D2369" s="9" t="str">
        <f>IFERROR(__xludf.DUMMYFUNCTION("GOOGLETRANSLATE($A2369,""en"",""fr"")"),"Fermo")</f>
        <v>Fermo</v>
      </c>
      <c r="E2369" s="9" t="str">
        <f>IFERROR(__xludf.DUMMYFUNCTION("GOOGLETRANSLATE($A2369,""en"",""es"")"),"Fermo")</f>
        <v>Fermo</v>
      </c>
      <c r="F2369" s="9" t="str">
        <f>IFERROR(__xludf.DUMMYFUNCTION("GOOGLETRANSLATE($A2369,""en"",""it"")"),"Fermo")</f>
        <v>Fermo</v>
      </c>
      <c r="G2369" s="9" t="str">
        <f>IFERROR(__xludf.DUMMYFUNCTION("GOOGLETRANSLATE($A2369,""en"",""zh-cn"")"),"费尔莫")</f>
        <v>费尔莫</v>
      </c>
      <c r="H2369" s="9" t="str">
        <f>IFERROR(__xludf.DUMMYFUNCTION("GOOGLETRANSLATE($A2369,""en"",""ja"")"),"フェルモ")</f>
        <v>フェルモ</v>
      </c>
      <c r="I2369" s="9" t="str">
        <f>IFERROR(__xludf.DUMMYFUNCTION("GOOGLETRANSLATE($A2369,""en"",""ko"")"),"페르모")</f>
        <v>페르모</v>
      </c>
      <c r="J2369" s="9" t="str">
        <f>IFERROR(__xludf.DUMMYFUNCTION("GOOGLETRANSLATE($A2369,""en"",""pt-BR"")"),"Fermo")</f>
        <v>Fermo</v>
      </c>
    </row>
    <row r="2370">
      <c r="A2370" s="9" t="str">
        <f>IFERROR(__xludf.DUMMYFUNCTION("""COMPUTED_VALUE"""),"Ferrara")</f>
        <v>Ferrara</v>
      </c>
      <c r="B2370" s="9" t="str">
        <f>IFERROR(__xludf.DUMMYFUNCTION("""COMPUTED_VALUE"""),"it-fe")</f>
        <v>it-fe</v>
      </c>
      <c r="C2370" s="9" t="str">
        <f>IFERROR(__xludf.DUMMYFUNCTION("GOOGLETRANSLATE($A2370,""en"",""de"")"),"Ferrara")</f>
        <v>Ferrara</v>
      </c>
      <c r="D2370" s="9" t="str">
        <f>IFERROR(__xludf.DUMMYFUNCTION("GOOGLETRANSLATE($A2370,""en"",""fr"")"),"Ferrare")</f>
        <v>Ferrare</v>
      </c>
      <c r="E2370" s="9" t="str">
        <f>IFERROR(__xludf.DUMMYFUNCTION("GOOGLETRANSLATE($A2370,""en"",""es"")"),"Ferrara")</f>
        <v>Ferrara</v>
      </c>
      <c r="F2370" s="9" t="str">
        <f>IFERROR(__xludf.DUMMYFUNCTION("GOOGLETRANSLATE($A2370,""en"",""it"")"),"Ferrara")</f>
        <v>Ferrara</v>
      </c>
      <c r="G2370" s="9" t="str">
        <f>IFERROR(__xludf.DUMMYFUNCTION("GOOGLETRANSLATE($A2370,""en"",""zh-cn"")"),"费拉拉")</f>
        <v>费拉拉</v>
      </c>
      <c r="H2370" s="9" t="str">
        <f>IFERROR(__xludf.DUMMYFUNCTION("GOOGLETRANSLATE($A2370,""en"",""ja"")"),"フェラーラ")</f>
        <v>フェラーラ</v>
      </c>
      <c r="I2370" s="9" t="str">
        <f>IFERROR(__xludf.DUMMYFUNCTION("GOOGLETRANSLATE($A2370,""en"",""ko"")"),"페라라")</f>
        <v>페라라</v>
      </c>
      <c r="J2370" s="9" t="str">
        <f>IFERROR(__xludf.DUMMYFUNCTION("GOOGLETRANSLATE($A2370,""en"",""pt-BR"")"),"Ferrara")</f>
        <v>Ferrara</v>
      </c>
    </row>
    <row r="2371">
      <c r="A2371" s="9" t="str">
        <f>IFERROR(__xludf.DUMMYFUNCTION("""COMPUTED_VALUE"""),"Florence")</f>
        <v>Florence</v>
      </c>
      <c r="B2371" s="9" t="str">
        <f>IFERROR(__xludf.DUMMYFUNCTION("""COMPUTED_VALUE"""),"it-fi")</f>
        <v>it-fi</v>
      </c>
      <c r="C2371" s="9" t="str">
        <f>IFERROR(__xludf.DUMMYFUNCTION("GOOGLETRANSLATE($A2371,""en"",""de"")"),"Florenz")</f>
        <v>Florenz</v>
      </c>
      <c r="D2371" s="9" t="str">
        <f>IFERROR(__xludf.DUMMYFUNCTION("GOOGLETRANSLATE($A2371,""en"",""fr"")"),"Florence")</f>
        <v>Florence</v>
      </c>
      <c r="E2371" s="9" t="str">
        <f>IFERROR(__xludf.DUMMYFUNCTION("GOOGLETRANSLATE($A2371,""en"",""es"")"),"Florencia")</f>
        <v>Florencia</v>
      </c>
      <c r="F2371" s="9" t="str">
        <f>IFERROR(__xludf.DUMMYFUNCTION("GOOGLETRANSLATE($A2371,""en"",""it"")"),"Firenze")</f>
        <v>Firenze</v>
      </c>
      <c r="G2371" s="9" t="str">
        <f>IFERROR(__xludf.DUMMYFUNCTION("GOOGLETRANSLATE($A2371,""en"",""zh-cn"")"),"佛罗伦萨")</f>
        <v>佛罗伦萨</v>
      </c>
      <c r="H2371" s="9" t="str">
        <f>IFERROR(__xludf.DUMMYFUNCTION("GOOGLETRANSLATE($A2371,""en"",""ja"")"),"フィレンツェ")</f>
        <v>フィレンツェ</v>
      </c>
      <c r="I2371" s="9" t="str">
        <f>IFERROR(__xludf.DUMMYFUNCTION("GOOGLETRANSLATE($A2371,""en"",""ko"")"),"피렌체")</f>
        <v>피렌체</v>
      </c>
      <c r="J2371" s="9" t="str">
        <f>IFERROR(__xludf.DUMMYFUNCTION("GOOGLETRANSLATE($A2371,""en"",""pt-BR"")"),"Florença")</f>
        <v>Florença</v>
      </c>
    </row>
    <row r="2372">
      <c r="A2372" s="9" t="str">
        <f>IFERROR(__xludf.DUMMYFUNCTION("""COMPUTED_VALUE"""),"Monza and Brianza")</f>
        <v>Monza and Brianza</v>
      </c>
      <c r="B2372" s="9" t="str">
        <f>IFERROR(__xludf.DUMMYFUNCTION("""COMPUTED_VALUE"""),"it-mb")</f>
        <v>it-mb</v>
      </c>
      <c r="C2372" s="9" t="str">
        <f>IFERROR(__xludf.DUMMYFUNCTION("GOOGLETRANSLATE($A2372,""en"",""de"")"),"Monza und Brianza")</f>
        <v>Monza und Brianza</v>
      </c>
      <c r="D2372" s="9" t="str">
        <f>IFERROR(__xludf.DUMMYFUNCTION("GOOGLETRANSLATE($A2372,""en"",""fr"")"),"Monza et Brianza")</f>
        <v>Monza et Brianza</v>
      </c>
      <c r="E2372" s="9" t="str">
        <f>IFERROR(__xludf.DUMMYFUNCTION("GOOGLETRANSLATE($A2372,""en"",""es"")"),"Monza y Brianza")</f>
        <v>Monza y Brianza</v>
      </c>
      <c r="F2372" s="9" t="str">
        <f>IFERROR(__xludf.DUMMYFUNCTION("GOOGLETRANSLATE($A2372,""en"",""it"")"),"Monza e Brianza")</f>
        <v>Monza e Brianza</v>
      </c>
      <c r="G2372" s="9" t="str">
        <f>IFERROR(__xludf.DUMMYFUNCTION("GOOGLETRANSLATE($A2372,""en"",""zh-cn"")"),"蒙扎和布里安扎")</f>
        <v>蒙扎和布里安扎</v>
      </c>
      <c r="H2372" s="9" t="str">
        <f>IFERROR(__xludf.DUMMYFUNCTION("GOOGLETRANSLATE($A2372,""en"",""ja"")"),"モンツァとブリアンツァ")</f>
        <v>モンツァとブリアンツァ</v>
      </c>
      <c r="I2372" s="9" t="str">
        <f>IFERROR(__xludf.DUMMYFUNCTION("GOOGLETRANSLATE($A2372,""en"",""ko"")"),"몬차와 브리안자")</f>
        <v>몬차와 브리안자</v>
      </c>
      <c r="J2372" s="9" t="str">
        <f>IFERROR(__xludf.DUMMYFUNCTION("GOOGLETRANSLATE($A2372,""en"",""pt-BR"")"),"Monza e Brianza")</f>
        <v>Monza e Brianza</v>
      </c>
    </row>
    <row r="2373">
      <c r="A2373" s="9" t="str">
        <f>IFERROR(__xludf.DUMMYFUNCTION("""COMPUTED_VALUE"""),"Naples")</f>
        <v>Naples</v>
      </c>
      <c r="B2373" s="9" t="str">
        <f>IFERROR(__xludf.DUMMYFUNCTION("""COMPUTED_VALUE"""),"it-na")</f>
        <v>it-na</v>
      </c>
      <c r="C2373" s="9" t="str">
        <f>IFERROR(__xludf.DUMMYFUNCTION("GOOGLETRANSLATE($A2373,""en"",""de"")"),"Neapel")</f>
        <v>Neapel</v>
      </c>
      <c r="D2373" s="9" t="str">
        <f>IFERROR(__xludf.DUMMYFUNCTION("GOOGLETRANSLATE($A2373,""en"",""fr"")"),"Naples")</f>
        <v>Naples</v>
      </c>
      <c r="E2373" s="9" t="str">
        <f>IFERROR(__xludf.DUMMYFUNCTION("GOOGLETRANSLATE($A2373,""en"",""es"")"),"Nápoles")</f>
        <v>Nápoles</v>
      </c>
      <c r="F2373" s="9" t="str">
        <f>IFERROR(__xludf.DUMMYFUNCTION("GOOGLETRANSLATE($A2373,""en"",""it"")"),"Napoli")</f>
        <v>Napoli</v>
      </c>
      <c r="G2373" s="9" t="str">
        <f>IFERROR(__xludf.DUMMYFUNCTION("GOOGLETRANSLATE($A2373,""en"",""zh-cn"")"),"那不勒斯")</f>
        <v>那不勒斯</v>
      </c>
      <c r="H2373" s="9" t="str">
        <f>IFERROR(__xludf.DUMMYFUNCTION("GOOGLETRANSLATE($A2373,""en"",""ja"")"),"ナポリ")</f>
        <v>ナポリ</v>
      </c>
      <c r="I2373" s="9" t="str">
        <f>IFERROR(__xludf.DUMMYFUNCTION("GOOGLETRANSLATE($A2373,""en"",""ko"")"),"나폴리")</f>
        <v>나폴리</v>
      </c>
      <c r="J2373" s="9" t="str">
        <f>IFERROR(__xludf.DUMMYFUNCTION("GOOGLETRANSLATE($A2373,""en"",""pt-BR"")"),"Nápoles")</f>
        <v>Nápoles</v>
      </c>
    </row>
    <row r="2374">
      <c r="A2374" s="9" t="str">
        <f>IFERROR(__xludf.DUMMYFUNCTION("""COMPUTED_VALUE"""),"Novara")</f>
        <v>Novara</v>
      </c>
      <c r="B2374" s="9" t="str">
        <f>IFERROR(__xludf.DUMMYFUNCTION("""COMPUTED_VALUE"""),"it-no")</f>
        <v>it-no</v>
      </c>
      <c r="C2374" s="9" t="str">
        <f>IFERROR(__xludf.DUMMYFUNCTION("GOOGLETRANSLATE($A2374,""en"",""de"")"),"Novara")</f>
        <v>Novara</v>
      </c>
      <c r="D2374" s="9" t="str">
        <f>IFERROR(__xludf.DUMMYFUNCTION("GOOGLETRANSLATE($A2374,""en"",""fr"")"),"Novare")</f>
        <v>Novare</v>
      </c>
      <c r="E2374" s="9" t="str">
        <f>IFERROR(__xludf.DUMMYFUNCTION("GOOGLETRANSLATE($A2374,""en"",""es"")"),"Novara")</f>
        <v>Novara</v>
      </c>
      <c r="F2374" s="9" t="str">
        <f>IFERROR(__xludf.DUMMYFUNCTION("GOOGLETRANSLATE($A2374,""en"",""it"")"),"Novara")</f>
        <v>Novara</v>
      </c>
      <c r="G2374" s="9" t="str">
        <f>IFERROR(__xludf.DUMMYFUNCTION("GOOGLETRANSLATE($A2374,""en"",""zh-cn"")"),"诺瓦拉")</f>
        <v>诺瓦拉</v>
      </c>
      <c r="H2374" s="9" t="str">
        <f>IFERROR(__xludf.DUMMYFUNCTION("GOOGLETRANSLATE($A2374,""en"",""ja"")"),"ノバラ")</f>
        <v>ノバラ</v>
      </c>
      <c r="I2374" s="9" t="str">
        <f>IFERROR(__xludf.DUMMYFUNCTION("GOOGLETRANSLATE($A2374,""en"",""ko"")"),"노바라")</f>
        <v>노바라</v>
      </c>
      <c r="J2374" s="9" t="str">
        <f>IFERROR(__xludf.DUMMYFUNCTION("GOOGLETRANSLATE($A2374,""en"",""pt-BR"")"),"Novara")</f>
        <v>Novara</v>
      </c>
    </row>
    <row r="2375">
      <c r="A2375" s="9" t="str">
        <f>IFERROR(__xludf.DUMMYFUNCTION("""COMPUTED_VALUE"""),"Nuoro")</f>
        <v>Nuoro</v>
      </c>
      <c r="B2375" s="9" t="str">
        <f>IFERROR(__xludf.DUMMYFUNCTION("""COMPUTED_VALUE"""),"it-nu")</f>
        <v>it-nu</v>
      </c>
      <c r="C2375" s="9" t="str">
        <f>IFERROR(__xludf.DUMMYFUNCTION("GOOGLETRANSLATE($A2375,""en"",""de"")"),"Nuoro")</f>
        <v>Nuoro</v>
      </c>
      <c r="D2375" s="9" t="str">
        <f>IFERROR(__xludf.DUMMYFUNCTION("GOOGLETRANSLATE($A2375,""en"",""fr"")"),"Nuoro")</f>
        <v>Nuoro</v>
      </c>
      <c r="E2375" s="9" t="str">
        <f>IFERROR(__xludf.DUMMYFUNCTION("GOOGLETRANSLATE($A2375,""en"",""es"")"),"Nuoro")</f>
        <v>Nuoro</v>
      </c>
      <c r="F2375" s="9" t="str">
        <f>IFERROR(__xludf.DUMMYFUNCTION("GOOGLETRANSLATE($A2375,""en"",""it"")"),"Nuorese")</f>
        <v>Nuorese</v>
      </c>
      <c r="G2375" s="9" t="str">
        <f>IFERROR(__xludf.DUMMYFUNCTION("GOOGLETRANSLATE($A2375,""en"",""zh-cn"")"),"努奥罗")</f>
        <v>努奥罗</v>
      </c>
      <c r="H2375" s="9" t="str">
        <f>IFERROR(__xludf.DUMMYFUNCTION("GOOGLETRANSLATE($A2375,""en"",""ja"")"),"ヌーオロ")</f>
        <v>ヌーオロ</v>
      </c>
      <c r="I2375" s="9" t="str">
        <f>IFERROR(__xludf.DUMMYFUNCTION("GOOGLETRANSLATE($A2375,""en"",""ko"")"),"누오로")</f>
        <v>누오로</v>
      </c>
      <c r="J2375" s="9" t="str">
        <f>IFERROR(__xludf.DUMMYFUNCTION("GOOGLETRANSLATE($A2375,""en"",""pt-BR"")"),"Nuoro")</f>
        <v>Nuoro</v>
      </c>
    </row>
    <row r="2376">
      <c r="A2376" s="9" t="str">
        <f>IFERROR(__xludf.DUMMYFUNCTION("""COMPUTED_VALUE"""),"Medio Campidano")</f>
        <v>Medio Campidano</v>
      </c>
      <c r="B2376" s="9" t="str">
        <f>IFERROR(__xludf.DUMMYFUNCTION("""COMPUTED_VALUE"""),"it-vs")</f>
        <v>it-vs</v>
      </c>
      <c r="C2376" s="9" t="str">
        <f>IFERROR(__xludf.DUMMYFUNCTION("GOOGLETRANSLATE($A2376,""en"",""de"")"),"Medio Campidano")</f>
        <v>Medio Campidano</v>
      </c>
      <c r="D2376" s="9" t="str">
        <f>IFERROR(__xludf.DUMMYFUNCTION("GOOGLETRANSLATE($A2376,""en"",""fr"")"),"Médio Campidano")</f>
        <v>Médio Campidano</v>
      </c>
      <c r="E2376" s="9" t="str">
        <f>IFERROR(__xludf.DUMMYFUNCTION("GOOGLETRANSLATE($A2376,""en"",""es"")"),"Medio Campidano")</f>
        <v>Medio Campidano</v>
      </c>
      <c r="F2376" s="9" t="str">
        <f>IFERROR(__xludf.DUMMYFUNCTION("GOOGLETRANSLATE($A2376,""en"",""it"")"),"Medio Campidano")</f>
        <v>Medio Campidano</v>
      </c>
      <c r="G2376" s="9" t="str">
        <f>IFERROR(__xludf.DUMMYFUNCTION("GOOGLETRANSLATE($A2376,""en"",""zh-cn"")"),"梅迪奥·坎皮达诺")</f>
        <v>梅迪奥·坎皮达诺</v>
      </c>
      <c r="H2376" s="9" t="str">
        <f>IFERROR(__xludf.DUMMYFUNCTION("GOOGLETRANSLATE($A2376,""en"",""ja"")"),"メディオ カンピダーノ")</f>
        <v>メディオ カンピダーノ</v>
      </c>
      <c r="I2376" s="9" t="str">
        <f>IFERROR(__xludf.DUMMYFUNCTION("GOOGLETRANSLATE($A2376,""en"",""ko"")"),"메디오 캄피다노")</f>
        <v>메디오 캄피다노</v>
      </c>
      <c r="J2376" s="9" t="str">
        <f>IFERROR(__xludf.DUMMYFUNCTION("GOOGLETRANSLATE($A2376,""en"",""pt-BR"")"),"Médio Campidano")</f>
        <v>Médio Campidano</v>
      </c>
    </row>
    <row r="2377">
      <c r="A2377" s="9" t="str">
        <f>IFERROR(__xludf.DUMMYFUNCTION("""COMPUTED_VALUE"""),"Messina")</f>
        <v>Messina</v>
      </c>
      <c r="B2377" s="9" t="str">
        <f>IFERROR(__xludf.DUMMYFUNCTION("""COMPUTED_VALUE"""),"it-me")</f>
        <v>it-me</v>
      </c>
      <c r="C2377" s="9" t="str">
        <f>IFERROR(__xludf.DUMMYFUNCTION("GOOGLETRANSLATE($A2377,""en"",""de"")"),"Messina")</f>
        <v>Messina</v>
      </c>
      <c r="D2377" s="9" t="str">
        <f>IFERROR(__xludf.DUMMYFUNCTION("GOOGLETRANSLATE($A2377,""en"",""fr"")"),"Messine")</f>
        <v>Messine</v>
      </c>
      <c r="E2377" s="9" t="str">
        <f>IFERROR(__xludf.DUMMYFUNCTION("GOOGLETRANSLATE($A2377,""en"",""es"")"),"Mesina")</f>
        <v>Mesina</v>
      </c>
      <c r="F2377" s="9" t="str">
        <f>IFERROR(__xludf.DUMMYFUNCTION("GOOGLETRANSLATE($A2377,""en"",""it"")"),"Messina")</f>
        <v>Messina</v>
      </c>
      <c r="G2377" s="9" t="str">
        <f>IFERROR(__xludf.DUMMYFUNCTION("GOOGLETRANSLATE($A2377,""en"",""zh-cn"")"),"墨西拿")</f>
        <v>墨西拿</v>
      </c>
      <c r="H2377" s="9" t="str">
        <f>IFERROR(__xludf.DUMMYFUNCTION("GOOGLETRANSLATE($A2377,""en"",""ja"")"),"メッシーナ")</f>
        <v>メッシーナ</v>
      </c>
      <c r="I2377" s="9" t="str">
        <f>IFERROR(__xludf.DUMMYFUNCTION("GOOGLETRANSLATE($A2377,""en"",""ko"")"),"메시나")</f>
        <v>메시나</v>
      </c>
      <c r="J2377" s="9" t="str">
        <f>IFERROR(__xludf.DUMMYFUNCTION("GOOGLETRANSLATE($A2377,""en"",""pt-BR"")"),"Messina")</f>
        <v>Messina</v>
      </c>
    </row>
    <row r="2378">
      <c r="A2378" s="9" t="str">
        <f>IFERROR(__xludf.DUMMYFUNCTION("""COMPUTED_VALUE"""),"Milan")</f>
        <v>Milan</v>
      </c>
      <c r="B2378" s="9" t="str">
        <f>IFERROR(__xludf.DUMMYFUNCTION("""COMPUTED_VALUE"""),"it-mi")</f>
        <v>it-mi</v>
      </c>
      <c r="C2378" s="9" t="str">
        <f>IFERROR(__xludf.DUMMYFUNCTION("GOOGLETRANSLATE($A2378,""en"",""de"")"),"Mailand")</f>
        <v>Mailand</v>
      </c>
      <c r="D2378" s="9" t="str">
        <f>IFERROR(__xludf.DUMMYFUNCTION("GOOGLETRANSLATE($A2378,""en"",""fr"")"),"Milan")</f>
        <v>Milan</v>
      </c>
      <c r="E2378" s="9" t="str">
        <f>IFERROR(__xludf.DUMMYFUNCTION("GOOGLETRANSLATE($A2378,""en"",""es"")"),"Milán")</f>
        <v>Milán</v>
      </c>
      <c r="F2378" s="9" t="str">
        <f>IFERROR(__xludf.DUMMYFUNCTION("GOOGLETRANSLATE($A2378,""en"",""it"")"),"Milano")</f>
        <v>Milano</v>
      </c>
      <c r="G2378" s="9" t="str">
        <f>IFERROR(__xludf.DUMMYFUNCTION("GOOGLETRANSLATE($A2378,""en"",""zh-cn"")"),"米兰")</f>
        <v>米兰</v>
      </c>
      <c r="H2378" s="9" t="str">
        <f>IFERROR(__xludf.DUMMYFUNCTION("GOOGLETRANSLATE($A2378,""en"",""ja"")"),"ミラノ")</f>
        <v>ミラノ</v>
      </c>
      <c r="I2378" s="9" t="str">
        <f>IFERROR(__xludf.DUMMYFUNCTION("GOOGLETRANSLATE($A2378,""en"",""ko"")"),"밀라노")</f>
        <v>밀라노</v>
      </c>
      <c r="J2378" s="9" t="str">
        <f>IFERROR(__xludf.DUMMYFUNCTION("GOOGLETRANSLATE($A2378,""en"",""pt-BR"")"),"Milão")</f>
        <v>Milão</v>
      </c>
    </row>
    <row r="2379">
      <c r="A2379" s="9" t="str">
        <f>IFERROR(__xludf.DUMMYFUNCTION("""COMPUTED_VALUE"""),"Modena")</f>
        <v>Modena</v>
      </c>
      <c r="B2379" s="9" t="str">
        <f>IFERROR(__xludf.DUMMYFUNCTION("""COMPUTED_VALUE"""),"it-mo")</f>
        <v>it-mo</v>
      </c>
      <c r="C2379" s="9" t="str">
        <f>IFERROR(__xludf.DUMMYFUNCTION("GOOGLETRANSLATE($A2379,""en"",""de"")"),"Modena")</f>
        <v>Modena</v>
      </c>
      <c r="D2379" s="9" t="str">
        <f>IFERROR(__xludf.DUMMYFUNCTION("GOOGLETRANSLATE($A2379,""en"",""fr"")"),"Modène")</f>
        <v>Modène</v>
      </c>
      <c r="E2379" s="9" t="str">
        <f>IFERROR(__xludf.DUMMYFUNCTION("GOOGLETRANSLATE($A2379,""en"",""es"")"),"Módena")</f>
        <v>Módena</v>
      </c>
      <c r="F2379" s="9" t="str">
        <f>IFERROR(__xludf.DUMMYFUNCTION("GOOGLETRANSLATE($A2379,""en"",""it"")"),"Modenese")</f>
        <v>Modenese</v>
      </c>
      <c r="G2379" s="9" t="str">
        <f>IFERROR(__xludf.DUMMYFUNCTION("GOOGLETRANSLATE($A2379,""en"",""zh-cn"")"),"摩德纳")</f>
        <v>摩德纳</v>
      </c>
      <c r="H2379" s="9" t="str">
        <f>IFERROR(__xludf.DUMMYFUNCTION("GOOGLETRANSLATE($A2379,""en"",""ja"")"),"モデナ")</f>
        <v>モデナ</v>
      </c>
      <c r="I2379" s="9" t="str">
        <f>IFERROR(__xludf.DUMMYFUNCTION("GOOGLETRANSLATE($A2379,""en"",""ko"")"),"모데나")</f>
        <v>모데나</v>
      </c>
      <c r="J2379" s="9" t="str">
        <f>IFERROR(__xludf.DUMMYFUNCTION("GOOGLETRANSLATE($A2379,""en"",""pt-BR"")"),"Módena")</f>
        <v>Módena</v>
      </c>
    </row>
    <row r="2380">
      <c r="A2380" s="9" t="str">
        <f>IFERROR(__xludf.DUMMYFUNCTION("""COMPUTED_VALUE"""),"Macerata")</f>
        <v>Macerata</v>
      </c>
      <c r="B2380" s="9" t="str">
        <f>IFERROR(__xludf.DUMMYFUNCTION("""COMPUTED_VALUE"""),"it-mc")</f>
        <v>it-mc</v>
      </c>
      <c r="C2380" s="9" t="str">
        <f>IFERROR(__xludf.DUMMYFUNCTION("GOOGLETRANSLATE($A2380,""en"",""de"")"),"Macerata")</f>
        <v>Macerata</v>
      </c>
      <c r="D2380" s="9" t="str">
        <f>IFERROR(__xludf.DUMMYFUNCTION("GOOGLETRANSLATE($A2380,""en"",""fr"")"),"Macérata")</f>
        <v>Macérata</v>
      </c>
      <c r="E2380" s="9" t="str">
        <f>IFERROR(__xludf.DUMMYFUNCTION("GOOGLETRANSLATE($A2380,""en"",""es"")"),"Macerata")</f>
        <v>Macerata</v>
      </c>
      <c r="F2380" s="9" t="str">
        <f>IFERROR(__xludf.DUMMYFUNCTION("GOOGLETRANSLATE($A2380,""en"",""it"")"),"Macerata")</f>
        <v>Macerata</v>
      </c>
      <c r="G2380" s="9" t="str">
        <f>IFERROR(__xludf.DUMMYFUNCTION("GOOGLETRANSLATE($A2380,""en"",""zh-cn"")"),"马切拉塔")</f>
        <v>马切拉塔</v>
      </c>
      <c r="H2380" s="9" t="str">
        <f>IFERROR(__xludf.DUMMYFUNCTION("GOOGLETRANSLATE($A2380,""en"",""ja"")"),"マチェラータ")</f>
        <v>マチェラータ</v>
      </c>
      <c r="I2380" s="9" t="str">
        <f>IFERROR(__xludf.DUMMYFUNCTION("GOOGLETRANSLATE($A2380,""en"",""ko"")"),"마체라타")</f>
        <v>마체라타</v>
      </c>
      <c r="J2380" s="9" t="str">
        <f>IFERROR(__xludf.DUMMYFUNCTION("GOOGLETRANSLATE($A2380,""en"",""pt-BR"")"),"Macerata")</f>
        <v>Macerata</v>
      </c>
    </row>
    <row r="2381">
      <c r="A2381" s="9" t="str">
        <f>IFERROR(__xludf.DUMMYFUNCTION("""COMPUTED_VALUE"""),"Mantua")</f>
        <v>Mantua</v>
      </c>
      <c r="B2381" s="9" t="str">
        <f>IFERROR(__xludf.DUMMYFUNCTION("""COMPUTED_VALUE"""),"it-mn")</f>
        <v>it-mn</v>
      </c>
      <c r="C2381" s="9" t="str">
        <f>IFERROR(__xludf.DUMMYFUNCTION("GOOGLETRANSLATE($A2381,""en"",""de"")"),"Mantua")</f>
        <v>Mantua</v>
      </c>
      <c r="D2381" s="9" t="str">
        <f>IFERROR(__xludf.DUMMYFUNCTION("GOOGLETRANSLATE($A2381,""en"",""fr"")"),"Mantoue")</f>
        <v>Mantoue</v>
      </c>
      <c r="E2381" s="9" t="str">
        <f>IFERROR(__xludf.DUMMYFUNCTION("GOOGLETRANSLATE($A2381,""en"",""es"")"),"mantua")</f>
        <v>mantua</v>
      </c>
      <c r="F2381" s="9" t="str">
        <f>IFERROR(__xludf.DUMMYFUNCTION("GOOGLETRANSLATE($A2381,""en"",""it"")"),"Mantova")</f>
        <v>Mantova</v>
      </c>
      <c r="G2381" s="9" t="str">
        <f>IFERROR(__xludf.DUMMYFUNCTION("GOOGLETRANSLATE($A2381,""en"",""zh-cn"")"),"曼图亚")</f>
        <v>曼图亚</v>
      </c>
      <c r="H2381" s="9" t="str">
        <f>IFERROR(__xludf.DUMMYFUNCTION("GOOGLETRANSLATE($A2381,""en"",""ja"")"),"マントヴァ")</f>
        <v>マントヴァ</v>
      </c>
      <c r="I2381" s="9" t="str">
        <f>IFERROR(__xludf.DUMMYFUNCTION("GOOGLETRANSLATE($A2381,""en"",""ko"")"),"만토바")</f>
        <v>만토바</v>
      </c>
      <c r="J2381" s="9" t="str">
        <f>IFERROR(__xludf.DUMMYFUNCTION("GOOGLETRANSLATE($A2381,""en"",""pt-BR"")"),"Mântua")</f>
        <v>Mântua</v>
      </c>
    </row>
    <row r="2382">
      <c r="A2382" s="9" t="str">
        <f>IFERROR(__xludf.DUMMYFUNCTION("""COMPUTED_VALUE"""),"Massa-Carrara")</f>
        <v>Massa-Carrara</v>
      </c>
      <c r="B2382" s="9" t="str">
        <f>IFERROR(__xludf.DUMMYFUNCTION("""COMPUTED_VALUE"""),"it-ms")</f>
        <v>it-ms</v>
      </c>
      <c r="C2382" s="9" t="str">
        <f>IFERROR(__xludf.DUMMYFUNCTION("GOOGLETRANSLATE($A2382,""en"",""de"")"),"Massa-Carrara")</f>
        <v>Massa-Carrara</v>
      </c>
      <c r="D2382" s="9" t="str">
        <f>IFERROR(__xludf.DUMMYFUNCTION("GOOGLETRANSLATE($A2382,""en"",""fr"")"),"Massa-Carrara")</f>
        <v>Massa-Carrara</v>
      </c>
      <c r="E2382" s="9" t="str">
        <f>IFERROR(__xludf.DUMMYFUNCTION("GOOGLETRANSLATE($A2382,""en"",""es"")"),"Massa-Carrara")</f>
        <v>Massa-Carrara</v>
      </c>
      <c r="F2382" s="9" t="str">
        <f>IFERROR(__xludf.DUMMYFUNCTION("GOOGLETRANSLATE($A2382,""en"",""it"")"),"Massa-Carrara")</f>
        <v>Massa-Carrara</v>
      </c>
      <c r="G2382" s="9" t="str">
        <f>IFERROR(__xludf.DUMMYFUNCTION("GOOGLETRANSLATE($A2382,""en"",""zh-cn"")"),"马萨-卡拉拉")</f>
        <v>马萨-卡拉拉</v>
      </c>
      <c r="H2382" s="9" t="str">
        <f>IFERROR(__xludf.DUMMYFUNCTION("GOOGLETRANSLATE($A2382,""en"",""ja"")"),"マッサ・カラーラ")</f>
        <v>マッサ・カラーラ</v>
      </c>
      <c r="I2382" s="9" t="str">
        <f>IFERROR(__xludf.DUMMYFUNCTION("GOOGLETRANSLATE($A2382,""en"",""ko"")"),"마사카라라")</f>
        <v>마사카라라</v>
      </c>
      <c r="J2382" s="9" t="str">
        <f>IFERROR(__xludf.DUMMYFUNCTION("GOOGLETRANSLATE($A2382,""en"",""pt-BR"")"),"Massa Carrara")</f>
        <v>Massa Carrara</v>
      </c>
    </row>
    <row r="2383">
      <c r="A2383" s="9" t="str">
        <f>IFERROR(__xludf.DUMMYFUNCTION("""COMPUTED_VALUE"""),"Matera")</f>
        <v>Matera</v>
      </c>
      <c r="B2383" s="9" t="str">
        <f>IFERROR(__xludf.DUMMYFUNCTION("""COMPUTED_VALUE"""),"it-mt")</f>
        <v>it-mt</v>
      </c>
      <c r="C2383" s="9" t="str">
        <f>IFERROR(__xludf.DUMMYFUNCTION("GOOGLETRANSLATE($A2383,""en"",""de"")"),"Matera")</f>
        <v>Matera</v>
      </c>
      <c r="D2383" s="9" t="str">
        <f>IFERROR(__xludf.DUMMYFUNCTION("GOOGLETRANSLATE($A2383,""en"",""fr"")"),"Matera")</f>
        <v>Matera</v>
      </c>
      <c r="E2383" s="9" t="str">
        <f>IFERROR(__xludf.DUMMYFUNCTION("GOOGLETRANSLATE($A2383,""en"",""es"")"),"matera")</f>
        <v>matera</v>
      </c>
      <c r="F2383" s="9" t="str">
        <f>IFERROR(__xludf.DUMMYFUNCTION("GOOGLETRANSLATE($A2383,""en"",""it"")"),"Matera")</f>
        <v>Matera</v>
      </c>
      <c r="G2383" s="9" t="str">
        <f>IFERROR(__xludf.DUMMYFUNCTION("GOOGLETRANSLATE($A2383,""en"",""zh-cn"")"),"马泰拉")</f>
        <v>马泰拉</v>
      </c>
      <c r="H2383" s="9" t="str">
        <f>IFERROR(__xludf.DUMMYFUNCTION("GOOGLETRANSLATE($A2383,""en"",""ja"")"),"マテーラ")</f>
        <v>マテーラ</v>
      </c>
      <c r="I2383" s="9" t="str">
        <f>IFERROR(__xludf.DUMMYFUNCTION("GOOGLETRANSLATE($A2383,""en"",""ko"")"),"마테라")</f>
        <v>마테라</v>
      </c>
      <c r="J2383" s="9" t="str">
        <f>IFERROR(__xludf.DUMMYFUNCTION("GOOGLETRANSLATE($A2383,""en"",""pt-BR"")"),"Matera")</f>
        <v>Matera</v>
      </c>
    </row>
    <row r="2384">
      <c r="A2384" s="9" t="str">
        <f>IFERROR(__xludf.DUMMYFUNCTION("""COMPUTED_VALUE"""),"Lecco")</f>
        <v>Lecco</v>
      </c>
      <c r="B2384" s="9" t="str">
        <f>IFERROR(__xludf.DUMMYFUNCTION("""COMPUTED_VALUE"""),"it-lc")</f>
        <v>it-lc</v>
      </c>
      <c r="C2384" s="9" t="str">
        <f>IFERROR(__xludf.DUMMYFUNCTION("GOOGLETRANSLATE($A2384,""en"",""de"")"),"Lecco")</f>
        <v>Lecco</v>
      </c>
      <c r="D2384" s="9" t="str">
        <f>IFERROR(__xludf.DUMMYFUNCTION("GOOGLETRANSLATE($A2384,""en"",""fr"")"),"Lecco")</f>
        <v>Lecco</v>
      </c>
      <c r="E2384" s="9" t="str">
        <f>IFERROR(__xludf.DUMMYFUNCTION("GOOGLETRANSLATE($A2384,""en"",""es"")"),"Lecco")</f>
        <v>Lecco</v>
      </c>
      <c r="F2384" s="9" t="str">
        <f>IFERROR(__xludf.DUMMYFUNCTION("GOOGLETRANSLATE($A2384,""en"",""it"")"),"Lecco")</f>
        <v>Lecco</v>
      </c>
      <c r="G2384" s="9" t="str">
        <f>IFERROR(__xludf.DUMMYFUNCTION("GOOGLETRANSLATE($A2384,""en"",""zh-cn"")"),"莱科")</f>
        <v>莱科</v>
      </c>
      <c r="H2384" s="9" t="str">
        <f>IFERROR(__xludf.DUMMYFUNCTION("GOOGLETRANSLATE($A2384,""en"",""ja"")"),"レッコ")</f>
        <v>レッコ</v>
      </c>
      <c r="I2384" s="9" t="str">
        <f>IFERROR(__xludf.DUMMYFUNCTION("GOOGLETRANSLATE($A2384,""en"",""ko"")"),"레코")</f>
        <v>레코</v>
      </c>
      <c r="J2384" s="9" t="str">
        <f>IFERROR(__xludf.DUMMYFUNCTION("GOOGLETRANSLATE($A2384,""en"",""pt-BR"")"),"Lecco")</f>
        <v>Lecco</v>
      </c>
    </row>
    <row r="2385">
      <c r="A2385" s="9" t="str">
        <f>IFERROR(__xludf.DUMMYFUNCTION("""COMPUTED_VALUE"""),"Livorno")</f>
        <v>Livorno</v>
      </c>
      <c r="B2385" s="9" t="str">
        <f>IFERROR(__xludf.DUMMYFUNCTION("""COMPUTED_VALUE"""),"it-li")</f>
        <v>it-li</v>
      </c>
      <c r="C2385" s="9" t="str">
        <f>IFERROR(__xludf.DUMMYFUNCTION("GOOGLETRANSLATE($A2385,""en"",""de"")"),"Livorno")</f>
        <v>Livorno</v>
      </c>
      <c r="D2385" s="9" t="str">
        <f>IFERROR(__xludf.DUMMYFUNCTION("GOOGLETRANSLATE($A2385,""en"",""fr"")"),"Livourne")</f>
        <v>Livourne</v>
      </c>
      <c r="E2385" s="9" t="str">
        <f>IFERROR(__xludf.DUMMYFUNCTION("GOOGLETRANSLATE($A2385,""en"",""es"")"),"Livorno")</f>
        <v>Livorno</v>
      </c>
      <c r="F2385" s="9" t="str">
        <f>IFERROR(__xludf.DUMMYFUNCTION("GOOGLETRANSLATE($A2385,""en"",""it"")"),"Livorno")</f>
        <v>Livorno</v>
      </c>
      <c r="G2385" s="9" t="str">
        <f>IFERROR(__xludf.DUMMYFUNCTION("GOOGLETRANSLATE($A2385,""en"",""zh-cn"")"),"利沃诺")</f>
        <v>利沃诺</v>
      </c>
      <c r="H2385" s="9" t="str">
        <f>IFERROR(__xludf.DUMMYFUNCTION("GOOGLETRANSLATE($A2385,""en"",""ja"")"),"リボルノ")</f>
        <v>リボルノ</v>
      </c>
      <c r="I2385" s="9" t="str">
        <f>IFERROR(__xludf.DUMMYFUNCTION("GOOGLETRANSLATE($A2385,""en"",""ko"")"),"리보르노")</f>
        <v>리보르노</v>
      </c>
      <c r="J2385" s="9" t="str">
        <f>IFERROR(__xludf.DUMMYFUNCTION("GOOGLETRANSLATE($A2385,""en"",""pt-BR"")"),"Livorno")</f>
        <v>Livorno</v>
      </c>
    </row>
    <row r="2386">
      <c r="A2386" s="9" t="str">
        <f>IFERROR(__xludf.DUMMYFUNCTION("""COMPUTED_VALUE"""),"Lodi")</f>
        <v>Lodi</v>
      </c>
      <c r="B2386" s="9" t="str">
        <f>IFERROR(__xludf.DUMMYFUNCTION("""COMPUTED_VALUE"""),"it-lo")</f>
        <v>it-lo</v>
      </c>
      <c r="C2386" s="9" t="str">
        <f>IFERROR(__xludf.DUMMYFUNCTION("GOOGLETRANSLATE($A2386,""en"",""de"")"),"Lodi")</f>
        <v>Lodi</v>
      </c>
      <c r="D2386" s="9" t="str">
        <f>IFERROR(__xludf.DUMMYFUNCTION("GOOGLETRANSLATE($A2386,""en"",""fr"")"),"Lodie")</f>
        <v>Lodie</v>
      </c>
      <c r="E2386" s="9" t="str">
        <f>IFERROR(__xludf.DUMMYFUNCTION("GOOGLETRANSLATE($A2386,""en"",""es"")"),"lodi")</f>
        <v>lodi</v>
      </c>
      <c r="F2386" s="9" t="str">
        <f>IFERROR(__xludf.DUMMYFUNCTION("GOOGLETRANSLATE($A2386,""en"",""it"")"),"Lodi")</f>
        <v>Lodi</v>
      </c>
      <c r="G2386" s="9" t="str">
        <f>IFERROR(__xludf.DUMMYFUNCTION("GOOGLETRANSLATE($A2386,""en"",""zh-cn"")"),"洛迪")</f>
        <v>洛迪</v>
      </c>
      <c r="H2386" s="9" t="str">
        <f>IFERROR(__xludf.DUMMYFUNCTION("GOOGLETRANSLATE($A2386,""en"",""ja"")"),"ロディ")</f>
        <v>ロディ</v>
      </c>
      <c r="I2386" s="9" t="str">
        <f>IFERROR(__xludf.DUMMYFUNCTION("GOOGLETRANSLATE($A2386,""en"",""ko"")"),"로디")</f>
        <v>로디</v>
      </c>
      <c r="J2386" s="9" t="str">
        <f>IFERROR(__xludf.DUMMYFUNCTION("GOOGLETRANSLATE($A2386,""en"",""pt-BR"")"),"Lodi")</f>
        <v>Lodi</v>
      </c>
    </row>
    <row r="2387">
      <c r="A2387" s="9" t="str">
        <f>IFERROR(__xludf.DUMMYFUNCTION("""COMPUTED_VALUE"""),"Lucca")</f>
        <v>Lucca</v>
      </c>
      <c r="B2387" s="9" t="str">
        <f>IFERROR(__xludf.DUMMYFUNCTION("""COMPUTED_VALUE"""),"it-lu")</f>
        <v>it-lu</v>
      </c>
      <c r="C2387" s="9" t="str">
        <f>IFERROR(__xludf.DUMMYFUNCTION("GOOGLETRANSLATE($A2387,""en"",""de"")"),"Lucca")</f>
        <v>Lucca</v>
      </c>
      <c r="D2387" s="9" t="str">
        <f>IFERROR(__xludf.DUMMYFUNCTION("GOOGLETRANSLATE($A2387,""en"",""fr"")"),"Lucques")</f>
        <v>Lucques</v>
      </c>
      <c r="E2387" s="9" t="str">
        <f>IFERROR(__xludf.DUMMYFUNCTION("GOOGLETRANSLATE($A2387,""en"",""es"")"),"Luca")</f>
        <v>Luca</v>
      </c>
      <c r="F2387" s="9" t="str">
        <f>IFERROR(__xludf.DUMMYFUNCTION("GOOGLETRANSLATE($A2387,""en"",""it"")"),"Lucca")</f>
        <v>Lucca</v>
      </c>
      <c r="G2387" s="9" t="str">
        <f>IFERROR(__xludf.DUMMYFUNCTION("GOOGLETRANSLATE($A2387,""en"",""zh-cn"")"),"卢卡")</f>
        <v>卢卡</v>
      </c>
      <c r="H2387" s="9" t="str">
        <f>IFERROR(__xludf.DUMMYFUNCTION("GOOGLETRANSLATE($A2387,""en"",""ja"")"),"ルッカ")</f>
        <v>ルッカ</v>
      </c>
      <c r="I2387" s="9" t="str">
        <f>IFERROR(__xludf.DUMMYFUNCTION("GOOGLETRANSLATE($A2387,""en"",""ko"")"),"루카")</f>
        <v>루카</v>
      </c>
      <c r="J2387" s="9" t="str">
        <f>IFERROR(__xludf.DUMMYFUNCTION("GOOGLETRANSLATE($A2387,""en"",""pt-BR"")"),"Luca")</f>
        <v>Luca</v>
      </c>
    </row>
    <row r="2388">
      <c r="A2388" s="9" t="str">
        <f>IFERROR(__xludf.DUMMYFUNCTION("""COMPUTED_VALUE"""),"Pesaro and Urbino")</f>
        <v>Pesaro and Urbino</v>
      </c>
      <c r="B2388" s="9" t="str">
        <f>IFERROR(__xludf.DUMMYFUNCTION("""COMPUTED_VALUE"""),"it-pu")</f>
        <v>it-pu</v>
      </c>
      <c r="C2388" s="9" t="str">
        <f>IFERROR(__xludf.DUMMYFUNCTION("GOOGLETRANSLATE($A2388,""en"",""de"")"),"Pesaro und Urbino")</f>
        <v>Pesaro und Urbino</v>
      </c>
      <c r="D2388" s="9" t="str">
        <f>IFERROR(__xludf.DUMMYFUNCTION("GOOGLETRANSLATE($A2388,""en"",""fr"")"),"Pesaro et Urbino")</f>
        <v>Pesaro et Urbino</v>
      </c>
      <c r="E2388" s="9" t="str">
        <f>IFERROR(__xludf.DUMMYFUNCTION("GOOGLETRANSLATE($A2388,""en"",""es"")"),"Pésaro y Urbino")</f>
        <v>Pésaro y Urbino</v>
      </c>
      <c r="F2388" s="9" t="str">
        <f>IFERROR(__xludf.DUMMYFUNCTION("GOOGLETRANSLATE($A2388,""en"",""it"")"),"Pesaro e Urbino")</f>
        <v>Pesaro e Urbino</v>
      </c>
      <c r="G2388" s="9" t="str">
        <f>IFERROR(__xludf.DUMMYFUNCTION("GOOGLETRANSLATE($A2388,""en"",""zh-cn"")"),"佩萨罗和乌尔比诺")</f>
        <v>佩萨罗和乌尔比诺</v>
      </c>
      <c r="H2388" s="9" t="str">
        <f>IFERROR(__xludf.DUMMYFUNCTION("GOOGLETRANSLATE($A2388,""en"",""ja"")"),"ペーザロとウルビーノ")</f>
        <v>ペーザロとウルビーノ</v>
      </c>
      <c r="I2388" s="9" t="str">
        <f>IFERROR(__xludf.DUMMYFUNCTION("GOOGLETRANSLATE($A2388,""en"",""ko"")"),"페자로와 우르비노")</f>
        <v>페자로와 우르비노</v>
      </c>
      <c r="J2388" s="9" t="str">
        <f>IFERROR(__xludf.DUMMYFUNCTION("GOOGLETRANSLATE($A2388,""en"",""pt-BR"")"),"Pésaro e Urbino")</f>
        <v>Pésaro e Urbino</v>
      </c>
    </row>
    <row r="2389">
      <c r="A2389" s="9" t="str">
        <f>IFERROR(__xludf.DUMMYFUNCTION("""COMPUTED_VALUE"""),"Pescara")</f>
        <v>Pescara</v>
      </c>
      <c r="B2389" s="9" t="str">
        <f>IFERROR(__xludf.DUMMYFUNCTION("""COMPUTED_VALUE"""),"it-pe")</f>
        <v>it-pe</v>
      </c>
      <c r="C2389" s="9" t="str">
        <f>IFERROR(__xludf.DUMMYFUNCTION("GOOGLETRANSLATE($A2389,""en"",""de"")"),"Pescara")</f>
        <v>Pescara</v>
      </c>
      <c r="D2389" s="9" t="str">
        <f>IFERROR(__xludf.DUMMYFUNCTION("GOOGLETRANSLATE($A2389,""en"",""fr"")"),"Pescara")</f>
        <v>Pescara</v>
      </c>
      <c r="E2389" s="9" t="str">
        <f>IFERROR(__xludf.DUMMYFUNCTION("GOOGLETRANSLATE($A2389,""en"",""es"")"),"Pescara")</f>
        <v>Pescara</v>
      </c>
      <c r="F2389" s="9" t="str">
        <f>IFERROR(__xludf.DUMMYFUNCTION("GOOGLETRANSLATE($A2389,""en"",""it"")"),"Pescara")</f>
        <v>Pescara</v>
      </c>
      <c r="G2389" s="9" t="str">
        <f>IFERROR(__xludf.DUMMYFUNCTION("GOOGLETRANSLATE($A2389,""en"",""zh-cn"")"),"佩斯卡拉")</f>
        <v>佩斯卡拉</v>
      </c>
      <c r="H2389" s="9" t="str">
        <f>IFERROR(__xludf.DUMMYFUNCTION("GOOGLETRANSLATE($A2389,""en"",""ja"")"),"ペスカーラ")</f>
        <v>ペスカーラ</v>
      </c>
      <c r="I2389" s="9" t="str">
        <f>IFERROR(__xludf.DUMMYFUNCTION("GOOGLETRANSLATE($A2389,""en"",""ko"")"),"페스카라")</f>
        <v>페스카라</v>
      </c>
      <c r="J2389" s="9" t="str">
        <f>IFERROR(__xludf.DUMMYFUNCTION("GOOGLETRANSLATE($A2389,""en"",""pt-BR"")"),"Pescara")</f>
        <v>Pescara</v>
      </c>
    </row>
    <row r="2390">
      <c r="A2390" s="9" t="str">
        <f>IFERROR(__xludf.DUMMYFUNCTION("""COMPUTED_VALUE"""),"Palermo")</f>
        <v>Palermo</v>
      </c>
      <c r="B2390" s="9" t="str">
        <f>IFERROR(__xludf.DUMMYFUNCTION("""COMPUTED_VALUE"""),"it-pa")</f>
        <v>it-pa</v>
      </c>
      <c r="C2390" s="9" t="str">
        <f>IFERROR(__xludf.DUMMYFUNCTION("GOOGLETRANSLATE($A2390,""en"",""de"")"),"Palermo")</f>
        <v>Palermo</v>
      </c>
      <c r="D2390" s="9" t="str">
        <f>IFERROR(__xludf.DUMMYFUNCTION("GOOGLETRANSLATE($A2390,""en"",""fr"")"),"Palerme")</f>
        <v>Palerme</v>
      </c>
      <c r="E2390" s="9" t="str">
        <f>IFERROR(__xludf.DUMMYFUNCTION("GOOGLETRANSLATE($A2390,""en"",""es"")"),"palermo")</f>
        <v>palermo</v>
      </c>
      <c r="F2390" s="9" t="str">
        <f>IFERROR(__xludf.DUMMYFUNCTION("GOOGLETRANSLATE($A2390,""en"",""it"")"),"Palermo")</f>
        <v>Palermo</v>
      </c>
      <c r="G2390" s="9" t="str">
        <f>IFERROR(__xludf.DUMMYFUNCTION("GOOGLETRANSLATE($A2390,""en"",""zh-cn"")"),"巴勒莫")</f>
        <v>巴勒莫</v>
      </c>
      <c r="H2390" s="9" t="str">
        <f>IFERROR(__xludf.DUMMYFUNCTION("GOOGLETRANSLATE($A2390,""en"",""ja"")"),"パレルモ")</f>
        <v>パレルモ</v>
      </c>
      <c r="I2390" s="9" t="str">
        <f>IFERROR(__xludf.DUMMYFUNCTION("GOOGLETRANSLATE($A2390,""en"",""ko"")"),"팔레르모")</f>
        <v>팔레르모</v>
      </c>
      <c r="J2390" s="9" t="str">
        <f>IFERROR(__xludf.DUMMYFUNCTION("GOOGLETRANSLATE($A2390,""en"",""pt-BR"")"),"Palermo")</f>
        <v>Palermo</v>
      </c>
    </row>
    <row r="2391">
      <c r="A2391" s="9" t="str">
        <f>IFERROR(__xludf.DUMMYFUNCTION("""COMPUTED_VALUE"""),"Parma")</f>
        <v>Parma</v>
      </c>
      <c r="B2391" s="9" t="str">
        <f>IFERROR(__xludf.DUMMYFUNCTION("""COMPUTED_VALUE"""),"it-pr")</f>
        <v>it-pr</v>
      </c>
      <c r="C2391" s="9" t="str">
        <f>IFERROR(__xludf.DUMMYFUNCTION("GOOGLETRANSLATE($A2391,""en"",""de"")"),"Parma")</f>
        <v>Parma</v>
      </c>
      <c r="D2391" s="9" t="str">
        <f>IFERROR(__xludf.DUMMYFUNCTION("GOOGLETRANSLATE($A2391,""en"",""fr"")"),"Parme")</f>
        <v>Parme</v>
      </c>
      <c r="E2391" s="9" t="str">
        <f>IFERROR(__xludf.DUMMYFUNCTION("GOOGLETRANSLATE($A2391,""en"",""es"")"),"Parma")</f>
        <v>Parma</v>
      </c>
      <c r="F2391" s="9" t="str">
        <f>IFERROR(__xludf.DUMMYFUNCTION("GOOGLETRANSLATE($A2391,""en"",""it"")"),"Parma")</f>
        <v>Parma</v>
      </c>
      <c r="G2391" s="9" t="str">
        <f>IFERROR(__xludf.DUMMYFUNCTION("GOOGLETRANSLATE($A2391,""en"",""zh-cn"")"),"帕尔马")</f>
        <v>帕尔马</v>
      </c>
      <c r="H2391" s="9" t="str">
        <f>IFERROR(__xludf.DUMMYFUNCTION("GOOGLETRANSLATE($A2391,""en"",""ja"")"),"パルマ")</f>
        <v>パルマ</v>
      </c>
      <c r="I2391" s="9" t="str">
        <f>IFERROR(__xludf.DUMMYFUNCTION("GOOGLETRANSLATE($A2391,""en"",""ko"")"),"파르마")</f>
        <v>파르마</v>
      </c>
      <c r="J2391" s="9" t="str">
        <f>IFERROR(__xludf.DUMMYFUNCTION("GOOGLETRANSLATE($A2391,""en"",""pt-BR"")"),"Parma")</f>
        <v>Parma</v>
      </c>
    </row>
    <row r="2392">
      <c r="A2392" s="9" t="str">
        <f>IFERROR(__xludf.DUMMYFUNCTION("""COMPUTED_VALUE"""),"Pavia")</f>
        <v>Pavia</v>
      </c>
      <c r="B2392" s="9" t="str">
        <f>IFERROR(__xludf.DUMMYFUNCTION("""COMPUTED_VALUE"""),"it-pv")</f>
        <v>it-pv</v>
      </c>
      <c r="C2392" s="9" t="str">
        <f>IFERROR(__xludf.DUMMYFUNCTION("GOOGLETRANSLATE($A2392,""en"",""de"")"),"Pavia")</f>
        <v>Pavia</v>
      </c>
      <c r="D2392" s="9" t="str">
        <f>IFERROR(__xludf.DUMMYFUNCTION("GOOGLETRANSLATE($A2392,""en"",""fr"")"),"Pavie")</f>
        <v>Pavie</v>
      </c>
      <c r="E2392" s="9" t="str">
        <f>IFERROR(__xludf.DUMMYFUNCTION("GOOGLETRANSLATE($A2392,""en"",""es"")"),"Pavía")</f>
        <v>Pavía</v>
      </c>
      <c r="F2392" s="9" t="str">
        <f>IFERROR(__xludf.DUMMYFUNCTION("GOOGLETRANSLATE($A2392,""en"",""it"")"),"Pavia")</f>
        <v>Pavia</v>
      </c>
      <c r="G2392" s="9" t="str">
        <f>IFERROR(__xludf.DUMMYFUNCTION("GOOGLETRANSLATE($A2392,""en"",""zh-cn"")"),"帕维亚")</f>
        <v>帕维亚</v>
      </c>
      <c r="H2392" s="9" t="str">
        <f>IFERROR(__xludf.DUMMYFUNCTION("GOOGLETRANSLATE($A2392,""en"",""ja"")"),"パヴィア")</f>
        <v>パヴィア</v>
      </c>
      <c r="I2392" s="9" t="str">
        <f>IFERROR(__xludf.DUMMYFUNCTION("GOOGLETRANSLATE($A2392,""en"",""ko"")"),"파비아")</f>
        <v>파비아</v>
      </c>
      <c r="J2392" s="9" t="str">
        <f>IFERROR(__xludf.DUMMYFUNCTION("GOOGLETRANSLATE($A2392,""en"",""pt-BR"")"),"Pávia")</f>
        <v>Pávia</v>
      </c>
    </row>
    <row r="2393">
      <c r="A2393" s="9" t="str">
        <f>IFERROR(__xludf.DUMMYFUNCTION("""COMPUTED_VALUE"""),"Perugia")</f>
        <v>Perugia</v>
      </c>
      <c r="B2393" s="9" t="str">
        <f>IFERROR(__xludf.DUMMYFUNCTION("""COMPUTED_VALUE"""),"it-pg")</f>
        <v>it-pg</v>
      </c>
      <c r="C2393" s="9" t="str">
        <f>IFERROR(__xludf.DUMMYFUNCTION("GOOGLETRANSLATE($A2393,""en"",""de"")"),"Perugia")</f>
        <v>Perugia</v>
      </c>
      <c r="D2393" s="9" t="str">
        <f>IFERROR(__xludf.DUMMYFUNCTION("GOOGLETRANSLATE($A2393,""en"",""fr"")"),"Pérouse")</f>
        <v>Pérouse</v>
      </c>
      <c r="E2393" s="9" t="str">
        <f>IFERROR(__xludf.DUMMYFUNCTION("GOOGLETRANSLATE($A2393,""en"",""es"")"),"perugia")</f>
        <v>perugia</v>
      </c>
      <c r="F2393" s="9" t="str">
        <f>IFERROR(__xludf.DUMMYFUNCTION("GOOGLETRANSLATE($A2393,""en"",""it"")"),"Perugia")</f>
        <v>Perugia</v>
      </c>
      <c r="G2393" s="9" t="str">
        <f>IFERROR(__xludf.DUMMYFUNCTION("GOOGLETRANSLATE($A2393,""en"",""zh-cn"")"),"佩鲁贾")</f>
        <v>佩鲁贾</v>
      </c>
      <c r="H2393" s="9" t="str">
        <f>IFERROR(__xludf.DUMMYFUNCTION("GOOGLETRANSLATE($A2393,""en"",""ja"")"),"ペルージャ")</f>
        <v>ペルージャ</v>
      </c>
      <c r="I2393" s="9" t="str">
        <f>IFERROR(__xludf.DUMMYFUNCTION("GOOGLETRANSLATE($A2393,""en"",""ko"")"),"페루자")</f>
        <v>페루자</v>
      </c>
      <c r="J2393" s="9" t="str">
        <f>IFERROR(__xludf.DUMMYFUNCTION("GOOGLETRANSLATE($A2393,""en"",""pt-BR"")"),"Perúgia")</f>
        <v>Perúgia</v>
      </c>
    </row>
    <row r="2394">
      <c r="A2394" s="9" t="str">
        <f>IFERROR(__xludf.DUMMYFUNCTION("""COMPUTED_VALUE"""),"Ogliastra")</f>
        <v>Ogliastra</v>
      </c>
      <c r="B2394" s="9" t="str">
        <f>IFERROR(__xludf.DUMMYFUNCTION("""COMPUTED_VALUE"""),"it-og")</f>
        <v>it-og</v>
      </c>
      <c r="C2394" s="9" t="str">
        <f>IFERROR(__xludf.DUMMYFUNCTION("GOOGLETRANSLATE($A2394,""en"",""de"")"),"Ogliastra")</f>
        <v>Ogliastra</v>
      </c>
      <c r="D2394" s="9" t="str">
        <f>IFERROR(__xludf.DUMMYFUNCTION("GOOGLETRANSLATE($A2394,""en"",""fr"")"),"Ogliastre")</f>
        <v>Ogliastre</v>
      </c>
      <c r="E2394" s="9" t="str">
        <f>IFERROR(__xludf.DUMMYFUNCTION("GOOGLETRANSLATE($A2394,""en"",""es"")"),"Ogliastra")</f>
        <v>Ogliastra</v>
      </c>
      <c r="F2394" s="9" t="str">
        <f>IFERROR(__xludf.DUMMYFUNCTION("GOOGLETRANSLATE($A2394,""en"",""it"")"),"Ogliastra")</f>
        <v>Ogliastra</v>
      </c>
      <c r="G2394" s="9" t="str">
        <f>IFERROR(__xludf.DUMMYFUNCTION("GOOGLETRANSLATE($A2394,""en"",""zh-cn"")"),"奥利亚斯特拉")</f>
        <v>奥利亚斯特拉</v>
      </c>
      <c r="H2394" s="9" t="str">
        <f>IFERROR(__xludf.DUMMYFUNCTION("GOOGLETRANSLATE($A2394,""en"",""ja"")"),"オリアストラ")</f>
        <v>オリアストラ</v>
      </c>
      <c r="I2394" s="9" t="str">
        <f>IFERROR(__xludf.DUMMYFUNCTION("GOOGLETRANSLATE($A2394,""en"",""ko"")"),"올리아스트라")</f>
        <v>올리아스트라</v>
      </c>
      <c r="J2394" s="9" t="str">
        <f>IFERROR(__xludf.DUMMYFUNCTION("GOOGLETRANSLATE($A2394,""en"",""pt-BR"")"),"Ogliastra")</f>
        <v>Ogliastra</v>
      </c>
    </row>
    <row r="2395">
      <c r="A2395" s="9" t="str">
        <f>IFERROR(__xludf.DUMMYFUNCTION("""COMPUTED_VALUE"""),"Olbia-Tempio")</f>
        <v>Olbia-Tempio</v>
      </c>
      <c r="B2395" s="9" t="str">
        <f>IFERROR(__xludf.DUMMYFUNCTION("""COMPUTED_VALUE"""),"it-ot")</f>
        <v>it-ot</v>
      </c>
      <c r="C2395" s="9" t="str">
        <f>IFERROR(__xludf.DUMMYFUNCTION("GOOGLETRANSLATE($A2395,""en"",""de"")"),"Olbia-Tempio")</f>
        <v>Olbia-Tempio</v>
      </c>
      <c r="D2395" s="9" t="str">
        <f>IFERROR(__xludf.DUMMYFUNCTION("GOOGLETRANSLATE($A2395,""en"",""fr"")"),"Olbia-Tempio")</f>
        <v>Olbia-Tempio</v>
      </c>
      <c r="E2395" s="9" t="str">
        <f>IFERROR(__xludf.DUMMYFUNCTION("GOOGLETRANSLATE($A2395,""en"",""es"")"),"Olbia-Tempio")</f>
        <v>Olbia-Tempio</v>
      </c>
      <c r="F2395" s="9" t="str">
        <f>IFERROR(__xludf.DUMMYFUNCTION("GOOGLETRANSLATE($A2395,""en"",""it"")"),"Olbia-Tempio")</f>
        <v>Olbia-Tempio</v>
      </c>
      <c r="G2395" s="9" t="str">
        <f>IFERROR(__xludf.DUMMYFUNCTION("GOOGLETRANSLATE($A2395,""en"",""zh-cn"")"),"奥尔比亚-坦皮奥")</f>
        <v>奥尔比亚-坦皮奥</v>
      </c>
      <c r="H2395" s="9" t="str">
        <f>IFERROR(__xludf.DUMMYFUNCTION("GOOGLETRANSLATE($A2395,""en"",""ja"")"),"オルビア-テンピオ")</f>
        <v>オルビア-テンピオ</v>
      </c>
      <c r="I2395" s="9" t="str">
        <f>IFERROR(__xludf.DUMMYFUNCTION("GOOGLETRANSLATE($A2395,""en"",""ko"")"),"올비아-템피오")</f>
        <v>올비아-템피오</v>
      </c>
      <c r="J2395" s="9" t="str">
        <f>IFERROR(__xludf.DUMMYFUNCTION("GOOGLETRANSLATE($A2395,""en"",""pt-BR"")"),"Olbia-Tempio")</f>
        <v>Olbia-Tempio</v>
      </c>
    </row>
    <row r="2396">
      <c r="A2396" s="9" t="str">
        <f>IFERROR(__xludf.DUMMYFUNCTION("""COMPUTED_VALUE"""),"Oristano")</f>
        <v>Oristano</v>
      </c>
      <c r="B2396" s="9" t="str">
        <f>IFERROR(__xludf.DUMMYFUNCTION("""COMPUTED_VALUE"""),"it-or")</f>
        <v>it-or</v>
      </c>
      <c r="C2396" s="9" t="str">
        <f>IFERROR(__xludf.DUMMYFUNCTION("GOOGLETRANSLATE($A2396,""en"",""de"")"),"Oristano")</f>
        <v>Oristano</v>
      </c>
      <c r="D2396" s="9" t="str">
        <f>IFERROR(__xludf.DUMMYFUNCTION("GOOGLETRANSLATE($A2396,""en"",""fr"")"),"Oristano")</f>
        <v>Oristano</v>
      </c>
      <c r="E2396" s="9" t="str">
        <f>IFERROR(__xludf.DUMMYFUNCTION("GOOGLETRANSLATE($A2396,""en"",""es"")"),"Oristán")</f>
        <v>Oristán</v>
      </c>
      <c r="F2396" s="9" t="str">
        <f>IFERROR(__xludf.DUMMYFUNCTION("GOOGLETRANSLATE($A2396,""en"",""it"")"),"Oristano")</f>
        <v>Oristano</v>
      </c>
      <c r="G2396" s="9" t="str">
        <f>IFERROR(__xludf.DUMMYFUNCTION("GOOGLETRANSLATE($A2396,""en"",""zh-cn"")"),"奥里斯塔诺")</f>
        <v>奥里斯塔诺</v>
      </c>
      <c r="H2396" s="9" t="str">
        <f>IFERROR(__xludf.DUMMYFUNCTION("GOOGLETRANSLATE($A2396,""en"",""ja"")"),"オリスターノ")</f>
        <v>オリスターノ</v>
      </c>
      <c r="I2396" s="9" t="str">
        <f>IFERROR(__xludf.DUMMYFUNCTION("GOOGLETRANSLATE($A2396,""en"",""ko"")"),"오리스타노")</f>
        <v>오리스타노</v>
      </c>
      <c r="J2396" s="9" t="str">
        <f>IFERROR(__xludf.DUMMYFUNCTION("GOOGLETRANSLATE($A2396,""en"",""pt-BR"")"),"Oristano")</f>
        <v>Oristano</v>
      </c>
    </row>
    <row r="2397">
      <c r="A2397" s="9" t="str">
        <f>IFERROR(__xludf.DUMMYFUNCTION("""COMPUTED_VALUE"""),"Padua")</f>
        <v>Padua</v>
      </c>
      <c r="B2397" s="9" t="str">
        <f>IFERROR(__xludf.DUMMYFUNCTION("""COMPUTED_VALUE"""),"it-pd")</f>
        <v>it-pd</v>
      </c>
      <c r="C2397" s="9" t="str">
        <f>IFERROR(__xludf.DUMMYFUNCTION("GOOGLETRANSLATE($A2397,""en"",""de"")"),"Padua")</f>
        <v>Padua</v>
      </c>
      <c r="D2397" s="9" t="str">
        <f>IFERROR(__xludf.DUMMYFUNCTION("GOOGLETRANSLATE($A2397,""en"",""fr"")"),"Padoue")</f>
        <v>Padoue</v>
      </c>
      <c r="E2397" s="9" t="str">
        <f>IFERROR(__xludf.DUMMYFUNCTION("GOOGLETRANSLATE($A2397,""en"",""es"")"),"padua")</f>
        <v>padua</v>
      </c>
      <c r="F2397" s="9" t="str">
        <f>IFERROR(__xludf.DUMMYFUNCTION("GOOGLETRANSLATE($A2397,""en"",""it"")"),"Padova")</f>
        <v>Padova</v>
      </c>
      <c r="G2397" s="9" t="str">
        <f>IFERROR(__xludf.DUMMYFUNCTION("GOOGLETRANSLATE($A2397,""en"",""zh-cn"")"),"帕多瓦")</f>
        <v>帕多瓦</v>
      </c>
      <c r="H2397" s="9" t="str">
        <f>IFERROR(__xludf.DUMMYFUNCTION("GOOGLETRANSLATE($A2397,""en"",""ja"")"),"パドヴァ")</f>
        <v>パドヴァ</v>
      </c>
      <c r="I2397" s="9" t="str">
        <f>IFERROR(__xludf.DUMMYFUNCTION("GOOGLETRANSLATE($A2397,""en"",""ko"")"),"파도바")</f>
        <v>파도바</v>
      </c>
      <c r="J2397" s="9" t="str">
        <f>IFERROR(__xludf.DUMMYFUNCTION("GOOGLETRANSLATE($A2397,""en"",""pt-BR"")"),"Pádua")</f>
        <v>Pádua</v>
      </c>
    </row>
    <row r="2398">
      <c r="A2398" s="9" t="str">
        <f>IFERROR(__xludf.DUMMYFUNCTION("""COMPUTED_VALUE"""),"Aosta")</f>
        <v>Aosta</v>
      </c>
      <c r="B2398" s="9" t="str">
        <f>IFERROR(__xludf.DUMMYFUNCTION("""COMPUTED_VALUE"""),"it-ao")</f>
        <v>it-ao</v>
      </c>
      <c r="C2398" s="9" t="str">
        <f>IFERROR(__xludf.DUMMYFUNCTION("GOOGLETRANSLATE($A2398,""en"",""de"")"),"Aosta")</f>
        <v>Aosta</v>
      </c>
      <c r="D2398" s="9" t="str">
        <f>IFERROR(__xludf.DUMMYFUNCTION("GOOGLETRANSLATE($A2398,""en"",""fr"")"),"Aoste")</f>
        <v>Aoste</v>
      </c>
      <c r="E2398" s="9" t="str">
        <f>IFERROR(__xludf.DUMMYFUNCTION("GOOGLETRANSLATE($A2398,""en"",""es"")"),"Aosta")</f>
        <v>Aosta</v>
      </c>
      <c r="F2398" s="9" t="str">
        <f>IFERROR(__xludf.DUMMYFUNCTION("GOOGLETRANSLATE($A2398,""en"",""it"")"),"Aosta")</f>
        <v>Aosta</v>
      </c>
      <c r="G2398" s="9" t="str">
        <f>IFERROR(__xludf.DUMMYFUNCTION("GOOGLETRANSLATE($A2398,""en"",""zh-cn"")"),"奥斯塔")</f>
        <v>奥斯塔</v>
      </c>
      <c r="H2398" s="9" t="str">
        <f>IFERROR(__xludf.DUMMYFUNCTION("GOOGLETRANSLATE($A2398,""en"",""ja"")"),"アオスタ")</f>
        <v>アオスタ</v>
      </c>
      <c r="I2398" s="9" t="str">
        <f>IFERROR(__xludf.DUMMYFUNCTION("GOOGLETRANSLATE($A2398,""en"",""ko"")"),"아오스타")</f>
        <v>아오스타</v>
      </c>
      <c r="J2398" s="9" t="str">
        <f>IFERROR(__xludf.DUMMYFUNCTION("GOOGLETRANSLATE($A2398,""en"",""pt-BR"")"),"Aosta")</f>
        <v>Aosta</v>
      </c>
    </row>
    <row r="2399">
      <c r="A2399" s="9" t="str">
        <f>IFERROR(__xludf.DUMMYFUNCTION("""COMPUTED_VALUE"""),"Arezzo")</f>
        <v>Arezzo</v>
      </c>
      <c r="B2399" s="9" t="str">
        <f>IFERROR(__xludf.DUMMYFUNCTION("""COMPUTED_VALUE"""),"it-ar")</f>
        <v>it-ar</v>
      </c>
      <c r="C2399" s="9" t="str">
        <f>IFERROR(__xludf.DUMMYFUNCTION("GOOGLETRANSLATE($A2399,""en"",""de"")"),"Arezzo")</f>
        <v>Arezzo</v>
      </c>
      <c r="D2399" s="9" t="str">
        <f>IFERROR(__xludf.DUMMYFUNCTION("GOOGLETRANSLATE($A2399,""en"",""fr"")"),"Arezzo")</f>
        <v>Arezzo</v>
      </c>
      <c r="E2399" s="9" t="str">
        <f>IFERROR(__xludf.DUMMYFUNCTION("GOOGLETRANSLATE($A2399,""en"",""es"")"),"Arezzo")</f>
        <v>Arezzo</v>
      </c>
      <c r="F2399" s="9" t="str">
        <f>IFERROR(__xludf.DUMMYFUNCTION("GOOGLETRANSLATE($A2399,""en"",""it"")"),"Arezzo")</f>
        <v>Arezzo</v>
      </c>
      <c r="G2399" s="9" t="str">
        <f>IFERROR(__xludf.DUMMYFUNCTION("GOOGLETRANSLATE($A2399,""en"",""zh-cn"")"),"阿雷佐")</f>
        <v>阿雷佐</v>
      </c>
      <c r="H2399" s="9" t="str">
        <f>IFERROR(__xludf.DUMMYFUNCTION("GOOGLETRANSLATE($A2399,""en"",""ja"")"),"アレッツォ")</f>
        <v>アレッツォ</v>
      </c>
      <c r="I2399" s="9" t="str">
        <f>IFERROR(__xludf.DUMMYFUNCTION("GOOGLETRANSLATE($A2399,""en"",""ko"")"),"아레초")</f>
        <v>아레초</v>
      </c>
      <c r="J2399" s="9" t="str">
        <f>IFERROR(__xludf.DUMMYFUNCTION("GOOGLETRANSLATE($A2399,""en"",""pt-BR"")"),"Arezzo")</f>
        <v>Arezzo</v>
      </c>
    </row>
    <row r="2400">
      <c r="A2400" s="9" t="str">
        <f>IFERROR(__xludf.DUMMYFUNCTION("""COMPUTED_VALUE"""),"Ascoli Piceno")</f>
        <v>Ascoli Piceno</v>
      </c>
      <c r="B2400" s="9" t="str">
        <f>IFERROR(__xludf.DUMMYFUNCTION("""COMPUTED_VALUE"""),"it-ap")</f>
        <v>it-ap</v>
      </c>
      <c r="C2400" s="9" t="str">
        <f>IFERROR(__xludf.DUMMYFUNCTION("GOOGLETRANSLATE($A2400,""en"",""de"")"),"Ascoli Piceno")</f>
        <v>Ascoli Piceno</v>
      </c>
      <c r="D2400" s="9" t="str">
        <f>IFERROR(__xludf.DUMMYFUNCTION("GOOGLETRANSLATE($A2400,""en"",""fr"")"),"Ascoli Piceno")</f>
        <v>Ascoli Piceno</v>
      </c>
      <c r="E2400" s="9" t="str">
        <f>IFERROR(__xludf.DUMMYFUNCTION("GOOGLETRANSLATE($A2400,""en"",""es"")"),"Ascoli Piceno")</f>
        <v>Ascoli Piceno</v>
      </c>
      <c r="F2400" s="9" t="str">
        <f>IFERROR(__xludf.DUMMYFUNCTION("GOOGLETRANSLATE($A2400,""en"",""it"")"),"Ascoli Piceno")</f>
        <v>Ascoli Piceno</v>
      </c>
      <c r="G2400" s="9" t="str">
        <f>IFERROR(__xludf.DUMMYFUNCTION("GOOGLETRANSLATE($A2400,""en"",""zh-cn"")"),"阿斯科利皮切诺")</f>
        <v>阿斯科利皮切诺</v>
      </c>
      <c r="H2400" s="9" t="str">
        <f>IFERROR(__xludf.DUMMYFUNCTION("GOOGLETRANSLATE($A2400,""en"",""ja"")"),"アスコリ ピチェノ")</f>
        <v>アスコリ ピチェノ</v>
      </c>
      <c r="I2400" s="9" t="str">
        <f>IFERROR(__xludf.DUMMYFUNCTION("GOOGLETRANSLATE($A2400,""en"",""ko"")"),"아스콜리 피체노")</f>
        <v>아스콜리 피체노</v>
      </c>
      <c r="J2400" s="9" t="str">
        <f>IFERROR(__xludf.DUMMYFUNCTION("GOOGLETRANSLATE($A2400,""en"",""pt-BR"")"),"Ascoli Piceno")</f>
        <v>Ascoli Piceno</v>
      </c>
    </row>
    <row r="2401">
      <c r="A2401" s="9" t="str">
        <f>IFERROR(__xludf.DUMMYFUNCTION("""COMPUTED_VALUE"""),"Asti")</f>
        <v>Asti</v>
      </c>
      <c r="B2401" s="9" t="str">
        <f>IFERROR(__xludf.DUMMYFUNCTION("""COMPUTED_VALUE"""),"it-at")</f>
        <v>it-at</v>
      </c>
      <c r="C2401" s="9" t="str">
        <f>IFERROR(__xludf.DUMMYFUNCTION("GOOGLETRANSLATE($A2401,""en"",""de"")"),"Asti")</f>
        <v>Asti</v>
      </c>
      <c r="D2401" s="9" t="str">
        <f>IFERROR(__xludf.DUMMYFUNCTION("GOOGLETRANSLATE($A2401,""en"",""fr"")"),"Asti")</f>
        <v>Asti</v>
      </c>
      <c r="E2401" s="9" t="str">
        <f>IFERROR(__xludf.DUMMYFUNCTION("GOOGLETRANSLATE($A2401,""en"",""es"")"),"Asti")</f>
        <v>Asti</v>
      </c>
      <c r="F2401" s="9" t="str">
        <f>IFERROR(__xludf.DUMMYFUNCTION("GOOGLETRANSLATE($A2401,""en"",""it"")"),"Asti")</f>
        <v>Asti</v>
      </c>
      <c r="G2401" s="9" t="str">
        <f>IFERROR(__xludf.DUMMYFUNCTION("GOOGLETRANSLATE($A2401,""en"",""zh-cn"")"),"阿斯蒂")</f>
        <v>阿斯蒂</v>
      </c>
      <c r="H2401" s="9" t="str">
        <f>IFERROR(__xludf.DUMMYFUNCTION("GOOGLETRANSLATE($A2401,""en"",""ja"")"),"アスティ")</f>
        <v>アスティ</v>
      </c>
      <c r="I2401" s="9" t="str">
        <f>IFERROR(__xludf.DUMMYFUNCTION("GOOGLETRANSLATE($A2401,""en"",""ko"")"),"아스티")</f>
        <v>아스티</v>
      </c>
      <c r="J2401" s="9" t="str">
        <f>IFERROR(__xludf.DUMMYFUNCTION("GOOGLETRANSLATE($A2401,""en"",""pt-BR"")"),"Asti")</f>
        <v>Asti</v>
      </c>
    </row>
    <row r="2402">
      <c r="A2402" s="9" t="str">
        <f>IFERROR(__xludf.DUMMYFUNCTION("""COMPUTED_VALUE"""),"Veneto")</f>
        <v>Veneto</v>
      </c>
      <c r="B2402" s="9" t="str">
        <f>IFERROR(__xludf.DUMMYFUNCTION("""COMPUTED_VALUE"""),"it-34")</f>
        <v>it-34</v>
      </c>
      <c r="C2402" s="9" t="str">
        <f>IFERROR(__xludf.DUMMYFUNCTION("GOOGLETRANSLATE($A2402,""en"",""de"")"),"Venetien")</f>
        <v>Venetien</v>
      </c>
      <c r="D2402" s="9" t="str">
        <f>IFERROR(__xludf.DUMMYFUNCTION("GOOGLETRANSLATE($A2402,""en"",""fr"")"),"Vénétie")</f>
        <v>Vénétie</v>
      </c>
      <c r="E2402" s="9" t="str">
        <f>IFERROR(__xludf.DUMMYFUNCTION("GOOGLETRANSLATE($A2402,""en"",""es"")"),"Véneto")</f>
        <v>Véneto</v>
      </c>
      <c r="F2402" s="9" t="str">
        <f>IFERROR(__xludf.DUMMYFUNCTION("GOOGLETRANSLATE($A2402,""en"",""it"")"),"veneto")</f>
        <v>veneto</v>
      </c>
      <c r="G2402" s="9" t="str">
        <f>IFERROR(__xludf.DUMMYFUNCTION("GOOGLETRANSLATE($A2402,""en"",""zh-cn"")"),"威尼托")</f>
        <v>威尼托</v>
      </c>
      <c r="H2402" s="9" t="str">
        <f>IFERROR(__xludf.DUMMYFUNCTION("GOOGLETRANSLATE($A2402,""en"",""ja"")"),"ベネト")</f>
        <v>ベネト</v>
      </c>
      <c r="I2402" s="9" t="str">
        <f>IFERROR(__xludf.DUMMYFUNCTION("GOOGLETRANSLATE($A2402,""en"",""ko"")"),"베네토")</f>
        <v>베네토</v>
      </c>
      <c r="J2402" s="9" t="str">
        <f>IFERROR(__xludf.DUMMYFUNCTION("GOOGLETRANSLATE($A2402,""en"",""pt-BR"")"),"Vêneto")</f>
        <v>Vêneto</v>
      </c>
    </row>
    <row r="2403">
      <c r="A2403" s="9" t="str">
        <f>IFERROR(__xludf.DUMMYFUNCTION("""COMPUTED_VALUE"""),"Agrigento")</f>
        <v>Agrigento</v>
      </c>
      <c r="B2403" s="9" t="str">
        <f>IFERROR(__xludf.DUMMYFUNCTION("""COMPUTED_VALUE"""),"it-ag")</f>
        <v>it-ag</v>
      </c>
      <c r="C2403" s="9" t="str">
        <f>IFERROR(__xludf.DUMMYFUNCTION("GOOGLETRANSLATE($A2403,""en"",""de"")"),"Agrigent")</f>
        <v>Agrigent</v>
      </c>
      <c r="D2403" s="9" t="str">
        <f>IFERROR(__xludf.DUMMYFUNCTION("GOOGLETRANSLATE($A2403,""en"",""fr"")"),"Agrigente")</f>
        <v>Agrigente</v>
      </c>
      <c r="E2403" s="9" t="str">
        <f>IFERROR(__xludf.DUMMYFUNCTION("GOOGLETRANSLATE($A2403,""en"",""es"")"),"Agrigento")</f>
        <v>Agrigento</v>
      </c>
      <c r="F2403" s="9" t="str">
        <f>IFERROR(__xludf.DUMMYFUNCTION("GOOGLETRANSLATE($A2403,""en"",""it"")"),"Agrigento")</f>
        <v>Agrigento</v>
      </c>
      <c r="G2403" s="9" t="str">
        <f>IFERROR(__xludf.DUMMYFUNCTION("GOOGLETRANSLATE($A2403,""en"",""zh-cn"")"),"阿格里真托")</f>
        <v>阿格里真托</v>
      </c>
      <c r="H2403" s="9" t="str">
        <f>IFERROR(__xludf.DUMMYFUNCTION("GOOGLETRANSLATE($A2403,""en"",""ja"")"),"アグリジェント")</f>
        <v>アグリジェント</v>
      </c>
      <c r="I2403" s="9" t="str">
        <f>IFERROR(__xludf.DUMMYFUNCTION("GOOGLETRANSLATE($A2403,""en"",""ko"")"),"아그리젠토")</f>
        <v>아그리젠토</v>
      </c>
      <c r="J2403" s="9" t="str">
        <f>IFERROR(__xludf.DUMMYFUNCTION("GOOGLETRANSLATE($A2403,""en"",""pt-BR"")"),"Agrigento")</f>
        <v>Agrigento</v>
      </c>
    </row>
    <row r="2404">
      <c r="A2404" s="9" t="str">
        <f>IFERROR(__xludf.DUMMYFUNCTION("""COMPUTED_VALUE"""),"Alessandria")</f>
        <v>Alessandria</v>
      </c>
      <c r="B2404" s="9" t="str">
        <f>IFERROR(__xludf.DUMMYFUNCTION("""COMPUTED_VALUE"""),"it-al")</f>
        <v>it-al</v>
      </c>
      <c r="C2404" s="9" t="str">
        <f>IFERROR(__xludf.DUMMYFUNCTION("GOOGLETRANSLATE($A2404,""en"",""de"")"),"Alessandria")</f>
        <v>Alessandria</v>
      </c>
      <c r="D2404" s="9" t="str">
        <f>IFERROR(__xludf.DUMMYFUNCTION("GOOGLETRANSLATE($A2404,""en"",""fr"")"),"Alexandrie")</f>
        <v>Alexandrie</v>
      </c>
      <c r="E2404" s="9" t="str">
        <f>IFERROR(__xludf.DUMMYFUNCTION("GOOGLETRANSLATE($A2404,""en"",""es"")"),"alejandría")</f>
        <v>alejandría</v>
      </c>
      <c r="F2404" s="9" t="str">
        <f>IFERROR(__xludf.DUMMYFUNCTION("GOOGLETRANSLATE($A2404,""en"",""it"")"),"Alessandria")</f>
        <v>Alessandria</v>
      </c>
      <c r="G2404" s="9" t="str">
        <f>IFERROR(__xludf.DUMMYFUNCTION("GOOGLETRANSLATE($A2404,""en"",""zh-cn"")"),"亚历山德里亚")</f>
        <v>亚历山德里亚</v>
      </c>
      <c r="H2404" s="9" t="str">
        <f>IFERROR(__xludf.DUMMYFUNCTION("GOOGLETRANSLATE($A2404,""en"",""ja"")"),"アレッサンドリア")</f>
        <v>アレッサンドリア</v>
      </c>
      <c r="I2404" s="9" t="str">
        <f>IFERROR(__xludf.DUMMYFUNCTION("GOOGLETRANSLATE($A2404,""en"",""ko"")"),"알레산드리아")</f>
        <v>알레산드리아</v>
      </c>
      <c r="J2404" s="9" t="str">
        <f>IFERROR(__xludf.DUMMYFUNCTION("GOOGLETRANSLATE($A2404,""en"",""pt-BR"")"),"Alexandria")</f>
        <v>Alexandria</v>
      </c>
    </row>
    <row r="2405">
      <c r="A2405" s="9" t="str">
        <f>IFERROR(__xludf.DUMMYFUNCTION("""COMPUTED_VALUE"""),"Ancona")</f>
        <v>Ancona</v>
      </c>
      <c r="B2405" s="9" t="str">
        <f>IFERROR(__xludf.DUMMYFUNCTION("""COMPUTED_VALUE"""),"it-an")</f>
        <v>it-an</v>
      </c>
      <c r="C2405" s="9" t="str">
        <f>IFERROR(__xludf.DUMMYFUNCTION("GOOGLETRANSLATE($A2405,""en"",""de"")"),"Ancona")</f>
        <v>Ancona</v>
      </c>
      <c r="D2405" s="9" t="str">
        <f>IFERROR(__xludf.DUMMYFUNCTION("GOOGLETRANSLATE($A2405,""en"",""fr"")"),"Ancône")</f>
        <v>Ancône</v>
      </c>
      <c r="E2405" s="9" t="str">
        <f>IFERROR(__xludf.DUMMYFUNCTION("GOOGLETRANSLATE($A2405,""en"",""es"")"),"Ancona")</f>
        <v>Ancona</v>
      </c>
      <c r="F2405" s="9" t="str">
        <f>IFERROR(__xludf.DUMMYFUNCTION("GOOGLETRANSLATE($A2405,""en"",""it"")"),"Anconetano")</f>
        <v>Anconetano</v>
      </c>
      <c r="G2405" s="9" t="str">
        <f>IFERROR(__xludf.DUMMYFUNCTION("GOOGLETRANSLATE($A2405,""en"",""zh-cn"")"),"安科纳")</f>
        <v>安科纳</v>
      </c>
      <c r="H2405" s="9" t="str">
        <f>IFERROR(__xludf.DUMMYFUNCTION("GOOGLETRANSLATE($A2405,""en"",""ja"")"),"アンコーナ")</f>
        <v>アンコーナ</v>
      </c>
      <c r="I2405" s="9" t="str">
        <f>IFERROR(__xludf.DUMMYFUNCTION("GOOGLETRANSLATE($A2405,""en"",""ko"")"),"안코나")</f>
        <v>안코나</v>
      </c>
      <c r="J2405" s="9" t="str">
        <f>IFERROR(__xludf.DUMMYFUNCTION("GOOGLETRANSLATE($A2405,""en"",""pt-BR"")"),"Ancona")</f>
        <v>Ancona</v>
      </c>
    </row>
    <row r="2406">
      <c r="A2406" s="9" t="str">
        <f>IFERROR(__xludf.DUMMYFUNCTION("""COMPUTED_VALUE"""),"Tuscany")</f>
        <v>Tuscany</v>
      </c>
      <c r="B2406" s="9" t="str">
        <f>IFERROR(__xludf.DUMMYFUNCTION("""COMPUTED_VALUE"""),"it-52")</f>
        <v>it-52</v>
      </c>
      <c r="C2406" s="9" t="str">
        <f>IFERROR(__xludf.DUMMYFUNCTION("GOOGLETRANSLATE($A2406,""en"",""de"")"),"Toskana")</f>
        <v>Toskana</v>
      </c>
      <c r="D2406" s="9" t="str">
        <f>IFERROR(__xludf.DUMMYFUNCTION("GOOGLETRANSLATE($A2406,""en"",""fr"")"),"Toscane")</f>
        <v>Toscane</v>
      </c>
      <c r="E2406" s="9" t="str">
        <f>IFERROR(__xludf.DUMMYFUNCTION("GOOGLETRANSLATE($A2406,""en"",""es"")"),"toscana")</f>
        <v>toscana</v>
      </c>
      <c r="F2406" s="9" t="str">
        <f>IFERROR(__xludf.DUMMYFUNCTION("GOOGLETRANSLATE($A2406,""en"",""it"")"),"Toscana")</f>
        <v>Toscana</v>
      </c>
      <c r="G2406" s="9" t="str">
        <f>IFERROR(__xludf.DUMMYFUNCTION("GOOGLETRANSLATE($A2406,""en"",""zh-cn"")"),"托斯卡纳")</f>
        <v>托斯卡纳</v>
      </c>
      <c r="H2406" s="9" t="str">
        <f>IFERROR(__xludf.DUMMYFUNCTION("GOOGLETRANSLATE($A2406,""en"",""ja"")"),"トスカーナ")</f>
        <v>トスカーナ</v>
      </c>
      <c r="I2406" s="9" t="str">
        <f>IFERROR(__xludf.DUMMYFUNCTION("GOOGLETRANSLATE($A2406,""en"",""ko"")"),"토스카나")</f>
        <v>토스카나</v>
      </c>
      <c r="J2406" s="9" t="str">
        <f>IFERROR(__xludf.DUMMYFUNCTION("GOOGLETRANSLATE($A2406,""en"",""pt-BR"")"),"Toscana")</f>
        <v>Toscana</v>
      </c>
    </row>
    <row r="2407">
      <c r="A2407" s="9" t="str">
        <f>IFERROR(__xludf.DUMMYFUNCTION("""COMPUTED_VALUE"""),"Trentino-South Tyrol")</f>
        <v>Trentino-South Tyrol</v>
      </c>
      <c r="B2407" s="9" t="str">
        <f>IFERROR(__xludf.DUMMYFUNCTION("""COMPUTED_VALUE"""),"it-32")</f>
        <v>it-32</v>
      </c>
      <c r="C2407" s="9" t="str">
        <f>IFERROR(__xludf.DUMMYFUNCTION("GOOGLETRANSLATE($A2407,""en"",""de"")"),"Trentino-Südtirol")</f>
        <v>Trentino-Südtirol</v>
      </c>
      <c r="D2407" s="9" t="str">
        <f>IFERROR(__xludf.DUMMYFUNCTION("GOOGLETRANSLATE($A2407,""en"",""fr"")"),"Trentin-Tyrol du Sud")</f>
        <v>Trentin-Tyrol du Sud</v>
      </c>
      <c r="E2407" s="9" t="str">
        <f>IFERROR(__xludf.DUMMYFUNCTION("GOOGLETRANSLATE($A2407,""en"",""es"")"),"Trentino-Tirol del Sur")</f>
        <v>Trentino-Tirol del Sur</v>
      </c>
      <c r="F2407" s="9" t="str">
        <f>IFERROR(__xludf.DUMMYFUNCTION("GOOGLETRANSLATE($A2407,""en"",""it"")"),"Trentino-Alto Adige")</f>
        <v>Trentino-Alto Adige</v>
      </c>
      <c r="G2407" s="9" t="str">
        <f>IFERROR(__xludf.DUMMYFUNCTION("GOOGLETRANSLATE($A2407,""en"",""zh-cn"")"),"特伦蒂诺-南蒂罗尔")</f>
        <v>特伦蒂诺-南蒂罗尔</v>
      </c>
      <c r="H2407" s="9" t="str">
        <f>IFERROR(__xludf.DUMMYFUNCTION("GOOGLETRANSLATE($A2407,""en"",""ja"")"),"トレンティーノ - 南チロル")</f>
        <v>トレンティーノ - 南チロル</v>
      </c>
      <c r="I2407" s="9" t="str">
        <f>IFERROR(__xludf.DUMMYFUNCTION("GOOGLETRANSLATE($A2407,""en"",""ko"")"),"트렌티노-사우스티롤")</f>
        <v>트렌티노-사우스티롤</v>
      </c>
      <c r="J2407" s="9" t="str">
        <f>IFERROR(__xludf.DUMMYFUNCTION("GOOGLETRANSLATE($A2407,""en"",""pt-BR"")"),"Trentino-Tirol do Sul")</f>
        <v>Trentino-Tirol do Sul</v>
      </c>
    </row>
    <row r="2408">
      <c r="A2408" s="9" t="str">
        <f>IFERROR(__xludf.DUMMYFUNCTION("""COMPUTED_VALUE"""),"Umbria")</f>
        <v>Umbria</v>
      </c>
      <c r="B2408" s="9" t="str">
        <f>IFERROR(__xludf.DUMMYFUNCTION("""COMPUTED_VALUE"""),"it-55")</f>
        <v>it-55</v>
      </c>
      <c r="C2408" s="9" t="str">
        <f>IFERROR(__xludf.DUMMYFUNCTION("GOOGLETRANSLATE($A2408,""en"",""de"")"),"Umbrien")</f>
        <v>Umbrien</v>
      </c>
      <c r="D2408" s="9" t="str">
        <f>IFERROR(__xludf.DUMMYFUNCTION("GOOGLETRANSLATE($A2408,""en"",""fr"")"),"Ombrie")</f>
        <v>Ombrie</v>
      </c>
      <c r="E2408" s="9" t="str">
        <f>IFERROR(__xludf.DUMMYFUNCTION("GOOGLETRANSLATE($A2408,""en"",""es"")"),"Umbría")</f>
        <v>Umbría</v>
      </c>
      <c r="F2408" s="9" t="str">
        <f>IFERROR(__xludf.DUMMYFUNCTION("GOOGLETRANSLATE($A2408,""en"",""it"")"),"Umbria")</f>
        <v>Umbria</v>
      </c>
      <c r="G2408" s="9" t="str">
        <f>IFERROR(__xludf.DUMMYFUNCTION("GOOGLETRANSLATE($A2408,""en"",""zh-cn"")"),"翁布里亚")</f>
        <v>翁布里亚</v>
      </c>
      <c r="H2408" s="9" t="str">
        <f>IFERROR(__xludf.DUMMYFUNCTION("GOOGLETRANSLATE($A2408,""en"",""ja"")"),"ウンブリア州")</f>
        <v>ウンブリア州</v>
      </c>
      <c r="I2408" s="9" t="str">
        <f>IFERROR(__xludf.DUMMYFUNCTION("GOOGLETRANSLATE($A2408,""en"",""ko"")"),"움브리아")</f>
        <v>움브리아</v>
      </c>
      <c r="J2408" s="9" t="str">
        <f>IFERROR(__xludf.DUMMYFUNCTION("GOOGLETRANSLATE($A2408,""en"",""pt-BR"")"),"Úmbria")</f>
        <v>Úmbria</v>
      </c>
    </row>
    <row r="2409">
      <c r="A2409" s="9" t="str">
        <f>IFERROR(__xludf.DUMMYFUNCTION("""COMPUTED_VALUE"""),"Aosta Valley")</f>
        <v>Aosta Valley</v>
      </c>
      <c r="B2409" s="9" t="str">
        <f>IFERROR(__xludf.DUMMYFUNCTION("""COMPUTED_VALUE"""),"it-23")</f>
        <v>it-23</v>
      </c>
      <c r="C2409" s="9" t="str">
        <f>IFERROR(__xludf.DUMMYFUNCTION("GOOGLETRANSLATE($A2409,""en"",""de"")"),"Aostatal")</f>
        <v>Aostatal</v>
      </c>
      <c r="D2409" s="9" t="str">
        <f>IFERROR(__xludf.DUMMYFUNCTION("GOOGLETRANSLATE($A2409,""en"",""fr"")"),"Vallée d'Aoste")</f>
        <v>Vallée d'Aoste</v>
      </c>
      <c r="E2409" s="9" t="str">
        <f>IFERROR(__xludf.DUMMYFUNCTION("GOOGLETRANSLATE($A2409,""en"",""es"")"),"Valle de Aosta")</f>
        <v>Valle de Aosta</v>
      </c>
      <c r="F2409" s="9" t="str">
        <f>IFERROR(__xludf.DUMMYFUNCTION("GOOGLETRANSLATE($A2409,""en"",""it"")"),"Valle d'Aosta")</f>
        <v>Valle d'Aosta</v>
      </c>
      <c r="G2409" s="9" t="str">
        <f>IFERROR(__xludf.DUMMYFUNCTION("GOOGLETRANSLATE($A2409,""en"",""zh-cn"")"),"奥斯塔谷")</f>
        <v>奥斯塔谷</v>
      </c>
      <c r="H2409" s="9" t="str">
        <f>IFERROR(__xludf.DUMMYFUNCTION("GOOGLETRANSLATE($A2409,""en"",""ja"")"),"アオスタ渓谷")</f>
        <v>アオスタ渓谷</v>
      </c>
      <c r="I2409" s="9" t="str">
        <f>IFERROR(__xludf.DUMMYFUNCTION("GOOGLETRANSLATE($A2409,""en"",""ko"")"),"아오스타 밸리")</f>
        <v>아오스타 밸리</v>
      </c>
      <c r="J2409" s="9" t="str">
        <f>IFERROR(__xludf.DUMMYFUNCTION("GOOGLETRANSLATE($A2409,""en"",""pt-BR"")"),"Vale de Aosta")</f>
        <v>Vale de Aosta</v>
      </c>
    </row>
    <row r="2410">
      <c r="A2410" s="9" t="str">
        <f>IFERROR(__xludf.DUMMYFUNCTION("""COMPUTED_VALUE"""),"Piedmont")</f>
        <v>Piedmont</v>
      </c>
      <c r="B2410" s="9" t="str">
        <f>IFERROR(__xludf.DUMMYFUNCTION("""COMPUTED_VALUE"""),"it-21")</f>
        <v>it-21</v>
      </c>
      <c r="C2410" s="9" t="str">
        <f>IFERROR(__xludf.DUMMYFUNCTION("GOOGLETRANSLATE($A2410,""en"",""de"")"),"Piemont")</f>
        <v>Piemont</v>
      </c>
      <c r="D2410" s="9" t="str">
        <f>IFERROR(__xludf.DUMMYFUNCTION("GOOGLETRANSLATE($A2410,""en"",""fr"")"),"Piémont")</f>
        <v>Piémont</v>
      </c>
      <c r="E2410" s="9" t="str">
        <f>IFERROR(__xludf.DUMMYFUNCTION("GOOGLETRANSLATE($A2410,""en"",""es"")"),"Piamonte")</f>
        <v>Piamonte</v>
      </c>
      <c r="F2410" s="9" t="str">
        <f>IFERROR(__xludf.DUMMYFUNCTION("GOOGLETRANSLATE($A2410,""en"",""it"")"),"Piemonte")</f>
        <v>Piemonte</v>
      </c>
      <c r="G2410" s="9" t="str">
        <f>IFERROR(__xludf.DUMMYFUNCTION("GOOGLETRANSLATE($A2410,""en"",""zh-cn"")"),"皮埃蒙特")</f>
        <v>皮埃蒙特</v>
      </c>
      <c r="H2410" s="9" t="str">
        <f>IFERROR(__xludf.DUMMYFUNCTION("GOOGLETRANSLATE($A2410,""en"",""ja"")"),"ピエモンテ州")</f>
        <v>ピエモンテ州</v>
      </c>
      <c r="I2410" s="9" t="str">
        <f>IFERROR(__xludf.DUMMYFUNCTION("GOOGLETRANSLATE($A2410,""en"",""ko"")"),"피에몬테")</f>
        <v>피에몬테</v>
      </c>
      <c r="J2410" s="9" t="str">
        <f>IFERROR(__xludf.DUMMYFUNCTION("GOOGLETRANSLATE($A2410,""en"",""pt-BR"")"),"Piemonte")</f>
        <v>Piemonte</v>
      </c>
    </row>
    <row r="2411">
      <c r="A2411" s="9" t="str">
        <f>IFERROR(__xludf.DUMMYFUNCTION("""COMPUTED_VALUE"""),"Apulia")</f>
        <v>Apulia</v>
      </c>
      <c r="B2411" s="9" t="str">
        <f>IFERROR(__xludf.DUMMYFUNCTION("""COMPUTED_VALUE"""),"it-75")</f>
        <v>it-75</v>
      </c>
      <c r="C2411" s="9" t="str">
        <f>IFERROR(__xludf.DUMMYFUNCTION("GOOGLETRANSLATE($A2411,""en"",""de"")"),"Apulien")</f>
        <v>Apulien</v>
      </c>
      <c r="D2411" s="9" t="str">
        <f>IFERROR(__xludf.DUMMYFUNCTION("GOOGLETRANSLATE($A2411,""en"",""fr"")"),"Pouilles")</f>
        <v>Pouilles</v>
      </c>
      <c r="E2411" s="9" t="str">
        <f>IFERROR(__xludf.DUMMYFUNCTION("GOOGLETRANSLATE($A2411,""en"",""es"")"),"Apulia")</f>
        <v>Apulia</v>
      </c>
      <c r="F2411" s="9" t="str">
        <f>IFERROR(__xludf.DUMMYFUNCTION("GOOGLETRANSLATE($A2411,""en"",""it"")"),"Puglia")</f>
        <v>Puglia</v>
      </c>
      <c r="G2411" s="9" t="str">
        <f>IFERROR(__xludf.DUMMYFUNCTION("GOOGLETRANSLATE($A2411,""en"",""zh-cn"")"),"普利亚")</f>
        <v>普利亚</v>
      </c>
      <c r="H2411" s="9" t="str">
        <f>IFERROR(__xludf.DUMMYFUNCTION("GOOGLETRANSLATE($A2411,""en"",""ja"")"),"プーリア")</f>
        <v>プーリア</v>
      </c>
      <c r="I2411" s="9" t="str">
        <f>IFERROR(__xludf.DUMMYFUNCTION("GOOGLETRANSLATE($A2411,""en"",""ko"")"),"풀리아")</f>
        <v>풀리아</v>
      </c>
      <c r="J2411" s="9" t="str">
        <f>IFERROR(__xludf.DUMMYFUNCTION("GOOGLETRANSLATE($A2411,""en"",""pt-BR"")"),"Apúlia")</f>
        <v>Apúlia</v>
      </c>
    </row>
    <row r="2412">
      <c r="A2412" s="9" t="str">
        <f>IFERROR(__xludf.DUMMYFUNCTION("""COMPUTED_VALUE"""),"Sardinia")</f>
        <v>Sardinia</v>
      </c>
      <c r="B2412" s="9" t="str">
        <f>IFERROR(__xludf.DUMMYFUNCTION("""COMPUTED_VALUE"""),"it-88")</f>
        <v>it-88</v>
      </c>
      <c r="C2412" s="9" t="str">
        <f>IFERROR(__xludf.DUMMYFUNCTION("GOOGLETRANSLATE($A2412,""en"",""de"")"),"Sardinien")</f>
        <v>Sardinien</v>
      </c>
      <c r="D2412" s="9" t="str">
        <f>IFERROR(__xludf.DUMMYFUNCTION("GOOGLETRANSLATE($A2412,""en"",""fr"")"),"Sardaigne")</f>
        <v>Sardaigne</v>
      </c>
      <c r="E2412" s="9" t="str">
        <f>IFERROR(__xludf.DUMMYFUNCTION("GOOGLETRANSLATE($A2412,""en"",""es"")"),"Cerdeña")</f>
        <v>Cerdeña</v>
      </c>
      <c r="F2412" s="9" t="str">
        <f>IFERROR(__xludf.DUMMYFUNCTION("GOOGLETRANSLATE($A2412,""en"",""it"")"),"Sardegna")</f>
        <v>Sardegna</v>
      </c>
      <c r="G2412" s="9" t="str">
        <f>IFERROR(__xludf.DUMMYFUNCTION("GOOGLETRANSLATE($A2412,""en"",""zh-cn"")"),"撒丁岛")</f>
        <v>撒丁岛</v>
      </c>
      <c r="H2412" s="9" t="str">
        <f>IFERROR(__xludf.DUMMYFUNCTION("GOOGLETRANSLATE($A2412,""en"",""ja"")"),"サルデーニャ")</f>
        <v>サルデーニャ</v>
      </c>
      <c r="I2412" s="9" t="str">
        <f>IFERROR(__xludf.DUMMYFUNCTION("GOOGLETRANSLATE($A2412,""en"",""ko"")"),"사르디니아")</f>
        <v>사르디니아</v>
      </c>
      <c r="J2412" s="9" t="str">
        <f>IFERROR(__xludf.DUMMYFUNCTION("GOOGLETRANSLATE($A2412,""en"",""pt-BR"")"),"Sardenha")</f>
        <v>Sardenha</v>
      </c>
    </row>
    <row r="2413">
      <c r="A2413" s="9" t="str">
        <f>IFERROR(__xludf.DUMMYFUNCTION("""COMPUTED_VALUE"""),"Sicily")</f>
        <v>Sicily</v>
      </c>
      <c r="B2413" s="9" t="str">
        <f>IFERROR(__xludf.DUMMYFUNCTION("""COMPUTED_VALUE"""),"it-82")</f>
        <v>it-82</v>
      </c>
      <c r="C2413" s="9" t="str">
        <f>IFERROR(__xludf.DUMMYFUNCTION("GOOGLETRANSLATE($A2413,""en"",""de"")"),"Sizilien")</f>
        <v>Sizilien</v>
      </c>
      <c r="D2413" s="9" t="str">
        <f>IFERROR(__xludf.DUMMYFUNCTION("GOOGLETRANSLATE($A2413,""en"",""fr"")"),"Sicile")</f>
        <v>Sicile</v>
      </c>
      <c r="E2413" s="9" t="str">
        <f>IFERROR(__xludf.DUMMYFUNCTION("GOOGLETRANSLATE($A2413,""en"",""es"")"),"Sicilia")</f>
        <v>Sicilia</v>
      </c>
      <c r="F2413" s="9" t="str">
        <f>IFERROR(__xludf.DUMMYFUNCTION("GOOGLETRANSLATE($A2413,""en"",""it"")"),"Sicilia")</f>
        <v>Sicilia</v>
      </c>
      <c r="G2413" s="9" t="str">
        <f>IFERROR(__xludf.DUMMYFUNCTION("GOOGLETRANSLATE($A2413,""en"",""zh-cn"")"),"西西里岛")</f>
        <v>西西里岛</v>
      </c>
      <c r="H2413" s="9" t="str">
        <f>IFERROR(__xludf.DUMMYFUNCTION("GOOGLETRANSLATE($A2413,""en"",""ja"")"),"シチリア島")</f>
        <v>シチリア島</v>
      </c>
      <c r="I2413" s="9" t="str">
        <f>IFERROR(__xludf.DUMMYFUNCTION("GOOGLETRANSLATE($A2413,""en"",""ko"")"),"시칠리아")</f>
        <v>시칠리아</v>
      </c>
      <c r="J2413" s="9" t="str">
        <f>IFERROR(__xludf.DUMMYFUNCTION("GOOGLETRANSLATE($A2413,""en"",""pt-BR"")"),"Sicília")</f>
        <v>Sicília</v>
      </c>
    </row>
    <row r="2414">
      <c r="A2414" s="9" t="str">
        <f>IFERROR(__xludf.DUMMYFUNCTION("""COMPUTED_VALUE"""),"Caltanissetta")</f>
        <v>Caltanissetta</v>
      </c>
      <c r="B2414" s="9" t="str">
        <f>IFERROR(__xludf.DUMMYFUNCTION("""COMPUTED_VALUE"""),"it-cl")</f>
        <v>it-cl</v>
      </c>
      <c r="C2414" s="9" t="str">
        <f>IFERROR(__xludf.DUMMYFUNCTION("GOOGLETRANSLATE($A2414,""en"",""de"")"),"Caltanissetta")</f>
        <v>Caltanissetta</v>
      </c>
      <c r="D2414" s="9" t="str">
        <f>IFERROR(__xludf.DUMMYFUNCTION("GOOGLETRANSLATE($A2414,""en"",""fr"")"),"Caltanissetta")</f>
        <v>Caltanissetta</v>
      </c>
      <c r="E2414" s="9" t="str">
        <f>IFERROR(__xludf.DUMMYFUNCTION("GOOGLETRANSLATE($A2414,""en"",""es"")"),"Caltanissetta")</f>
        <v>Caltanissetta</v>
      </c>
      <c r="F2414" s="9" t="str">
        <f>IFERROR(__xludf.DUMMYFUNCTION("GOOGLETRANSLATE($A2414,""en"",""it"")"),"Caltanissetta")</f>
        <v>Caltanissetta</v>
      </c>
      <c r="G2414" s="9" t="str">
        <f>IFERROR(__xludf.DUMMYFUNCTION("GOOGLETRANSLATE($A2414,""en"",""zh-cn"")"),"卡尔塔尼塞塔")</f>
        <v>卡尔塔尼塞塔</v>
      </c>
      <c r="H2414" s="9" t="str">
        <f>IFERROR(__xludf.DUMMYFUNCTION("GOOGLETRANSLATE($A2414,""en"",""ja"")"),"カルタニッセッタ")</f>
        <v>カルタニッセッタ</v>
      </c>
      <c r="I2414" s="9" t="str">
        <f>IFERROR(__xludf.DUMMYFUNCTION("GOOGLETRANSLATE($A2414,""en"",""ko"")"),"칼타니세타")</f>
        <v>칼타니세타</v>
      </c>
      <c r="J2414" s="9" t="str">
        <f>IFERROR(__xludf.DUMMYFUNCTION("GOOGLETRANSLATE($A2414,""en"",""pt-BR"")"),"Caltanissetta")</f>
        <v>Caltanissetta</v>
      </c>
    </row>
    <row r="2415">
      <c r="A2415" s="9" t="str">
        <f>IFERROR(__xludf.DUMMYFUNCTION("""COMPUTED_VALUE"""),"Campobasso")</f>
        <v>Campobasso</v>
      </c>
      <c r="B2415" s="9" t="str">
        <f>IFERROR(__xludf.DUMMYFUNCTION("""COMPUTED_VALUE"""),"it-cb")</f>
        <v>it-cb</v>
      </c>
      <c r="C2415" s="9" t="str">
        <f>IFERROR(__xludf.DUMMYFUNCTION("GOOGLETRANSLATE($A2415,""en"",""de"")"),"Campobasso")</f>
        <v>Campobasso</v>
      </c>
      <c r="D2415" s="9" t="str">
        <f>IFERROR(__xludf.DUMMYFUNCTION("GOOGLETRANSLATE($A2415,""en"",""fr"")"),"Campobasso")</f>
        <v>Campobasso</v>
      </c>
      <c r="E2415" s="9" t="str">
        <f>IFERROR(__xludf.DUMMYFUNCTION("GOOGLETRANSLATE($A2415,""en"",""es"")"),"campobasso")</f>
        <v>campobasso</v>
      </c>
      <c r="F2415" s="9" t="str">
        <f>IFERROR(__xludf.DUMMYFUNCTION("GOOGLETRANSLATE($A2415,""en"",""it"")"),"Campobasso")</f>
        <v>Campobasso</v>
      </c>
      <c r="G2415" s="9" t="str">
        <f>IFERROR(__xludf.DUMMYFUNCTION("GOOGLETRANSLATE($A2415,""en"",""zh-cn"")"),"坎波巴索")</f>
        <v>坎波巴索</v>
      </c>
      <c r="H2415" s="9" t="str">
        <f>IFERROR(__xludf.DUMMYFUNCTION("GOOGLETRANSLATE($A2415,""en"",""ja"")"),"カンポバッソ")</f>
        <v>カンポバッソ</v>
      </c>
      <c r="I2415" s="9" t="str">
        <f>IFERROR(__xludf.DUMMYFUNCTION("GOOGLETRANSLATE($A2415,""en"",""ko"")"),"캄포바소")</f>
        <v>캄포바소</v>
      </c>
      <c r="J2415" s="9" t="str">
        <f>IFERROR(__xludf.DUMMYFUNCTION("GOOGLETRANSLATE($A2415,""en"",""pt-BR"")"),"Campobasso")</f>
        <v>Campobasso</v>
      </c>
    </row>
    <row r="2416">
      <c r="A2416" s="9" t="str">
        <f>IFERROR(__xludf.DUMMYFUNCTION("""COMPUTED_VALUE"""),"Carbonia-Iglesias")</f>
        <v>Carbonia-Iglesias</v>
      </c>
      <c r="B2416" s="9" t="str">
        <f>IFERROR(__xludf.DUMMYFUNCTION("""COMPUTED_VALUE"""),"it-ci")</f>
        <v>it-ci</v>
      </c>
      <c r="C2416" s="9" t="str">
        <f>IFERROR(__xludf.DUMMYFUNCTION("GOOGLETRANSLATE($A2416,""en"",""de"")"),"Carbonia-Iglesias")</f>
        <v>Carbonia-Iglesias</v>
      </c>
      <c r="D2416" s="9" t="str">
        <f>IFERROR(__xludf.DUMMYFUNCTION("GOOGLETRANSLATE($A2416,""en"",""fr"")"),"Carbonia-Iglesias")</f>
        <v>Carbonia-Iglesias</v>
      </c>
      <c r="E2416" s="9" t="str">
        <f>IFERROR(__xludf.DUMMYFUNCTION("GOOGLETRANSLATE($A2416,""en"",""es"")"),"Carbonia-Iglesias")</f>
        <v>Carbonia-Iglesias</v>
      </c>
      <c r="F2416" s="9" t="str">
        <f>IFERROR(__xludf.DUMMYFUNCTION("GOOGLETRANSLATE($A2416,""en"",""it"")"),"Carbonia-Iglesias")</f>
        <v>Carbonia-Iglesias</v>
      </c>
      <c r="G2416" s="9" t="str">
        <f>IFERROR(__xludf.DUMMYFUNCTION("GOOGLETRANSLATE($A2416,""en"",""zh-cn"")"),"卡博尼亚-伊格莱西亚斯")</f>
        <v>卡博尼亚-伊格莱西亚斯</v>
      </c>
      <c r="H2416" s="9" t="str">
        <f>IFERROR(__xludf.DUMMYFUNCTION("GOOGLETRANSLATE($A2416,""en"",""ja"")"),"カルボニア・イグレシアス")</f>
        <v>カルボニア・イグレシアス</v>
      </c>
      <c r="I2416" s="9" t="str">
        <f>IFERROR(__xludf.DUMMYFUNCTION("GOOGLETRANSLATE($A2416,""en"",""ko"")"),"카르보니아-이글레시아스")</f>
        <v>카르보니아-이글레시아스</v>
      </c>
      <c r="J2416" s="9" t="str">
        <f>IFERROR(__xludf.DUMMYFUNCTION("GOOGLETRANSLATE($A2416,""en"",""pt-BR"")"),"Carbonia-Iglesias")</f>
        <v>Carbonia-Iglesias</v>
      </c>
    </row>
    <row r="2417">
      <c r="A2417" s="9" t="str">
        <f>IFERROR(__xludf.DUMMYFUNCTION("""COMPUTED_VALUE"""),"Caserta")</f>
        <v>Caserta</v>
      </c>
      <c r="B2417" s="9" t="str">
        <f>IFERROR(__xludf.DUMMYFUNCTION("""COMPUTED_VALUE"""),"it-ce")</f>
        <v>it-ce</v>
      </c>
      <c r="C2417" s="9" t="str">
        <f>IFERROR(__xludf.DUMMYFUNCTION("GOOGLETRANSLATE($A2417,""en"",""de"")"),"Caserta")</f>
        <v>Caserta</v>
      </c>
      <c r="D2417" s="9" t="str">
        <f>IFERROR(__xludf.DUMMYFUNCTION("GOOGLETRANSLATE($A2417,""en"",""fr"")"),"Caserte")</f>
        <v>Caserte</v>
      </c>
      <c r="E2417" s="9" t="str">
        <f>IFERROR(__xludf.DUMMYFUNCTION("GOOGLETRANSLATE($A2417,""en"",""es"")"),"Caserta")</f>
        <v>Caserta</v>
      </c>
      <c r="F2417" s="9" t="str">
        <f>IFERROR(__xludf.DUMMYFUNCTION("GOOGLETRANSLATE($A2417,""en"",""it"")"),"Caserta")</f>
        <v>Caserta</v>
      </c>
      <c r="G2417" s="9" t="str">
        <f>IFERROR(__xludf.DUMMYFUNCTION("GOOGLETRANSLATE($A2417,""en"",""zh-cn"")"),"卡塞塔")</f>
        <v>卡塞塔</v>
      </c>
      <c r="H2417" s="9" t="str">
        <f>IFERROR(__xludf.DUMMYFUNCTION("GOOGLETRANSLATE($A2417,""en"",""ja"")"),"カゼルタ")</f>
        <v>カゼルタ</v>
      </c>
      <c r="I2417" s="9" t="str">
        <f>IFERROR(__xludf.DUMMYFUNCTION("GOOGLETRANSLATE($A2417,""en"",""ko"")"),"카세르타")</f>
        <v>카세르타</v>
      </c>
      <c r="J2417" s="9" t="str">
        <f>IFERROR(__xludf.DUMMYFUNCTION("GOOGLETRANSLATE($A2417,""en"",""pt-BR"")"),"Caserta")</f>
        <v>Caserta</v>
      </c>
    </row>
    <row r="2418">
      <c r="A2418" s="9" t="str">
        <f>IFERROR(__xludf.DUMMYFUNCTION("""COMPUTED_VALUE"""),"Bolzano")</f>
        <v>Bolzano</v>
      </c>
      <c r="B2418" s="9" t="str">
        <f>IFERROR(__xludf.DUMMYFUNCTION("""COMPUTED_VALUE"""),"it-bz")</f>
        <v>it-bz</v>
      </c>
      <c r="C2418" s="9" t="str">
        <f>IFERROR(__xludf.DUMMYFUNCTION("GOOGLETRANSLATE($A2418,""en"",""de"")"),"Bozen")</f>
        <v>Bozen</v>
      </c>
      <c r="D2418" s="9" t="str">
        <f>IFERROR(__xludf.DUMMYFUNCTION("GOOGLETRANSLATE($A2418,""en"",""fr"")"),"Bolzano")</f>
        <v>Bolzano</v>
      </c>
      <c r="E2418" s="9" t="str">
        <f>IFERROR(__xludf.DUMMYFUNCTION("GOOGLETRANSLATE($A2418,""en"",""es"")"),"Bolzano")</f>
        <v>Bolzano</v>
      </c>
      <c r="F2418" s="9" t="str">
        <f>IFERROR(__xludf.DUMMYFUNCTION("GOOGLETRANSLATE($A2418,""en"",""it"")"),"Bolzano")</f>
        <v>Bolzano</v>
      </c>
      <c r="G2418" s="9" t="str">
        <f>IFERROR(__xludf.DUMMYFUNCTION("GOOGLETRANSLATE($A2418,""en"",""zh-cn"")"),"博尔扎诺")</f>
        <v>博尔扎诺</v>
      </c>
      <c r="H2418" s="9" t="str">
        <f>IFERROR(__xludf.DUMMYFUNCTION("GOOGLETRANSLATE($A2418,""en"",""ja"")"),"ボルツァーノ")</f>
        <v>ボルツァーノ</v>
      </c>
      <c r="I2418" s="9" t="str">
        <f>IFERROR(__xludf.DUMMYFUNCTION("GOOGLETRANSLATE($A2418,""en"",""ko"")"),"볼차노")</f>
        <v>볼차노</v>
      </c>
      <c r="J2418" s="9" t="str">
        <f>IFERROR(__xludf.DUMMYFUNCTION("GOOGLETRANSLATE($A2418,""en"",""pt-BR"")"),"Bolzano")</f>
        <v>Bolzano</v>
      </c>
    </row>
    <row r="2419">
      <c r="A2419" s="9" t="str">
        <f>IFERROR(__xludf.DUMMYFUNCTION("""COMPUTED_VALUE"""),"Brescia")</f>
        <v>Brescia</v>
      </c>
      <c r="B2419" s="9" t="str">
        <f>IFERROR(__xludf.DUMMYFUNCTION("""COMPUTED_VALUE"""),"it-bs")</f>
        <v>it-bs</v>
      </c>
      <c r="C2419" s="9" t="str">
        <f>IFERROR(__xludf.DUMMYFUNCTION("GOOGLETRANSLATE($A2419,""en"",""de"")"),"Brescia")</f>
        <v>Brescia</v>
      </c>
      <c r="D2419" s="9" t="str">
        <f>IFERROR(__xludf.DUMMYFUNCTION("GOOGLETRANSLATE($A2419,""en"",""fr"")"),"Brescia")</f>
        <v>Brescia</v>
      </c>
      <c r="E2419" s="9" t="str">
        <f>IFERROR(__xludf.DUMMYFUNCTION("GOOGLETRANSLATE($A2419,""en"",""es"")"),"Brescia")</f>
        <v>Brescia</v>
      </c>
      <c r="F2419" s="9" t="str">
        <f>IFERROR(__xludf.DUMMYFUNCTION("GOOGLETRANSLATE($A2419,""en"",""it"")"),"Bresciano")</f>
        <v>Bresciano</v>
      </c>
      <c r="G2419" s="9" t="str">
        <f>IFERROR(__xludf.DUMMYFUNCTION("GOOGLETRANSLATE($A2419,""en"",""zh-cn"")"),"布雷西亚")</f>
        <v>布雷西亚</v>
      </c>
      <c r="H2419" s="9" t="str">
        <f>IFERROR(__xludf.DUMMYFUNCTION("GOOGLETRANSLATE($A2419,""en"",""ja"")"),"ブレシア")</f>
        <v>ブレシア</v>
      </c>
      <c r="I2419" s="9" t="str">
        <f>IFERROR(__xludf.DUMMYFUNCTION("GOOGLETRANSLATE($A2419,""en"",""ko"")"),"브레시아")</f>
        <v>브레시아</v>
      </c>
      <c r="J2419" s="9" t="str">
        <f>IFERROR(__xludf.DUMMYFUNCTION("GOOGLETRANSLATE($A2419,""en"",""pt-BR"")"),"Bréscia")</f>
        <v>Bréscia</v>
      </c>
    </row>
    <row r="2420">
      <c r="A2420" s="9" t="str">
        <f>IFERROR(__xludf.DUMMYFUNCTION("""COMPUTED_VALUE"""),"Brindisi")</f>
        <v>Brindisi</v>
      </c>
      <c r="B2420" s="9" t="str">
        <f>IFERROR(__xludf.DUMMYFUNCTION("""COMPUTED_VALUE"""),"it-br")</f>
        <v>it-br</v>
      </c>
      <c r="C2420" s="9" t="str">
        <f>IFERROR(__xludf.DUMMYFUNCTION("GOOGLETRANSLATE($A2420,""en"",""de"")"),"Brindisi")</f>
        <v>Brindisi</v>
      </c>
      <c r="D2420" s="9" t="str">
        <f>IFERROR(__xludf.DUMMYFUNCTION("GOOGLETRANSLATE($A2420,""en"",""fr"")"),"Brindisi")</f>
        <v>Brindisi</v>
      </c>
      <c r="E2420" s="9" t="str">
        <f>IFERROR(__xludf.DUMMYFUNCTION("GOOGLETRANSLATE($A2420,""en"",""es"")"),"Bríndisi")</f>
        <v>Bríndisi</v>
      </c>
      <c r="F2420" s="9" t="str">
        <f>IFERROR(__xludf.DUMMYFUNCTION("GOOGLETRANSLATE($A2420,""en"",""it"")"),"brindisi")</f>
        <v>brindisi</v>
      </c>
      <c r="G2420" s="9" t="str">
        <f>IFERROR(__xludf.DUMMYFUNCTION("GOOGLETRANSLATE($A2420,""en"",""zh-cn"")"),"布林迪西")</f>
        <v>布林迪西</v>
      </c>
      <c r="H2420" s="9" t="str">
        <f>IFERROR(__xludf.DUMMYFUNCTION("GOOGLETRANSLATE($A2420,""en"",""ja"")"),"ブリンディジ")</f>
        <v>ブリンディジ</v>
      </c>
      <c r="I2420" s="9" t="str">
        <f>IFERROR(__xludf.DUMMYFUNCTION("GOOGLETRANSLATE($A2420,""en"",""ko"")"),"브린디시")</f>
        <v>브린디시</v>
      </c>
      <c r="J2420" s="9" t="str">
        <f>IFERROR(__xludf.DUMMYFUNCTION("GOOGLETRANSLATE($A2420,""en"",""pt-BR"")"),"Brindisi")</f>
        <v>Brindisi</v>
      </c>
    </row>
    <row r="2421">
      <c r="A2421" s="9" t="str">
        <f>IFERROR(__xludf.DUMMYFUNCTION("""COMPUTED_VALUE"""),"Cagliari")</f>
        <v>Cagliari</v>
      </c>
      <c r="B2421" s="9" t="str">
        <f>IFERROR(__xludf.DUMMYFUNCTION("""COMPUTED_VALUE"""),"it-ca")</f>
        <v>it-ca</v>
      </c>
      <c r="C2421" s="9" t="str">
        <f>IFERROR(__xludf.DUMMYFUNCTION("GOOGLETRANSLATE($A2421,""en"",""de"")"),"Cagliari")</f>
        <v>Cagliari</v>
      </c>
      <c r="D2421" s="9" t="str">
        <f>IFERROR(__xludf.DUMMYFUNCTION("GOOGLETRANSLATE($A2421,""en"",""fr"")"),"Cagliari")</f>
        <v>Cagliari</v>
      </c>
      <c r="E2421" s="9" t="str">
        <f>IFERROR(__xludf.DUMMYFUNCTION("GOOGLETRANSLATE($A2421,""en"",""es"")"),"Cagliari")</f>
        <v>Cagliari</v>
      </c>
      <c r="F2421" s="9" t="str">
        <f>IFERROR(__xludf.DUMMYFUNCTION("GOOGLETRANSLATE($A2421,""en"",""it"")"),"Cagliari")</f>
        <v>Cagliari</v>
      </c>
      <c r="G2421" s="9" t="str">
        <f>IFERROR(__xludf.DUMMYFUNCTION("GOOGLETRANSLATE($A2421,""en"",""zh-cn"")"),"卡利亚里")</f>
        <v>卡利亚里</v>
      </c>
      <c r="H2421" s="9" t="str">
        <f>IFERROR(__xludf.DUMMYFUNCTION("GOOGLETRANSLATE($A2421,""en"",""ja"")"),"カリアリ")</f>
        <v>カリアリ</v>
      </c>
      <c r="I2421" s="9" t="str">
        <f>IFERROR(__xludf.DUMMYFUNCTION("GOOGLETRANSLATE($A2421,""en"",""ko"")"),"칼리아리")</f>
        <v>칼리아리</v>
      </c>
      <c r="J2421" s="9" t="str">
        <f>IFERROR(__xludf.DUMMYFUNCTION("GOOGLETRANSLATE($A2421,""en"",""pt-BR"")"),"Cagliari")</f>
        <v>Cagliari</v>
      </c>
    </row>
    <row r="2422">
      <c r="A2422" s="9" t="str">
        <f>IFERROR(__xludf.DUMMYFUNCTION("""COMPUTED_VALUE"""),"Benevento")</f>
        <v>Benevento</v>
      </c>
      <c r="B2422" s="9" t="str">
        <f>IFERROR(__xludf.DUMMYFUNCTION("""COMPUTED_VALUE"""),"it-bn")</f>
        <v>it-bn</v>
      </c>
      <c r="C2422" s="9" t="str">
        <f>IFERROR(__xludf.DUMMYFUNCTION("GOOGLETRANSLATE($A2422,""en"",""de"")"),"Benevent")</f>
        <v>Benevent</v>
      </c>
      <c r="D2422" s="9" t="str">
        <f>IFERROR(__xludf.DUMMYFUNCTION("GOOGLETRANSLATE($A2422,""en"",""fr"")"),"Bénévent")</f>
        <v>Bénévent</v>
      </c>
      <c r="E2422" s="9" t="str">
        <f>IFERROR(__xludf.DUMMYFUNCTION("GOOGLETRANSLATE($A2422,""en"",""es"")"),"Benevento")</f>
        <v>Benevento</v>
      </c>
      <c r="F2422" s="9" t="str">
        <f>IFERROR(__xludf.DUMMYFUNCTION("GOOGLETRANSLATE($A2422,""en"",""it"")"),"Benevento")</f>
        <v>Benevento</v>
      </c>
      <c r="G2422" s="9" t="str">
        <f>IFERROR(__xludf.DUMMYFUNCTION("GOOGLETRANSLATE($A2422,""en"",""zh-cn"")"),"贝内文托")</f>
        <v>贝内文托</v>
      </c>
      <c r="H2422" s="9" t="str">
        <f>IFERROR(__xludf.DUMMYFUNCTION("GOOGLETRANSLATE($A2422,""en"",""ja"")"),"ベネベント")</f>
        <v>ベネベント</v>
      </c>
      <c r="I2422" s="9" t="str">
        <f>IFERROR(__xludf.DUMMYFUNCTION("GOOGLETRANSLATE($A2422,""en"",""ko"")"),"베네벤토")</f>
        <v>베네벤토</v>
      </c>
      <c r="J2422" s="9" t="str">
        <f>IFERROR(__xludf.DUMMYFUNCTION("GOOGLETRANSLATE($A2422,""en"",""pt-BR"")"),"Benevento")</f>
        <v>Benevento</v>
      </c>
    </row>
    <row r="2423">
      <c r="A2423" s="9" t="str">
        <f>IFERROR(__xludf.DUMMYFUNCTION("""COMPUTED_VALUE"""),"Bergamo")</f>
        <v>Bergamo</v>
      </c>
      <c r="B2423" s="9" t="str">
        <f>IFERROR(__xludf.DUMMYFUNCTION("""COMPUTED_VALUE"""),"it-bg")</f>
        <v>it-bg</v>
      </c>
      <c r="C2423" s="9" t="str">
        <f>IFERROR(__xludf.DUMMYFUNCTION("GOOGLETRANSLATE($A2423,""en"",""de"")"),"Bergamo")</f>
        <v>Bergamo</v>
      </c>
      <c r="D2423" s="9" t="str">
        <f>IFERROR(__xludf.DUMMYFUNCTION("GOOGLETRANSLATE($A2423,""en"",""fr"")"),"Bergame")</f>
        <v>Bergame</v>
      </c>
      <c r="E2423" s="9" t="str">
        <f>IFERROR(__xludf.DUMMYFUNCTION("GOOGLETRANSLATE($A2423,""en"",""es"")"),"Bérgamo")</f>
        <v>Bérgamo</v>
      </c>
      <c r="F2423" s="9" t="str">
        <f>IFERROR(__xludf.DUMMYFUNCTION("GOOGLETRANSLATE($A2423,""en"",""it"")"),"Bergamo")</f>
        <v>Bergamo</v>
      </c>
      <c r="G2423" s="9" t="str">
        <f>IFERROR(__xludf.DUMMYFUNCTION("GOOGLETRANSLATE($A2423,""en"",""zh-cn"")"),"贝加莫")</f>
        <v>贝加莫</v>
      </c>
      <c r="H2423" s="9" t="str">
        <f>IFERROR(__xludf.DUMMYFUNCTION("GOOGLETRANSLATE($A2423,""en"",""ja"")"),"ベルガモ")</f>
        <v>ベルガモ</v>
      </c>
      <c r="I2423" s="9" t="str">
        <f>IFERROR(__xludf.DUMMYFUNCTION("GOOGLETRANSLATE($A2423,""en"",""ko"")"),"베르가모")</f>
        <v>베르가모</v>
      </c>
      <c r="J2423" s="9" t="str">
        <f>IFERROR(__xludf.DUMMYFUNCTION("GOOGLETRANSLATE($A2423,""en"",""pt-BR"")"),"Bérgamo")</f>
        <v>Bérgamo</v>
      </c>
    </row>
    <row r="2424">
      <c r="A2424" s="9" t="str">
        <f>IFERROR(__xludf.DUMMYFUNCTION("""COMPUTED_VALUE"""),"Biella")</f>
        <v>Biella</v>
      </c>
      <c r="B2424" s="9" t="str">
        <f>IFERROR(__xludf.DUMMYFUNCTION("""COMPUTED_VALUE"""),"it-bi")</f>
        <v>it-bi</v>
      </c>
      <c r="C2424" s="9" t="str">
        <f>IFERROR(__xludf.DUMMYFUNCTION("GOOGLETRANSLATE($A2424,""en"",""de"")"),"Biella")</f>
        <v>Biella</v>
      </c>
      <c r="D2424" s="9" t="str">
        <f>IFERROR(__xludf.DUMMYFUNCTION("GOOGLETRANSLATE($A2424,""en"",""fr"")"),"Bielle")</f>
        <v>Bielle</v>
      </c>
      <c r="E2424" s="9" t="str">
        <f>IFERROR(__xludf.DUMMYFUNCTION("GOOGLETRANSLATE($A2424,""en"",""es"")"),"Biella")</f>
        <v>Biella</v>
      </c>
      <c r="F2424" s="9" t="str">
        <f>IFERROR(__xludf.DUMMYFUNCTION("GOOGLETRANSLATE($A2424,""en"",""it"")"),"Biella")</f>
        <v>Biella</v>
      </c>
      <c r="G2424" s="9" t="str">
        <f>IFERROR(__xludf.DUMMYFUNCTION("GOOGLETRANSLATE($A2424,""en"",""zh-cn"")"),"比耶拉")</f>
        <v>比耶拉</v>
      </c>
      <c r="H2424" s="9" t="str">
        <f>IFERROR(__xludf.DUMMYFUNCTION("GOOGLETRANSLATE($A2424,""en"",""ja"")"),"ビエッラ")</f>
        <v>ビエッラ</v>
      </c>
      <c r="I2424" s="9" t="str">
        <f>IFERROR(__xludf.DUMMYFUNCTION("GOOGLETRANSLATE($A2424,""en"",""ko"")"),"비엘라")</f>
        <v>비엘라</v>
      </c>
      <c r="J2424" s="9" t="str">
        <f>IFERROR(__xludf.DUMMYFUNCTION("GOOGLETRANSLATE($A2424,""en"",""pt-BR"")"),"Biela")</f>
        <v>Biela</v>
      </c>
    </row>
    <row r="2425">
      <c r="A2425" s="9" t="str">
        <f>IFERROR(__xludf.DUMMYFUNCTION("""COMPUTED_VALUE"""),"Bologna")</f>
        <v>Bologna</v>
      </c>
      <c r="B2425" s="9" t="str">
        <f>IFERROR(__xludf.DUMMYFUNCTION("""COMPUTED_VALUE"""),"it-bo")</f>
        <v>it-bo</v>
      </c>
      <c r="C2425" s="9" t="str">
        <f>IFERROR(__xludf.DUMMYFUNCTION("GOOGLETRANSLATE($A2425,""en"",""de"")"),"Bologna")</f>
        <v>Bologna</v>
      </c>
      <c r="D2425" s="9" t="str">
        <f>IFERROR(__xludf.DUMMYFUNCTION("GOOGLETRANSLATE($A2425,""en"",""fr"")"),"Bologne")</f>
        <v>Bologne</v>
      </c>
      <c r="E2425" s="9" t="str">
        <f>IFERROR(__xludf.DUMMYFUNCTION("GOOGLETRANSLATE($A2425,""en"",""es"")"),"Bolonia")</f>
        <v>Bolonia</v>
      </c>
      <c r="F2425" s="9" t="str">
        <f>IFERROR(__xludf.DUMMYFUNCTION("GOOGLETRANSLATE($A2425,""en"",""it"")"),"Bologna")</f>
        <v>Bologna</v>
      </c>
      <c r="G2425" s="9" t="str">
        <f>IFERROR(__xludf.DUMMYFUNCTION("GOOGLETRANSLATE($A2425,""en"",""zh-cn"")"),"博洛尼亚")</f>
        <v>博洛尼亚</v>
      </c>
      <c r="H2425" s="9" t="str">
        <f>IFERROR(__xludf.DUMMYFUNCTION("GOOGLETRANSLATE($A2425,""en"",""ja"")"),"ボローニャ")</f>
        <v>ボローニャ</v>
      </c>
      <c r="I2425" s="9" t="str">
        <f>IFERROR(__xludf.DUMMYFUNCTION("GOOGLETRANSLATE($A2425,""en"",""ko"")"),"볼로냐")</f>
        <v>볼로냐</v>
      </c>
      <c r="J2425" s="9" t="str">
        <f>IFERROR(__xludf.DUMMYFUNCTION("GOOGLETRANSLATE($A2425,""en"",""pt-BR"")"),"Bolonha")</f>
        <v>Bolonha</v>
      </c>
    </row>
    <row r="2426">
      <c r="A2426" s="9" t="str">
        <f>IFERROR(__xludf.DUMMYFUNCTION("""COMPUTED_VALUE"""),"Avellino")</f>
        <v>Avellino</v>
      </c>
      <c r="B2426" s="9" t="str">
        <f>IFERROR(__xludf.DUMMYFUNCTION("""COMPUTED_VALUE"""),"it-av")</f>
        <v>it-av</v>
      </c>
      <c r="C2426" s="9" t="str">
        <f>IFERROR(__xludf.DUMMYFUNCTION("GOOGLETRANSLATE($A2426,""en"",""de"")"),"Avellino")</f>
        <v>Avellino</v>
      </c>
      <c r="D2426" s="9" t="str">
        <f>IFERROR(__xludf.DUMMYFUNCTION("GOOGLETRANSLATE($A2426,""en"",""fr"")"),"Avellino")</f>
        <v>Avellino</v>
      </c>
      <c r="E2426" s="9" t="str">
        <f>IFERROR(__xludf.DUMMYFUNCTION("GOOGLETRANSLATE($A2426,""en"",""es"")"),"avellino")</f>
        <v>avellino</v>
      </c>
      <c r="F2426" s="9" t="str">
        <f>IFERROR(__xludf.DUMMYFUNCTION("GOOGLETRANSLATE($A2426,""en"",""it"")"),"Avellino")</f>
        <v>Avellino</v>
      </c>
      <c r="G2426" s="9" t="str">
        <f>IFERROR(__xludf.DUMMYFUNCTION("GOOGLETRANSLATE($A2426,""en"",""zh-cn"")"),"阿韦利诺")</f>
        <v>阿韦利诺</v>
      </c>
      <c r="H2426" s="9" t="str">
        <f>IFERROR(__xludf.DUMMYFUNCTION("GOOGLETRANSLATE($A2426,""en"",""ja"")"),"アヴェッリーノ")</f>
        <v>アヴェッリーノ</v>
      </c>
      <c r="I2426" s="9" t="str">
        <f>IFERROR(__xludf.DUMMYFUNCTION("GOOGLETRANSLATE($A2426,""en"",""ko"")"),"아벨리노")</f>
        <v>아벨리노</v>
      </c>
      <c r="J2426" s="9" t="str">
        <f>IFERROR(__xludf.DUMMYFUNCTION("GOOGLETRANSLATE($A2426,""en"",""pt-BR"")"),"Avellino")</f>
        <v>Avellino</v>
      </c>
    </row>
    <row r="2427">
      <c r="A2427" s="9" t="str">
        <f>IFERROR(__xludf.DUMMYFUNCTION("""COMPUTED_VALUE"""),"Bari")</f>
        <v>Bari</v>
      </c>
      <c r="B2427" s="9" t="str">
        <f>IFERROR(__xludf.DUMMYFUNCTION("""COMPUTED_VALUE"""),"it-ba")</f>
        <v>it-ba</v>
      </c>
      <c r="C2427" s="9" t="str">
        <f>IFERROR(__xludf.DUMMYFUNCTION("GOOGLETRANSLATE($A2427,""en"",""de"")"),"Bari")</f>
        <v>Bari</v>
      </c>
      <c r="D2427" s="9" t="str">
        <f>IFERROR(__xludf.DUMMYFUNCTION("GOOGLETRANSLATE($A2427,""en"",""fr"")"),"Bari")</f>
        <v>Bari</v>
      </c>
      <c r="E2427" s="9" t="str">
        <f>IFERROR(__xludf.DUMMYFUNCTION("GOOGLETRANSLATE($A2427,""en"",""es"")"),"Barí")</f>
        <v>Barí</v>
      </c>
      <c r="F2427" s="9" t="str">
        <f>IFERROR(__xludf.DUMMYFUNCTION("GOOGLETRANSLATE($A2427,""en"",""it"")"),"Bari")</f>
        <v>Bari</v>
      </c>
      <c r="G2427" s="9" t="str">
        <f>IFERROR(__xludf.DUMMYFUNCTION("GOOGLETRANSLATE($A2427,""en"",""zh-cn"")"),"巴里")</f>
        <v>巴里</v>
      </c>
      <c r="H2427" s="9" t="str">
        <f>IFERROR(__xludf.DUMMYFUNCTION("GOOGLETRANSLATE($A2427,""en"",""ja"")"),"バーリ")</f>
        <v>バーリ</v>
      </c>
      <c r="I2427" s="9" t="str">
        <f>IFERROR(__xludf.DUMMYFUNCTION("GOOGLETRANSLATE($A2427,""en"",""ko"")"),"바리")</f>
        <v>바리</v>
      </c>
      <c r="J2427" s="9" t="str">
        <f>IFERROR(__xludf.DUMMYFUNCTION("GOOGLETRANSLATE($A2427,""en"",""pt-BR"")"),"Bari")</f>
        <v>Bari</v>
      </c>
    </row>
    <row r="2428">
      <c r="A2428" s="9" t="str">
        <f>IFERROR(__xludf.DUMMYFUNCTION("""COMPUTED_VALUE"""),"Barletta-Andria-Trani")</f>
        <v>Barletta-Andria-Trani</v>
      </c>
      <c r="B2428" s="9" t="str">
        <f>IFERROR(__xludf.DUMMYFUNCTION("""COMPUTED_VALUE"""),"it-bt")</f>
        <v>it-bt</v>
      </c>
      <c r="C2428" s="9" t="str">
        <f>IFERROR(__xludf.DUMMYFUNCTION("GOOGLETRANSLATE($A2428,""en"",""de"")"),"Barletta-Andria-Trani")</f>
        <v>Barletta-Andria-Trani</v>
      </c>
      <c r="D2428" s="9" t="str">
        <f>IFERROR(__xludf.DUMMYFUNCTION("GOOGLETRANSLATE($A2428,""en"",""fr"")"),"Barletta-Andria-Trani")</f>
        <v>Barletta-Andria-Trani</v>
      </c>
      <c r="E2428" s="9" t="str">
        <f>IFERROR(__xludf.DUMMYFUNCTION("GOOGLETRANSLATE($A2428,""en"",""es"")"),"Barletta-Andria-Trani")</f>
        <v>Barletta-Andria-Trani</v>
      </c>
      <c r="F2428" s="9" t="str">
        <f>IFERROR(__xludf.DUMMYFUNCTION("GOOGLETRANSLATE($A2428,""en"",""it"")"),"Barletta-Andria-Trani")</f>
        <v>Barletta-Andria-Trani</v>
      </c>
      <c r="G2428" s="9" t="str">
        <f>IFERROR(__xludf.DUMMYFUNCTION("GOOGLETRANSLATE($A2428,""en"",""zh-cn"")"),"巴列塔-安德里亚-特拉尼")</f>
        <v>巴列塔-安德里亚-特拉尼</v>
      </c>
      <c r="H2428" s="9" t="str">
        <f>IFERROR(__xludf.DUMMYFUNCTION("GOOGLETRANSLATE($A2428,""en"",""ja"")"),"バレッタ-アンドリア-トラーニ")</f>
        <v>バレッタ-アンドリア-トラーニ</v>
      </c>
      <c r="I2428" s="9" t="str">
        <f>IFERROR(__xludf.DUMMYFUNCTION("GOOGLETRANSLATE($A2428,""en"",""ko"")"),"바를레타-안드리아-트라니")</f>
        <v>바를레타-안드리아-트라니</v>
      </c>
      <c r="J2428" s="9" t="str">
        <f>IFERROR(__xludf.DUMMYFUNCTION("GOOGLETRANSLATE($A2428,""en"",""pt-BR"")"),"Barletta-Andria-Trani")</f>
        <v>Barletta-Andria-Trani</v>
      </c>
    </row>
    <row r="2429">
      <c r="A2429" s="9" t="str">
        <f>IFERROR(__xludf.DUMMYFUNCTION("""COMPUTED_VALUE"""),"Belluno")</f>
        <v>Belluno</v>
      </c>
      <c r="B2429" s="9" t="str">
        <f>IFERROR(__xludf.DUMMYFUNCTION("""COMPUTED_VALUE"""),"it-bl")</f>
        <v>it-bl</v>
      </c>
      <c r="C2429" s="9" t="str">
        <f>IFERROR(__xludf.DUMMYFUNCTION("GOOGLETRANSLATE($A2429,""en"",""de"")"),"Belluno")</f>
        <v>Belluno</v>
      </c>
      <c r="D2429" s="9" t="str">
        <f>IFERROR(__xludf.DUMMYFUNCTION("GOOGLETRANSLATE($A2429,""en"",""fr"")"),"Bellune")</f>
        <v>Bellune</v>
      </c>
      <c r="E2429" s="9" t="str">
        <f>IFERROR(__xludf.DUMMYFUNCTION("GOOGLETRANSLATE($A2429,""en"",""es"")"),"Belluno")</f>
        <v>Belluno</v>
      </c>
      <c r="F2429" s="9" t="str">
        <f>IFERROR(__xludf.DUMMYFUNCTION("GOOGLETRANSLATE($A2429,""en"",""it"")"),"Bellunese")</f>
        <v>Bellunese</v>
      </c>
      <c r="G2429" s="9" t="str">
        <f>IFERROR(__xludf.DUMMYFUNCTION("GOOGLETRANSLATE($A2429,""en"",""zh-cn"")"),"贝卢诺")</f>
        <v>贝卢诺</v>
      </c>
      <c r="H2429" s="9" t="str">
        <f>IFERROR(__xludf.DUMMYFUNCTION("GOOGLETRANSLATE($A2429,""en"",""ja"")"),"ベッルーノ")</f>
        <v>ベッルーノ</v>
      </c>
      <c r="I2429" s="9" t="str">
        <f>IFERROR(__xludf.DUMMYFUNCTION("GOOGLETRANSLATE($A2429,""en"",""ko"")"),"벨루노")</f>
        <v>벨루노</v>
      </c>
      <c r="J2429" s="9" t="str">
        <f>IFERROR(__xludf.DUMMYFUNCTION("GOOGLETRANSLATE($A2429,""en"",""pt-BR"")"),"Belluno")</f>
        <v>Belluno</v>
      </c>
    </row>
    <row r="2430">
      <c r="A2430" s="9" t="str">
        <f>IFERROR(__xludf.DUMMYFUNCTION("""COMPUTED_VALUE"""),"Cosenza")</f>
        <v>Cosenza</v>
      </c>
      <c r="B2430" s="9" t="str">
        <f>IFERROR(__xludf.DUMMYFUNCTION("""COMPUTED_VALUE"""),"it-cs")</f>
        <v>it-cs</v>
      </c>
      <c r="C2430" s="9" t="str">
        <f>IFERROR(__xludf.DUMMYFUNCTION("GOOGLETRANSLATE($A2430,""en"",""de"")"),"Cosenza")</f>
        <v>Cosenza</v>
      </c>
      <c r="D2430" s="9" t="str">
        <f>IFERROR(__xludf.DUMMYFUNCTION("GOOGLETRANSLATE($A2430,""en"",""fr"")"),"Cosenza")</f>
        <v>Cosenza</v>
      </c>
      <c r="E2430" s="9" t="str">
        <f>IFERROR(__xludf.DUMMYFUNCTION("GOOGLETRANSLATE($A2430,""en"",""es"")"),"Cosenza")</f>
        <v>Cosenza</v>
      </c>
      <c r="F2430" s="9" t="str">
        <f>IFERROR(__xludf.DUMMYFUNCTION("GOOGLETRANSLATE($A2430,""en"",""it"")"),"Cosenza")</f>
        <v>Cosenza</v>
      </c>
      <c r="G2430" s="9" t="str">
        <f>IFERROR(__xludf.DUMMYFUNCTION("GOOGLETRANSLATE($A2430,""en"",""zh-cn"")"),"科森扎")</f>
        <v>科森扎</v>
      </c>
      <c r="H2430" s="9" t="str">
        <f>IFERROR(__xludf.DUMMYFUNCTION("GOOGLETRANSLATE($A2430,""en"",""ja"")"),"コゼンツァ")</f>
        <v>コゼンツァ</v>
      </c>
      <c r="I2430" s="9" t="str">
        <f>IFERROR(__xludf.DUMMYFUNCTION("GOOGLETRANSLATE($A2430,""en"",""ko"")"),"코센차")</f>
        <v>코센차</v>
      </c>
      <c r="J2430" s="9" t="str">
        <f>IFERROR(__xludf.DUMMYFUNCTION("GOOGLETRANSLATE($A2430,""en"",""pt-BR"")"),"Cosenza")</f>
        <v>Cosenza</v>
      </c>
    </row>
    <row r="2431">
      <c r="A2431" s="9" t="str">
        <f>IFERROR(__xludf.DUMMYFUNCTION("""COMPUTED_VALUE"""),"Cremona")</f>
        <v>Cremona</v>
      </c>
      <c r="B2431" s="9" t="str">
        <f>IFERROR(__xludf.DUMMYFUNCTION("""COMPUTED_VALUE"""),"it-cr")</f>
        <v>it-cr</v>
      </c>
      <c r="C2431" s="9" t="str">
        <f>IFERROR(__xludf.DUMMYFUNCTION("GOOGLETRANSLATE($A2431,""en"",""de"")"),"Cremona")</f>
        <v>Cremona</v>
      </c>
      <c r="D2431" s="9" t="str">
        <f>IFERROR(__xludf.DUMMYFUNCTION("GOOGLETRANSLATE($A2431,""en"",""fr"")"),"Crémone")</f>
        <v>Crémone</v>
      </c>
      <c r="E2431" s="9" t="str">
        <f>IFERROR(__xludf.DUMMYFUNCTION("GOOGLETRANSLATE($A2431,""en"",""es"")"),"Cremona")</f>
        <v>Cremona</v>
      </c>
      <c r="F2431" s="9" t="str">
        <f>IFERROR(__xludf.DUMMYFUNCTION("GOOGLETRANSLATE($A2431,""en"",""it"")"),"Cremona")</f>
        <v>Cremona</v>
      </c>
      <c r="G2431" s="9" t="str">
        <f>IFERROR(__xludf.DUMMYFUNCTION("GOOGLETRANSLATE($A2431,""en"",""zh-cn"")"),"克雷莫纳")</f>
        <v>克雷莫纳</v>
      </c>
      <c r="H2431" s="9" t="str">
        <f>IFERROR(__xludf.DUMMYFUNCTION("GOOGLETRANSLATE($A2431,""en"",""ja"")"),"クレモナ")</f>
        <v>クレモナ</v>
      </c>
      <c r="I2431" s="9" t="str">
        <f>IFERROR(__xludf.DUMMYFUNCTION("GOOGLETRANSLATE($A2431,""en"",""ko"")"),"크레모나")</f>
        <v>크레모나</v>
      </c>
      <c r="J2431" s="9" t="str">
        <f>IFERROR(__xludf.DUMMYFUNCTION("GOOGLETRANSLATE($A2431,""en"",""pt-BR"")"),"Cremona")</f>
        <v>Cremona</v>
      </c>
    </row>
    <row r="2432">
      <c r="A2432" s="9" t="str">
        <f>IFERROR(__xludf.DUMMYFUNCTION("""COMPUTED_VALUE"""),"Crotone")</f>
        <v>Crotone</v>
      </c>
      <c r="B2432" s="9" t="str">
        <f>IFERROR(__xludf.DUMMYFUNCTION("""COMPUTED_VALUE"""),"it-kr")</f>
        <v>it-kr</v>
      </c>
      <c r="C2432" s="9" t="str">
        <f>IFERROR(__xludf.DUMMYFUNCTION("GOOGLETRANSLATE($A2432,""en"",""de"")"),"Crotone")</f>
        <v>Crotone</v>
      </c>
      <c r="D2432" s="9" t="str">
        <f>IFERROR(__xludf.DUMMYFUNCTION("GOOGLETRANSLATE($A2432,""en"",""fr"")"),"Crotone")</f>
        <v>Crotone</v>
      </c>
      <c r="E2432" s="9" t="str">
        <f>IFERROR(__xludf.DUMMYFUNCTION("GOOGLETRANSLATE($A2432,""en"",""es"")"),"Crotona")</f>
        <v>Crotona</v>
      </c>
      <c r="F2432" s="9" t="str">
        <f>IFERROR(__xludf.DUMMYFUNCTION("GOOGLETRANSLATE($A2432,""en"",""it"")"),"Crotone")</f>
        <v>Crotone</v>
      </c>
      <c r="G2432" s="9" t="str">
        <f>IFERROR(__xludf.DUMMYFUNCTION("GOOGLETRANSLATE($A2432,""en"",""zh-cn"")"),"克罗托内")</f>
        <v>克罗托内</v>
      </c>
      <c r="H2432" s="9" t="str">
        <f>IFERROR(__xludf.DUMMYFUNCTION("GOOGLETRANSLATE($A2432,""en"",""ja"")"),"クロトーネ")</f>
        <v>クロトーネ</v>
      </c>
      <c r="I2432" s="9" t="str">
        <f>IFERROR(__xludf.DUMMYFUNCTION("GOOGLETRANSLATE($A2432,""en"",""ko"")"),"크로토네")</f>
        <v>크로토네</v>
      </c>
      <c r="J2432" s="9" t="str">
        <f>IFERROR(__xludf.DUMMYFUNCTION("GOOGLETRANSLATE($A2432,""en"",""pt-BR"")"),"Crótono")</f>
        <v>Crótono</v>
      </c>
    </row>
    <row r="2433">
      <c r="A2433" s="9" t="str">
        <f>IFERROR(__xludf.DUMMYFUNCTION("""COMPUTED_VALUE"""),"Cuneo")</f>
        <v>Cuneo</v>
      </c>
      <c r="B2433" s="9" t="str">
        <f>IFERROR(__xludf.DUMMYFUNCTION("""COMPUTED_VALUE"""),"it-cn")</f>
        <v>it-cn</v>
      </c>
      <c r="C2433" s="9" t="str">
        <f>IFERROR(__xludf.DUMMYFUNCTION("GOOGLETRANSLATE($A2433,""en"",""de"")"),"Cuneo")</f>
        <v>Cuneo</v>
      </c>
      <c r="D2433" s="9" t="str">
        <f>IFERROR(__xludf.DUMMYFUNCTION("GOOGLETRANSLATE($A2433,""en"",""fr"")"),"Coni")</f>
        <v>Coni</v>
      </c>
      <c r="E2433" s="9" t="str">
        <f>IFERROR(__xludf.DUMMYFUNCTION("GOOGLETRANSLATE($A2433,""en"",""es"")"),"Cuneo")</f>
        <v>Cuneo</v>
      </c>
      <c r="F2433" s="9" t="str">
        <f>IFERROR(__xludf.DUMMYFUNCTION("GOOGLETRANSLATE($A2433,""en"",""it"")"),"Cuneese")</f>
        <v>Cuneese</v>
      </c>
      <c r="G2433" s="9" t="str">
        <f>IFERROR(__xludf.DUMMYFUNCTION("GOOGLETRANSLATE($A2433,""en"",""zh-cn"")"),"库内奥")</f>
        <v>库内奥</v>
      </c>
      <c r="H2433" s="9" t="str">
        <f>IFERROR(__xludf.DUMMYFUNCTION("GOOGLETRANSLATE($A2433,""en"",""ja"")"),"クネオ")</f>
        <v>クネオ</v>
      </c>
      <c r="I2433" s="9" t="str">
        <f>IFERROR(__xludf.DUMMYFUNCTION("GOOGLETRANSLATE($A2433,""en"",""ko"")"),"쿠네오")</f>
        <v>쿠네오</v>
      </c>
      <c r="J2433" s="9" t="str">
        <f>IFERROR(__xludf.DUMMYFUNCTION("GOOGLETRANSLATE($A2433,""en"",""pt-BR"")"),"Cuneo")</f>
        <v>Cuneo</v>
      </c>
    </row>
    <row r="2434">
      <c r="A2434" s="9" t="str">
        <f>IFERROR(__xludf.DUMMYFUNCTION("""COMPUTED_VALUE"""),"Catania")</f>
        <v>Catania</v>
      </c>
      <c r="B2434" s="9" t="str">
        <f>IFERROR(__xludf.DUMMYFUNCTION("""COMPUTED_VALUE"""),"it-ct")</f>
        <v>it-ct</v>
      </c>
      <c r="C2434" s="9" t="str">
        <f>IFERROR(__xludf.DUMMYFUNCTION("GOOGLETRANSLATE($A2434,""en"",""de"")"),"Catania")</f>
        <v>Catania</v>
      </c>
      <c r="D2434" s="9" t="str">
        <f>IFERROR(__xludf.DUMMYFUNCTION("GOOGLETRANSLATE($A2434,""en"",""fr"")"),"Catane")</f>
        <v>Catane</v>
      </c>
      <c r="E2434" s="9" t="str">
        <f>IFERROR(__xludf.DUMMYFUNCTION("GOOGLETRANSLATE($A2434,""en"",""es"")"),"catania")</f>
        <v>catania</v>
      </c>
      <c r="F2434" s="9" t="str">
        <f>IFERROR(__xludf.DUMMYFUNCTION("GOOGLETRANSLATE($A2434,""en"",""it"")"),"catanese")</f>
        <v>catanese</v>
      </c>
      <c r="G2434" s="9" t="str">
        <f>IFERROR(__xludf.DUMMYFUNCTION("GOOGLETRANSLATE($A2434,""en"",""zh-cn"")"),"卡塔尼亚")</f>
        <v>卡塔尼亚</v>
      </c>
      <c r="H2434" s="9" t="str">
        <f>IFERROR(__xludf.DUMMYFUNCTION("GOOGLETRANSLATE($A2434,""en"",""ja"")"),"カターニア")</f>
        <v>カターニア</v>
      </c>
      <c r="I2434" s="9" t="str">
        <f>IFERROR(__xludf.DUMMYFUNCTION("GOOGLETRANSLATE($A2434,""en"",""ko"")"),"카타니아")</f>
        <v>카타니아</v>
      </c>
      <c r="J2434" s="9" t="str">
        <f>IFERROR(__xludf.DUMMYFUNCTION("GOOGLETRANSLATE($A2434,""en"",""pt-BR"")"),"Catânia")</f>
        <v>Catânia</v>
      </c>
    </row>
    <row r="2435">
      <c r="A2435" s="9" t="str">
        <f>IFERROR(__xludf.DUMMYFUNCTION("""COMPUTED_VALUE"""),"Catanzaro")</f>
        <v>Catanzaro</v>
      </c>
      <c r="B2435" s="9" t="str">
        <f>IFERROR(__xludf.DUMMYFUNCTION("""COMPUTED_VALUE"""),"it-cz")</f>
        <v>it-cz</v>
      </c>
      <c r="C2435" s="9" t="str">
        <f>IFERROR(__xludf.DUMMYFUNCTION("GOOGLETRANSLATE($A2435,""en"",""de"")"),"Catanzaro")</f>
        <v>Catanzaro</v>
      </c>
      <c r="D2435" s="9" t="str">
        <f>IFERROR(__xludf.DUMMYFUNCTION("GOOGLETRANSLATE($A2435,""en"",""fr"")"),"Catanzaro")</f>
        <v>Catanzaro</v>
      </c>
      <c r="E2435" s="9" t="str">
        <f>IFERROR(__xludf.DUMMYFUNCTION("GOOGLETRANSLATE($A2435,""en"",""es"")"),"catanzaro")</f>
        <v>catanzaro</v>
      </c>
      <c r="F2435" s="9" t="str">
        <f>IFERROR(__xludf.DUMMYFUNCTION("GOOGLETRANSLATE($A2435,""en"",""it"")"),"Catanzaro")</f>
        <v>Catanzaro</v>
      </c>
      <c r="G2435" s="9" t="str">
        <f>IFERROR(__xludf.DUMMYFUNCTION("GOOGLETRANSLATE($A2435,""en"",""zh-cn"")"),"卡坦扎罗")</f>
        <v>卡坦扎罗</v>
      </c>
      <c r="H2435" s="9" t="str">
        <f>IFERROR(__xludf.DUMMYFUNCTION("GOOGLETRANSLATE($A2435,""en"",""ja"")"),"カタンツァーロ")</f>
        <v>カタンツァーロ</v>
      </c>
      <c r="I2435" s="9" t="str">
        <f>IFERROR(__xludf.DUMMYFUNCTION("GOOGLETRANSLATE($A2435,""en"",""ko"")"),"카탄자로")</f>
        <v>카탄자로</v>
      </c>
      <c r="J2435" s="9" t="str">
        <f>IFERROR(__xludf.DUMMYFUNCTION("GOOGLETRANSLATE($A2435,""en"",""pt-BR"")"),"Catanzaro")</f>
        <v>Catanzaro</v>
      </c>
    </row>
    <row r="2436">
      <c r="A2436" s="9" t="str">
        <f>IFERROR(__xludf.DUMMYFUNCTION("""COMPUTED_VALUE"""),"Chieti")</f>
        <v>Chieti</v>
      </c>
      <c r="B2436" s="9" t="str">
        <f>IFERROR(__xludf.DUMMYFUNCTION("""COMPUTED_VALUE"""),"it-ch")</f>
        <v>it-ch</v>
      </c>
      <c r="C2436" s="9" t="str">
        <f>IFERROR(__xludf.DUMMYFUNCTION("GOOGLETRANSLATE($A2436,""en"",""de"")"),"Chieti")</f>
        <v>Chieti</v>
      </c>
      <c r="D2436" s="9" t="str">
        <f>IFERROR(__xludf.DUMMYFUNCTION("GOOGLETRANSLATE($A2436,""en"",""fr"")"),"Chiéti")</f>
        <v>Chiéti</v>
      </c>
      <c r="E2436" s="9" t="str">
        <f>IFERROR(__xludf.DUMMYFUNCTION("GOOGLETRANSLATE($A2436,""en"",""es"")"),"Chieti")</f>
        <v>Chieti</v>
      </c>
      <c r="F2436" s="9" t="str">
        <f>IFERROR(__xludf.DUMMYFUNCTION("GOOGLETRANSLATE($A2436,""en"",""it"")"),"Chieti")</f>
        <v>Chieti</v>
      </c>
      <c r="G2436" s="9" t="str">
        <f>IFERROR(__xludf.DUMMYFUNCTION("GOOGLETRANSLATE($A2436,""en"",""zh-cn"")"),"基耶蒂")</f>
        <v>基耶蒂</v>
      </c>
      <c r="H2436" s="9" t="str">
        <f>IFERROR(__xludf.DUMMYFUNCTION("GOOGLETRANSLATE($A2436,""en"",""ja"")"),"キエーティ")</f>
        <v>キエーティ</v>
      </c>
      <c r="I2436" s="9" t="str">
        <f>IFERROR(__xludf.DUMMYFUNCTION("GOOGLETRANSLATE($A2436,""en"",""ko"")"),"키에티")</f>
        <v>키에티</v>
      </c>
      <c r="J2436" s="9" t="str">
        <f>IFERROR(__xludf.DUMMYFUNCTION("GOOGLETRANSLATE($A2436,""en"",""pt-BR"")"),"Chieti")</f>
        <v>Chieti</v>
      </c>
    </row>
    <row r="2437">
      <c r="A2437" s="9" t="str">
        <f>IFERROR(__xludf.DUMMYFUNCTION("""COMPUTED_VALUE"""),"Como")</f>
        <v>Como</v>
      </c>
      <c r="B2437" s="9" t="str">
        <f>IFERROR(__xludf.DUMMYFUNCTION("""COMPUTED_VALUE"""),"it-co")</f>
        <v>it-co</v>
      </c>
      <c r="C2437" s="9" t="str">
        <f>IFERROR(__xludf.DUMMYFUNCTION("GOOGLETRANSLATE($A2437,""en"",""de"")"),"Como")</f>
        <v>Como</v>
      </c>
      <c r="D2437" s="9" t="str">
        <f>IFERROR(__xludf.DUMMYFUNCTION("GOOGLETRANSLATE($A2437,""en"",""fr"")"),"Côme")</f>
        <v>Côme</v>
      </c>
      <c r="E2437" s="9" t="str">
        <f>IFERROR(__xludf.DUMMYFUNCTION("GOOGLETRANSLATE($A2437,""en"",""es"")"),"Como")</f>
        <v>Como</v>
      </c>
      <c r="F2437" s="9" t="str">
        <f>IFERROR(__xludf.DUMMYFUNCTION("GOOGLETRANSLATE($A2437,""en"",""it"")"),"Como")</f>
        <v>Como</v>
      </c>
      <c r="G2437" s="9" t="str">
        <f>IFERROR(__xludf.DUMMYFUNCTION("GOOGLETRANSLATE($A2437,""en"",""zh-cn"")"),"科莫")</f>
        <v>科莫</v>
      </c>
      <c r="H2437" s="9" t="str">
        <f>IFERROR(__xludf.DUMMYFUNCTION("GOOGLETRANSLATE($A2437,""en"",""ja"")"),"コモ")</f>
        <v>コモ</v>
      </c>
      <c r="I2437" s="9" t="str">
        <f>IFERROR(__xludf.DUMMYFUNCTION("GOOGLETRANSLATE($A2437,""en"",""ko"")"),"코모")</f>
        <v>코모</v>
      </c>
      <c r="J2437" s="9" t="str">
        <f>IFERROR(__xludf.DUMMYFUNCTION("GOOGLETRANSLATE($A2437,""en"",""pt-BR"")"),"Como")</f>
        <v>Como</v>
      </c>
    </row>
    <row r="2438">
      <c r="A2438" s="9" t="str">
        <f>IFERROR(__xludf.DUMMYFUNCTION("""COMPUTED_VALUE"""),"Friuli-Venezia Giulia")</f>
        <v>Friuli-Venezia Giulia</v>
      </c>
      <c r="B2438" s="9" t="str">
        <f>IFERROR(__xludf.DUMMYFUNCTION("""COMPUTED_VALUE"""),"it-36")</f>
        <v>it-36</v>
      </c>
      <c r="C2438" s="9" t="str">
        <f>IFERROR(__xludf.DUMMYFUNCTION("GOOGLETRANSLATE($A2438,""en"",""de"")"),"Friaul-Julisch Venetien")</f>
        <v>Friaul-Julisch Venetien</v>
      </c>
      <c r="D2438" s="9" t="str">
        <f>IFERROR(__xludf.DUMMYFUNCTION("GOOGLETRANSLATE($A2438,""en"",""fr"")"),"Frioul-Vénétie Julienne")</f>
        <v>Frioul-Vénétie Julienne</v>
      </c>
      <c r="E2438" s="9" t="str">
        <f>IFERROR(__xludf.DUMMYFUNCTION("GOOGLETRANSLATE($A2438,""en"",""es"")"),"Friuli-Venecia Julia")</f>
        <v>Friuli-Venecia Julia</v>
      </c>
      <c r="F2438" s="9" t="str">
        <f>IFERROR(__xludf.DUMMYFUNCTION("GOOGLETRANSLATE($A2438,""en"",""it"")"),"Friuli-Venezia Giulia")</f>
        <v>Friuli-Venezia Giulia</v>
      </c>
      <c r="G2438" s="9" t="str">
        <f>IFERROR(__xludf.DUMMYFUNCTION("GOOGLETRANSLATE($A2438,""en"",""zh-cn"")"),"弗留利-威尼斯朱利亚")</f>
        <v>弗留利-威尼斯朱利亚</v>
      </c>
      <c r="H2438" s="9" t="str">
        <f>IFERROR(__xludf.DUMMYFUNCTION("GOOGLETRANSLATE($A2438,""en"",""ja"")"),"フリウリ・ヴェネツィア・ジュリア州")</f>
        <v>フリウリ・ヴェネツィア・ジュリア州</v>
      </c>
      <c r="I2438" s="9" t="str">
        <f>IFERROR(__xludf.DUMMYFUNCTION("GOOGLETRANSLATE($A2438,""en"",""ko"")"),"프리울리-베네치아 줄리아")</f>
        <v>프리울리-베네치아 줄리아</v>
      </c>
      <c r="J2438" s="9" t="str">
        <f>IFERROR(__xludf.DUMMYFUNCTION("GOOGLETRANSLATE($A2438,""en"",""pt-BR"")"),"Friuli-Veneza Júlia")</f>
        <v>Friuli-Veneza Júlia</v>
      </c>
    </row>
    <row r="2439">
      <c r="A2439" s="9" t="str">
        <f>IFERROR(__xludf.DUMMYFUNCTION("""COMPUTED_VALUE"""),"Lazio")</f>
        <v>Lazio</v>
      </c>
      <c r="B2439" s="9" t="str">
        <f>IFERROR(__xludf.DUMMYFUNCTION("""COMPUTED_VALUE"""),"it-62")</f>
        <v>it-62</v>
      </c>
      <c r="C2439" s="9" t="str">
        <f>IFERROR(__xludf.DUMMYFUNCTION("GOOGLETRANSLATE($A2439,""en"",""de"")"),"Latium")</f>
        <v>Latium</v>
      </c>
      <c r="D2439" s="9" t="str">
        <f>IFERROR(__xludf.DUMMYFUNCTION("GOOGLETRANSLATE($A2439,""en"",""fr"")"),"Latium")</f>
        <v>Latium</v>
      </c>
      <c r="E2439" s="9" t="str">
        <f>IFERROR(__xludf.DUMMYFUNCTION("GOOGLETRANSLATE($A2439,""en"",""es"")"),"Lacio")</f>
        <v>Lacio</v>
      </c>
      <c r="F2439" s="9" t="str">
        <f>IFERROR(__xludf.DUMMYFUNCTION("GOOGLETRANSLATE($A2439,""en"",""it"")"),"Lazio")</f>
        <v>Lazio</v>
      </c>
      <c r="G2439" s="9" t="str">
        <f>IFERROR(__xludf.DUMMYFUNCTION("GOOGLETRANSLATE($A2439,""en"",""zh-cn"")"),"拉齐奥")</f>
        <v>拉齐奥</v>
      </c>
      <c r="H2439" s="9" t="str">
        <f>IFERROR(__xludf.DUMMYFUNCTION("GOOGLETRANSLATE($A2439,""en"",""ja"")"),"ラツィオ")</f>
        <v>ラツィオ</v>
      </c>
      <c r="I2439" s="9" t="str">
        <f>IFERROR(__xludf.DUMMYFUNCTION("GOOGLETRANSLATE($A2439,""en"",""ko"")"),"라치오")</f>
        <v>라치오</v>
      </c>
      <c r="J2439" s="9" t="str">
        <f>IFERROR(__xludf.DUMMYFUNCTION("GOOGLETRANSLATE($A2439,""en"",""pt-BR"")"),"Lácio")</f>
        <v>Lácio</v>
      </c>
    </row>
    <row r="2440">
      <c r="A2440" s="9" t="str">
        <f>IFERROR(__xludf.DUMMYFUNCTION("""COMPUTED_VALUE"""),"Liguria")</f>
        <v>Liguria</v>
      </c>
      <c r="B2440" s="9" t="str">
        <f>IFERROR(__xludf.DUMMYFUNCTION("""COMPUTED_VALUE"""),"it-42")</f>
        <v>it-42</v>
      </c>
      <c r="C2440" s="9" t="str">
        <f>IFERROR(__xludf.DUMMYFUNCTION("GOOGLETRANSLATE($A2440,""en"",""de"")"),"Ligurien")</f>
        <v>Ligurien</v>
      </c>
      <c r="D2440" s="9" t="str">
        <f>IFERROR(__xludf.DUMMYFUNCTION("GOOGLETRANSLATE($A2440,""en"",""fr"")"),"Ligurie")</f>
        <v>Ligurie</v>
      </c>
      <c r="E2440" s="9" t="str">
        <f>IFERROR(__xludf.DUMMYFUNCTION("GOOGLETRANSLATE($A2440,""en"",""es"")"),"Liguria")</f>
        <v>Liguria</v>
      </c>
      <c r="F2440" s="9" t="str">
        <f>IFERROR(__xludf.DUMMYFUNCTION("GOOGLETRANSLATE($A2440,""en"",""it"")"),"Liguria")</f>
        <v>Liguria</v>
      </c>
      <c r="G2440" s="9" t="str">
        <f>IFERROR(__xludf.DUMMYFUNCTION("GOOGLETRANSLATE($A2440,""en"",""zh-cn"")"),"利古里亚")</f>
        <v>利古里亚</v>
      </c>
      <c r="H2440" s="9" t="str">
        <f>IFERROR(__xludf.DUMMYFUNCTION("GOOGLETRANSLATE($A2440,""en"",""ja"")"),"リグーリア州")</f>
        <v>リグーリア州</v>
      </c>
      <c r="I2440" s="9" t="str">
        <f>IFERROR(__xludf.DUMMYFUNCTION("GOOGLETRANSLATE($A2440,""en"",""ko"")"),"리구리아")</f>
        <v>리구리아</v>
      </c>
      <c r="J2440" s="9" t="str">
        <f>IFERROR(__xludf.DUMMYFUNCTION("GOOGLETRANSLATE($A2440,""en"",""pt-BR"")"),"Ligúria")</f>
        <v>Ligúria</v>
      </c>
    </row>
    <row r="2441">
      <c r="A2441" s="9" t="str">
        <f>IFERROR(__xludf.DUMMYFUNCTION("""COMPUTED_VALUE"""),"Lombardy")</f>
        <v>Lombardy</v>
      </c>
      <c r="B2441" s="9" t="str">
        <f>IFERROR(__xludf.DUMMYFUNCTION("""COMPUTED_VALUE"""),"it-25")</f>
        <v>it-25</v>
      </c>
      <c r="C2441" s="9" t="str">
        <f>IFERROR(__xludf.DUMMYFUNCTION("GOOGLETRANSLATE($A2441,""en"",""de"")"),"Lombardei")</f>
        <v>Lombardei</v>
      </c>
      <c r="D2441" s="9" t="str">
        <f>IFERROR(__xludf.DUMMYFUNCTION("GOOGLETRANSLATE($A2441,""en"",""fr"")"),"Lombardie")</f>
        <v>Lombardie</v>
      </c>
      <c r="E2441" s="9" t="str">
        <f>IFERROR(__xludf.DUMMYFUNCTION("GOOGLETRANSLATE($A2441,""en"",""es"")"),"Lombardía")</f>
        <v>Lombardía</v>
      </c>
      <c r="F2441" s="9" t="str">
        <f>IFERROR(__xludf.DUMMYFUNCTION("GOOGLETRANSLATE($A2441,""en"",""it"")"),"Lombardia")</f>
        <v>Lombardia</v>
      </c>
      <c r="G2441" s="9" t="str">
        <f>IFERROR(__xludf.DUMMYFUNCTION("GOOGLETRANSLATE($A2441,""en"",""zh-cn"")"),"伦巴第")</f>
        <v>伦巴第</v>
      </c>
      <c r="H2441" s="9" t="str">
        <f>IFERROR(__xludf.DUMMYFUNCTION("GOOGLETRANSLATE($A2441,""en"",""ja"")"),"ロンバルディア州")</f>
        <v>ロンバルディア州</v>
      </c>
      <c r="I2441" s="9" t="str">
        <f>IFERROR(__xludf.DUMMYFUNCTION("GOOGLETRANSLATE($A2441,""en"",""ko"")"),"롬바르디아")</f>
        <v>롬바르디아</v>
      </c>
      <c r="J2441" s="9" t="str">
        <f>IFERROR(__xludf.DUMMYFUNCTION("GOOGLETRANSLATE($A2441,""en"",""pt-BR"")"),"Lombardia")</f>
        <v>Lombardia</v>
      </c>
    </row>
    <row r="2442">
      <c r="A2442" s="9" t="str">
        <f>IFERROR(__xludf.DUMMYFUNCTION("""COMPUTED_VALUE"""),"Basilicata")</f>
        <v>Basilicata</v>
      </c>
      <c r="B2442" s="9" t="str">
        <f>IFERROR(__xludf.DUMMYFUNCTION("""COMPUTED_VALUE"""),"it-77")</f>
        <v>it-77</v>
      </c>
      <c r="C2442" s="9" t="str">
        <f>IFERROR(__xludf.DUMMYFUNCTION("GOOGLETRANSLATE($A2442,""en"",""de"")"),"Basilikata")</f>
        <v>Basilikata</v>
      </c>
      <c r="D2442" s="9" t="str">
        <f>IFERROR(__xludf.DUMMYFUNCTION("GOOGLETRANSLATE($A2442,""en"",""fr"")"),"Basilicate")</f>
        <v>Basilicate</v>
      </c>
      <c r="E2442" s="9" t="str">
        <f>IFERROR(__xludf.DUMMYFUNCTION("GOOGLETRANSLATE($A2442,""en"",""es"")"),"basílica")</f>
        <v>basílica</v>
      </c>
      <c r="F2442" s="9" t="str">
        <f>IFERROR(__xludf.DUMMYFUNCTION("GOOGLETRANSLATE($A2442,""en"",""it"")"),"Basilicata")</f>
        <v>Basilicata</v>
      </c>
      <c r="G2442" s="9" t="str">
        <f>IFERROR(__xludf.DUMMYFUNCTION("GOOGLETRANSLATE($A2442,""en"",""zh-cn"")"),"巴西利卡塔")</f>
        <v>巴西利卡塔</v>
      </c>
      <c r="H2442" s="9" t="str">
        <f>IFERROR(__xludf.DUMMYFUNCTION("GOOGLETRANSLATE($A2442,""en"",""ja"")"),"バジリカータ")</f>
        <v>バジリカータ</v>
      </c>
      <c r="I2442" s="9" t="str">
        <f>IFERROR(__xludf.DUMMYFUNCTION("GOOGLETRANSLATE($A2442,""en"",""ko"")"),"바실리카타")</f>
        <v>바실리카타</v>
      </c>
      <c r="J2442" s="9" t="str">
        <f>IFERROR(__xludf.DUMMYFUNCTION("GOOGLETRANSLATE($A2442,""en"",""pt-BR"")"),"Basílica")</f>
        <v>Basílica</v>
      </c>
    </row>
    <row r="2443">
      <c r="A2443" s="9" t="str">
        <f>IFERROR(__xludf.DUMMYFUNCTION("""COMPUTED_VALUE"""),"Calabria")</f>
        <v>Calabria</v>
      </c>
      <c r="B2443" s="9" t="str">
        <f>IFERROR(__xludf.DUMMYFUNCTION("""COMPUTED_VALUE"""),"it-78")</f>
        <v>it-78</v>
      </c>
      <c r="C2443" s="9" t="str">
        <f>IFERROR(__xludf.DUMMYFUNCTION("GOOGLETRANSLATE($A2443,""en"",""de"")"),"Kalabrien")</f>
        <v>Kalabrien</v>
      </c>
      <c r="D2443" s="9" t="str">
        <f>IFERROR(__xludf.DUMMYFUNCTION("GOOGLETRANSLATE($A2443,""en"",""fr"")"),"Calabre")</f>
        <v>Calabre</v>
      </c>
      <c r="E2443" s="9" t="str">
        <f>IFERROR(__xludf.DUMMYFUNCTION("GOOGLETRANSLATE($A2443,""en"",""es"")"),"Calabria")</f>
        <v>Calabria</v>
      </c>
      <c r="F2443" s="9" t="str">
        <f>IFERROR(__xludf.DUMMYFUNCTION("GOOGLETRANSLATE($A2443,""en"",""it"")"),"Calabria")</f>
        <v>Calabria</v>
      </c>
      <c r="G2443" s="9" t="str">
        <f>IFERROR(__xludf.DUMMYFUNCTION("GOOGLETRANSLATE($A2443,""en"",""zh-cn"")"),"卡拉布里亚")</f>
        <v>卡拉布里亚</v>
      </c>
      <c r="H2443" s="9" t="str">
        <f>IFERROR(__xludf.DUMMYFUNCTION("GOOGLETRANSLATE($A2443,""en"",""ja"")"),"カラブリア州")</f>
        <v>カラブリア州</v>
      </c>
      <c r="I2443" s="9" t="str">
        <f>IFERROR(__xludf.DUMMYFUNCTION("GOOGLETRANSLATE($A2443,""en"",""ko"")"),"칼라브리아")</f>
        <v>칼라브리아</v>
      </c>
      <c r="J2443" s="9" t="str">
        <f>IFERROR(__xludf.DUMMYFUNCTION("GOOGLETRANSLATE($A2443,""en"",""pt-BR"")"),"Calábria")</f>
        <v>Calábria</v>
      </c>
    </row>
    <row r="2444">
      <c r="A2444" s="9" t="str">
        <f>IFERROR(__xludf.DUMMYFUNCTION("""COMPUTED_VALUE"""),"Campania")</f>
        <v>Campania</v>
      </c>
      <c r="B2444" s="9" t="str">
        <f>IFERROR(__xludf.DUMMYFUNCTION("""COMPUTED_VALUE"""),"it-72")</f>
        <v>it-72</v>
      </c>
      <c r="C2444" s="9" t="str">
        <f>IFERROR(__xludf.DUMMYFUNCTION("GOOGLETRANSLATE($A2444,""en"",""de"")"),"Kampanien")</f>
        <v>Kampanien</v>
      </c>
      <c r="D2444" s="9" t="str">
        <f>IFERROR(__xludf.DUMMYFUNCTION("GOOGLETRANSLATE($A2444,""en"",""fr"")"),"Campanie")</f>
        <v>Campanie</v>
      </c>
      <c r="E2444" s="9" t="str">
        <f>IFERROR(__xludf.DUMMYFUNCTION("GOOGLETRANSLATE($A2444,""en"",""es"")"),"Campania")</f>
        <v>Campania</v>
      </c>
      <c r="F2444" s="9" t="str">
        <f>IFERROR(__xludf.DUMMYFUNCTION("GOOGLETRANSLATE($A2444,""en"",""it"")"),"Campano")</f>
        <v>Campano</v>
      </c>
      <c r="G2444" s="9" t="str">
        <f>IFERROR(__xludf.DUMMYFUNCTION("GOOGLETRANSLATE($A2444,""en"",""zh-cn"")"),"坎帕尼亚")</f>
        <v>坎帕尼亚</v>
      </c>
      <c r="H2444" s="9" t="str">
        <f>IFERROR(__xludf.DUMMYFUNCTION("GOOGLETRANSLATE($A2444,""en"",""ja"")"),"カンパニア")</f>
        <v>カンパニア</v>
      </c>
      <c r="I2444" s="9" t="str">
        <f>IFERROR(__xludf.DUMMYFUNCTION("GOOGLETRANSLATE($A2444,""en"",""ko"")"),"캄파니아")</f>
        <v>캄파니아</v>
      </c>
      <c r="J2444" s="9" t="str">
        <f>IFERROR(__xludf.DUMMYFUNCTION("GOOGLETRANSLATE($A2444,""en"",""pt-BR"")"),"Campânia")</f>
        <v>Campânia</v>
      </c>
    </row>
    <row r="2445">
      <c r="A2445" s="9" t="str">
        <f>IFERROR(__xludf.DUMMYFUNCTION("""COMPUTED_VALUE"""),"Emilia-Romagna")</f>
        <v>Emilia-Romagna</v>
      </c>
      <c r="B2445" s="9" t="str">
        <f>IFERROR(__xludf.DUMMYFUNCTION("""COMPUTED_VALUE"""),"it-45")</f>
        <v>it-45</v>
      </c>
      <c r="C2445" s="9" t="str">
        <f>IFERROR(__xludf.DUMMYFUNCTION("GOOGLETRANSLATE($A2445,""en"",""de"")"),"Emilia-Romagna")</f>
        <v>Emilia-Romagna</v>
      </c>
      <c r="D2445" s="9" t="str">
        <f>IFERROR(__xludf.DUMMYFUNCTION("GOOGLETRANSLATE($A2445,""en"",""fr"")"),"Émilie-Romagne")</f>
        <v>Émilie-Romagne</v>
      </c>
      <c r="E2445" s="9" t="str">
        <f>IFERROR(__xludf.DUMMYFUNCTION("GOOGLETRANSLATE($A2445,""en"",""es"")"),"Emilia-Romaña")</f>
        <v>Emilia-Romaña</v>
      </c>
      <c r="F2445" s="9" t="str">
        <f>IFERROR(__xludf.DUMMYFUNCTION("GOOGLETRANSLATE($A2445,""en"",""it"")"),"Emilia-Romagna")</f>
        <v>Emilia-Romagna</v>
      </c>
      <c r="G2445" s="9" t="str">
        <f>IFERROR(__xludf.DUMMYFUNCTION("GOOGLETRANSLATE($A2445,""en"",""zh-cn"")"),"艾米利亚-罗马涅")</f>
        <v>艾米利亚-罗马涅</v>
      </c>
      <c r="H2445" s="9" t="str">
        <f>IFERROR(__xludf.DUMMYFUNCTION("GOOGLETRANSLATE($A2445,""en"",""ja"")"),"エミリアロマーニャ州")</f>
        <v>エミリアロマーニャ州</v>
      </c>
      <c r="I2445" s="9" t="str">
        <f>IFERROR(__xludf.DUMMYFUNCTION("GOOGLETRANSLATE($A2445,""en"",""ko"")"),"에밀리아로마냐")</f>
        <v>에밀리아로마냐</v>
      </c>
      <c r="J2445" s="9" t="str">
        <f>IFERROR(__xludf.DUMMYFUNCTION("GOOGLETRANSLATE($A2445,""en"",""pt-BR"")"),"Emília-Romanha")</f>
        <v>Emília-Romanha</v>
      </c>
    </row>
    <row r="2446">
      <c r="A2446" s="9" t="str">
        <f>IFERROR(__xludf.DUMMYFUNCTION("""COMPUTED_VALUE"""),"Abruzzo")</f>
        <v>Abruzzo</v>
      </c>
      <c r="B2446" s="9" t="str">
        <f>IFERROR(__xludf.DUMMYFUNCTION("""COMPUTED_VALUE"""),"it-65")</f>
        <v>it-65</v>
      </c>
      <c r="C2446" s="9" t="str">
        <f>IFERROR(__xludf.DUMMYFUNCTION("GOOGLETRANSLATE($A2446,""en"",""de"")"),"Abruzzen")</f>
        <v>Abruzzen</v>
      </c>
      <c r="D2446" s="9" t="str">
        <f>IFERROR(__xludf.DUMMYFUNCTION("GOOGLETRANSLATE($A2446,""en"",""fr"")"),"Abruzzes")</f>
        <v>Abruzzes</v>
      </c>
      <c r="E2446" s="9" t="str">
        <f>IFERROR(__xludf.DUMMYFUNCTION("GOOGLETRANSLATE($A2446,""en"",""es"")"),"Abruzos")</f>
        <v>Abruzos</v>
      </c>
      <c r="F2446" s="9" t="str">
        <f>IFERROR(__xludf.DUMMYFUNCTION("GOOGLETRANSLATE($A2446,""en"",""it"")"),"Abruzzo")</f>
        <v>Abruzzo</v>
      </c>
      <c r="G2446" s="9" t="str">
        <f>IFERROR(__xludf.DUMMYFUNCTION("GOOGLETRANSLATE($A2446,""en"",""zh-cn"")"),"阿布鲁佐")</f>
        <v>阿布鲁佐</v>
      </c>
      <c r="H2446" s="9" t="str">
        <f>IFERROR(__xludf.DUMMYFUNCTION("GOOGLETRANSLATE($A2446,""en"",""ja"")"),"アブルッツォ州")</f>
        <v>アブルッツォ州</v>
      </c>
      <c r="I2446" s="9" t="str">
        <f>IFERROR(__xludf.DUMMYFUNCTION("GOOGLETRANSLATE($A2446,""en"",""ko"")"),"아브루초")</f>
        <v>아브루초</v>
      </c>
      <c r="J2446" s="9" t="str">
        <f>IFERROR(__xludf.DUMMYFUNCTION("GOOGLETRANSLATE($A2446,""en"",""pt-BR"")"),"Abruzos")</f>
        <v>Abruzos</v>
      </c>
    </row>
    <row r="2447">
      <c r="A2447" s="9" t="str">
        <f>IFERROR(__xludf.DUMMYFUNCTION("""COMPUTED_VALUE"""),"Marche")</f>
        <v>Marche</v>
      </c>
      <c r="B2447" s="9" t="str">
        <f>IFERROR(__xludf.DUMMYFUNCTION("""COMPUTED_VALUE"""),"it-57")</f>
        <v>it-57</v>
      </c>
      <c r="C2447" s="9" t="str">
        <f>IFERROR(__xludf.DUMMYFUNCTION("GOOGLETRANSLATE($A2447,""en"",""de"")"),"Marken")</f>
        <v>Marken</v>
      </c>
      <c r="D2447" s="9" t="str">
        <f>IFERROR(__xludf.DUMMYFUNCTION("GOOGLETRANSLATE($A2447,""en"",""fr"")"),"Marches")</f>
        <v>Marches</v>
      </c>
      <c r="E2447" s="9" t="str">
        <f>IFERROR(__xludf.DUMMYFUNCTION("GOOGLETRANSLATE($A2447,""en"",""es"")"),"Marcas")</f>
        <v>Marcas</v>
      </c>
      <c r="F2447" s="9" t="str">
        <f>IFERROR(__xludf.DUMMYFUNCTION("GOOGLETRANSLATE($A2447,""en"",""it"")"),"Marche")</f>
        <v>Marche</v>
      </c>
      <c r="G2447" s="9" t="str">
        <f>IFERROR(__xludf.DUMMYFUNCTION("GOOGLETRANSLATE($A2447,""en"",""zh-cn"")"),"马尔凯")</f>
        <v>马尔凯</v>
      </c>
      <c r="H2447" s="9" t="str">
        <f>IFERROR(__xludf.DUMMYFUNCTION("GOOGLETRANSLATE($A2447,""en"",""ja"")"),"マルケ")</f>
        <v>マルケ</v>
      </c>
      <c r="I2447" s="9" t="str">
        <f>IFERROR(__xludf.DUMMYFUNCTION("GOOGLETRANSLATE($A2447,""en"",""ko"")"),"마르쉐")</f>
        <v>마르쉐</v>
      </c>
      <c r="J2447" s="9" t="str">
        <f>IFERROR(__xludf.DUMMYFUNCTION("GOOGLETRANSLATE($A2447,""en"",""pt-BR"")"),"Marcas")</f>
        <v>Marcas</v>
      </c>
    </row>
    <row r="2448">
      <c r="A2448" s="9" t="str">
        <f>IFERROR(__xludf.DUMMYFUNCTION("""COMPUTED_VALUE"""),"Molise")</f>
        <v>Molise</v>
      </c>
      <c r="B2448" s="9" t="str">
        <f>IFERROR(__xludf.DUMMYFUNCTION("""COMPUTED_VALUE"""),"it-67")</f>
        <v>it-67</v>
      </c>
      <c r="C2448" s="9" t="str">
        <f>IFERROR(__xludf.DUMMYFUNCTION("GOOGLETRANSLATE($A2448,""en"",""de"")"),"Molise")</f>
        <v>Molise</v>
      </c>
      <c r="D2448" s="9" t="str">
        <f>IFERROR(__xludf.DUMMYFUNCTION("GOOGLETRANSLATE($A2448,""en"",""fr"")"),"Molise")</f>
        <v>Molise</v>
      </c>
      <c r="E2448" s="9" t="str">
        <f>IFERROR(__xludf.DUMMYFUNCTION("GOOGLETRANSLATE($A2448,""en"",""es"")"),"Molise")</f>
        <v>Molise</v>
      </c>
      <c r="F2448" s="9" t="str">
        <f>IFERROR(__xludf.DUMMYFUNCTION("GOOGLETRANSLATE($A2448,""en"",""it"")"),"Molise")</f>
        <v>Molise</v>
      </c>
      <c r="G2448" s="9" t="str">
        <f>IFERROR(__xludf.DUMMYFUNCTION("GOOGLETRANSLATE($A2448,""en"",""zh-cn"")"),"莫利塞")</f>
        <v>莫利塞</v>
      </c>
      <c r="H2448" s="9" t="str">
        <f>IFERROR(__xludf.DUMMYFUNCTION("GOOGLETRANSLATE($A2448,""en"",""ja"")"),"モリーゼ")</f>
        <v>モリーゼ</v>
      </c>
      <c r="I2448" s="9" t="str">
        <f>IFERROR(__xludf.DUMMYFUNCTION("GOOGLETRANSLATE($A2448,""en"",""ko"")"),"몰리세")</f>
        <v>몰리세</v>
      </c>
      <c r="J2448" s="9" t="str">
        <f>IFERROR(__xludf.DUMMYFUNCTION("GOOGLETRANSLATE($A2448,""en"",""pt-BR"")"),"Molise")</f>
        <v>Molise</v>
      </c>
    </row>
    <row r="2449">
      <c r="A2449" s="9" t="str">
        <f>IFERROR(__xludf.DUMMYFUNCTION("""COMPUTED_VALUE"""),"South Sardinia")</f>
        <v>South Sardinia</v>
      </c>
      <c r="B2449" s="9" t="str">
        <f>IFERROR(__xludf.DUMMYFUNCTION("""COMPUTED_VALUE"""),"it-su")</f>
        <v>it-su</v>
      </c>
      <c r="C2449" s="9" t="str">
        <f>IFERROR(__xludf.DUMMYFUNCTION("GOOGLETRANSLATE($A2449,""en"",""de"")"),"Südsardinien")</f>
        <v>Südsardinien</v>
      </c>
      <c r="D2449" s="9" t="str">
        <f>IFERROR(__xludf.DUMMYFUNCTION("GOOGLETRANSLATE($A2449,""en"",""fr"")"),"Sud de la Sardaigne")</f>
        <v>Sud de la Sardaigne</v>
      </c>
      <c r="E2449" s="9" t="str">
        <f>IFERROR(__xludf.DUMMYFUNCTION("GOOGLETRANSLATE($A2449,""en"",""es"")"),"Cerdeña del Sur")</f>
        <v>Cerdeña del Sur</v>
      </c>
      <c r="F2449" s="9" t="str">
        <f>IFERROR(__xludf.DUMMYFUNCTION("GOOGLETRANSLATE($A2449,""en"",""it"")"),"Sud Sardegna")</f>
        <v>Sud Sardegna</v>
      </c>
      <c r="G2449" s="9" t="str">
        <f>IFERROR(__xludf.DUMMYFUNCTION("GOOGLETRANSLATE($A2449,""en"",""zh-cn"")"),"南撒丁岛")</f>
        <v>南撒丁岛</v>
      </c>
      <c r="H2449" s="9" t="str">
        <f>IFERROR(__xludf.DUMMYFUNCTION("GOOGLETRANSLATE($A2449,""en"",""ja"")"),"南サルデーニャ")</f>
        <v>南サルデーニャ</v>
      </c>
      <c r="I2449" s="9" t="str">
        <f>IFERROR(__xludf.DUMMYFUNCTION("GOOGLETRANSLATE($A2449,""en"",""ko"")"),"남부 사르디니아")</f>
        <v>남부 사르디니아</v>
      </c>
      <c r="J2449" s="9" t="str">
        <f>IFERROR(__xludf.DUMMYFUNCTION("GOOGLETRANSLATE($A2449,""en"",""pt-BR"")"),"Sul da Sardenha")</f>
        <v>Sul da Sardenha</v>
      </c>
    </row>
    <row r="2450">
      <c r="A2450" s="9" t="str">
        <f>IFERROR(__xludf.DUMMYFUNCTION("""COMPUTED_VALUE"""),"Saint Ann")</f>
        <v>Saint Ann</v>
      </c>
      <c r="B2450" s="9" t="str">
        <f>IFERROR(__xludf.DUMMYFUNCTION("""COMPUTED_VALUE"""),"jm-06")</f>
        <v>jm-06</v>
      </c>
      <c r="C2450" s="9" t="str">
        <f>IFERROR(__xludf.DUMMYFUNCTION("GOOGLETRANSLATE($A2450,""en"",""de"")"),"Heilige Anna")</f>
        <v>Heilige Anna</v>
      </c>
      <c r="D2450" s="9" t="str">
        <f>IFERROR(__xludf.DUMMYFUNCTION("GOOGLETRANSLATE($A2450,""en"",""fr"")"),"Sainte-Anne")</f>
        <v>Sainte-Anne</v>
      </c>
      <c r="E2450" s="9" t="str">
        <f>IFERROR(__xludf.DUMMYFUNCTION("GOOGLETRANSLATE($A2450,""en"",""es"")"),"Santa Ana")</f>
        <v>Santa Ana</v>
      </c>
      <c r="F2450" s="9" t="str">
        <f>IFERROR(__xludf.DUMMYFUNCTION("GOOGLETRANSLATE($A2450,""en"",""it"")"),"Sant'Anna")</f>
        <v>Sant'Anna</v>
      </c>
      <c r="G2450" s="9" t="str">
        <f>IFERROR(__xludf.DUMMYFUNCTION("GOOGLETRANSLATE($A2450,""en"",""zh-cn"")"),"圣安")</f>
        <v>圣安</v>
      </c>
      <c r="H2450" s="9" t="str">
        <f>IFERROR(__xludf.DUMMYFUNCTION("GOOGLETRANSLATE($A2450,""en"",""ja"")"),"セント・アン")</f>
        <v>セント・アン</v>
      </c>
      <c r="I2450" s="9" t="str">
        <f>IFERROR(__xludf.DUMMYFUNCTION("GOOGLETRANSLATE($A2450,""en"",""ko"")"),"세인트 앤")</f>
        <v>세인트 앤</v>
      </c>
      <c r="J2450" s="9" t="str">
        <f>IFERROR(__xludf.DUMMYFUNCTION("GOOGLETRANSLATE($A2450,""en"",""pt-BR"")"),"Santa Ana")</f>
        <v>Santa Ana</v>
      </c>
    </row>
    <row r="2451">
      <c r="A2451" s="9" t="str">
        <f>IFERROR(__xludf.DUMMYFUNCTION("""COMPUTED_VALUE"""),"Kingston")</f>
        <v>Kingston</v>
      </c>
      <c r="B2451" s="9" t="str">
        <f>IFERROR(__xludf.DUMMYFUNCTION("""COMPUTED_VALUE"""),"jm-01")</f>
        <v>jm-01</v>
      </c>
      <c r="C2451" s="9" t="str">
        <f>IFERROR(__xludf.DUMMYFUNCTION("GOOGLETRANSLATE($A2451,""en"",""de"")"),"Kingston")</f>
        <v>Kingston</v>
      </c>
      <c r="D2451" s="9" t="str">
        <f>IFERROR(__xludf.DUMMYFUNCTION("GOOGLETRANSLATE($A2451,""en"",""fr"")"),"Kingston")</f>
        <v>Kingston</v>
      </c>
      <c r="E2451" s="9" t="str">
        <f>IFERROR(__xludf.DUMMYFUNCTION("GOOGLETRANSLATE($A2451,""en"",""es"")"),"Kingston")</f>
        <v>Kingston</v>
      </c>
      <c r="F2451" s="9" t="str">
        <f>IFERROR(__xludf.DUMMYFUNCTION("GOOGLETRANSLATE($A2451,""en"",""it"")"),"Kingston")</f>
        <v>Kingston</v>
      </c>
      <c r="G2451" s="9" t="str">
        <f>IFERROR(__xludf.DUMMYFUNCTION("GOOGLETRANSLATE($A2451,""en"",""zh-cn"")"),"金士顿")</f>
        <v>金士顿</v>
      </c>
      <c r="H2451" s="9" t="str">
        <f>IFERROR(__xludf.DUMMYFUNCTION("GOOGLETRANSLATE($A2451,""en"",""ja"")"),"キングストン")</f>
        <v>キングストン</v>
      </c>
      <c r="I2451" s="9" t="str">
        <f>IFERROR(__xludf.DUMMYFUNCTION("GOOGLETRANSLATE($A2451,""en"",""ko"")"),"킹스턴")</f>
        <v>킹스턴</v>
      </c>
      <c r="J2451" s="9" t="str">
        <f>IFERROR(__xludf.DUMMYFUNCTION("GOOGLETRANSLATE($A2451,""en"",""pt-BR"")"),"Kingston")</f>
        <v>Kingston</v>
      </c>
    </row>
    <row r="2452">
      <c r="A2452" s="9" t="str">
        <f>IFERROR(__xludf.DUMMYFUNCTION("""COMPUTED_VALUE"""),"Clarendon")</f>
        <v>Clarendon</v>
      </c>
      <c r="B2452" s="9" t="str">
        <f>IFERROR(__xludf.DUMMYFUNCTION("""COMPUTED_VALUE"""),"jm-13")</f>
        <v>jm-13</v>
      </c>
      <c r="C2452" s="9" t="str">
        <f>IFERROR(__xludf.DUMMYFUNCTION("GOOGLETRANSLATE($A2452,""en"",""de"")"),"Clarendon")</f>
        <v>Clarendon</v>
      </c>
      <c r="D2452" s="9" t="str">
        <f>IFERROR(__xludf.DUMMYFUNCTION("GOOGLETRANSLATE($A2452,""en"",""fr"")"),"Clarendon")</f>
        <v>Clarendon</v>
      </c>
      <c r="E2452" s="9" t="str">
        <f>IFERROR(__xludf.DUMMYFUNCTION("GOOGLETRANSLATE($A2452,""en"",""es"")"),"Letras gruesas a la media")</f>
        <v>Letras gruesas a la media</v>
      </c>
      <c r="F2452" s="9" t="str">
        <f>IFERROR(__xludf.DUMMYFUNCTION("GOOGLETRANSLATE($A2452,""en"",""it"")"),"Clarendon")</f>
        <v>Clarendon</v>
      </c>
      <c r="G2452" s="9" t="str">
        <f>IFERROR(__xludf.DUMMYFUNCTION("GOOGLETRANSLATE($A2452,""en"",""zh-cn"")"),"克拉伦登")</f>
        <v>克拉伦登</v>
      </c>
      <c r="H2452" s="9" t="str">
        <f>IFERROR(__xludf.DUMMYFUNCTION("GOOGLETRANSLATE($A2452,""en"",""ja"")"),"クラレンドン")</f>
        <v>クラレンドン</v>
      </c>
      <c r="I2452" s="9" t="str">
        <f>IFERROR(__xludf.DUMMYFUNCTION("GOOGLETRANSLATE($A2452,""en"",""ko"")"),"클라렌던")</f>
        <v>클라렌던</v>
      </c>
      <c r="J2452" s="9" t="str">
        <f>IFERROR(__xludf.DUMMYFUNCTION("GOOGLETRANSLATE($A2452,""en"",""pt-BR"")"),"Clarendon")</f>
        <v>Clarendon</v>
      </c>
    </row>
    <row r="2453">
      <c r="A2453" s="9" t="str">
        <f>IFERROR(__xludf.DUMMYFUNCTION("""COMPUTED_VALUE"""),"Saint Catherine")</f>
        <v>Saint Catherine</v>
      </c>
      <c r="B2453" s="9" t="str">
        <f>IFERROR(__xludf.DUMMYFUNCTION("""COMPUTED_VALUE"""),"jm-14")</f>
        <v>jm-14</v>
      </c>
      <c r="C2453" s="9" t="str">
        <f>IFERROR(__xludf.DUMMYFUNCTION("GOOGLETRANSLATE($A2453,""en"",""de"")"),"Heilige Katharina")</f>
        <v>Heilige Katharina</v>
      </c>
      <c r="D2453" s="9" t="str">
        <f>IFERROR(__xludf.DUMMYFUNCTION("GOOGLETRANSLATE($A2453,""en"",""fr"")"),"Sainte Catherine")</f>
        <v>Sainte Catherine</v>
      </c>
      <c r="E2453" s="9" t="str">
        <f>IFERROR(__xludf.DUMMYFUNCTION("GOOGLETRANSLATE($A2453,""en"",""es"")"),"santa catalina")</f>
        <v>santa catalina</v>
      </c>
      <c r="F2453" s="9" t="str">
        <f>IFERROR(__xludf.DUMMYFUNCTION("GOOGLETRANSLATE($A2453,""en"",""it"")"),"Santa Caterina")</f>
        <v>Santa Caterina</v>
      </c>
      <c r="G2453" s="9" t="str">
        <f>IFERROR(__xludf.DUMMYFUNCTION("GOOGLETRANSLATE($A2453,""en"",""zh-cn"")"),"圣凯瑟琳")</f>
        <v>圣凯瑟琳</v>
      </c>
      <c r="H2453" s="9" t="str">
        <f>IFERROR(__xludf.DUMMYFUNCTION("GOOGLETRANSLATE($A2453,""en"",""ja"")"),"聖カタリナ")</f>
        <v>聖カタリナ</v>
      </c>
      <c r="I2453" s="9" t="str">
        <f>IFERROR(__xludf.DUMMYFUNCTION("GOOGLETRANSLATE($A2453,""en"",""ko"")"),"세인트 캐서린")</f>
        <v>세인트 캐서린</v>
      </c>
      <c r="J2453" s="9" t="str">
        <f>IFERROR(__xludf.DUMMYFUNCTION("GOOGLETRANSLATE($A2453,""en"",""pt-BR"")"),"Santa Catarina")</f>
        <v>Santa Catarina</v>
      </c>
    </row>
    <row r="2454">
      <c r="A2454" s="9" t="str">
        <f>IFERROR(__xludf.DUMMYFUNCTION("""COMPUTED_VALUE"""),"Saint James (JM)")</f>
        <v>Saint James (JM)</v>
      </c>
      <c r="B2454" s="9" t="str">
        <f>IFERROR(__xludf.DUMMYFUNCTION("""COMPUTED_VALUE"""),"jm-08")</f>
        <v>jm-08</v>
      </c>
      <c r="C2454" s="9" t="str">
        <f>IFERROR(__xludf.DUMMYFUNCTION("GOOGLETRANSLATE($A2454,""en"",""de"")"),"St. Jakobus (JM)")</f>
        <v>St. Jakobus (JM)</v>
      </c>
      <c r="D2454" s="9" t="str">
        <f>IFERROR(__xludf.DUMMYFUNCTION("GOOGLETRANSLATE($A2454,""en"",""fr"")"),"Saint-Jacques (JM)")</f>
        <v>Saint-Jacques (JM)</v>
      </c>
      <c r="E2454" s="9" t="str">
        <f>IFERROR(__xludf.DUMMYFUNCTION("GOOGLETRANSLATE($A2454,""en"",""es"")"),"Santiago (JM)")</f>
        <v>Santiago (JM)</v>
      </c>
      <c r="F2454" s="9" t="str">
        <f>IFERROR(__xludf.DUMMYFUNCTION("GOOGLETRANSLATE($A2454,""en"",""it"")"),"San Giacomo (JM)")</f>
        <v>San Giacomo (JM)</v>
      </c>
      <c r="G2454" s="9" t="str">
        <f>IFERROR(__xludf.DUMMYFUNCTION("GOOGLETRANSLATE($A2454,""en"",""zh-cn"")"),"圣詹姆斯 (JM)")</f>
        <v>圣詹姆斯 (JM)</v>
      </c>
      <c r="H2454" s="9" t="str">
        <f>IFERROR(__xludf.DUMMYFUNCTION("GOOGLETRANSLATE($A2454,""en"",""ja"")"),"セントジェームス (JM)")</f>
        <v>セントジェームス (JM)</v>
      </c>
      <c r="I2454" s="9" t="str">
        <f>IFERROR(__xludf.DUMMYFUNCTION("GOOGLETRANSLATE($A2454,""en"",""ko"")"),"세인트 제임스(JM)")</f>
        <v>세인트 제임스(JM)</v>
      </c>
      <c r="J2454" s="9" t="str">
        <f>IFERROR(__xludf.DUMMYFUNCTION("GOOGLETRANSLATE($A2454,""en"",""pt-BR"")"),"São Tiago (JM)")</f>
        <v>São Tiago (JM)</v>
      </c>
    </row>
    <row r="2455">
      <c r="A2455" s="9" t="str">
        <f>IFERROR(__xludf.DUMMYFUNCTION("""COMPUTED_VALUE"""),"Saint Elizabeth")</f>
        <v>Saint Elizabeth</v>
      </c>
      <c r="B2455" s="9" t="str">
        <f>IFERROR(__xludf.DUMMYFUNCTION("""COMPUTED_VALUE"""),"jm-11")</f>
        <v>jm-11</v>
      </c>
      <c r="C2455" s="9" t="str">
        <f>IFERROR(__xludf.DUMMYFUNCTION("GOOGLETRANSLATE($A2455,""en"",""de"")"),"Heilige Elisabeth")</f>
        <v>Heilige Elisabeth</v>
      </c>
      <c r="D2455" s="9" t="str">
        <f>IFERROR(__xludf.DUMMYFUNCTION("GOOGLETRANSLATE($A2455,""en"",""fr"")"),"Sainte Elisabeth")</f>
        <v>Sainte Elisabeth</v>
      </c>
      <c r="E2455" s="9" t="str">
        <f>IFERROR(__xludf.DUMMYFUNCTION("GOOGLETRANSLATE($A2455,""en"",""es"")"),"Santa Isabel")</f>
        <v>Santa Isabel</v>
      </c>
      <c r="F2455" s="9" t="str">
        <f>IFERROR(__xludf.DUMMYFUNCTION("GOOGLETRANSLATE($A2455,""en"",""it"")"),"Santa Elisabetta")</f>
        <v>Santa Elisabetta</v>
      </c>
      <c r="G2455" s="9" t="str">
        <f>IFERROR(__xludf.DUMMYFUNCTION("GOOGLETRANSLATE($A2455,""en"",""zh-cn"")"),"圣伊丽莎白")</f>
        <v>圣伊丽莎白</v>
      </c>
      <c r="H2455" s="9" t="str">
        <f>IFERROR(__xludf.DUMMYFUNCTION("GOOGLETRANSLATE($A2455,""en"",""ja"")"),"セント・エリザベス")</f>
        <v>セント・エリザベス</v>
      </c>
      <c r="I2455" s="9" t="str">
        <f>IFERROR(__xludf.DUMMYFUNCTION("GOOGLETRANSLATE($A2455,""en"",""ko"")"),"세인트 엘리자베스")</f>
        <v>세인트 엘리자베스</v>
      </c>
      <c r="J2455" s="9" t="str">
        <f>IFERROR(__xludf.DUMMYFUNCTION("GOOGLETRANSLATE($A2455,""en"",""pt-BR"")"),"Santa Isabel")</f>
        <v>Santa Isabel</v>
      </c>
    </row>
    <row r="2456">
      <c r="A2456" s="9" t="str">
        <f>IFERROR(__xludf.DUMMYFUNCTION("""COMPUTED_VALUE"""),"Saint Andrew (JM)")</f>
        <v>Saint Andrew (JM)</v>
      </c>
      <c r="B2456" s="9" t="str">
        <f>IFERROR(__xludf.DUMMYFUNCTION("""COMPUTED_VALUE"""),"jm-02")</f>
        <v>jm-02</v>
      </c>
      <c r="C2456" s="9" t="str">
        <f>IFERROR(__xludf.DUMMYFUNCTION("GOOGLETRANSLATE($A2456,""en"",""de"")"),"Heiliger Andreas (JM)")</f>
        <v>Heiliger Andreas (JM)</v>
      </c>
      <c r="D2456" s="9" t="str">
        <f>IFERROR(__xludf.DUMMYFUNCTION("GOOGLETRANSLATE($A2456,""en"",""fr"")"),"Saint-André (JM)")</f>
        <v>Saint-André (JM)</v>
      </c>
      <c r="E2456" s="9" t="str">
        <f>IFERROR(__xludf.DUMMYFUNCTION("GOOGLETRANSLATE($A2456,""en"",""es"")"),"San Andrés (JM)")</f>
        <v>San Andrés (JM)</v>
      </c>
      <c r="F2456" s="9" t="str">
        <f>IFERROR(__xludf.DUMMYFUNCTION("GOOGLETRANSLATE($A2456,""en"",""it"")"),"Sant'Andrea (JM)")</f>
        <v>Sant'Andrea (JM)</v>
      </c>
      <c r="G2456" s="9" t="str">
        <f>IFERROR(__xludf.DUMMYFUNCTION("GOOGLETRANSLATE($A2456,""en"",""zh-cn"")"),"圣安德鲁 (JM)")</f>
        <v>圣安德鲁 (JM)</v>
      </c>
      <c r="H2456" s="9" t="str">
        <f>IFERROR(__xludf.DUMMYFUNCTION("GOOGLETRANSLATE($A2456,""en"",""ja"")"),"セント・アンドリュー (JM)")</f>
        <v>セント・アンドリュー (JM)</v>
      </c>
      <c r="I2456" s="9" t="str">
        <f>IFERROR(__xludf.DUMMYFUNCTION("GOOGLETRANSLATE($A2456,""en"",""ko"")"),"세인트 앤드류(JM)")</f>
        <v>세인트 앤드류(JM)</v>
      </c>
      <c r="J2456" s="9" t="str">
        <f>IFERROR(__xludf.DUMMYFUNCTION("GOOGLETRANSLATE($A2456,""en"",""pt-BR"")"),"Santo André (JM)")</f>
        <v>Santo André (JM)</v>
      </c>
    </row>
    <row r="2457">
      <c r="A2457" s="9" t="str">
        <f>IFERROR(__xludf.DUMMYFUNCTION("""COMPUTED_VALUE"""),"Saint Thomas (JM)")</f>
        <v>Saint Thomas (JM)</v>
      </c>
      <c r="B2457" s="9" t="str">
        <f>IFERROR(__xludf.DUMMYFUNCTION("""COMPUTED_VALUE"""),"jm-03")</f>
        <v>jm-03</v>
      </c>
      <c r="C2457" s="9" t="str">
        <f>IFERROR(__xludf.DUMMYFUNCTION("GOOGLETRANSLATE($A2457,""en"",""de"")"),"Heiliger Thomas (JM)")</f>
        <v>Heiliger Thomas (JM)</v>
      </c>
      <c r="D2457" s="9" t="str">
        <f>IFERROR(__xludf.DUMMYFUNCTION("GOOGLETRANSLATE($A2457,""en"",""fr"")"),"Saint Thomas (JM)")</f>
        <v>Saint Thomas (JM)</v>
      </c>
      <c r="E2457" s="9" t="str">
        <f>IFERROR(__xludf.DUMMYFUNCTION("GOOGLETRANSLATE($A2457,""en"",""es"")"),"Santo Tomás (JM)")</f>
        <v>Santo Tomás (JM)</v>
      </c>
      <c r="F2457" s="9" t="str">
        <f>IFERROR(__xludf.DUMMYFUNCTION("GOOGLETRANSLATE($A2457,""en"",""it"")"),"San Tommaso (JM)")</f>
        <v>San Tommaso (JM)</v>
      </c>
      <c r="G2457" s="9" t="str">
        <f>IFERROR(__xludf.DUMMYFUNCTION("GOOGLETRANSLATE($A2457,""en"",""zh-cn"")"),"圣托马斯 (JM)")</f>
        <v>圣托马斯 (JM)</v>
      </c>
      <c r="H2457" s="9" t="str">
        <f>IFERROR(__xludf.DUMMYFUNCTION("GOOGLETRANSLATE($A2457,""en"",""ja"")"),"セントトーマス (JM)")</f>
        <v>セントトーマス (JM)</v>
      </c>
      <c r="I2457" s="9" t="str">
        <f>IFERROR(__xludf.DUMMYFUNCTION("GOOGLETRANSLATE($A2457,""en"",""ko"")"),"세인트 토마스(JM)")</f>
        <v>세인트 토마스(JM)</v>
      </c>
      <c r="J2457" s="9" t="str">
        <f>IFERROR(__xludf.DUMMYFUNCTION("GOOGLETRANSLATE($A2457,""en"",""pt-BR"")"),"São Tomás (JM)")</f>
        <v>São Tomás (JM)</v>
      </c>
    </row>
    <row r="2458">
      <c r="A2458" s="9" t="str">
        <f>IFERROR(__xludf.DUMMYFUNCTION("""COMPUTED_VALUE"""),"Westmoreland")</f>
        <v>Westmoreland</v>
      </c>
      <c r="B2458" s="9" t="str">
        <f>IFERROR(__xludf.DUMMYFUNCTION("""COMPUTED_VALUE"""),"jm-10")</f>
        <v>jm-10</v>
      </c>
      <c r="C2458" s="9" t="str">
        <f>IFERROR(__xludf.DUMMYFUNCTION("GOOGLETRANSLATE($A2458,""en"",""de"")"),"Westmoreland")</f>
        <v>Westmoreland</v>
      </c>
      <c r="D2458" s="9" t="str">
        <f>IFERROR(__xludf.DUMMYFUNCTION("GOOGLETRANSLATE($A2458,""en"",""fr"")"),"Westmoreland")</f>
        <v>Westmoreland</v>
      </c>
      <c r="E2458" s="9" t="str">
        <f>IFERROR(__xludf.DUMMYFUNCTION("GOOGLETRANSLATE($A2458,""en"",""es"")"),"Westmoreland")</f>
        <v>Westmoreland</v>
      </c>
      <c r="F2458" s="9" t="str">
        <f>IFERROR(__xludf.DUMMYFUNCTION("GOOGLETRANSLATE($A2458,""en"",""it"")"),"Westmoreland")</f>
        <v>Westmoreland</v>
      </c>
      <c r="G2458" s="9" t="str">
        <f>IFERROR(__xludf.DUMMYFUNCTION("GOOGLETRANSLATE($A2458,""en"",""zh-cn"")"),"威斯特摩兰")</f>
        <v>威斯特摩兰</v>
      </c>
      <c r="H2458" s="9" t="str">
        <f>IFERROR(__xludf.DUMMYFUNCTION("GOOGLETRANSLATE($A2458,""en"",""ja"")"),"ウェストモアランド")</f>
        <v>ウェストモアランド</v>
      </c>
      <c r="I2458" s="9" t="str">
        <f>IFERROR(__xludf.DUMMYFUNCTION("GOOGLETRANSLATE($A2458,""en"",""ko"")"),"웨스트모어랜드")</f>
        <v>웨스트모어랜드</v>
      </c>
      <c r="J2458" s="9" t="str">
        <f>IFERROR(__xludf.DUMMYFUNCTION("GOOGLETRANSLATE($A2458,""en"",""pt-BR"")"),"Westmoreland")</f>
        <v>Westmoreland</v>
      </c>
    </row>
    <row r="2459">
      <c r="A2459" s="9" t="str">
        <f>IFERROR(__xludf.DUMMYFUNCTION("""COMPUTED_VALUE"""),"Manchester (JM)")</f>
        <v>Manchester (JM)</v>
      </c>
      <c r="B2459" s="9" t="str">
        <f>IFERROR(__xludf.DUMMYFUNCTION("""COMPUTED_VALUE"""),"jm-12")</f>
        <v>jm-12</v>
      </c>
      <c r="C2459" s="9" t="str">
        <f>IFERROR(__xludf.DUMMYFUNCTION("GOOGLETRANSLATE($A2459,""en"",""de"")"),"Manchester (JM)")</f>
        <v>Manchester (JM)</v>
      </c>
      <c r="D2459" s="9" t="str">
        <f>IFERROR(__xludf.DUMMYFUNCTION("GOOGLETRANSLATE($A2459,""en"",""fr"")"),"Manchester (JM)")</f>
        <v>Manchester (JM)</v>
      </c>
      <c r="E2459" s="9" t="str">
        <f>IFERROR(__xludf.DUMMYFUNCTION("GOOGLETRANSLATE($A2459,""en"",""es"")"),"Mánchester (JM)")</f>
        <v>Mánchester (JM)</v>
      </c>
      <c r="F2459" s="9" t="str">
        <f>IFERROR(__xludf.DUMMYFUNCTION("GOOGLETRANSLATE($A2459,""en"",""it"")"),"Manchester (JM)")</f>
        <v>Manchester (JM)</v>
      </c>
      <c r="G2459" s="9" t="str">
        <f>IFERROR(__xludf.DUMMYFUNCTION("GOOGLETRANSLATE($A2459,""en"",""zh-cn"")"),"曼彻斯特 (JM)")</f>
        <v>曼彻斯特 (JM)</v>
      </c>
      <c r="H2459" s="9" t="str">
        <f>IFERROR(__xludf.DUMMYFUNCTION("GOOGLETRANSLATE($A2459,""en"",""ja"")"),"マンチェスター (JM)")</f>
        <v>マンチェスター (JM)</v>
      </c>
      <c r="I2459" s="9" t="str">
        <f>IFERROR(__xludf.DUMMYFUNCTION("GOOGLETRANSLATE($A2459,""en"",""ko"")"),"맨체스터 (JM)")</f>
        <v>맨체스터 (JM)</v>
      </c>
      <c r="J2459" s="9" t="str">
        <f>IFERROR(__xludf.DUMMYFUNCTION("GOOGLETRANSLATE($A2459,""en"",""pt-BR"")"),"Manchester (JM)")</f>
        <v>Manchester (JM)</v>
      </c>
    </row>
    <row r="2460">
      <c r="A2460" s="9" t="str">
        <f>IFERROR(__xludf.DUMMYFUNCTION("""COMPUTED_VALUE"""),"Portland")</f>
        <v>Portland</v>
      </c>
      <c r="B2460" s="9" t="str">
        <f>IFERROR(__xludf.DUMMYFUNCTION("""COMPUTED_VALUE"""),"jm-04")</f>
        <v>jm-04</v>
      </c>
      <c r="C2460" s="9" t="str">
        <f>IFERROR(__xludf.DUMMYFUNCTION("GOOGLETRANSLATE($A2460,""en"",""de"")"),"Portland")</f>
        <v>Portland</v>
      </c>
      <c r="D2460" s="9" t="str">
        <f>IFERROR(__xludf.DUMMYFUNCTION("GOOGLETRANSLATE($A2460,""en"",""fr"")"),"Portland")</f>
        <v>Portland</v>
      </c>
      <c r="E2460" s="9" t="str">
        <f>IFERROR(__xludf.DUMMYFUNCTION("GOOGLETRANSLATE($A2460,""en"",""es"")"),"portland")</f>
        <v>portland</v>
      </c>
      <c r="F2460" s="9" t="str">
        <f>IFERROR(__xludf.DUMMYFUNCTION("GOOGLETRANSLATE($A2460,""en"",""it"")"),"Portland")</f>
        <v>Portland</v>
      </c>
      <c r="G2460" s="9" t="str">
        <f>IFERROR(__xludf.DUMMYFUNCTION("GOOGLETRANSLATE($A2460,""en"",""zh-cn"")"),"波特兰")</f>
        <v>波特兰</v>
      </c>
      <c r="H2460" s="9" t="str">
        <f>IFERROR(__xludf.DUMMYFUNCTION("GOOGLETRANSLATE($A2460,""en"",""ja"")"),"ポートランド")</f>
        <v>ポートランド</v>
      </c>
      <c r="I2460" s="9" t="str">
        <f>IFERROR(__xludf.DUMMYFUNCTION("GOOGLETRANSLATE($A2460,""en"",""ko"")"),"포틀랜드")</f>
        <v>포틀랜드</v>
      </c>
      <c r="J2460" s="9" t="str">
        <f>IFERROR(__xludf.DUMMYFUNCTION("GOOGLETRANSLATE($A2460,""en"",""pt-BR"")"),"Portland")</f>
        <v>Portland</v>
      </c>
    </row>
    <row r="2461">
      <c r="A2461" s="9" t="str">
        <f>IFERROR(__xludf.DUMMYFUNCTION("""COMPUTED_VALUE"""),"Saint Mary (JM)")</f>
        <v>Saint Mary (JM)</v>
      </c>
      <c r="B2461" s="9" t="str">
        <f>IFERROR(__xludf.DUMMYFUNCTION("""COMPUTED_VALUE"""),"jm-05")</f>
        <v>jm-05</v>
      </c>
      <c r="C2461" s="9" t="str">
        <f>IFERROR(__xludf.DUMMYFUNCTION("GOOGLETRANSLATE($A2461,""en"",""de"")"),"Heilige Maria (JM)")</f>
        <v>Heilige Maria (JM)</v>
      </c>
      <c r="D2461" s="9" t="str">
        <f>IFERROR(__xludf.DUMMYFUNCTION("GOOGLETRANSLATE($A2461,""en"",""fr"")"),"Sainte Marie (JM)")</f>
        <v>Sainte Marie (JM)</v>
      </c>
      <c r="E2461" s="9" t="str">
        <f>IFERROR(__xludf.DUMMYFUNCTION("GOOGLETRANSLATE($A2461,""en"",""es"")"),"Santa María (JM)")</f>
        <v>Santa María (JM)</v>
      </c>
      <c r="F2461" s="9" t="str">
        <f>IFERROR(__xludf.DUMMYFUNCTION("GOOGLETRANSLATE($A2461,""en"",""it"")"),"Santa Maria (JM)")</f>
        <v>Santa Maria (JM)</v>
      </c>
      <c r="G2461" s="9" t="str">
        <f>IFERROR(__xludf.DUMMYFUNCTION("GOOGLETRANSLATE($A2461,""en"",""zh-cn"")"),"圣玛丽 (JM)")</f>
        <v>圣玛丽 (JM)</v>
      </c>
      <c r="H2461" s="9" t="str">
        <f>IFERROR(__xludf.DUMMYFUNCTION("GOOGLETRANSLATE($A2461,""en"",""ja"")"),"セントメアリー (JM)")</f>
        <v>セントメアリー (JM)</v>
      </c>
      <c r="I2461" s="9" t="str">
        <f>IFERROR(__xludf.DUMMYFUNCTION("GOOGLETRANSLATE($A2461,""en"",""ko"")"),"세인트 메리(JM)")</f>
        <v>세인트 메리(JM)</v>
      </c>
      <c r="J2461" s="9" t="str">
        <f>IFERROR(__xludf.DUMMYFUNCTION("GOOGLETRANSLATE($A2461,""en"",""pt-BR"")"),"Santa Maria (JM)")</f>
        <v>Santa Maria (JM)</v>
      </c>
    </row>
    <row r="2462">
      <c r="A2462" s="9" t="str">
        <f>IFERROR(__xludf.DUMMYFUNCTION("""COMPUTED_VALUE"""),"Hanover")</f>
        <v>Hanover</v>
      </c>
      <c r="B2462" s="9" t="str">
        <f>IFERROR(__xludf.DUMMYFUNCTION("""COMPUTED_VALUE"""),"jm-09")</f>
        <v>jm-09</v>
      </c>
      <c r="C2462" s="9" t="str">
        <f>IFERROR(__xludf.DUMMYFUNCTION("GOOGLETRANSLATE($A2462,""en"",""de"")"),"Hannover")</f>
        <v>Hannover</v>
      </c>
      <c r="D2462" s="9" t="str">
        <f>IFERROR(__xludf.DUMMYFUNCTION("GOOGLETRANSLATE($A2462,""en"",""fr"")"),"Hanovre")</f>
        <v>Hanovre</v>
      </c>
      <c r="E2462" s="9" t="str">
        <f>IFERROR(__xludf.DUMMYFUNCTION("GOOGLETRANSLATE($A2462,""en"",""es"")"),"Hanovre")</f>
        <v>Hanovre</v>
      </c>
      <c r="F2462" s="9" t="str">
        <f>IFERROR(__xludf.DUMMYFUNCTION("GOOGLETRANSLATE($A2462,""en"",""it"")"),"Hannover")</f>
        <v>Hannover</v>
      </c>
      <c r="G2462" s="9" t="str">
        <f>IFERROR(__xludf.DUMMYFUNCTION("GOOGLETRANSLATE($A2462,""en"",""zh-cn"")"),"汉诺威")</f>
        <v>汉诺威</v>
      </c>
      <c r="H2462" s="9" t="str">
        <f>IFERROR(__xludf.DUMMYFUNCTION("GOOGLETRANSLATE($A2462,""en"",""ja"")"),"ハノーバー")</f>
        <v>ハノーバー</v>
      </c>
      <c r="I2462" s="9" t="str">
        <f>IFERROR(__xludf.DUMMYFUNCTION("GOOGLETRANSLATE($A2462,""en"",""ko"")"),"하노버")</f>
        <v>하노버</v>
      </c>
      <c r="J2462" s="9" t="str">
        <f>IFERROR(__xludf.DUMMYFUNCTION("GOOGLETRANSLATE($A2462,""en"",""pt-BR"")"),"Hanôver")</f>
        <v>Hanôver</v>
      </c>
    </row>
    <row r="2463">
      <c r="A2463" s="9" t="str">
        <f>IFERROR(__xludf.DUMMYFUNCTION("""COMPUTED_VALUE"""),"Trelawny")</f>
        <v>Trelawny</v>
      </c>
      <c r="B2463" s="9" t="str">
        <f>IFERROR(__xludf.DUMMYFUNCTION("""COMPUTED_VALUE"""),"jm-07")</f>
        <v>jm-07</v>
      </c>
      <c r="C2463" s="9" t="str">
        <f>IFERROR(__xludf.DUMMYFUNCTION("GOOGLETRANSLATE($A2463,""en"",""de"")"),"Trelawny")</f>
        <v>Trelawny</v>
      </c>
      <c r="D2463" s="9" t="str">
        <f>IFERROR(__xludf.DUMMYFUNCTION("GOOGLETRANSLATE($A2463,""en"",""fr"")"),"Trelawney")</f>
        <v>Trelawney</v>
      </c>
      <c r="E2463" s="9" t="str">
        <f>IFERROR(__xludf.DUMMYFUNCTION("GOOGLETRANSLATE($A2463,""en"",""es"")"),"Trelawny")</f>
        <v>Trelawny</v>
      </c>
      <c r="F2463" s="9" t="str">
        <f>IFERROR(__xludf.DUMMYFUNCTION("GOOGLETRANSLATE($A2463,""en"",""it"")"),"Trelawny")</f>
        <v>Trelawny</v>
      </c>
      <c r="G2463" s="9" t="str">
        <f>IFERROR(__xludf.DUMMYFUNCTION("GOOGLETRANSLATE($A2463,""en"",""zh-cn"")"),"特里劳尼")</f>
        <v>特里劳尼</v>
      </c>
      <c r="H2463" s="9" t="str">
        <f>IFERROR(__xludf.DUMMYFUNCTION("GOOGLETRANSLATE($A2463,""en"",""ja"")"),"トレローニー")</f>
        <v>トレローニー</v>
      </c>
      <c r="I2463" s="9" t="str">
        <f>IFERROR(__xludf.DUMMYFUNCTION("GOOGLETRANSLATE($A2463,""en"",""ko"")"),"트릴로니")</f>
        <v>트릴로니</v>
      </c>
      <c r="J2463" s="9" t="str">
        <f>IFERROR(__xludf.DUMMYFUNCTION("GOOGLETRANSLATE($A2463,""en"",""pt-BR"")"),"Trelawny")</f>
        <v>Trelawny</v>
      </c>
    </row>
    <row r="2464">
      <c r="A2464" s="9" t="str">
        <f>IFERROR(__xludf.DUMMYFUNCTION("""COMPUTED_VALUE"""),"Hokkaido")</f>
        <v>Hokkaido</v>
      </c>
      <c r="B2464" s="9" t="str">
        <f>IFERROR(__xludf.DUMMYFUNCTION("""COMPUTED_VALUE"""),"jp-01")</f>
        <v>jp-01</v>
      </c>
      <c r="C2464" s="9" t="str">
        <f>IFERROR(__xludf.DUMMYFUNCTION("GOOGLETRANSLATE($A2464,""en"",""de"")"),"Hokkaido")</f>
        <v>Hokkaido</v>
      </c>
      <c r="D2464" s="9" t="str">
        <f>IFERROR(__xludf.DUMMYFUNCTION("GOOGLETRANSLATE($A2464,""en"",""fr"")"),"Hokkaidō")</f>
        <v>Hokkaidō</v>
      </c>
      <c r="E2464" s="9" t="str">
        <f>IFERROR(__xludf.DUMMYFUNCTION("GOOGLETRANSLATE($A2464,""en"",""es"")"),"Hokkaidō")</f>
        <v>Hokkaidō</v>
      </c>
      <c r="F2464" s="9" t="str">
        <f>IFERROR(__xludf.DUMMYFUNCTION("GOOGLETRANSLATE($A2464,""en"",""it"")"),"Hokkaido")</f>
        <v>Hokkaido</v>
      </c>
      <c r="G2464" s="9" t="str">
        <f>IFERROR(__xludf.DUMMYFUNCTION("GOOGLETRANSLATE($A2464,""en"",""zh-cn"")"),"北海道")</f>
        <v>北海道</v>
      </c>
      <c r="H2464" s="9" t="str">
        <f>IFERROR(__xludf.DUMMYFUNCTION("GOOGLETRANSLATE($A2464,""en"",""ja"")"),"北海道")</f>
        <v>北海道</v>
      </c>
      <c r="I2464" s="9" t="str">
        <f>IFERROR(__xludf.DUMMYFUNCTION("GOOGLETRANSLATE($A2464,""en"",""ko"")"),"홋카이도")</f>
        <v>홋카이도</v>
      </c>
      <c r="J2464" s="9" t="str">
        <f>IFERROR(__xludf.DUMMYFUNCTION("GOOGLETRANSLATE($A2464,""en"",""pt-BR"")"),"Hokkaido")</f>
        <v>Hokkaido</v>
      </c>
    </row>
    <row r="2465">
      <c r="A2465" s="9" t="str">
        <f>IFERROR(__xludf.DUMMYFUNCTION("""COMPUTED_VALUE"""),"Iwate")</f>
        <v>Iwate</v>
      </c>
      <c r="B2465" s="9" t="str">
        <f>IFERROR(__xludf.DUMMYFUNCTION("""COMPUTED_VALUE"""),"jp-03")</f>
        <v>jp-03</v>
      </c>
      <c r="C2465" s="9" t="str">
        <f>IFERROR(__xludf.DUMMYFUNCTION("GOOGLETRANSLATE($A2465,""en"",""de"")"),"Iwate")</f>
        <v>Iwate</v>
      </c>
      <c r="D2465" s="9" t="str">
        <f>IFERROR(__xludf.DUMMYFUNCTION("GOOGLETRANSLATE($A2465,""en"",""fr"")"),"Iwate")</f>
        <v>Iwate</v>
      </c>
      <c r="E2465" s="9" t="str">
        <f>IFERROR(__xludf.DUMMYFUNCTION("GOOGLETRANSLATE($A2465,""en"",""es"")"),"Iwate")</f>
        <v>Iwate</v>
      </c>
      <c r="F2465" s="9" t="str">
        <f>IFERROR(__xludf.DUMMYFUNCTION("GOOGLETRANSLATE($A2465,""en"",""it"")"),"Iwate")</f>
        <v>Iwate</v>
      </c>
      <c r="G2465" s="9" t="str">
        <f>IFERROR(__xludf.DUMMYFUNCTION("GOOGLETRANSLATE($A2465,""en"",""zh-cn"")"),"岩手县")</f>
        <v>岩手县</v>
      </c>
      <c r="H2465" s="9" t="str">
        <f>IFERROR(__xludf.DUMMYFUNCTION("GOOGLETRANSLATE($A2465,""en"",""ja"")"),"岩手県")</f>
        <v>岩手県</v>
      </c>
      <c r="I2465" s="9" t="str">
        <f>IFERROR(__xludf.DUMMYFUNCTION("GOOGLETRANSLATE($A2465,""en"",""ko"")"),"이와테")</f>
        <v>이와테</v>
      </c>
      <c r="J2465" s="9" t="str">
        <f>IFERROR(__xludf.DUMMYFUNCTION("GOOGLETRANSLATE($A2465,""en"",""pt-BR"")"),"Iwate")</f>
        <v>Iwate</v>
      </c>
    </row>
    <row r="2466">
      <c r="A2466" s="9" t="str">
        <f>IFERROR(__xludf.DUMMYFUNCTION("""COMPUTED_VALUE"""),"Yamanashi")</f>
        <v>Yamanashi</v>
      </c>
      <c r="B2466" s="9" t="str">
        <f>IFERROR(__xludf.DUMMYFUNCTION("""COMPUTED_VALUE"""),"jp-19")</f>
        <v>jp-19</v>
      </c>
      <c r="C2466" s="9" t="str">
        <f>IFERROR(__xludf.DUMMYFUNCTION("GOOGLETRANSLATE($A2466,""en"",""de"")"),"Yamanashi")</f>
        <v>Yamanashi</v>
      </c>
      <c r="D2466" s="9" t="str">
        <f>IFERROR(__xludf.DUMMYFUNCTION("GOOGLETRANSLATE($A2466,""en"",""fr"")"),"Yamanashi")</f>
        <v>Yamanashi</v>
      </c>
      <c r="E2466" s="9" t="str">
        <f>IFERROR(__xludf.DUMMYFUNCTION("GOOGLETRANSLATE($A2466,""en"",""es"")"),"Yamanashi")</f>
        <v>Yamanashi</v>
      </c>
      <c r="F2466" s="9" t="str">
        <f>IFERROR(__xludf.DUMMYFUNCTION("GOOGLETRANSLATE($A2466,""en"",""it"")"),"Yamanashi")</f>
        <v>Yamanashi</v>
      </c>
      <c r="G2466" s="9" t="str">
        <f>IFERROR(__xludf.DUMMYFUNCTION("GOOGLETRANSLATE($A2466,""en"",""zh-cn"")"),"山梨县")</f>
        <v>山梨县</v>
      </c>
      <c r="H2466" s="9" t="str">
        <f>IFERROR(__xludf.DUMMYFUNCTION("GOOGLETRANSLATE($A2466,""en"",""ja"")"),"山梨")</f>
        <v>山梨</v>
      </c>
      <c r="I2466" s="9" t="str">
        <f>IFERROR(__xludf.DUMMYFUNCTION("GOOGLETRANSLATE($A2466,""en"",""ko"")"),"야마나시")</f>
        <v>야마나시</v>
      </c>
      <c r="J2466" s="9" t="str">
        <f>IFERROR(__xludf.DUMMYFUNCTION("GOOGLETRANSLATE($A2466,""en"",""pt-BR"")"),"Yamanashi")</f>
        <v>Yamanashi</v>
      </c>
    </row>
    <row r="2467">
      <c r="A2467" s="9" t="str">
        <f>IFERROR(__xludf.DUMMYFUNCTION("""COMPUTED_VALUE"""),"Wakayama")</f>
        <v>Wakayama</v>
      </c>
      <c r="B2467" s="9" t="str">
        <f>IFERROR(__xludf.DUMMYFUNCTION("""COMPUTED_VALUE"""),"jp-30")</f>
        <v>jp-30</v>
      </c>
      <c r="C2467" s="9" t="str">
        <f>IFERROR(__xludf.DUMMYFUNCTION("GOOGLETRANSLATE($A2467,""en"",""de"")"),"Wakayama")</f>
        <v>Wakayama</v>
      </c>
      <c r="D2467" s="9" t="str">
        <f>IFERROR(__xludf.DUMMYFUNCTION("GOOGLETRANSLATE($A2467,""en"",""fr"")"),"Wakayama")</f>
        <v>Wakayama</v>
      </c>
      <c r="E2467" s="9" t="str">
        <f>IFERROR(__xludf.DUMMYFUNCTION("GOOGLETRANSLATE($A2467,""en"",""es"")"),"Wakayama")</f>
        <v>Wakayama</v>
      </c>
      <c r="F2467" s="9" t="str">
        <f>IFERROR(__xludf.DUMMYFUNCTION("GOOGLETRANSLATE($A2467,""en"",""it"")"),"Wakayama")</f>
        <v>Wakayama</v>
      </c>
      <c r="G2467" s="9" t="str">
        <f>IFERROR(__xludf.DUMMYFUNCTION("GOOGLETRANSLATE($A2467,""en"",""zh-cn"")"),"和歌山")</f>
        <v>和歌山</v>
      </c>
      <c r="H2467" s="9" t="str">
        <f>IFERROR(__xludf.DUMMYFUNCTION("GOOGLETRANSLATE($A2467,""en"",""ja"")"),"和歌山")</f>
        <v>和歌山</v>
      </c>
      <c r="I2467" s="9" t="str">
        <f>IFERROR(__xludf.DUMMYFUNCTION("GOOGLETRANSLATE($A2467,""en"",""ko"")"),"와카야마")</f>
        <v>와카야마</v>
      </c>
      <c r="J2467" s="9" t="str">
        <f>IFERROR(__xludf.DUMMYFUNCTION("GOOGLETRANSLATE($A2467,""en"",""pt-BR"")"),"Wakayama")</f>
        <v>Wakayama</v>
      </c>
    </row>
    <row r="2468">
      <c r="A2468" s="9" t="str">
        <f>IFERROR(__xludf.DUMMYFUNCTION("""COMPUTED_VALUE"""),"Nagano")</f>
        <v>Nagano</v>
      </c>
      <c r="B2468" s="9" t="str">
        <f>IFERROR(__xludf.DUMMYFUNCTION("""COMPUTED_VALUE"""),"jp-20")</f>
        <v>jp-20</v>
      </c>
      <c r="C2468" s="9" t="str">
        <f>IFERROR(__xludf.DUMMYFUNCTION("GOOGLETRANSLATE($A2468,""en"",""de"")"),"Nagano")</f>
        <v>Nagano</v>
      </c>
      <c r="D2468" s="9" t="str">
        <f>IFERROR(__xludf.DUMMYFUNCTION("GOOGLETRANSLATE($A2468,""en"",""fr"")"),"Nagano")</f>
        <v>Nagano</v>
      </c>
      <c r="E2468" s="9" t="str">
        <f>IFERROR(__xludf.DUMMYFUNCTION("GOOGLETRANSLATE($A2468,""en"",""es"")"),"Nagano")</f>
        <v>Nagano</v>
      </c>
      <c r="F2468" s="9" t="str">
        <f>IFERROR(__xludf.DUMMYFUNCTION("GOOGLETRANSLATE($A2468,""en"",""it"")"),"Nagano")</f>
        <v>Nagano</v>
      </c>
      <c r="G2468" s="9" t="str">
        <f>IFERROR(__xludf.DUMMYFUNCTION("GOOGLETRANSLATE($A2468,""en"",""zh-cn"")"),"长野")</f>
        <v>长野</v>
      </c>
      <c r="H2468" s="9" t="str">
        <f>IFERROR(__xludf.DUMMYFUNCTION("GOOGLETRANSLATE($A2468,""en"",""ja"")"),"長野県")</f>
        <v>長野県</v>
      </c>
      <c r="I2468" s="9" t="str">
        <f>IFERROR(__xludf.DUMMYFUNCTION("GOOGLETRANSLATE($A2468,""en"",""ko"")"),"나가노")</f>
        <v>나가노</v>
      </c>
      <c r="J2468" s="9" t="str">
        <f>IFERROR(__xludf.DUMMYFUNCTION("GOOGLETRANSLATE($A2468,""en"",""pt-BR"")"),"Nagano")</f>
        <v>Nagano</v>
      </c>
    </row>
    <row r="2469">
      <c r="A2469" s="9" t="str">
        <f>IFERROR(__xludf.DUMMYFUNCTION("""COMPUTED_VALUE"""),"Ibaraki")</f>
        <v>Ibaraki</v>
      </c>
      <c r="B2469" s="9" t="str">
        <f>IFERROR(__xludf.DUMMYFUNCTION("""COMPUTED_VALUE"""),"jp-08")</f>
        <v>jp-08</v>
      </c>
      <c r="C2469" s="9" t="str">
        <f>IFERROR(__xludf.DUMMYFUNCTION("GOOGLETRANSLATE($A2469,""en"",""de"")"),"Ibaraki")</f>
        <v>Ibaraki</v>
      </c>
      <c r="D2469" s="9" t="str">
        <f>IFERROR(__xludf.DUMMYFUNCTION("GOOGLETRANSLATE($A2469,""en"",""fr"")"),"Ibaraki")</f>
        <v>Ibaraki</v>
      </c>
      <c r="E2469" s="9" t="str">
        <f>IFERROR(__xludf.DUMMYFUNCTION("GOOGLETRANSLATE($A2469,""en"",""es"")"),"Ibaraki")</f>
        <v>Ibaraki</v>
      </c>
      <c r="F2469" s="9" t="str">
        <f>IFERROR(__xludf.DUMMYFUNCTION("GOOGLETRANSLATE($A2469,""en"",""it"")"),"Ibaraki")</f>
        <v>Ibaraki</v>
      </c>
      <c r="G2469" s="9" t="str">
        <f>IFERROR(__xludf.DUMMYFUNCTION("GOOGLETRANSLATE($A2469,""en"",""zh-cn"")"),"茨城")</f>
        <v>茨城</v>
      </c>
      <c r="H2469" s="9" t="str">
        <f>IFERROR(__xludf.DUMMYFUNCTION("GOOGLETRANSLATE($A2469,""en"",""ja"")"),"茨城県")</f>
        <v>茨城県</v>
      </c>
      <c r="I2469" s="9" t="str">
        <f>IFERROR(__xludf.DUMMYFUNCTION("GOOGLETRANSLATE($A2469,""en"",""ko"")"),"이바라키")</f>
        <v>이바라키</v>
      </c>
      <c r="J2469" s="9" t="str">
        <f>IFERROR(__xludf.DUMMYFUNCTION("GOOGLETRANSLATE($A2469,""en"",""pt-BR"")"),"Ibaraki")</f>
        <v>Ibaraki</v>
      </c>
    </row>
    <row r="2470">
      <c r="A2470" s="9" t="str">
        <f>IFERROR(__xludf.DUMMYFUNCTION("""COMPUTED_VALUE"""),"Mie")</f>
        <v>Mie</v>
      </c>
      <c r="B2470" s="9" t="str">
        <f>IFERROR(__xludf.DUMMYFUNCTION("""COMPUTED_VALUE"""),"jp-24")</f>
        <v>jp-24</v>
      </c>
      <c r="C2470" s="9" t="str">
        <f>IFERROR(__xludf.DUMMYFUNCTION("GOOGLETRANSLATE($A2470,""en"",""de"")"),"Mie")</f>
        <v>Mie</v>
      </c>
      <c r="D2470" s="9" t="str">
        <f>IFERROR(__xludf.DUMMYFUNCTION("GOOGLETRANSLATE($A2470,""en"",""fr"")"),"Mie")</f>
        <v>Mie</v>
      </c>
      <c r="E2470" s="9" t="str">
        <f>IFERROR(__xludf.DUMMYFUNCTION("GOOGLETRANSLATE($A2470,""en"",""es"")"),"mie")</f>
        <v>mie</v>
      </c>
      <c r="F2470" s="9" t="str">
        <f>IFERROR(__xludf.DUMMYFUNCTION("GOOGLETRANSLATE($A2470,""en"",""it"")"),"Mie")</f>
        <v>Mie</v>
      </c>
      <c r="G2470" s="9" t="str">
        <f>IFERROR(__xludf.DUMMYFUNCTION("GOOGLETRANSLATE($A2470,""en"",""zh-cn"")"),"三重")</f>
        <v>三重</v>
      </c>
      <c r="H2470" s="9" t="str">
        <f>IFERROR(__xludf.DUMMYFUNCTION("GOOGLETRANSLATE($A2470,""en"",""ja"")"),"三重")</f>
        <v>三重</v>
      </c>
      <c r="I2470" s="9" t="str">
        <f>IFERROR(__xludf.DUMMYFUNCTION("GOOGLETRANSLATE($A2470,""en"",""ko"")"),"미에현")</f>
        <v>미에현</v>
      </c>
      <c r="J2470" s="9" t="str">
        <f>IFERROR(__xludf.DUMMYFUNCTION("GOOGLETRANSLATE($A2470,""en"",""pt-BR"")"),"Mie")</f>
        <v>Mie</v>
      </c>
    </row>
    <row r="2471">
      <c r="A2471" s="9" t="str">
        <f>IFERROR(__xludf.DUMMYFUNCTION("""COMPUTED_VALUE"""),"Shiga")</f>
        <v>Shiga</v>
      </c>
      <c r="B2471" s="9" t="str">
        <f>IFERROR(__xludf.DUMMYFUNCTION("""COMPUTED_VALUE"""),"jp-25")</f>
        <v>jp-25</v>
      </c>
      <c r="C2471" s="9" t="str">
        <f>IFERROR(__xludf.DUMMYFUNCTION("GOOGLETRANSLATE($A2471,""en"",""de"")"),"Shiga")</f>
        <v>Shiga</v>
      </c>
      <c r="D2471" s="9" t="str">
        <f>IFERROR(__xludf.DUMMYFUNCTION("GOOGLETRANSLATE($A2471,""en"",""fr"")"),"Shiga")</f>
        <v>Shiga</v>
      </c>
      <c r="E2471" s="9" t="str">
        <f>IFERROR(__xludf.DUMMYFUNCTION("GOOGLETRANSLATE($A2471,""en"",""es"")"),"shiga")</f>
        <v>shiga</v>
      </c>
      <c r="F2471" s="9" t="str">
        <f>IFERROR(__xludf.DUMMYFUNCTION("GOOGLETRANSLATE($A2471,""en"",""it"")"),"Shiga")</f>
        <v>Shiga</v>
      </c>
      <c r="G2471" s="9" t="str">
        <f>IFERROR(__xludf.DUMMYFUNCTION("GOOGLETRANSLATE($A2471,""en"",""zh-cn"")"),"滋贺县")</f>
        <v>滋贺县</v>
      </c>
      <c r="H2471" s="9" t="str">
        <f>IFERROR(__xludf.DUMMYFUNCTION("GOOGLETRANSLATE($A2471,""en"",""ja"")"),"滋賀")</f>
        <v>滋賀</v>
      </c>
      <c r="I2471" s="9" t="str">
        <f>IFERROR(__xludf.DUMMYFUNCTION("GOOGLETRANSLATE($A2471,""en"",""ko"")"),"시가")</f>
        <v>시가</v>
      </c>
      <c r="J2471" s="9" t="str">
        <f>IFERROR(__xludf.DUMMYFUNCTION("GOOGLETRANSLATE($A2471,""en"",""pt-BR"")"),"Shiga")</f>
        <v>Shiga</v>
      </c>
    </row>
    <row r="2472">
      <c r="A2472" s="9" t="str">
        <f>IFERROR(__xludf.DUMMYFUNCTION("""COMPUTED_VALUE"""),"Kumamoto")</f>
        <v>Kumamoto</v>
      </c>
      <c r="B2472" s="9" t="str">
        <f>IFERROR(__xludf.DUMMYFUNCTION("""COMPUTED_VALUE"""),"jp-43")</f>
        <v>jp-43</v>
      </c>
      <c r="C2472" s="9" t="str">
        <f>IFERROR(__xludf.DUMMYFUNCTION("GOOGLETRANSLATE($A2472,""en"",""de"")"),"Kumamoto")</f>
        <v>Kumamoto</v>
      </c>
      <c r="D2472" s="9" t="str">
        <f>IFERROR(__xludf.DUMMYFUNCTION("GOOGLETRANSLATE($A2472,""en"",""fr"")"),"Kumamoto")</f>
        <v>Kumamoto</v>
      </c>
      <c r="E2472" s="9" t="str">
        <f>IFERROR(__xludf.DUMMYFUNCTION("GOOGLETRANSLATE($A2472,""en"",""es"")"),"Kumamoto")</f>
        <v>Kumamoto</v>
      </c>
      <c r="F2472" s="9" t="str">
        <f>IFERROR(__xludf.DUMMYFUNCTION("GOOGLETRANSLATE($A2472,""en"",""it"")"),"Kumamoto")</f>
        <v>Kumamoto</v>
      </c>
      <c r="G2472" s="9" t="str">
        <f>IFERROR(__xludf.DUMMYFUNCTION("GOOGLETRANSLATE($A2472,""en"",""zh-cn"")"),"熊本")</f>
        <v>熊本</v>
      </c>
      <c r="H2472" s="9" t="str">
        <f>IFERROR(__xludf.DUMMYFUNCTION("GOOGLETRANSLATE($A2472,""en"",""ja"")"),"熊本")</f>
        <v>熊本</v>
      </c>
      <c r="I2472" s="9" t="str">
        <f>IFERROR(__xludf.DUMMYFUNCTION("GOOGLETRANSLATE($A2472,""en"",""ko"")"),"구마모토")</f>
        <v>구마모토</v>
      </c>
      <c r="J2472" s="9" t="str">
        <f>IFERROR(__xludf.DUMMYFUNCTION("GOOGLETRANSLATE($A2472,""en"",""pt-BR"")"),"Kumamoto")</f>
        <v>Kumamoto</v>
      </c>
    </row>
    <row r="2473">
      <c r="A2473" s="9" t="str">
        <f>IFERROR(__xludf.DUMMYFUNCTION("""COMPUTED_VALUE"""),"Yamagata")</f>
        <v>Yamagata</v>
      </c>
      <c r="B2473" s="9" t="str">
        <f>IFERROR(__xludf.DUMMYFUNCTION("""COMPUTED_VALUE"""),"jp-06")</f>
        <v>jp-06</v>
      </c>
      <c r="C2473" s="9" t="str">
        <f>IFERROR(__xludf.DUMMYFUNCTION("GOOGLETRANSLATE($A2473,""en"",""de"")"),"Yamagata")</f>
        <v>Yamagata</v>
      </c>
      <c r="D2473" s="9" t="str">
        <f>IFERROR(__xludf.DUMMYFUNCTION("GOOGLETRANSLATE($A2473,""en"",""fr"")"),"Yamagata")</f>
        <v>Yamagata</v>
      </c>
      <c r="E2473" s="9" t="str">
        <f>IFERROR(__xludf.DUMMYFUNCTION("GOOGLETRANSLATE($A2473,""en"",""es"")"),"Yamagata")</f>
        <v>Yamagata</v>
      </c>
      <c r="F2473" s="9" t="str">
        <f>IFERROR(__xludf.DUMMYFUNCTION("GOOGLETRANSLATE($A2473,""en"",""it"")"),"Yamagata")</f>
        <v>Yamagata</v>
      </c>
      <c r="G2473" s="9" t="str">
        <f>IFERROR(__xludf.DUMMYFUNCTION("GOOGLETRANSLATE($A2473,""en"",""zh-cn"")"),"山形")</f>
        <v>山形</v>
      </c>
      <c r="H2473" s="9" t="str">
        <f>IFERROR(__xludf.DUMMYFUNCTION("GOOGLETRANSLATE($A2473,""en"",""ja"")"),"山形県")</f>
        <v>山形県</v>
      </c>
      <c r="I2473" s="9" t="str">
        <f>IFERROR(__xludf.DUMMYFUNCTION("GOOGLETRANSLATE($A2473,""en"",""ko"")"),"야마가타")</f>
        <v>야마가타</v>
      </c>
      <c r="J2473" s="9" t="str">
        <f>IFERROR(__xludf.DUMMYFUNCTION("GOOGLETRANSLATE($A2473,""en"",""pt-BR"")"),"Yamagata")</f>
        <v>Yamagata</v>
      </c>
    </row>
    <row r="2474">
      <c r="A2474" s="9" t="str">
        <f>IFERROR(__xludf.DUMMYFUNCTION("""COMPUTED_VALUE"""),"Aichi")</f>
        <v>Aichi</v>
      </c>
      <c r="B2474" s="9" t="str">
        <f>IFERROR(__xludf.DUMMYFUNCTION("""COMPUTED_VALUE"""),"jp-23")</f>
        <v>jp-23</v>
      </c>
      <c r="C2474" s="9" t="str">
        <f>IFERROR(__xludf.DUMMYFUNCTION("GOOGLETRANSLATE($A2474,""en"",""de"")"),"Aichi")</f>
        <v>Aichi</v>
      </c>
      <c r="D2474" s="9" t="str">
        <f>IFERROR(__xludf.DUMMYFUNCTION("GOOGLETRANSLATE($A2474,""en"",""fr"")"),"Aïchi")</f>
        <v>Aïchi</v>
      </c>
      <c r="E2474" s="9" t="str">
        <f>IFERROR(__xludf.DUMMYFUNCTION("GOOGLETRANSLATE($A2474,""en"",""es"")"),"Aichi")</f>
        <v>Aichi</v>
      </c>
      <c r="F2474" s="9" t="str">
        <f>IFERROR(__xludf.DUMMYFUNCTION("GOOGLETRANSLATE($A2474,""en"",""it"")"),"Aichi")</f>
        <v>Aichi</v>
      </c>
      <c r="G2474" s="9" t="str">
        <f>IFERROR(__xludf.DUMMYFUNCTION("GOOGLETRANSLATE($A2474,""en"",""zh-cn"")"),"爱知县")</f>
        <v>爱知县</v>
      </c>
      <c r="H2474" s="9" t="str">
        <f>IFERROR(__xludf.DUMMYFUNCTION("GOOGLETRANSLATE($A2474,""en"",""ja"")"),"愛知県")</f>
        <v>愛知県</v>
      </c>
      <c r="I2474" s="9" t="str">
        <f>IFERROR(__xludf.DUMMYFUNCTION("GOOGLETRANSLATE($A2474,""en"",""ko"")"),"아이치")</f>
        <v>아이치</v>
      </c>
      <c r="J2474" s="9" t="str">
        <f>IFERROR(__xludf.DUMMYFUNCTION("GOOGLETRANSLATE($A2474,""en"",""pt-BR"")"),"Aichi")</f>
        <v>Aichi</v>
      </c>
    </row>
    <row r="2475">
      <c r="A2475" s="9" t="str">
        <f>IFERROR(__xludf.DUMMYFUNCTION("""COMPUTED_VALUE"""),"Fukuoka")</f>
        <v>Fukuoka</v>
      </c>
      <c r="B2475" s="9" t="str">
        <f>IFERROR(__xludf.DUMMYFUNCTION("""COMPUTED_VALUE"""),"jp-40")</f>
        <v>jp-40</v>
      </c>
      <c r="C2475" s="9" t="str">
        <f>IFERROR(__xludf.DUMMYFUNCTION("GOOGLETRANSLATE($A2475,""en"",""de"")"),"Fukuoka")</f>
        <v>Fukuoka</v>
      </c>
      <c r="D2475" s="9" t="str">
        <f>IFERROR(__xludf.DUMMYFUNCTION("GOOGLETRANSLATE($A2475,""en"",""fr"")"),"Fukuoka")</f>
        <v>Fukuoka</v>
      </c>
      <c r="E2475" s="9" t="str">
        <f>IFERROR(__xludf.DUMMYFUNCTION("GOOGLETRANSLATE($A2475,""en"",""es"")"),"Fukuoka")</f>
        <v>Fukuoka</v>
      </c>
      <c r="F2475" s="9" t="str">
        <f>IFERROR(__xludf.DUMMYFUNCTION("GOOGLETRANSLATE($A2475,""en"",""it"")"),"Fukuoka")</f>
        <v>Fukuoka</v>
      </c>
      <c r="G2475" s="9" t="str">
        <f>IFERROR(__xludf.DUMMYFUNCTION("GOOGLETRANSLATE($A2475,""en"",""zh-cn"")"),"福冈")</f>
        <v>福冈</v>
      </c>
      <c r="H2475" s="9" t="str">
        <f>IFERROR(__xludf.DUMMYFUNCTION("GOOGLETRANSLATE($A2475,""en"",""ja"")"),"福岡")</f>
        <v>福岡</v>
      </c>
      <c r="I2475" s="9" t="str">
        <f>IFERROR(__xludf.DUMMYFUNCTION("GOOGLETRANSLATE($A2475,""en"",""ko"")"),"후쿠오카")</f>
        <v>후쿠오카</v>
      </c>
      <c r="J2475" s="9" t="str">
        <f>IFERROR(__xludf.DUMMYFUNCTION("GOOGLETRANSLATE($A2475,""en"",""pt-BR"")"),"Fukuoka")</f>
        <v>Fukuoka</v>
      </c>
    </row>
    <row r="2476">
      <c r="A2476" s="9" t="str">
        <f>IFERROR(__xludf.DUMMYFUNCTION("""COMPUTED_VALUE"""),"Fukushima")</f>
        <v>Fukushima</v>
      </c>
      <c r="B2476" s="9" t="str">
        <f>IFERROR(__xludf.DUMMYFUNCTION("""COMPUTED_VALUE"""),"jp-07")</f>
        <v>jp-07</v>
      </c>
      <c r="C2476" s="9" t="str">
        <f>IFERROR(__xludf.DUMMYFUNCTION("GOOGLETRANSLATE($A2476,""en"",""de"")"),"Fukushima")</f>
        <v>Fukushima</v>
      </c>
      <c r="D2476" s="9" t="str">
        <f>IFERROR(__xludf.DUMMYFUNCTION("GOOGLETRANSLATE($A2476,""en"",""fr"")"),"Fukushima")</f>
        <v>Fukushima</v>
      </c>
      <c r="E2476" s="9" t="str">
        <f>IFERROR(__xludf.DUMMYFUNCTION("GOOGLETRANSLATE($A2476,""en"",""es"")"),"Fukushima")</f>
        <v>Fukushima</v>
      </c>
      <c r="F2476" s="9" t="str">
        <f>IFERROR(__xludf.DUMMYFUNCTION("GOOGLETRANSLATE($A2476,""en"",""it"")"),"Fukushima")</f>
        <v>Fukushima</v>
      </c>
      <c r="G2476" s="9" t="str">
        <f>IFERROR(__xludf.DUMMYFUNCTION("GOOGLETRANSLATE($A2476,""en"",""zh-cn"")"),"福岛")</f>
        <v>福岛</v>
      </c>
      <c r="H2476" s="9" t="str">
        <f>IFERROR(__xludf.DUMMYFUNCTION("GOOGLETRANSLATE($A2476,""en"",""ja"")"),"福島")</f>
        <v>福島</v>
      </c>
      <c r="I2476" s="9" t="str">
        <f>IFERROR(__xludf.DUMMYFUNCTION("GOOGLETRANSLATE($A2476,""en"",""ko"")"),"후쿠시마")</f>
        <v>후쿠시마</v>
      </c>
      <c r="J2476" s="9" t="str">
        <f>IFERROR(__xludf.DUMMYFUNCTION("GOOGLETRANSLATE($A2476,""en"",""pt-BR"")"),"Fukushima")</f>
        <v>Fukushima</v>
      </c>
    </row>
    <row r="2477">
      <c r="A2477" s="9" t="str">
        <f>IFERROR(__xludf.DUMMYFUNCTION("""COMPUTED_VALUE"""),"Tokyo")</f>
        <v>Tokyo</v>
      </c>
      <c r="B2477" s="9" t="str">
        <f>IFERROR(__xludf.DUMMYFUNCTION("""COMPUTED_VALUE"""),"jp-13")</f>
        <v>jp-13</v>
      </c>
      <c r="C2477" s="9" t="str">
        <f>IFERROR(__xludf.DUMMYFUNCTION("GOOGLETRANSLATE($A2477,""en"",""de"")"),"Tokio")</f>
        <v>Tokio</v>
      </c>
      <c r="D2477" s="9" t="str">
        <f>IFERROR(__xludf.DUMMYFUNCTION("GOOGLETRANSLATE($A2477,""en"",""fr"")"),"Tokyo")</f>
        <v>Tokyo</v>
      </c>
      <c r="E2477" s="9" t="str">
        <f>IFERROR(__xludf.DUMMYFUNCTION("GOOGLETRANSLATE($A2477,""en"",""es"")"),"Tokio")</f>
        <v>Tokio</v>
      </c>
      <c r="F2477" s="9" t="str">
        <f>IFERROR(__xludf.DUMMYFUNCTION("GOOGLETRANSLATE($A2477,""en"",""it"")"),"Tokio")</f>
        <v>Tokio</v>
      </c>
      <c r="G2477" s="9" t="str">
        <f>IFERROR(__xludf.DUMMYFUNCTION("GOOGLETRANSLATE($A2477,""en"",""zh-cn"")"),"东京")</f>
        <v>东京</v>
      </c>
      <c r="H2477" s="9" t="str">
        <f>IFERROR(__xludf.DUMMYFUNCTION("GOOGLETRANSLATE($A2477,""en"",""ja"")"),"東京")</f>
        <v>東京</v>
      </c>
      <c r="I2477" s="9" t="str">
        <f>IFERROR(__xludf.DUMMYFUNCTION("GOOGLETRANSLATE($A2477,""en"",""ko"")"),"도쿄")</f>
        <v>도쿄</v>
      </c>
      <c r="J2477" s="9" t="str">
        <f>IFERROR(__xludf.DUMMYFUNCTION("GOOGLETRANSLATE($A2477,""en"",""pt-BR"")"),"Tóquio")</f>
        <v>Tóquio</v>
      </c>
    </row>
    <row r="2478">
      <c r="A2478" s="9" t="str">
        <f>IFERROR(__xludf.DUMMYFUNCTION("""COMPUTED_VALUE"""),"Ishikawa")</f>
        <v>Ishikawa</v>
      </c>
      <c r="B2478" s="9" t="str">
        <f>IFERROR(__xludf.DUMMYFUNCTION("""COMPUTED_VALUE"""),"jp-17")</f>
        <v>jp-17</v>
      </c>
      <c r="C2478" s="9" t="str">
        <f>IFERROR(__xludf.DUMMYFUNCTION("GOOGLETRANSLATE($A2478,""en"",""de"")"),"Ishikawa")</f>
        <v>Ishikawa</v>
      </c>
      <c r="D2478" s="9" t="str">
        <f>IFERROR(__xludf.DUMMYFUNCTION("GOOGLETRANSLATE($A2478,""en"",""fr"")"),"Ishikawa")</f>
        <v>Ishikawa</v>
      </c>
      <c r="E2478" s="9" t="str">
        <f>IFERROR(__xludf.DUMMYFUNCTION("GOOGLETRANSLATE($A2478,""en"",""es"")"),"ishikawa")</f>
        <v>ishikawa</v>
      </c>
      <c r="F2478" s="9" t="str">
        <f>IFERROR(__xludf.DUMMYFUNCTION("GOOGLETRANSLATE($A2478,""en"",""it"")"),"Ishikawa")</f>
        <v>Ishikawa</v>
      </c>
      <c r="G2478" s="9" t="str">
        <f>IFERROR(__xludf.DUMMYFUNCTION("GOOGLETRANSLATE($A2478,""en"",""zh-cn"")"),"石川")</f>
        <v>石川</v>
      </c>
      <c r="H2478" s="9" t="str">
        <f>IFERROR(__xludf.DUMMYFUNCTION("GOOGLETRANSLATE($A2478,""en"",""ja"")"),"石川")</f>
        <v>石川</v>
      </c>
      <c r="I2478" s="9" t="str">
        <f>IFERROR(__xludf.DUMMYFUNCTION("GOOGLETRANSLATE($A2478,""en"",""ko"")"),"이시카와")</f>
        <v>이시카와</v>
      </c>
      <c r="J2478" s="9" t="str">
        <f>IFERROR(__xludf.DUMMYFUNCTION("GOOGLETRANSLATE($A2478,""en"",""pt-BR"")"),"Ishikawa")</f>
        <v>Ishikawa</v>
      </c>
    </row>
    <row r="2479">
      <c r="A2479" s="9" t="str">
        <f>IFERROR(__xludf.DUMMYFUNCTION("""COMPUTED_VALUE"""),"Tottori")</f>
        <v>Tottori</v>
      </c>
      <c r="B2479" s="9" t="str">
        <f>IFERROR(__xludf.DUMMYFUNCTION("""COMPUTED_VALUE"""),"jp-31")</f>
        <v>jp-31</v>
      </c>
      <c r="C2479" s="9" t="str">
        <f>IFERROR(__xludf.DUMMYFUNCTION("GOOGLETRANSLATE($A2479,""en"",""de"")"),"Tottori")</f>
        <v>Tottori</v>
      </c>
      <c r="D2479" s="9" t="str">
        <f>IFERROR(__xludf.DUMMYFUNCTION("GOOGLETRANSLATE($A2479,""en"",""fr"")"),"Tottori")</f>
        <v>Tottori</v>
      </c>
      <c r="E2479" s="9" t="str">
        <f>IFERROR(__xludf.DUMMYFUNCTION("GOOGLETRANSLATE($A2479,""en"",""es"")"),"totori")</f>
        <v>totori</v>
      </c>
      <c r="F2479" s="9" t="str">
        <f>IFERROR(__xludf.DUMMYFUNCTION("GOOGLETRANSLATE($A2479,""en"",""it"")"),"Tottori")</f>
        <v>Tottori</v>
      </c>
      <c r="G2479" s="9" t="str">
        <f>IFERROR(__xludf.DUMMYFUNCTION("GOOGLETRANSLATE($A2479,""en"",""zh-cn"")"),"鸟取")</f>
        <v>鸟取</v>
      </c>
      <c r="H2479" s="9" t="str">
        <f>IFERROR(__xludf.DUMMYFUNCTION("GOOGLETRANSLATE($A2479,""en"",""ja"")"),"鳥取")</f>
        <v>鳥取</v>
      </c>
      <c r="I2479" s="9" t="str">
        <f>IFERROR(__xludf.DUMMYFUNCTION("GOOGLETRANSLATE($A2479,""en"",""ko"")"),"돗토리")</f>
        <v>돗토리</v>
      </c>
      <c r="J2479" s="9" t="str">
        <f>IFERROR(__xludf.DUMMYFUNCTION("GOOGLETRANSLATE($A2479,""en"",""pt-BR"")"),"Tottori")</f>
        <v>Tottori</v>
      </c>
    </row>
    <row r="2480">
      <c r="A2480" s="9" t="str">
        <f>IFERROR(__xludf.DUMMYFUNCTION("""COMPUTED_VALUE"""),"Shimane")</f>
        <v>Shimane</v>
      </c>
      <c r="B2480" s="9" t="str">
        <f>IFERROR(__xludf.DUMMYFUNCTION("""COMPUTED_VALUE"""),"jp-32")</f>
        <v>jp-32</v>
      </c>
      <c r="C2480" s="9" t="str">
        <f>IFERROR(__xludf.DUMMYFUNCTION("GOOGLETRANSLATE($A2480,""en"",""de"")"),"Shimane")</f>
        <v>Shimane</v>
      </c>
      <c r="D2480" s="9" t="str">
        <f>IFERROR(__xludf.DUMMYFUNCTION("GOOGLETRANSLATE($A2480,""en"",""fr"")"),"Shimane")</f>
        <v>Shimane</v>
      </c>
      <c r="E2480" s="9" t="str">
        <f>IFERROR(__xludf.DUMMYFUNCTION("GOOGLETRANSLATE($A2480,""en"",""es"")"),"shimane")</f>
        <v>shimane</v>
      </c>
      <c r="F2480" s="9" t="str">
        <f>IFERROR(__xludf.DUMMYFUNCTION("GOOGLETRANSLATE($A2480,""en"",""it"")"),"Shimane")</f>
        <v>Shimane</v>
      </c>
      <c r="G2480" s="9" t="str">
        <f>IFERROR(__xludf.DUMMYFUNCTION("GOOGLETRANSLATE($A2480,""en"",""zh-cn"")"),"岛根")</f>
        <v>岛根</v>
      </c>
      <c r="H2480" s="9" t="str">
        <f>IFERROR(__xludf.DUMMYFUNCTION("GOOGLETRANSLATE($A2480,""en"",""ja"")"),"島根県")</f>
        <v>島根県</v>
      </c>
      <c r="I2480" s="9" t="str">
        <f>IFERROR(__xludf.DUMMYFUNCTION("GOOGLETRANSLATE($A2480,""en"",""ko"")"),"시마네")</f>
        <v>시마네</v>
      </c>
      <c r="J2480" s="9" t="str">
        <f>IFERROR(__xludf.DUMMYFUNCTION("GOOGLETRANSLATE($A2480,""en"",""pt-BR"")"),"Shimane")</f>
        <v>Shimane</v>
      </c>
    </row>
    <row r="2481">
      <c r="A2481" s="9" t="str">
        <f>IFERROR(__xludf.DUMMYFUNCTION("""COMPUTED_VALUE"""),"Kochi")</f>
        <v>Kochi</v>
      </c>
      <c r="B2481" s="9" t="str">
        <f>IFERROR(__xludf.DUMMYFUNCTION("""COMPUTED_VALUE"""),"jp-39")</f>
        <v>jp-39</v>
      </c>
      <c r="C2481" s="9" t="str">
        <f>IFERROR(__xludf.DUMMYFUNCTION("GOOGLETRANSLATE($A2481,""en"",""de"")"),"Kochi")</f>
        <v>Kochi</v>
      </c>
      <c r="D2481" s="9" t="str">
        <f>IFERROR(__xludf.DUMMYFUNCTION("GOOGLETRANSLATE($A2481,""en"",""fr"")"),"Cochin")</f>
        <v>Cochin</v>
      </c>
      <c r="E2481" s="9" t="str">
        <f>IFERROR(__xludf.DUMMYFUNCTION("GOOGLETRANSLATE($A2481,""en"",""es"")"),"Cochín")</f>
        <v>Cochín</v>
      </c>
      <c r="F2481" s="9" t="str">
        <f>IFERROR(__xludf.DUMMYFUNCTION("GOOGLETRANSLATE($A2481,""en"",""it"")"),"Kochi")</f>
        <v>Kochi</v>
      </c>
      <c r="G2481" s="9" t="str">
        <f>IFERROR(__xludf.DUMMYFUNCTION("GOOGLETRANSLATE($A2481,""en"",""zh-cn"")"),"高知")</f>
        <v>高知</v>
      </c>
      <c r="H2481" s="9" t="str">
        <f>IFERROR(__xludf.DUMMYFUNCTION("GOOGLETRANSLATE($A2481,""en"",""ja"")"),"高知")</f>
        <v>高知</v>
      </c>
      <c r="I2481" s="9" t="str">
        <f>IFERROR(__xludf.DUMMYFUNCTION("GOOGLETRANSLATE($A2481,""en"",""ko"")"),"고치")</f>
        <v>고치</v>
      </c>
      <c r="J2481" s="9" t="str">
        <f>IFERROR(__xludf.DUMMYFUNCTION("GOOGLETRANSLATE($A2481,""en"",""pt-BR"")"),"Cochim")</f>
        <v>Cochim</v>
      </c>
    </row>
    <row r="2482">
      <c r="A2482" s="9" t="str">
        <f>IFERROR(__xludf.DUMMYFUNCTION("""COMPUTED_VALUE"""),"Nagasaki")</f>
        <v>Nagasaki</v>
      </c>
      <c r="B2482" s="9" t="str">
        <f>IFERROR(__xludf.DUMMYFUNCTION("""COMPUTED_VALUE"""),"jp-42")</f>
        <v>jp-42</v>
      </c>
      <c r="C2482" s="9" t="str">
        <f>IFERROR(__xludf.DUMMYFUNCTION("GOOGLETRANSLATE($A2482,""en"",""de"")"),"Nagasaki")</f>
        <v>Nagasaki</v>
      </c>
      <c r="D2482" s="9" t="str">
        <f>IFERROR(__xludf.DUMMYFUNCTION("GOOGLETRANSLATE($A2482,""en"",""fr"")"),"Nagasaki")</f>
        <v>Nagasaki</v>
      </c>
      <c r="E2482" s="9" t="str">
        <f>IFERROR(__xludf.DUMMYFUNCTION("GOOGLETRANSLATE($A2482,""en"",""es"")"),"Nagasaki")</f>
        <v>Nagasaki</v>
      </c>
      <c r="F2482" s="9" t="str">
        <f>IFERROR(__xludf.DUMMYFUNCTION("GOOGLETRANSLATE($A2482,""en"",""it"")"),"Nagasaki")</f>
        <v>Nagasaki</v>
      </c>
      <c r="G2482" s="9" t="str">
        <f>IFERROR(__xludf.DUMMYFUNCTION("GOOGLETRANSLATE($A2482,""en"",""zh-cn"")"),"长崎")</f>
        <v>长崎</v>
      </c>
      <c r="H2482" s="9" t="str">
        <f>IFERROR(__xludf.DUMMYFUNCTION("GOOGLETRANSLATE($A2482,""en"",""ja"")"),"長崎")</f>
        <v>長崎</v>
      </c>
      <c r="I2482" s="9" t="str">
        <f>IFERROR(__xludf.DUMMYFUNCTION("GOOGLETRANSLATE($A2482,""en"",""ko"")"),"나가사키")</f>
        <v>나가사키</v>
      </c>
      <c r="J2482" s="9" t="str">
        <f>IFERROR(__xludf.DUMMYFUNCTION("GOOGLETRANSLATE($A2482,""en"",""pt-BR"")"),"Nagasaki")</f>
        <v>Nagasaki</v>
      </c>
    </row>
    <row r="2483">
      <c r="A2483" s="9" t="str">
        <f>IFERROR(__xludf.DUMMYFUNCTION("""COMPUTED_VALUE"""),"Niigata")</f>
        <v>Niigata</v>
      </c>
      <c r="B2483" s="9" t="str">
        <f>IFERROR(__xludf.DUMMYFUNCTION("""COMPUTED_VALUE"""),"jp-15")</f>
        <v>jp-15</v>
      </c>
      <c r="C2483" s="9" t="str">
        <f>IFERROR(__xludf.DUMMYFUNCTION("GOOGLETRANSLATE($A2483,""en"",""de"")"),"Niigata")</f>
        <v>Niigata</v>
      </c>
      <c r="D2483" s="9" t="str">
        <f>IFERROR(__xludf.DUMMYFUNCTION("GOOGLETRANSLATE($A2483,""en"",""fr"")"),"Niigata")</f>
        <v>Niigata</v>
      </c>
      <c r="E2483" s="9" t="str">
        <f>IFERROR(__xludf.DUMMYFUNCTION("GOOGLETRANSLATE($A2483,""en"",""es"")"),"Niigata")</f>
        <v>Niigata</v>
      </c>
      <c r="F2483" s="9" t="str">
        <f>IFERROR(__xludf.DUMMYFUNCTION("GOOGLETRANSLATE($A2483,""en"",""it"")"),"Niigata")</f>
        <v>Niigata</v>
      </c>
      <c r="G2483" s="9" t="str">
        <f>IFERROR(__xludf.DUMMYFUNCTION("GOOGLETRANSLATE($A2483,""en"",""zh-cn"")"),"新泻")</f>
        <v>新泻</v>
      </c>
      <c r="H2483" s="9" t="str">
        <f>IFERROR(__xludf.DUMMYFUNCTION("GOOGLETRANSLATE($A2483,""en"",""ja"")"),"新潟")</f>
        <v>新潟</v>
      </c>
      <c r="I2483" s="9" t="str">
        <f>IFERROR(__xludf.DUMMYFUNCTION("GOOGLETRANSLATE($A2483,""en"",""ko"")"),"니가타")</f>
        <v>니가타</v>
      </c>
      <c r="J2483" s="9" t="str">
        <f>IFERROR(__xludf.DUMMYFUNCTION("GOOGLETRANSLATE($A2483,""en"",""pt-BR"")"),"Niigata")</f>
        <v>Niigata</v>
      </c>
    </row>
    <row r="2484">
      <c r="A2484" s="9" t="str">
        <f>IFERROR(__xludf.DUMMYFUNCTION("""COMPUTED_VALUE"""),"Hyogo")</f>
        <v>Hyogo</v>
      </c>
      <c r="B2484" s="9" t="str">
        <f>IFERROR(__xludf.DUMMYFUNCTION("""COMPUTED_VALUE"""),"jp-28")</f>
        <v>jp-28</v>
      </c>
      <c r="C2484" s="9" t="str">
        <f>IFERROR(__xludf.DUMMYFUNCTION("GOOGLETRANSLATE($A2484,""en"",""de"")"),"Hyogo")</f>
        <v>Hyogo</v>
      </c>
      <c r="D2484" s="9" t="str">
        <f>IFERROR(__xludf.DUMMYFUNCTION("GOOGLETRANSLATE($A2484,""en"",""fr"")"),"Hyōgo")</f>
        <v>Hyōgo</v>
      </c>
      <c r="E2484" s="9" t="str">
        <f>IFERROR(__xludf.DUMMYFUNCTION("GOOGLETRANSLATE($A2484,""en"",""es"")"),"Hyōgo")</f>
        <v>Hyōgo</v>
      </c>
      <c r="F2484" s="9" t="str">
        <f>IFERROR(__xludf.DUMMYFUNCTION("GOOGLETRANSLATE($A2484,""en"",""it"")"),"Hyogo")</f>
        <v>Hyogo</v>
      </c>
      <c r="G2484" s="9" t="str">
        <f>IFERROR(__xludf.DUMMYFUNCTION("GOOGLETRANSLATE($A2484,""en"",""zh-cn"")"),"兵库县")</f>
        <v>兵库县</v>
      </c>
      <c r="H2484" s="9" t="str">
        <f>IFERROR(__xludf.DUMMYFUNCTION("GOOGLETRANSLATE($A2484,""en"",""ja"")"),"兵庫県")</f>
        <v>兵庫県</v>
      </c>
      <c r="I2484" s="9" t="str">
        <f>IFERROR(__xludf.DUMMYFUNCTION("GOOGLETRANSLATE($A2484,""en"",""ko"")"),"효고")</f>
        <v>효고</v>
      </c>
      <c r="J2484" s="9" t="str">
        <f>IFERROR(__xludf.DUMMYFUNCTION("GOOGLETRANSLATE($A2484,""en"",""pt-BR"")"),"Hyogo")</f>
        <v>Hyogo</v>
      </c>
    </row>
    <row r="2485">
      <c r="A2485" s="9" t="str">
        <f>IFERROR(__xludf.DUMMYFUNCTION("""COMPUTED_VALUE"""),"Tokushima")</f>
        <v>Tokushima</v>
      </c>
      <c r="B2485" s="9" t="str">
        <f>IFERROR(__xludf.DUMMYFUNCTION("""COMPUTED_VALUE"""),"jp-36")</f>
        <v>jp-36</v>
      </c>
      <c r="C2485" s="9" t="str">
        <f>IFERROR(__xludf.DUMMYFUNCTION("GOOGLETRANSLATE($A2485,""en"",""de"")"),"Tokushima")</f>
        <v>Tokushima</v>
      </c>
      <c r="D2485" s="9" t="str">
        <f>IFERROR(__xludf.DUMMYFUNCTION("GOOGLETRANSLATE($A2485,""en"",""fr"")"),"Tokushima")</f>
        <v>Tokushima</v>
      </c>
      <c r="E2485" s="9" t="str">
        <f>IFERROR(__xludf.DUMMYFUNCTION("GOOGLETRANSLATE($A2485,""en"",""es"")"),"Tokushima")</f>
        <v>Tokushima</v>
      </c>
      <c r="F2485" s="9" t="str">
        <f>IFERROR(__xludf.DUMMYFUNCTION("GOOGLETRANSLATE($A2485,""en"",""it"")"),"Tokushima")</f>
        <v>Tokushima</v>
      </c>
      <c r="G2485" s="9" t="str">
        <f>IFERROR(__xludf.DUMMYFUNCTION("GOOGLETRANSLATE($A2485,""en"",""zh-cn"")"),"德岛")</f>
        <v>德岛</v>
      </c>
      <c r="H2485" s="9" t="str">
        <f>IFERROR(__xludf.DUMMYFUNCTION("GOOGLETRANSLATE($A2485,""en"",""ja"")"),"徳島")</f>
        <v>徳島</v>
      </c>
      <c r="I2485" s="9" t="str">
        <f>IFERROR(__xludf.DUMMYFUNCTION("GOOGLETRANSLATE($A2485,""en"",""ko"")"),"도쿠시마")</f>
        <v>도쿠시마</v>
      </c>
      <c r="J2485" s="9" t="str">
        <f>IFERROR(__xludf.DUMMYFUNCTION("GOOGLETRANSLATE($A2485,""en"",""pt-BR"")"),"Tokushima")</f>
        <v>Tokushima</v>
      </c>
    </row>
    <row r="2486">
      <c r="A2486" s="9" t="str">
        <f>IFERROR(__xludf.DUMMYFUNCTION("""COMPUTED_VALUE"""),"Kagawa")</f>
        <v>Kagawa</v>
      </c>
      <c r="B2486" s="9" t="str">
        <f>IFERROR(__xludf.DUMMYFUNCTION("""COMPUTED_VALUE"""),"jp-37")</f>
        <v>jp-37</v>
      </c>
      <c r="C2486" s="9" t="str">
        <f>IFERROR(__xludf.DUMMYFUNCTION("GOOGLETRANSLATE($A2486,""en"",""de"")"),"Kagawa")</f>
        <v>Kagawa</v>
      </c>
      <c r="D2486" s="9" t="str">
        <f>IFERROR(__xludf.DUMMYFUNCTION("GOOGLETRANSLATE($A2486,""en"",""fr"")"),"Kagawa")</f>
        <v>Kagawa</v>
      </c>
      <c r="E2486" s="9" t="str">
        <f>IFERROR(__xludf.DUMMYFUNCTION("GOOGLETRANSLATE($A2486,""en"",""es"")"),"Kagawa")</f>
        <v>Kagawa</v>
      </c>
      <c r="F2486" s="9" t="str">
        <f>IFERROR(__xludf.DUMMYFUNCTION("GOOGLETRANSLATE($A2486,""en"",""it"")"),"Kagawa")</f>
        <v>Kagawa</v>
      </c>
      <c r="G2486" s="9" t="str">
        <f>IFERROR(__xludf.DUMMYFUNCTION("GOOGLETRANSLATE($A2486,""en"",""zh-cn"")"),"香川")</f>
        <v>香川</v>
      </c>
      <c r="H2486" s="9" t="str">
        <f>IFERROR(__xludf.DUMMYFUNCTION("GOOGLETRANSLATE($A2486,""en"",""ja"")"),"香川")</f>
        <v>香川</v>
      </c>
      <c r="I2486" s="9" t="str">
        <f>IFERROR(__xludf.DUMMYFUNCTION("GOOGLETRANSLATE($A2486,""en"",""ko"")"),"가가와")</f>
        <v>가가와</v>
      </c>
      <c r="J2486" s="9" t="str">
        <f>IFERROR(__xludf.DUMMYFUNCTION("GOOGLETRANSLATE($A2486,""en"",""pt-BR"")"),"Kagawa")</f>
        <v>Kagawa</v>
      </c>
    </row>
    <row r="2487">
      <c r="A2487" s="9" t="str">
        <f>IFERROR(__xludf.DUMMYFUNCTION("""COMPUTED_VALUE"""),"Tochigi")</f>
        <v>Tochigi</v>
      </c>
      <c r="B2487" s="9" t="str">
        <f>IFERROR(__xludf.DUMMYFUNCTION("""COMPUTED_VALUE"""),"jp-09")</f>
        <v>jp-09</v>
      </c>
      <c r="C2487" s="9" t="str">
        <f>IFERROR(__xludf.DUMMYFUNCTION("GOOGLETRANSLATE($A2487,""en"",""de"")"),"Tochigi")</f>
        <v>Tochigi</v>
      </c>
      <c r="D2487" s="9" t="str">
        <f>IFERROR(__xludf.DUMMYFUNCTION("GOOGLETRANSLATE($A2487,""en"",""fr"")"),"Tochigi")</f>
        <v>Tochigi</v>
      </c>
      <c r="E2487" s="9" t="str">
        <f>IFERROR(__xludf.DUMMYFUNCTION("GOOGLETRANSLATE($A2487,""en"",""es"")"),"Tochigi")</f>
        <v>Tochigi</v>
      </c>
      <c r="F2487" s="9" t="str">
        <f>IFERROR(__xludf.DUMMYFUNCTION("GOOGLETRANSLATE($A2487,""en"",""it"")"),"Tochigi")</f>
        <v>Tochigi</v>
      </c>
      <c r="G2487" s="9" t="str">
        <f>IFERROR(__xludf.DUMMYFUNCTION("GOOGLETRANSLATE($A2487,""en"",""zh-cn"")"),"栃木")</f>
        <v>栃木</v>
      </c>
      <c r="H2487" s="9" t="str">
        <f>IFERROR(__xludf.DUMMYFUNCTION("GOOGLETRANSLATE($A2487,""en"",""ja"")"),"栃木県")</f>
        <v>栃木県</v>
      </c>
      <c r="I2487" s="9" t="str">
        <f>IFERROR(__xludf.DUMMYFUNCTION("GOOGLETRANSLATE($A2487,""en"",""ko"")"),"도치기")</f>
        <v>도치기</v>
      </c>
      <c r="J2487" s="9" t="str">
        <f>IFERROR(__xludf.DUMMYFUNCTION("GOOGLETRANSLATE($A2487,""en"",""pt-BR"")"),"Tochigi")</f>
        <v>Tochigi</v>
      </c>
    </row>
    <row r="2488">
      <c r="A2488" s="9" t="str">
        <f>IFERROR(__xludf.DUMMYFUNCTION("""COMPUTED_VALUE"""),"Ehime")</f>
        <v>Ehime</v>
      </c>
      <c r="B2488" s="9" t="str">
        <f>IFERROR(__xludf.DUMMYFUNCTION("""COMPUTED_VALUE"""),"jp-38")</f>
        <v>jp-38</v>
      </c>
      <c r="C2488" s="9" t="str">
        <f>IFERROR(__xludf.DUMMYFUNCTION("GOOGLETRANSLATE($A2488,""en"",""de"")"),"Ehime")</f>
        <v>Ehime</v>
      </c>
      <c r="D2488" s="9" t="str">
        <f>IFERROR(__xludf.DUMMYFUNCTION("GOOGLETRANSLATE($A2488,""en"",""fr"")"),"Ehime")</f>
        <v>Ehime</v>
      </c>
      <c r="E2488" s="9" t="str">
        <f>IFERROR(__xludf.DUMMYFUNCTION("GOOGLETRANSLATE($A2488,""en"",""es"")"),"Ehime")</f>
        <v>Ehime</v>
      </c>
      <c r="F2488" s="9" t="str">
        <f>IFERROR(__xludf.DUMMYFUNCTION("GOOGLETRANSLATE($A2488,""en"",""it"")"),"Ehime")</f>
        <v>Ehime</v>
      </c>
      <c r="G2488" s="9" t="str">
        <f>IFERROR(__xludf.DUMMYFUNCTION("GOOGLETRANSLATE($A2488,""en"",""zh-cn"")"),"爱媛")</f>
        <v>爱媛</v>
      </c>
      <c r="H2488" s="9" t="str">
        <f>IFERROR(__xludf.DUMMYFUNCTION("GOOGLETRANSLATE($A2488,""en"",""ja"")"),"愛媛")</f>
        <v>愛媛</v>
      </c>
      <c r="I2488" s="9" t="str">
        <f>IFERROR(__xludf.DUMMYFUNCTION("GOOGLETRANSLATE($A2488,""en"",""ko"")"),"에히메")</f>
        <v>에히메</v>
      </c>
      <c r="J2488" s="9" t="str">
        <f>IFERROR(__xludf.DUMMYFUNCTION("GOOGLETRANSLATE($A2488,""en"",""pt-BR"")"),"Ehime")</f>
        <v>Ehime</v>
      </c>
    </row>
    <row r="2489">
      <c r="A2489" s="9" t="str">
        <f>IFERROR(__xludf.DUMMYFUNCTION("""COMPUTED_VALUE"""),"Miyazaki")</f>
        <v>Miyazaki</v>
      </c>
      <c r="B2489" s="9" t="str">
        <f>IFERROR(__xludf.DUMMYFUNCTION("""COMPUTED_VALUE"""),"jp-45")</f>
        <v>jp-45</v>
      </c>
      <c r="C2489" s="9" t="str">
        <f>IFERROR(__xludf.DUMMYFUNCTION("GOOGLETRANSLATE($A2489,""en"",""de"")"),"Miyazaki")</f>
        <v>Miyazaki</v>
      </c>
      <c r="D2489" s="9" t="str">
        <f>IFERROR(__xludf.DUMMYFUNCTION("GOOGLETRANSLATE($A2489,""en"",""fr"")"),"Miyazaki")</f>
        <v>Miyazaki</v>
      </c>
      <c r="E2489" s="9" t="str">
        <f>IFERROR(__xludf.DUMMYFUNCTION("GOOGLETRANSLATE($A2489,""en"",""es"")"),"Miyazaki")</f>
        <v>Miyazaki</v>
      </c>
      <c r="F2489" s="9" t="str">
        <f>IFERROR(__xludf.DUMMYFUNCTION("GOOGLETRANSLATE($A2489,""en"",""it"")"),"Miyazaki")</f>
        <v>Miyazaki</v>
      </c>
      <c r="G2489" s="9" t="str">
        <f>IFERROR(__xludf.DUMMYFUNCTION("GOOGLETRANSLATE($A2489,""en"",""zh-cn"")"),"宫崎")</f>
        <v>宫崎</v>
      </c>
      <c r="H2489" s="9" t="str">
        <f>IFERROR(__xludf.DUMMYFUNCTION("GOOGLETRANSLATE($A2489,""en"",""ja"")"),"宮崎")</f>
        <v>宮崎</v>
      </c>
      <c r="I2489" s="9" t="str">
        <f>IFERROR(__xludf.DUMMYFUNCTION("GOOGLETRANSLATE($A2489,""en"",""ko"")"),"미야자키")</f>
        <v>미야자키</v>
      </c>
      <c r="J2489" s="9" t="str">
        <f>IFERROR(__xludf.DUMMYFUNCTION("GOOGLETRANSLATE($A2489,""en"",""pt-BR"")"),"Miyazaki")</f>
        <v>Miyazaki</v>
      </c>
    </row>
    <row r="2490">
      <c r="A2490" s="9" t="str">
        <f>IFERROR(__xludf.DUMMYFUNCTION("""COMPUTED_VALUE"""),"Nara")</f>
        <v>Nara</v>
      </c>
      <c r="B2490" s="9" t="str">
        <f>IFERROR(__xludf.DUMMYFUNCTION("""COMPUTED_VALUE"""),"jp-29")</f>
        <v>jp-29</v>
      </c>
      <c r="C2490" s="9" t="str">
        <f>IFERROR(__xludf.DUMMYFUNCTION("GOOGLETRANSLATE($A2490,""en"",""de"")"),"Nara")</f>
        <v>Nara</v>
      </c>
      <c r="D2490" s="9" t="str">
        <f>IFERROR(__xludf.DUMMYFUNCTION("GOOGLETRANSLATE($A2490,""en"",""fr"")"),"Nara")</f>
        <v>Nara</v>
      </c>
      <c r="E2490" s="9" t="str">
        <f>IFERROR(__xludf.DUMMYFUNCTION("GOOGLETRANSLATE($A2490,""en"",""es"")"),"nara")</f>
        <v>nara</v>
      </c>
      <c r="F2490" s="9" t="str">
        <f>IFERROR(__xludf.DUMMYFUNCTION("GOOGLETRANSLATE($A2490,""en"",""it"")"),"Nara")</f>
        <v>Nara</v>
      </c>
      <c r="G2490" s="9" t="str">
        <f>IFERROR(__xludf.DUMMYFUNCTION("GOOGLETRANSLATE($A2490,""en"",""zh-cn"")"),"奈良")</f>
        <v>奈良</v>
      </c>
      <c r="H2490" s="9" t="str">
        <f>IFERROR(__xludf.DUMMYFUNCTION("GOOGLETRANSLATE($A2490,""en"",""ja"")"),"奈良")</f>
        <v>奈良</v>
      </c>
      <c r="I2490" s="9" t="str">
        <f>IFERROR(__xludf.DUMMYFUNCTION("GOOGLETRANSLATE($A2490,""en"",""ko"")"),"나라")</f>
        <v>나라</v>
      </c>
      <c r="J2490" s="9" t="str">
        <f>IFERROR(__xludf.DUMMYFUNCTION("GOOGLETRANSLATE($A2490,""en"",""pt-BR"")"),"Nara")</f>
        <v>Nara</v>
      </c>
    </row>
    <row r="2491">
      <c r="A2491" s="9" t="str">
        <f>IFERROR(__xludf.DUMMYFUNCTION("""COMPUTED_VALUE"""),"Saitama")</f>
        <v>Saitama</v>
      </c>
      <c r="B2491" s="9" t="str">
        <f>IFERROR(__xludf.DUMMYFUNCTION("""COMPUTED_VALUE"""),"jp-11")</f>
        <v>jp-11</v>
      </c>
      <c r="C2491" s="9" t="str">
        <f>IFERROR(__xludf.DUMMYFUNCTION("GOOGLETRANSLATE($A2491,""en"",""de"")"),"Saitama")</f>
        <v>Saitama</v>
      </c>
      <c r="D2491" s="9" t="str">
        <f>IFERROR(__xludf.DUMMYFUNCTION("GOOGLETRANSLATE($A2491,""en"",""fr"")"),"Saitama")</f>
        <v>Saitama</v>
      </c>
      <c r="E2491" s="9" t="str">
        <f>IFERROR(__xludf.DUMMYFUNCTION("GOOGLETRANSLATE($A2491,""en"",""es"")"),"Saitama")</f>
        <v>Saitama</v>
      </c>
      <c r="F2491" s="9" t="str">
        <f>IFERROR(__xludf.DUMMYFUNCTION("GOOGLETRANSLATE($A2491,""en"",""it"")"),"Saitama")</f>
        <v>Saitama</v>
      </c>
      <c r="G2491" s="9" t="str">
        <f>IFERROR(__xludf.DUMMYFUNCTION("GOOGLETRANSLATE($A2491,""en"",""zh-cn"")"),"埼玉")</f>
        <v>埼玉</v>
      </c>
      <c r="H2491" s="9" t="str">
        <f>IFERROR(__xludf.DUMMYFUNCTION("GOOGLETRANSLATE($A2491,""en"",""ja"")"),"埼玉県")</f>
        <v>埼玉県</v>
      </c>
      <c r="I2491" s="9" t="str">
        <f>IFERROR(__xludf.DUMMYFUNCTION("GOOGLETRANSLATE($A2491,""en"",""ko"")"),"사이타마")</f>
        <v>사이타마</v>
      </c>
      <c r="J2491" s="9" t="str">
        <f>IFERROR(__xludf.DUMMYFUNCTION("GOOGLETRANSLATE($A2491,""en"",""pt-BR"")"),"Saitama")</f>
        <v>Saitama</v>
      </c>
    </row>
    <row r="2492">
      <c r="A2492" s="9" t="str">
        <f>IFERROR(__xludf.DUMMYFUNCTION("""COMPUTED_VALUE"""),"Gifu")</f>
        <v>Gifu</v>
      </c>
      <c r="B2492" s="9" t="str">
        <f>IFERROR(__xludf.DUMMYFUNCTION("""COMPUTED_VALUE"""),"jp-21")</f>
        <v>jp-21</v>
      </c>
      <c r="C2492" s="9" t="str">
        <f>IFERROR(__xludf.DUMMYFUNCTION("GOOGLETRANSLATE($A2492,""en"",""de"")"),"Gifu")</f>
        <v>Gifu</v>
      </c>
      <c r="D2492" s="9" t="str">
        <f>IFERROR(__xludf.DUMMYFUNCTION("GOOGLETRANSLATE($A2492,""en"",""fr"")"),"Gifu")</f>
        <v>Gifu</v>
      </c>
      <c r="E2492" s="9" t="str">
        <f>IFERROR(__xludf.DUMMYFUNCTION("GOOGLETRANSLATE($A2492,""en"",""es"")"),"Gifu")</f>
        <v>Gifu</v>
      </c>
      <c r="F2492" s="9" t="str">
        <f>IFERROR(__xludf.DUMMYFUNCTION("GOOGLETRANSLATE($A2492,""en"",""it"")"),"Gifu")</f>
        <v>Gifu</v>
      </c>
      <c r="G2492" s="9" t="str">
        <f>IFERROR(__xludf.DUMMYFUNCTION("GOOGLETRANSLATE($A2492,""en"",""zh-cn"")"),"岐阜")</f>
        <v>岐阜</v>
      </c>
      <c r="H2492" s="9" t="str">
        <f>IFERROR(__xludf.DUMMYFUNCTION("GOOGLETRANSLATE($A2492,""en"",""ja"")"),"岐阜")</f>
        <v>岐阜</v>
      </c>
      <c r="I2492" s="9" t="str">
        <f>IFERROR(__xludf.DUMMYFUNCTION("GOOGLETRANSLATE($A2492,""en"",""ko"")"),"기후")</f>
        <v>기후</v>
      </c>
      <c r="J2492" s="9" t="str">
        <f>IFERROR(__xludf.DUMMYFUNCTION("GOOGLETRANSLATE($A2492,""en"",""pt-BR"")"),"Gifu")</f>
        <v>Gifu</v>
      </c>
    </row>
    <row r="2493">
      <c r="A2493" s="9" t="str">
        <f>IFERROR(__xludf.DUMMYFUNCTION("""COMPUTED_VALUE"""),"Aomori")</f>
        <v>Aomori</v>
      </c>
      <c r="B2493" s="9" t="str">
        <f>IFERROR(__xludf.DUMMYFUNCTION("""COMPUTED_VALUE"""),"jp-02")</f>
        <v>jp-02</v>
      </c>
      <c r="C2493" s="9" t="str">
        <f>IFERROR(__xludf.DUMMYFUNCTION("GOOGLETRANSLATE($A2493,""en"",""de"")"),"Aomori")</f>
        <v>Aomori</v>
      </c>
      <c r="D2493" s="9" t="str">
        <f>IFERROR(__xludf.DUMMYFUNCTION("GOOGLETRANSLATE($A2493,""en"",""fr"")"),"Aomori")</f>
        <v>Aomori</v>
      </c>
      <c r="E2493" s="9" t="str">
        <f>IFERROR(__xludf.DUMMYFUNCTION("GOOGLETRANSLATE($A2493,""en"",""es"")"),"Aomori")</f>
        <v>Aomori</v>
      </c>
      <c r="F2493" s="9" t="str">
        <f>IFERROR(__xludf.DUMMYFUNCTION("GOOGLETRANSLATE($A2493,""en"",""it"")"),"Aomori")</f>
        <v>Aomori</v>
      </c>
      <c r="G2493" s="9" t="str">
        <f>IFERROR(__xludf.DUMMYFUNCTION("GOOGLETRANSLATE($A2493,""en"",""zh-cn"")"),"青森")</f>
        <v>青森</v>
      </c>
      <c r="H2493" s="9" t="str">
        <f>IFERROR(__xludf.DUMMYFUNCTION("GOOGLETRANSLATE($A2493,""en"",""ja"")"),"青森")</f>
        <v>青森</v>
      </c>
      <c r="I2493" s="9" t="str">
        <f>IFERROR(__xludf.DUMMYFUNCTION("GOOGLETRANSLATE($A2493,""en"",""ko"")"),"아오모리")</f>
        <v>아오모리</v>
      </c>
      <c r="J2493" s="9" t="str">
        <f>IFERROR(__xludf.DUMMYFUNCTION("GOOGLETRANSLATE($A2493,""en"",""pt-BR"")"),"Aomori")</f>
        <v>Aomori</v>
      </c>
    </row>
    <row r="2494">
      <c r="A2494" s="9" t="str">
        <f>IFERROR(__xludf.DUMMYFUNCTION("""COMPUTED_VALUE"""),"Gunma")</f>
        <v>Gunma</v>
      </c>
      <c r="B2494" s="9" t="str">
        <f>IFERROR(__xludf.DUMMYFUNCTION("""COMPUTED_VALUE"""),"jp-10")</f>
        <v>jp-10</v>
      </c>
      <c r="C2494" s="9" t="str">
        <f>IFERROR(__xludf.DUMMYFUNCTION("GOOGLETRANSLATE($A2494,""en"",""de"")"),"Gunma")</f>
        <v>Gunma</v>
      </c>
      <c r="D2494" s="9" t="str">
        <f>IFERROR(__xludf.DUMMYFUNCTION("GOOGLETRANSLATE($A2494,""en"",""fr"")"),"Gunma")</f>
        <v>Gunma</v>
      </c>
      <c r="E2494" s="9" t="str">
        <f>IFERROR(__xludf.DUMMYFUNCTION("GOOGLETRANSLATE($A2494,""en"",""es"")"),"Gunma")</f>
        <v>Gunma</v>
      </c>
      <c r="F2494" s="9" t="str">
        <f>IFERROR(__xludf.DUMMYFUNCTION("GOOGLETRANSLATE($A2494,""en"",""it"")"),"Gunma")</f>
        <v>Gunma</v>
      </c>
      <c r="G2494" s="9" t="str">
        <f>IFERROR(__xludf.DUMMYFUNCTION("GOOGLETRANSLATE($A2494,""en"",""zh-cn"")"),"群马")</f>
        <v>群马</v>
      </c>
      <c r="H2494" s="9" t="str">
        <f>IFERROR(__xludf.DUMMYFUNCTION("GOOGLETRANSLATE($A2494,""en"",""ja"")"),"群馬県")</f>
        <v>群馬県</v>
      </c>
      <c r="I2494" s="9" t="str">
        <f>IFERROR(__xludf.DUMMYFUNCTION("GOOGLETRANSLATE($A2494,""en"",""ko"")"),"군마")</f>
        <v>군마</v>
      </c>
      <c r="J2494" s="9" t="str">
        <f>IFERROR(__xludf.DUMMYFUNCTION("GOOGLETRANSLATE($A2494,""en"",""pt-BR"")"),"Gunma")</f>
        <v>Gunma</v>
      </c>
    </row>
    <row r="2495">
      <c r="A2495" s="9" t="str">
        <f>IFERROR(__xludf.DUMMYFUNCTION("""COMPUTED_VALUE"""),"Chiba")</f>
        <v>Chiba</v>
      </c>
      <c r="B2495" s="9" t="str">
        <f>IFERROR(__xludf.DUMMYFUNCTION("""COMPUTED_VALUE"""),"jp-12")</f>
        <v>jp-12</v>
      </c>
      <c r="C2495" s="9" t="str">
        <f>IFERROR(__xludf.DUMMYFUNCTION("GOOGLETRANSLATE($A2495,""en"",""de"")"),"Chiba")</f>
        <v>Chiba</v>
      </c>
      <c r="D2495" s="9" t="str">
        <f>IFERROR(__xludf.DUMMYFUNCTION("GOOGLETRANSLATE($A2495,""en"",""fr"")"),"Chiba")</f>
        <v>Chiba</v>
      </c>
      <c r="E2495" s="9" t="str">
        <f>IFERROR(__xludf.DUMMYFUNCTION("GOOGLETRANSLATE($A2495,""en"",""es"")"),"chiba")</f>
        <v>chiba</v>
      </c>
      <c r="F2495" s="9" t="str">
        <f>IFERROR(__xludf.DUMMYFUNCTION("GOOGLETRANSLATE($A2495,""en"",""it"")"),"Chiba")</f>
        <v>Chiba</v>
      </c>
      <c r="G2495" s="9" t="str">
        <f>IFERROR(__xludf.DUMMYFUNCTION("GOOGLETRANSLATE($A2495,""en"",""zh-cn"")"),"千叶")</f>
        <v>千叶</v>
      </c>
      <c r="H2495" s="9" t="str">
        <f>IFERROR(__xludf.DUMMYFUNCTION("GOOGLETRANSLATE($A2495,""en"",""ja"")"),"千葉県")</f>
        <v>千葉県</v>
      </c>
      <c r="I2495" s="9" t="str">
        <f>IFERROR(__xludf.DUMMYFUNCTION("GOOGLETRANSLATE($A2495,""en"",""ko"")"),"치바")</f>
        <v>치바</v>
      </c>
      <c r="J2495" s="9" t="str">
        <f>IFERROR(__xludf.DUMMYFUNCTION("GOOGLETRANSLATE($A2495,""en"",""pt-BR"")"),"Chiba")</f>
        <v>Chiba</v>
      </c>
    </row>
    <row r="2496">
      <c r="A2496" s="9" t="str">
        <f>IFERROR(__xludf.DUMMYFUNCTION("""COMPUTED_VALUE"""),"Osaka")</f>
        <v>Osaka</v>
      </c>
      <c r="B2496" s="9" t="str">
        <f>IFERROR(__xludf.DUMMYFUNCTION("""COMPUTED_VALUE"""),"jp-27")</f>
        <v>jp-27</v>
      </c>
      <c r="C2496" s="9" t="str">
        <f>IFERROR(__xludf.DUMMYFUNCTION("GOOGLETRANSLATE($A2496,""en"",""de"")"),"Osaka")</f>
        <v>Osaka</v>
      </c>
      <c r="D2496" s="9" t="str">
        <f>IFERROR(__xludf.DUMMYFUNCTION("GOOGLETRANSLATE($A2496,""en"",""fr"")"),"Ōsaka")</f>
        <v>Ōsaka</v>
      </c>
      <c r="E2496" s="9" t="str">
        <f>IFERROR(__xludf.DUMMYFUNCTION("GOOGLETRANSLATE($A2496,""en"",""es"")"),"Osaka")</f>
        <v>Osaka</v>
      </c>
      <c r="F2496" s="9" t="str">
        <f>IFERROR(__xludf.DUMMYFUNCTION("GOOGLETRANSLATE($A2496,""en"",""it"")"),"Osaka")</f>
        <v>Osaka</v>
      </c>
      <c r="G2496" s="9" t="str">
        <f>IFERROR(__xludf.DUMMYFUNCTION("GOOGLETRANSLATE($A2496,""en"",""zh-cn"")"),"大阪")</f>
        <v>大阪</v>
      </c>
      <c r="H2496" s="9" t="str">
        <f>IFERROR(__xludf.DUMMYFUNCTION("GOOGLETRANSLATE($A2496,""en"",""ja"")"),"大阪")</f>
        <v>大阪</v>
      </c>
      <c r="I2496" s="9" t="str">
        <f>IFERROR(__xludf.DUMMYFUNCTION("GOOGLETRANSLATE($A2496,""en"",""ko"")"),"오사카")</f>
        <v>오사카</v>
      </c>
      <c r="J2496" s="9" t="str">
        <f>IFERROR(__xludf.DUMMYFUNCTION("GOOGLETRANSLATE($A2496,""en"",""pt-BR"")"),"Osaca")</f>
        <v>Osaca</v>
      </c>
    </row>
    <row r="2497">
      <c r="A2497" s="9" t="str">
        <f>IFERROR(__xludf.DUMMYFUNCTION("""COMPUTED_VALUE"""),"Kanagawa")</f>
        <v>Kanagawa</v>
      </c>
      <c r="B2497" s="9" t="str">
        <f>IFERROR(__xludf.DUMMYFUNCTION("""COMPUTED_VALUE"""),"jp-14")</f>
        <v>jp-14</v>
      </c>
      <c r="C2497" s="9" t="str">
        <f>IFERROR(__xludf.DUMMYFUNCTION("GOOGLETRANSLATE($A2497,""en"",""de"")"),"Kanagawa")</f>
        <v>Kanagawa</v>
      </c>
      <c r="D2497" s="9" t="str">
        <f>IFERROR(__xludf.DUMMYFUNCTION("GOOGLETRANSLATE($A2497,""en"",""fr"")"),"Kanagawa")</f>
        <v>Kanagawa</v>
      </c>
      <c r="E2497" s="9" t="str">
        <f>IFERROR(__xludf.DUMMYFUNCTION("GOOGLETRANSLATE($A2497,""en"",""es"")"),"Kanagawa")</f>
        <v>Kanagawa</v>
      </c>
      <c r="F2497" s="9" t="str">
        <f>IFERROR(__xludf.DUMMYFUNCTION("GOOGLETRANSLATE($A2497,""en"",""it"")"),"Kanagawa")</f>
        <v>Kanagawa</v>
      </c>
      <c r="G2497" s="9" t="str">
        <f>IFERROR(__xludf.DUMMYFUNCTION("GOOGLETRANSLATE($A2497,""en"",""zh-cn"")"),"神奈川")</f>
        <v>神奈川</v>
      </c>
      <c r="H2497" s="9" t="str">
        <f>IFERROR(__xludf.DUMMYFUNCTION("GOOGLETRANSLATE($A2497,""en"",""ja"")"),"神奈川県")</f>
        <v>神奈川県</v>
      </c>
      <c r="I2497" s="9" t="str">
        <f>IFERROR(__xludf.DUMMYFUNCTION("GOOGLETRANSLATE($A2497,""en"",""ko"")"),"가나가와")</f>
        <v>가나가와</v>
      </c>
      <c r="J2497" s="9" t="str">
        <f>IFERROR(__xludf.DUMMYFUNCTION("GOOGLETRANSLATE($A2497,""en"",""pt-BR"")"),"Kanagawa")</f>
        <v>Kanagawa</v>
      </c>
    </row>
    <row r="2498">
      <c r="A2498" s="9" t="str">
        <f>IFERROR(__xludf.DUMMYFUNCTION("""COMPUTED_VALUE"""),"Okayama")</f>
        <v>Okayama</v>
      </c>
      <c r="B2498" s="9" t="str">
        <f>IFERROR(__xludf.DUMMYFUNCTION("""COMPUTED_VALUE"""),"jp-33")</f>
        <v>jp-33</v>
      </c>
      <c r="C2498" s="9" t="str">
        <f>IFERROR(__xludf.DUMMYFUNCTION("GOOGLETRANSLATE($A2498,""en"",""de"")"),"Okayama")</f>
        <v>Okayama</v>
      </c>
      <c r="D2498" s="9" t="str">
        <f>IFERROR(__xludf.DUMMYFUNCTION("GOOGLETRANSLATE($A2498,""en"",""fr"")"),"Okayama")</f>
        <v>Okayama</v>
      </c>
      <c r="E2498" s="9" t="str">
        <f>IFERROR(__xludf.DUMMYFUNCTION("GOOGLETRANSLATE($A2498,""en"",""es"")"),"Okayama")</f>
        <v>Okayama</v>
      </c>
      <c r="F2498" s="9" t="str">
        <f>IFERROR(__xludf.DUMMYFUNCTION("GOOGLETRANSLATE($A2498,""en"",""it"")"),"Okayama")</f>
        <v>Okayama</v>
      </c>
      <c r="G2498" s="9" t="str">
        <f>IFERROR(__xludf.DUMMYFUNCTION("GOOGLETRANSLATE($A2498,""en"",""zh-cn"")"),"冈山")</f>
        <v>冈山</v>
      </c>
      <c r="H2498" s="9" t="str">
        <f>IFERROR(__xludf.DUMMYFUNCTION("GOOGLETRANSLATE($A2498,""en"",""ja"")"),"岡山")</f>
        <v>岡山</v>
      </c>
      <c r="I2498" s="9" t="str">
        <f>IFERROR(__xludf.DUMMYFUNCTION("GOOGLETRANSLATE($A2498,""en"",""ko"")"),"오카야마")</f>
        <v>오카야마</v>
      </c>
      <c r="J2498" s="9" t="str">
        <f>IFERROR(__xludf.DUMMYFUNCTION("GOOGLETRANSLATE($A2498,""en"",""pt-BR"")"),"Okayama")</f>
        <v>Okayama</v>
      </c>
    </row>
    <row r="2499">
      <c r="A2499" s="9" t="str">
        <f>IFERROR(__xludf.DUMMYFUNCTION("""COMPUTED_VALUE"""),"Okinawa")</f>
        <v>Okinawa</v>
      </c>
      <c r="B2499" s="9" t="str">
        <f>IFERROR(__xludf.DUMMYFUNCTION("""COMPUTED_VALUE"""),"jp-47")</f>
        <v>jp-47</v>
      </c>
      <c r="C2499" s="9" t="str">
        <f>IFERROR(__xludf.DUMMYFUNCTION("GOOGLETRANSLATE($A2499,""en"",""de"")"),"Okinawa")</f>
        <v>Okinawa</v>
      </c>
      <c r="D2499" s="9" t="str">
        <f>IFERROR(__xludf.DUMMYFUNCTION("GOOGLETRANSLATE($A2499,""en"",""fr"")"),"Okinawa")</f>
        <v>Okinawa</v>
      </c>
      <c r="E2499" s="9" t="str">
        <f>IFERROR(__xludf.DUMMYFUNCTION("GOOGLETRANSLATE($A2499,""en"",""es"")"),"Okinawa")</f>
        <v>Okinawa</v>
      </c>
      <c r="F2499" s="9" t="str">
        <f>IFERROR(__xludf.DUMMYFUNCTION("GOOGLETRANSLATE($A2499,""en"",""it"")"),"Okinawa")</f>
        <v>Okinawa</v>
      </c>
      <c r="G2499" s="9" t="str">
        <f>IFERROR(__xludf.DUMMYFUNCTION("GOOGLETRANSLATE($A2499,""en"",""zh-cn"")"),"冲绳")</f>
        <v>冲绳</v>
      </c>
      <c r="H2499" s="9" t="str">
        <f>IFERROR(__xludf.DUMMYFUNCTION("GOOGLETRANSLATE($A2499,""en"",""ja"")"),"沖縄")</f>
        <v>沖縄</v>
      </c>
      <c r="I2499" s="9" t="str">
        <f>IFERROR(__xludf.DUMMYFUNCTION("GOOGLETRANSLATE($A2499,""en"",""ko"")"),"오키나와")</f>
        <v>오키나와</v>
      </c>
      <c r="J2499" s="9" t="str">
        <f>IFERROR(__xludf.DUMMYFUNCTION("GOOGLETRANSLATE($A2499,""en"",""pt-BR"")"),"Okinawa")</f>
        <v>Okinawa</v>
      </c>
    </row>
    <row r="2500">
      <c r="A2500" s="9" t="str">
        <f>IFERROR(__xludf.DUMMYFUNCTION("""COMPUTED_VALUE"""),"Fukui")</f>
        <v>Fukui</v>
      </c>
      <c r="B2500" s="9" t="str">
        <f>IFERROR(__xludf.DUMMYFUNCTION("""COMPUTED_VALUE"""),"jp-18")</f>
        <v>jp-18</v>
      </c>
      <c r="C2500" s="9" t="str">
        <f>IFERROR(__xludf.DUMMYFUNCTION("GOOGLETRANSLATE($A2500,""en"",""de"")"),"Fukui")</f>
        <v>Fukui</v>
      </c>
      <c r="D2500" s="9" t="str">
        <f>IFERROR(__xludf.DUMMYFUNCTION("GOOGLETRANSLATE($A2500,""en"",""fr"")"),"Fukui")</f>
        <v>Fukui</v>
      </c>
      <c r="E2500" s="9" t="str">
        <f>IFERROR(__xludf.DUMMYFUNCTION("GOOGLETRANSLATE($A2500,""en"",""es"")"),"Fukui")</f>
        <v>Fukui</v>
      </c>
      <c r="F2500" s="9" t="str">
        <f>IFERROR(__xludf.DUMMYFUNCTION("GOOGLETRANSLATE($A2500,""en"",""it"")"),"Fukui")</f>
        <v>Fukui</v>
      </c>
      <c r="G2500" s="9" t="str">
        <f>IFERROR(__xludf.DUMMYFUNCTION("GOOGLETRANSLATE($A2500,""en"",""zh-cn"")"),"福井")</f>
        <v>福井</v>
      </c>
      <c r="H2500" s="9" t="str">
        <f>IFERROR(__xludf.DUMMYFUNCTION("GOOGLETRANSLATE($A2500,""en"",""ja"")"),"福井")</f>
        <v>福井</v>
      </c>
      <c r="I2500" s="9" t="str">
        <f>IFERROR(__xludf.DUMMYFUNCTION("GOOGLETRANSLATE($A2500,""en"",""ko"")"),"후쿠이")</f>
        <v>후쿠이</v>
      </c>
      <c r="J2500" s="9" t="str">
        <f>IFERROR(__xludf.DUMMYFUNCTION("GOOGLETRANSLATE($A2500,""en"",""pt-BR"")"),"Fukui")</f>
        <v>Fukui</v>
      </c>
    </row>
    <row r="2501">
      <c r="A2501" s="9" t="str">
        <f>IFERROR(__xludf.DUMMYFUNCTION("""COMPUTED_VALUE"""),"Shizuoka")</f>
        <v>Shizuoka</v>
      </c>
      <c r="B2501" s="9" t="str">
        <f>IFERROR(__xludf.DUMMYFUNCTION("""COMPUTED_VALUE"""),"jp-22")</f>
        <v>jp-22</v>
      </c>
      <c r="C2501" s="9" t="str">
        <f>IFERROR(__xludf.DUMMYFUNCTION("GOOGLETRANSLATE($A2501,""en"",""de"")"),"Shizuoka")</f>
        <v>Shizuoka</v>
      </c>
      <c r="D2501" s="9" t="str">
        <f>IFERROR(__xludf.DUMMYFUNCTION("GOOGLETRANSLATE($A2501,""en"",""fr"")"),"Shizuoka")</f>
        <v>Shizuoka</v>
      </c>
      <c r="E2501" s="9" t="str">
        <f>IFERROR(__xludf.DUMMYFUNCTION("GOOGLETRANSLATE($A2501,""en"",""es"")"),"Shizuoka")</f>
        <v>Shizuoka</v>
      </c>
      <c r="F2501" s="9" t="str">
        <f>IFERROR(__xludf.DUMMYFUNCTION("GOOGLETRANSLATE($A2501,""en"",""it"")"),"Shizuoka")</f>
        <v>Shizuoka</v>
      </c>
      <c r="G2501" s="9" t="str">
        <f>IFERROR(__xludf.DUMMYFUNCTION("GOOGLETRANSLATE($A2501,""en"",""zh-cn"")"),"静冈")</f>
        <v>静冈</v>
      </c>
      <c r="H2501" s="9" t="str">
        <f>IFERROR(__xludf.DUMMYFUNCTION("GOOGLETRANSLATE($A2501,""en"",""ja"")"),"静岡県")</f>
        <v>静岡県</v>
      </c>
      <c r="I2501" s="9" t="str">
        <f>IFERROR(__xludf.DUMMYFUNCTION("GOOGLETRANSLATE($A2501,""en"",""ko"")"),"시즈오카")</f>
        <v>시즈오카</v>
      </c>
      <c r="J2501" s="9" t="str">
        <f>IFERROR(__xludf.DUMMYFUNCTION("GOOGLETRANSLATE($A2501,""en"",""pt-BR"")"),"Shizuoka")</f>
        <v>Shizuoka</v>
      </c>
    </row>
    <row r="2502">
      <c r="A2502" s="9" t="str">
        <f>IFERROR(__xludf.DUMMYFUNCTION("""COMPUTED_VALUE"""),"Miyagi")</f>
        <v>Miyagi</v>
      </c>
      <c r="B2502" s="9" t="str">
        <f>IFERROR(__xludf.DUMMYFUNCTION("""COMPUTED_VALUE"""),"jp-04")</f>
        <v>jp-04</v>
      </c>
      <c r="C2502" s="9" t="str">
        <f>IFERROR(__xludf.DUMMYFUNCTION("GOOGLETRANSLATE($A2502,""en"",""de"")"),"Miyagi")</f>
        <v>Miyagi</v>
      </c>
      <c r="D2502" s="9" t="str">
        <f>IFERROR(__xludf.DUMMYFUNCTION("GOOGLETRANSLATE($A2502,""en"",""fr"")"),"Miyagi")</f>
        <v>Miyagi</v>
      </c>
      <c r="E2502" s="9" t="str">
        <f>IFERROR(__xludf.DUMMYFUNCTION("GOOGLETRANSLATE($A2502,""en"",""es"")"),"Miyagi")</f>
        <v>Miyagi</v>
      </c>
      <c r="F2502" s="9" t="str">
        <f>IFERROR(__xludf.DUMMYFUNCTION("GOOGLETRANSLATE($A2502,""en"",""it"")"),"Miyagi")</f>
        <v>Miyagi</v>
      </c>
      <c r="G2502" s="9" t="str">
        <f>IFERROR(__xludf.DUMMYFUNCTION("GOOGLETRANSLATE($A2502,""en"",""zh-cn"")"),"宫城")</f>
        <v>宫城</v>
      </c>
      <c r="H2502" s="9" t="str">
        <f>IFERROR(__xludf.DUMMYFUNCTION("GOOGLETRANSLATE($A2502,""en"",""ja"")"),"宮城県")</f>
        <v>宮城県</v>
      </c>
      <c r="I2502" s="9" t="str">
        <f>IFERROR(__xludf.DUMMYFUNCTION("GOOGLETRANSLATE($A2502,""en"",""ko"")"),"미야기")</f>
        <v>미야기</v>
      </c>
      <c r="J2502" s="9" t="str">
        <f>IFERROR(__xludf.DUMMYFUNCTION("GOOGLETRANSLATE($A2502,""en"",""pt-BR"")"),"Miyagi")</f>
        <v>Miyagi</v>
      </c>
    </row>
    <row r="2503">
      <c r="A2503" s="9" t="str">
        <f>IFERROR(__xludf.DUMMYFUNCTION("""COMPUTED_VALUE"""),"Saga")</f>
        <v>Saga</v>
      </c>
      <c r="B2503" s="9" t="str">
        <f>IFERROR(__xludf.DUMMYFUNCTION("""COMPUTED_VALUE"""),"jp-41")</f>
        <v>jp-41</v>
      </c>
      <c r="C2503" s="9" t="str">
        <f>IFERROR(__xludf.DUMMYFUNCTION("GOOGLETRANSLATE($A2503,""en"",""de"")"),"Saga")</f>
        <v>Saga</v>
      </c>
      <c r="D2503" s="9" t="str">
        <f>IFERROR(__xludf.DUMMYFUNCTION("GOOGLETRANSLATE($A2503,""en"",""fr"")"),"Saga")</f>
        <v>Saga</v>
      </c>
      <c r="E2503" s="9" t="str">
        <f>IFERROR(__xludf.DUMMYFUNCTION("GOOGLETRANSLATE($A2503,""en"",""es"")"),"Saga")</f>
        <v>Saga</v>
      </c>
      <c r="F2503" s="9" t="str">
        <f>IFERROR(__xludf.DUMMYFUNCTION("GOOGLETRANSLATE($A2503,""en"",""it"")"),"Saga")</f>
        <v>Saga</v>
      </c>
      <c r="G2503" s="9" t="str">
        <f>IFERROR(__xludf.DUMMYFUNCTION("GOOGLETRANSLATE($A2503,""en"",""zh-cn"")"),"佐贺")</f>
        <v>佐贺</v>
      </c>
      <c r="H2503" s="9" t="str">
        <f>IFERROR(__xludf.DUMMYFUNCTION("GOOGLETRANSLATE($A2503,""en"",""ja"")"),"佐賀")</f>
        <v>佐賀</v>
      </c>
      <c r="I2503" s="9" t="str">
        <f>IFERROR(__xludf.DUMMYFUNCTION("GOOGLETRANSLATE($A2503,""en"",""ko"")"),"사거")</f>
        <v>사거</v>
      </c>
      <c r="J2503" s="9" t="str">
        <f>IFERROR(__xludf.DUMMYFUNCTION("GOOGLETRANSLATE($A2503,""en"",""pt-BR"")"),"Saga")</f>
        <v>Saga</v>
      </c>
    </row>
    <row r="2504">
      <c r="A2504" s="9" t="str">
        <f>IFERROR(__xludf.DUMMYFUNCTION("""COMPUTED_VALUE"""),"Yamaguchi")</f>
        <v>Yamaguchi</v>
      </c>
      <c r="B2504" s="9" t="str">
        <f>IFERROR(__xludf.DUMMYFUNCTION("""COMPUTED_VALUE"""),"jp-35")</f>
        <v>jp-35</v>
      </c>
      <c r="C2504" s="9" t="str">
        <f>IFERROR(__xludf.DUMMYFUNCTION("GOOGLETRANSLATE($A2504,""en"",""de"")"),"Yamaguchi")</f>
        <v>Yamaguchi</v>
      </c>
      <c r="D2504" s="9" t="str">
        <f>IFERROR(__xludf.DUMMYFUNCTION("GOOGLETRANSLATE($A2504,""en"",""fr"")"),"Yamaguchi")</f>
        <v>Yamaguchi</v>
      </c>
      <c r="E2504" s="9" t="str">
        <f>IFERROR(__xludf.DUMMYFUNCTION("GOOGLETRANSLATE($A2504,""en"",""es"")"),"Yamaguchi")</f>
        <v>Yamaguchi</v>
      </c>
      <c r="F2504" s="9" t="str">
        <f>IFERROR(__xludf.DUMMYFUNCTION("GOOGLETRANSLATE($A2504,""en"",""it"")"),"Yamaguchi")</f>
        <v>Yamaguchi</v>
      </c>
      <c r="G2504" s="9" t="str">
        <f>IFERROR(__xludf.DUMMYFUNCTION("GOOGLETRANSLATE($A2504,""en"",""zh-cn"")"),"山口")</f>
        <v>山口</v>
      </c>
      <c r="H2504" s="9" t="str">
        <f>IFERROR(__xludf.DUMMYFUNCTION("GOOGLETRANSLATE($A2504,""en"",""ja"")"),"山口")</f>
        <v>山口</v>
      </c>
      <c r="I2504" s="9" t="str">
        <f>IFERROR(__xludf.DUMMYFUNCTION("GOOGLETRANSLATE($A2504,""en"",""ko"")"),"야마구치")</f>
        <v>야마구치</v>
      </c>
      <c r="J2504" s="9" t="str">
        <f>IFERROR(__xludf.DUMMYFUNCTION("GOOGLETRANSLATE($A2504,""en"",""pt-BR"")"),"Yamaguchi")</f>
        <v>Yamaguchi</v>
      </c>
    </row>
    <row r="2505">
      <c r="A2505" s="9" t="str">
        <f>IFERROR(__xludf.DUMMYFUNCTION("""COMPUTED_VALUE"""),"Oita")</f>
        <v>Oita</v>
      </c>
      <c r="B2505" s="9" t="str">
        <f>IFERROR(__xludf.DUMMYFUNCTION("""COMPUTED_VALUE"""),"jp-44")</f>
        <v>jp-44</v>
      </c>
      <c r="C2505" s="9" t="str">
        <f>IFERROR(__xludf.DUMMYFUNCTION("GOOGLETRANSLATE($A2505,""en"",""de"")"),"Oita")</f>
        <v>Oita</v>
      </c>
      <c r="D2505" s="9" t="str">
        <f>IFERROR(__xludf.DUMMYFUNCTION("GOOGLETRANSLATE($A2505,""en"",""fr"")"),"Ōita")</f>
        <v>Ōita</v>
      </c>
      <c r="E2505" s="9" t="str">
        <f>IFERROR(__xludf.DUMMYFUNCTION("GOOGLETRANSLATE($A2505,""en"",""es"")"),"Ōita")</f>
        <v>Ōita</v>
      </c>
      <c r="F2505" s="9" t="str">
        <f>IFERROR(__xludf.DUMMYFUNCTION("GOOGLETRANSLATE($A2505,""en"",""it"")"),"Oita")</f>
        <v>Oita</v>
      </c>
      <c r="G2505" s="9" t="str">
        <f>IFERROR(__xludf.DUMMYFUNCTION("GOOGLETRANSLATE($A2505,""en"",""zh-cn"")"),"大分")</f>
        <v>大分</v>
      </c>
      <c r="H2505" s="9" t="str">
        <f>IFERROR(__xludf.DUMMYFUNCTION("GOOGLETRANSLATE($A2505,""en"",""ja"")"),"大分")</f>
        <v>大分</v>
      </c>
      <c r="I2505" s="9" t="str">
        <f>IFERROR(__xludf.DUMMYFUNCTION("GOOGLETRANSLATE($A2505,""en"",""ko"")"),"오이타")</f>
        <v>오이타</v>
      </c>
      <c r="J2505" s="9" t="str">
        <f>IFERROR(__xludf.DUMMYFUNCTION("GOOGLETRANSLATE($A2505,""en"",""pt-BR"")"),"Oita")</f>
        <v>Oita</v>
      </c>
    </row>
    <row r="2506">
      <c r="A2506" s="9" t="str">
        <f>IFERROR(__xludf.DUMMYFUNCTION("""COMPUTED_VALUE"""),"Toyama")</f>
        <v>Toyama</v>
      </c>
      <c r="B2506" s="9" t="str">
        <f>IFERROR(__xludf.DUMMYFUNCTION("""COMPUTED_VALUE"""),"jp-16")</f>
        <v>jp-16</v>
      </c>
      <c r="C2506" s="9" t="str">
        <f>IFERROR(__xludf.DUMMYFUNCTION("GOOGLETRANSLATE($A2506,""en"",""de"")"),"Toyama")</f>
        <v>Toyama</v>
      </c>
      <c r="D2506" s="9" t="str">
        <f>IFERROR(__xludf.DUMMYFUNCTION("GOOGLETRANSLATE($A2506,""en"",""fr"")"),"Toyama")</f>
        <v>Toyama</v>
      </c>
      <c r="E2506" s="9" t="str">
        <f>IFERROR(__xludf.DUMMYFUNCTION("GOOGLETRANSLATE($A2506,""en"",""es"")"),"Toyama")</f>
        <v>Toyama</v>
      </c>
      <c r="F2506" s="9" t="str">
        <f>IFERROR(__xludf.DUMMYFUNCTION("GOOGLETRANSLATE($A2506,""en"",""it"")"),"Toyama")</f>
        <v>Toyama</v>
      </c>
      <c r="G2506" s="9" t="str">
        <f>IFERROR(__xludf.DUMMYFUNCTION("GOOGLETRANSLATE($A2506,""en"",""zh-cn"")"),"富山")</f>
        <v>富山</v>
      </c>
      <c r="H2506" s="9" t="str">
        <f>IFERROR(__xludf.DUMMYFUNCTION("GOOGLETRANSLATE($A2506,""en"",""ja"")"),"富山")</f>
        <v>富山</v>
      </c>
      <c r="I2506" s="9" t="str">
        <f>IFERROR(__xludf.DUMMYFUNCTION("GOOGLETRANSLATE($A2506,""en"",""ko"")"),"도야마")</f>
        <v>도야마</v>
      </c>
      <c r="J2506" s="9" t="str">
        <f>IFERROR(__xludf.DUMMYFUNCTION("GOOGLETRANSLATE($A2506,""en"",""pt-BR"")"),"Toyama")</f>
        <v>Toyama</v>
      </c>
    </row>
    <row r="2507">
      <c r="A2507" s="9" t="str">
        <f>IFERROR(__xludf.DUMMYFUNCTION("""COMPUTED_VALUE"""),"Kyoto")</f>
        <v>Kyoto</v>
      </c>
      <c r="B2507" s="9" t="str">
        <f>IFERROR(__xludf.DUMMYFUNCTION("""COMPUTED_VALUE"""),"jp-26")</f>
        <v>jp-26</v>
      </c>
      <c r="C2507" s="9" t="str">
        <f>IFERROR(__xludf.DUMMYFUNCTION("GOOGLETRANSLATE($A2507,""en"",""de"")"),"Kyoto")</f>
        <v>Kyoto</v>
      </c>
      <c r="D2507" s="9" t="str">
        <f>IFERROR(__xludf.DUMMYFUNCTION("GOOGLETRANSLATE($A2507,""en"",""fr"")"),"Kyoto")</f>
        <v>Kyoto</v>
      </c>
      <c r="E2507" s="9" t="str">
        <f>IFERROR(__xludf.DUMMYFUNCTION("GOOGLETRANSLATE($A2507,""en"",""es"")"),"Kioto")</f>
        <v>Kioto</v>
      </c>
      <c r="F2507" s="9" t="str">
        <f>IFERROR(__xludf.DUMMYFUNCTION("GOOGLETRANSLATE($A2507,""en"",""it"")"),"Kyoto")</f>
        <v>Kyoto</v>
      </c>
      <c r="G2507" s="9" t="str">
        <f>IFERROR(__xludf.DUMMYFUNCTION("GOOGLETRANSLATE($A2507,""en"",""zh-cn"")"),"京都")</f>
        <v>京都</v>
      </c>
      <c r="H2507" s="9" t="str">
        <f>IFERROR(__xludf.DUMMYFUNCTION("GOOGLETRANSLATE($A2507,""en"",""ja"")"),"京都")</f>
        <v>京都</v>
      </c>
      <c r="I2507" s="9" t="str">
        <f>IFERROR(__xludf.DUMMYFUNCTION("GOOGLETRANSLATE($A2507,""en"",""ko"")"),"교토")</f>
        <v>교토</v>
      </c>
      <c r="J2507" s="9" t="str">
        <f>IFERROR(__xludf.DUMMYFUNCTION("GOOGLETRANSLATE($A2507,""en"",""pt-BR"")"),"Quioto")</f>
        <v>Quioto</v>
      </c>
    </row>
    <row r="2508">
      <c r="A2508" s="9" t="str">
        <f>IFERROR(__xludf.DUMMYFUNCTION("""COMPUTED_VALUE"""),"Hiroshima")</f>
        <v>Hiroshima</v>
      </c>
      <c r="B2508" s="9" t="str">
        <f>IFERROR(__xludf.DUMMYFUNCTION("""COMPUTED_VALUE"""),"jp-34")</f>
        <v>jp-34</v>
      </c>
      <c r="C2508" s="9" t="str">
        <f>IFERROR(__xludf.DUMMYFUNCTION("GOOGLETRANSLATE($A2508,""en"",""de"")"),"Hiroshima")</f>
        <v>Hiroshima</v>
      </c>
      <c r="D2508" s="9" t="str">
        <f>IFERROR(__xludf.DUMMYFUNCTION("GOOGLETRANSLATE($A2508,""en"",""fr"")"),"Hiroshima")</f>
        <v>Hiroshima</v>
      </c>
      <c r="E2508" s="9" t="str">
        <f>IFERROR(__xludf.DUMMYFUNCTION("GOOGLETRANSLATE($A2508,""en"",""es"")"),"Hiroshima")</f>
        <v>Hiroshima</v>
      </c>
      <c r="F2508" s="9" t="str">
        <f>IFERROR(__xludf.DUMMYFUNCTION("GOOGLETRANSLATE($A2508,""en"",""it"")"),"Hiroshima")</f>
        <v>Hiroshima</v>
      </c>
      <c r="G2508" s="9" t="str">
        <f>IFERROR(__xludf.DUMMYFUNCTION("GOOGLETRANSLATE($A2508,""en"",""zh-cn"")"),"广岛")</f>
        <v>广岛</v>
      </c>
      <c r="H2508" s="9" t="str">
        <f>IFERROR(__xludf.DUMMYFUNCTION("GOOGLETRANSLATE($A2508,""en"",""ja"")"),"広島")</f>
        <v>広島</v>
      </c>
      <c r="I2508" s="9" t="str">
        <f>IFERROR(__xludf.DUMMYFUNCTION("GOOGLETRANSLATE($A2508,""en"",""ko"")"),"히로시마")</f>
        <v>히로시마</v>
      </c>
      <c r="J2508" s="9" t="str">
        <f>IFERROR(__xludf.DUMMYFUNCTION("GOOGLETRANSLATE($A2508,""en"",""pt-BR"")"),"Hiroshima")</f>
        <v>Hiroshima</v>
      </c>
    </row>
    <row r="2509">
      <c r="A2509" s="9" t="str">
        <f>IFERROR(__xludf.DUMMYFUNCTION("""COMPUTED_VALUE"""),"Kagoshima")</f>
        <v>Kagoshima</v>
      </c>
      <c r="B2509" s="9" t="str">
        <f>IFERROR(__xludf.DUMMYFUNCTION("""COMPUTED_VALUE"""),"jp-46")</f>
        <v>jp-46</v>
      </c>
      <c r="C2509" s="9" t="str">
        <f>IFERROR(__xludf.DUMMYFUNCTION("GOOGLETRANSLATE($A2509,""en"",""de"")"),"Kagoshima")</f>
        <v>Kagoshima</v>
      </c>
      <c r="D2509" s="9" t="str">
        <f>IFERROR(__xludf.DUMMYFUNCTION("GOOGLETRANSLATE($A2509,""en"",""fr"")"),"Kagoshima")</f>
        <v>Kagoshima</v>
      </c>
      <c r="E2509" s="9" t="str">
        <f>IFERROR(__xludf.DUMMYFUNCTION("GOOGLETRANSLATE($A2509,""en"",""es"")"),"Kagoshima")</f>
        <v>Kagoshima</v>
      </c>
      <c r="F2509" s="9" t="str">
        <f>IFERROR(__xludf.DUMMYFUNCTION("GOOGLETRANSLATE($A2509,""en"",""it"")"),"Kagoshima")</f>
        <v>Kagoshima</v>
      </c>
      <c r="G2509" s="9" t="str">
        <f>IFERROR(__xludf.DUMMYFUNCTION("GOOGLETRANSLATE($A2509,""en"",""zh-cn"")"),"鹿儿岛")</f>
        <v>鹿儿岛</v>
      </c>
      <c r="H2509" s="9" t="str">
        <f>IFERROR(__xludf.DUMMYFUNCTION("GOOGLETRANSLATE($A2509,""en"",""ja"")"),"鹿児島")</f>
        <v>鹿児島</v>
      </c>
      <c r="I2509" s="9" t="str">
        <f>IFERROR(__xludf.DUMMYFUNCTION("GOOGLETRANSLATE($A2509,""en"",""ko"")"),"가고시마")</f>
        <v>가고시마</v>
      </c>
      <c r="J2509" s="9" t="str">
        <f>IFERROR(__xludf.DUMMYFUNCTION("GOOGLETRANSLATE($A2509,""en"",""pt-BR"")"),"Kagoshima")</f>
        <v>Kagoshima</v>
      </c>
    </row>
    <row r="2510">
      <c r="A2510" s="9" t="str">
        <f>IFERROR(__xludf.DUMMYFUNCTION("""COMPUTED_VALUE"""),"Akita")</f>
        <v>Akita</v>
      </c>
      <c r="B2510" s="9" t="str">
        <f>IFERROR(__xludf.DUMMYFUNCTION("""COMPUTED_VALUE"""),"jp-05")</f>
        <v>jp-05</v>
      </c>
      <c r="C2510" s="9" t="str">
        <f>IFERROR(__xludf.DUMMYFUNCTION("GOOGLETRANSLATE($A2510,""en"",""de"")"),"Akita")</f>
        <v>Akita</v>
      </c>
      <c r="D2510" s="9" t="str">
        <f>IFERROR(__xludf.DUMMYFUNCTION("GOOGLETRANSLATE($A2510,""en"",""fr"")"),"Akita")</f>
        <v>Akita</v>
      </c>
      <c r="E2510" s="9" t="str">
        <f>IFERROR(__xludf.DUMMYFUNCTION("GOOGLETRANSLATE($A2510,""en"",""es"")"),"akita")</f>
        <v>akita</v>
      </c>
      <c r="F2510" s="9" t="str">
        <f>IFERROR(__xludf.DUMMYFUNCTION("GOOGLETRANSLATE($A2510,""en"",""it"")"),"Akita")</f>
        <v>Akita</v>
      </c>
      <c r="G2510" s="9" t="str">
        <f>IFERROR(__xludf.DUMMYFUNCTION("GOOGLETRANSLATE($A2510,""en"",""zh-cn"")"),"秋田")</f>
        <v>秋田</v>
      </c>
      <c r="H2510" s="9" t="str">
        <f>IFERROR(__xludf.DUMMYFUNCTION("GOOGLETRANSLATE($A2510,""en"",""ja"")"),"秋田")</f>
        <v>秋田</v>
      </c>
      <c r="I2510" s="9" t="str">
        <f>IFERROR(__xludf.DUMMYFUNCTION("GOOGLETRANSLATE($A2510,""en"",""ko"")"),"아키타")</f>
        <v>아키타</v>
      </c>
      <c r="J2510" s="9" t="str">
        <f>IFERROR(__xludf.DUMMYFUNCTION("GOOGLETRANSLATE($A2510,""en"",""pt-BR"")"),"Akita")</f>
        <v>Akita</v>
      </c>
    </row>
    <row r="2511">
      <c r="A2511" s="9" t="str">
        <f>IFERROR(__xludf.DUMMYFUNCTION("""COMPUTED_VALUE"""),"Al ‘Aqabah")</f>
        <v>Al ‘Aqabah</v>
      </c>
      <c r="B2511" s="9" t="str">
        <f>IFERROR(__xludf.DUMMYFUNCTION("""COMPUTED_VALUE"""),"jo-aq")</f>
        <v>jo-aq</v>
      </c>
      <c r="C2511" s="9" t="str">
        <f>IFERROR(__xludf.DUMMYFUNCTION("GOOGLETRANSLATE($A2511,""en"",""de"")"),"Al 'Aqabah")</f>
        <v>Al 'Aqabah</v>
      </c>
      <c r="D2511" s="9" t="str">
        <f>IFERROR(__xludf.DUMMYFUNCTION("GOOGLETRANSLATE($A2511,""en"",""fr"")"),"Al 'Aqabah")</f>
        <v>Al 'Aqabah</v>
      </c>
      <c r="E2511" s="9" t="str">
        <f>IFERROR(__xludf.DUMMYFUNCTION("GOOGLETRANSLATE($A2511,""en"",""es"")"),"Al 'Aqaba")</f>
        <v>Al 'Aqaba</v>
      </c>
      <c r="F2511" s="9" t="str">
        <f>IFERROR(__xludf.DUMMYFUNCTION("GOOGLETRANSLATE($A2511,""en"",""it"")"),"Al ‘Aqabah")</f>
        <v>Al ‘Aqabah</v>
      </c>
      <c r="G2511" s="9" t="str">
        <f>IFERROR(__xludf.DUMMYFUNCTION("GOOGLETRANSLATE($A2511,""en"",""zh-cn"")"),"亚喀巴")</f>
        <v>亚喀巴</v>
      </c>
      <c r="H2511" s="9" t="str">
        <f>IFERROR(__xludf.DUMMYFUNCTION("GOOGLETRANSLATE($A2511,""en"",""ja"")"),"アル・アカバ")</f>
        <v>アル・アカバ</v>
      </c>
      <c r="I2511" s="9" t="str">
        <f>IFERROR(__xludf.DUMMYFUNCTION("GOOGLETRANSLATE($A2511,""en"",""ko"")"),"알 아카바")</f>
        <v>알 아카바</v>
      </c>
      <c r="J2511" s="9" t="str">
        <f>IFERROR(__xludf.DUMMYFUNCTION("GOOGLETRANSLATE($A2511,""en"",""pt-BR"")"),"Al ‘Aqabah")</f>
        <v>Al ‘Aqabah</v>
      </c>
    </row>
    <row r="2512">
      <c r="A2512" s="9" t="str">
        <f>IFERROR(__xludf.DUMMYFUNCTION("""COMPUTED_VALUE"""),"Jarash")</f>
        <v>Jarash</v>
      </c>
      <c r="B2512" s="9" t="str">
        <f>IFERROR(__xludf.DUMMYFUNCTION("""COMPUTED_VALUE"""),"jo-ja")</f>
        <v>jo-ja</v>
      </c>
      <c r="C2512" s="9" t="str">
        <f>IFERROR(__xludf.DUMMYFUNCTION("GOOGLETRANSLATE($A2512,""en"",""de"")"),"Jarash")</f>
        <v>Jarash</v>
      </c>
      <c r="D2512" s="9" t="str">
        <f>IFERROR(__xludf.DUMMYFUNCTION("GOOGLETRANSLATE($A2512,""en"",""fr"")"),"Jarash")</f>
        <v>Jarash</v>
      </c>
      <c r="E2512" s="9" t="str">
        <f>IFERROR(__xludf.DUMMYFUNCTION("GOOGLETRANSLATE($A2512,""en"",""es"")"),"Jarash")</f>
        <v>Jarash</v>
      </c>
      <c r="F2512" s="9" t="str">
        <f>IFERROR(__xludf.DUMMYFUNCTION("GOOGLETRANSLATE($A2512,""en"",""it"")"),"Jarash")</f>
        <v>Jarash</v>
      </c>
      <c r="G2512" s="9" t="str">
        <f>IFERROR(__xludf.DUMMYFUNCTION("GOOGLETRANSLATE($A2512,""en"",""zh-cn"")"),"贾拉什")</f>
        <v>贾拉什</v>
      </c>
      <c r="H2512" s="9" t="str">
        <f>IFERROR(__xludf.DUMMYFUNCTION("GOOGLETRANSLATE($A2512,""en"",""ja"")"),"ジャラシュ")</f>
        <v>ジャラシュ</v>
      </c>
      <c r="I2512" s="9" t="str">
        <f>IFERROR(__xludf.DUMMYFUNCTION("GOOGLETRANSLATE($A2512,""en"",""ko"")"),"자라쉬")</f>
        <v>자라쉬</v>
      </c>
      <c r="J2512" s="9" t="str">
        <f>IFERROR(__xludf.DUMMYFUNCTION("GOOGLETRANSLATE($A2512,""en"",""pt-BR"")"),"Jarash")</f>
        <v>Jarash</v>
      </c>
    </row>
    <row r="2513">
      <c r="A2513" s="9" t="str">
        <f>IFERROR(__xludf.DUMMYFUNCTION("""COMPUTED_VALUE"""),"Al Karak")</f>
        <v>Al Karak</v>
      </c>
      <c r="B2513" s="9" t="str">
        <f>IFERROR(__xludf.DUMMYFUNCTION("""COMPUTED_VALUE"""),"jo-ka")</f>
        <v>jo-ka</v>
      </c>
      <c r="C2513" s="9" t="str">
        <f>IFERROR(__xludf.DUMMYFUNCTION("GOOGLETRANSLATE($A2513,""en"",""de"")"),"Al Karak")</f>
        <v>Al Karak</v>
      </c>
      <c r="D2513" s="9" t="str">
        <f>IFERROR(__xludf.DUMMYFUNCTION("GOOGLETRANSLATE($A2513,""en"",""fr"")"),"Al-Karak")</f>
        <v>Al-Karak</v>
      </c>
      <c r="E2513" s="9" t="str">
        <f>IFERROR(__xludf.DUMMYFUNCTION("GOOGLETRANSLATE($A2513,""en"",""es"")"),"Al-Karak")</f>
        <v>Al-Karak</v>
      </c>
      <c r="F2513" s="9" t="str">
        <f>IFERROR(__xludf.DUMMYFUNCTION("GOOGLETRANSLATE($A2513,""en"",""it"")"),"Al Karak")</f>
        <v>Al Karak</v>
      </c>
      <c r="G2513" s="9" t="str">
        <f>IFERROR(__xludf.DUMMYFUNCTION("GOOGLETRANSLATE($A2513,""en"",""zh-cn"")"),"卡拉克")</f>
        <v>卡拉克</v>
      </c>
      <c r="H2513" s="9" t="str">
        <f>IFERROR(__xludf.DUMMYFUNCTION("GOOGLETRANSLATE($A2513,""en"",""ja"")"),"アル・カラク")</f>
        <v>アル・カラク</v>
      </c>
      <c r="I2513" s="9" t="str">
        <f>IFERROR(__xludf.DUMMYFUNCTION("GOOGLETRANSLATE($A2513,""en"",""ko"")"),"알 카락")</f>
        <v>알 카락</v>
      </c>
      <c r="J2513" s="9" t="str">
        <f>IFERROR(__xludf.DUMMYFUNCTION("GOOGLETRANSLATE($A2513,""en"",""pt-BR"")"),"Al Karak")</f>
        <v>Al Karak</v>
      </c>
    </row>
    <row r="2514">
      <c r="A2514" s="9" t="str">
        <f>IFERROR(__xludf.DUMMYFUNCTION("""COMPUTED_VALUE"""),"Al ‘A̅şimah")</f>
        <v>Al ‘A̅şimah</v>
      </c>
      <c r="B2514" s="9" t="str">
        <f>IFERROR(__xludf.DUMMYFUNCTION("""COMPUTED_VALUE"""),"jo-am")</f>
        <v>jo-am</v>
      </c>
      <c r="C2514" s="9" t="str">
        <f>IFERROR(__xludf.DUMMYFUNCTION("GOOGLETRANSLATE($A2514,""en"",""de"")"),"Al 'A̅şimah")</f>
        <v>Al 'A̅şimah</v>
      </c>
      <c r="D2514" s="9" t="str">
        <f>IFERROR(__xludf.DUMMYFUNCTION("GOOGLETRANSLATE($A2514,""en"",""fr"")"),"Al 'Aşimah")</f>
        <v>Al 'Aşimah</v>
      </c>
      <c r="E2514" s="9" t="str">
        <f>IFERROR(__xludf.DUMMYFUNCTION("GOOGLETRANSLATE($A2514,""en"",""es"")"),"Al ‘A̅şimah")</f>
        <v>Al ‘A̅şimah</v>
      </c>
      <c r="F2514" s="9" t="str">
        <f>IFERROR(__xludf.DUMMYFUNCTION("GOOGLETRANSLATE($A2514,""en"",""it"")"),"Al ‘Aşimah")</f>
        <v>Al ‘Aşimah</v>
      </c>
      <c r="G2514" s="9" t="str">
        <f>IFERROR(__xludf.DUMMYFUNCTION("GOOGLETRANSLATE($A2514,""en"",""zh-cn"")"),"阿尔‘阿希玛")</f>
        <v>阿尔‘阿希玛</v>
      </c>
      <c r="H2514" s="9" t="str">
        <f>IFERROR(__xludf.DUMMYFUNCTION("GOOGLETRANSLATE($A2514,""en"",""ja"")"),"アル アシマ")</f>
        <v>アル アシマ</v>
      </c>
      <c r="I2514" s="9" t="str">
        <f>IFERROR(__xludf.DUMMYFUNCTION("GOOGLETRANSLATE($A2514,""en"",""ko"")"),"알 아쉬마")</f>
        <v>알 아쉬마</v>
      </c>
      <c r="J2514" s="9" t="str">
        <f>IFERROR(__xludf.DUMMYFUNCTION("GOOGLETRANSLATE($A2514,""en"",""pt-BR"")"),"Al ‘A̅şimah")</f>
        <v>Al ‘A̅şimah</v>
      </c>
    </row>
    <row r="2515">
      <c r="A2515" s="9" t="str">
        <f>IFERROR(__xludf.DUMMYFUNCTION("""COMPUTED_VALUE"""),"Aţ Ţafīlah")</f>
        <v>Aţ Ţafīlah</v>
      </c>
      <c r="B2515" s="9" t="str">
        <f>IFERROR(__xludf.DUMMYFUNCTION("""COMPUTED_VALUE"""),"jo-at")</f>
        <v>jo-at</v>
      </c>
      <c r="C2515" s="9" t="str">
        <f>IFERROR(__xludf.DUMMYFUNCTION("GOOGLETRANSLATE($A2515,""en"",""de"")"),"Aţ Ţafīlah")</f>
        <v>Aţ Ţafīlah</v>
      </c>
      <c r="D2515" s="9" t="str">
        <f>IFERROR(__xludf.DUMMYFUNCTION("GOOGLETRANSLATE($A2515,""en"",""fr"")"),"Aţ Ţafīlah")</f>
        <v>Aţ Ţafīlah</v>
      </c>
      <c r="E2515" s="9" t="str">
        <f>IFERROR(__xludf.DUMMYFUNCTION("GOOGLETRANSLATE($A2515,""en"",""es"")"),"Aţ Ţafīlah")</f>
        <v>Aţ Ţafīlah</v>
      </c>
      <c r="F2515" s="9" t="str">
        <f>IFERROR(__xludf.DUMMYFUNCTION("GOOGLETRANSLATE($A2515,""en"",""it"")"),"Aţ Ţafīlah")</f>
        <v>Aţ Ţafīlah</v>
      </c>
      <c r="G2515" s="9" t="str">
        <f>IFERROR(__xludf.DUMMYFUNCTION("GOOGLETRANSLATE($A2515,""en"",""zh-cn"")"),"阿塔·塔菲拉")</f>
        <v>阿塔·塔菲拉</v>
      </c>
      <c r="H2515" s="9" t="str">
        <f>IFERROR(__xludf.DUMMYFUNCTION("GOOGLETRANSLATE($A2515,""en"",""ja"")"),"アザ・ザフィーラ")</f>
        <v>アザ・ザフィーラ</v>
      </c>
      <c r="I2515" s="9" t="str">
        <f>IFERROR(__xludf.DUMMYFUNCTION("GOOGLETRANSLATE($A2515,""en"",""ko"")"),"아타필라")</f>
        <v>아타필라</v>
      </c>
      <c r="J2515" s="9" t="str">
        <f>IFERROR(__xludf.DUMMYFUNCTION("GOOGLETRANSLATE($A2515,""en"",""pt-BR"")"),"Aţ Ţafīlah")</f>
        <v>Aţ Ţafīlah</v>
      </c>
    </row>
    <row r="2516">
      <c r="A2516" s="9" t="str">
        <f>IFERROR(__xludf.DUMMYFUNCTION("""COMPUTED_VALUE"""),"Irbid")</f>
        <v>Irbid</v>
      </c>
      <c r="B2516" s="9" t="str">
        <f>IFERROR(__xludf.DUMMYFUNCTION("""COMPUTED_VALUE"""),"jo-ir")</f>
        <v>jo-ir</v>
      </c>
      <c r="C2516" s="9" t="str">
        <f>IFERROR(__xludf.DUMMYFUNCTION("GOOGLETRANSLATE($A2516,""en"",""de"")"),"Irbid")</f>
        <v>Irbid</v>
      </c>
      <c r="D2516" s="9" t="str">
        <f>IFERROR(__xludf.DUMMYFUNCTION("GOOGLETRANSLATE($A2516,""en"",""fr"")"),"Irbid")</f>
        <v>Irbid</v>
      </c>
      <c r="E2516" s="9" t="str">
        <f>IFERROR(__xludf.DUMMYFUNCTION("GOOGLETRANSLATE($A2516,""en"",""es"")"),"Irbid")</f>
        <v>Irbid</v>
      </c>
      <c r="F2516" s="9" t="str">
        <f>IFERROR(__xludf.DUMMYFUNCTION("GOOGLETRANSLATE($A2516,""en"",""it"")"),"Irbido")</f>
        <v>Irbido</v>
      </c>
      <c r="G2516" s="9" t="str">
        <f>IFERROR(__xludf.DUMMYFUNCTION("GOOGLETRANSLATE($A2516,""en"",""zh-cn"")"),"伊尔比德")</f>
        <v>伊尔比德</v>
      </c>
      <c r="H2516" s="9" t="str">
        <f>IFERROR(__xludf.DUMMYFUNCTION("GOOGLETRANSLATE($A2516,""en"",""ja"")"),"イルビド")</f>
        <v>イルビド</v>
      </c>
      <c r="I2516" s="9" t="str">
        <f>IFERROR(__xludf.DUMMYFUNCTION("GOOGLETRANSLATE($A2516,""en"",""ko"")"),"이르비드")</f>
        <v>이르비드</v>
      </c>
      <c r="J2516" s="9" t="str">
        <f>IFERROR(__xludf.DUMMYFUNCTION("GOOGLETRANSLATE($A2516,""en"",""pt-BR"")"),"Irbid")</f>
        <v>Irbid</v>
      </c>
    </row>
    <row r="2517">
      <c r="A2517" s="9" t="str">
        <f>IFERROR(__xludf.DUMMYFUNCTION("""COMPUTED_VALUE"""),"Az Zarqā’")</f>
        <v>Az Zarqā’</v>
      </c>
      <c r="B2517" s="9" t="str">
        <f>IFERROR(__xludf.DUMMYFUNCTION("""COMPUTED_VALUE"""),"jo-az")</f>
        <v>jo-az</v>
      </c>
      <c r="C2517" s="9" t="str">
        <f>IFERROR(__xludf.DUMMYFUNCTION("GOOGLETRANSLATE($A2517,""en"",""de"")"),"Az Zarqā’")</f>
        <v>Az Zarqā’</v>
      </c>
      <c r="D2517" s="9" t="str">
        <f>IFERROR(__xludf.DUMMYFUNCTION("GOOGLETRANSLATE($A2517,""en"",""fr"")"),"Az Zarqa'")</f>
        <v>Az Zarqa'</v>
      </c>
      <c r="E2517" s="9" t="str">
        <f>IFERROR(__xludf.DUMMYFUNCTION("GOOGLETRANSLATE($A2517,""en"",""es"")"),"Az Zarqā’")</f>
        <v>Az Zarqā’</v>
      </c>
      <c r="F2517" s="9" t="str">
        <f>IFERROR(__xludf.DUMMYFUNCTION("GOOGLETRANSLATE($A2517,""en"",""it"")"),"Az Zarqā’")</f>
        <v>Az Zarqā’</v>
      </c>
      <c r="G2517" s="9" t="str">
        <f>IFERROR(__xludf.DUMMYFUNCTION("GOOGLETRANSLATE($A2517,""en"",""zh-cn"")"),"阿兹·扎尔卡")</f>
        <v>阿兹·扎尔卡</v>
      </c>
      <c r="H2517" s="9" t="str">
        <f>IFERROR(__xludf.DUMMYFUNCTION("GOOGLETRANSLATE($A2517,""en"",""ja"")"),"アズ・ザルカ")</f>
        <v>アズ・ザルカ</v>
      </c>
      <c r="I2517" s="9" t="str">
        <f>IFERROR(__xludf.DUMMYFUNCTION("GOOGLETRANSLATE($A2517,""en"",""ko"")"),"아즈 자르카'")</f>
        <v>아즈 자르카'</v>
      </c>
      <c r="J2517" s="9" t="str">
        <f>IFERROR(__xludf.DUMMYFUNCTION("GOOGLETRANSLATE($A2517,""en"",""pt-BR"")"),"Az Zarqā’")</f>
        <v>Az Zarqā’</v>
      </c>
    </row>
    <row r="2518">
      <c r="A2518" s="9" t="str">
        <f>IFERROR(__xludf.DUMMYFUNCTION("""COMPUTED_VALUE"""),"Ma‘ān")</f>
        <v>Ma‘ān</v>
      </c>
      <c r="B2518" s="9" t="str">
        <f>IFERROR(__xludf.DUMMYFUNCTION("""COMPUTED_VALUE"""),"jo-mn")</f>
        <v>jo-mn</v>
      </c>
      <c r="C2518" s="9" t="str">
        <f>IFERROR(__xludf.DUMMYFUNCTION("GOOGLETRANSLATE($A2518,""en"",""de"")"),"Ma‘ān")</f>
        <v>Ma‘ān</v>
      </c>
      <c r="D2518" s="9" t="str">
        <f>IFERROR(__xludf.DUMMYFUNCTION("GOOGLETRANSLATE($A2518,""en"",""fr"")"),"Ma'an")</f>
        <v>Ma'an</v>
      </c>
      <c r="E2518" s="9" t="str">
        <f>IFERROR(__xludf.DUMMYFUNCTION("GOOGLETRANSLATE($A2518,""en"",""es"")"),"Ma'an")</f>
        <v>Ma'an</v>
      </c>
      <c r="F2518" s="9" t="str">
        <f>IFERROR(__xludf.DUMMYFUNCTION("GOOGLETRANSLATE($A2518,""en"",""it"")"),"Ma‘an")</f>
        <v>Ma‘an</v>
      </c>
      <c r="G2518" s="9" t="str">
        <f>IFERROR(__xludf.DUMMYFUNCTION("GOOGLETRANSLATE($A2518,""en"",""zh-cn"")"),"马鞍")</f>
        <v>马鞍</v>
      </c>
      <c r="H2518" s="9" t="str">
        <f>IFERROR(__xludf.DUMMYFUNCTION("GOOGLETRANSLATE($A2518,""en"",""ja"")"),"マアン")</f>
        <v>マアン</v>
      </c>
      <c r="I2518" s="9" t="str">
        <f>IFERROR(__xludf.DUMMYFUNCTION("GOOGLETRANSLATE($A2518,""en"",""ko"")"),"마안")</f>
        <v>마안</v>
      </c>
      <c r="J2518" s="9" t="str">
        <f>IFERROR(__xludf.DUMMYFUNCTION("GOOGLETRANSLATE($A2518,""en"",""pt-BR"")"),"Ma'ān")</f>
        <v>Ma'ān</v>
      </c>
    </row>
    <row r="2519">
      <c r="A2519" s="9" t="str">
        <f>IFERROR(__xludf.DUMMYFUNCTION("""COMPUTED_VALUE"""),"Mādabā")</f>
        <v>Mādabā</v>
      </c>
      <c r="B2519" s="9" t="str">
        <f>IFERROR(__xludf.DUMMYFUNCTION("""COMPUTED_VALUE"""),"jo-md")</f>
        <v>jo-md</v>
      </c>
      <c r="C2519" s="9" t="str">
        <f>IFERROR(__xludf.DUMMYFUNCTION("GOOGLETRANSLATE($A2519,""en"",""de"")"),"Madaba")</f>
        <v>Madaba</v>
      </c>
      <c r="D2519" s="9" t="str">
        <f>IFERROR(__xludf.DUMMYFUNCTION("GOOGLETRANSLATE($A2519,""en"",""fr"")"),"Madaba")</f>
        <v>Madaba</v>
      </c>
      <c r="E2519" s="9" t="str">
        <f>IFERROR(__xludf.DUMMYFUNCTION("GOOGLETRANSLATE($A2519,""en"",""es"")"),"Madaba")</f>
        <v>Madaba</v>
      </c>
      <c r="F2519" s="9" t="str">
        <f>IFERROR(__xludf.DUMMYFUNCTION("GOOGLETRANSLATE($A2519,""en"",""it"")"),"Madaba")</f>
        <v>Madaba</v>
      </c>
      <c r="G2519" s="9" t="str">
        <f>IFERROR(__xludf.DUMMYFUNCTION("GOOGLETRANSLATE($A2519,""en"",""zh-cn"")"),"马达巴")</f>
        <v>马达巴</v>
      </c>
      <c r="H2519" s="9" t="str">
        <f>IFERROR(__xludf.DUMMYFUNCTION("GOOGLETRANSLATE($A2519,""en"",""ja"")"),"マダバ")</f>
        <v>マダバ</v>
      </c>
      <c r="I2519" s="9" t="str">
        <f>IFERROR(__xludf.DUMMYFUNCTION("GOOGLETRANSLATE($A2519,""en"",""ko"")"),"마다바")</f>
        <v>마다바</v>
      </c>
      <c r="J2519" s="9" t="str">
        <f>IFERROR(__xludf.DUMMYFUNCTION("GOOGLETRANSLATE($A2519,""en"",""pt-BR"")"),"Madaba")</f>
        <v>Madaba</v>
      </c>
    </row>
    <row r="2520">
      <c r="A2520" s="9" t="str">
        <f>IFERROR(__xludf.DUMMYFUNCTION("""COMPUTED_VALUE"""),"Al Balqā’")</f>
        <v>Al Balqā’</v>
      </c>
      <c r="B2520" s="9" t="str">
        <f>IFERROR(__xludf.DUMMYFUNCTION("""COMPUTED_VALUE"""),"jo-ba")</f>
        <v>jo-ba</v>
      </c>
      <c r="C2520" s="9" t="str">
        <f>IFERROR(__xludf.DUMMYFUNCTION("GOOGLETRANSLATE($A2520,""en"",""de"")"),"Al Balqā’")</f>
        <v>Al Balqā’</v>
      </c>
      <c r="D2520" s="9" t="str">
        <f>IFERROR(__xludf.DUMMYFUNCTION("GOOGLETRANSLATE($A2520,""en"",""fr"")"),"Al Balqa'")</f>
        <v>Al Balqa'</v>
      </c>
      <c r="E2520" s="9" t="str">
        <f>IFERROR(__xludf.DUMMYFUNCTION("GOOGLETRANSLATE($A2520,""en"",""es"")"),"Al Balqā’")</f>
        <v>Al Balqā’</v>
      </c>
      <c r="F2520" s="9" t="str">
        <f>IFERROR(__xludf.DUMMYFUNCTION("GOOGLETRANSLATE($A2520,""en"",""it"")"),"Al Balqā’")</f>
        <v>Al Balqā’</v>
      </c>
      <c r="G2520" s="9" t="str">
        <f>IFERROR(__xludf.DUMMYFUNCTION("GOOGLETRANSLATE($A2520,""en"",""zh-cn"")"),"巴尔卡")</f>
        <v>巴尔卡</v>
      </c>
      <c r="H2520" s="9" t="str">
        <f>IFERROR(__xludf.DUMMYFUNCTION("GOOGLETRANSLATE($A2520,""en"",""ja"")"),"アル・バルカ")</f>
        <v>アル・バルカ</v>
      </c>
      <c r="I2520" s="9" t="str">
        <f>IFERROR(__xludf.DUMMYFUNCTION("GOOGLETRANSLATE($A2520,""en"",""ko"")"),"알 발카'")</f>
        <v>알 발카'</v>
      </c>
      <c r="J2520" s="9" t="str">
        <f>IFERROR(__xludf.DUMMYFUNCTION("GOOGLETRANSLATE($A2520,""en"",""pt-BR"")"),"Al Balqā’")</f>
        <v>Al Balqā’</v>
      </c>
    </row>
    <row r="2521">
      <c r="A2521" s="9" t="str">
        <f>IFERROR(__xludf.DUMMYFUNCTION("""COMPUTED_VALUE"""),"Al Mafraq")</f>
        <v>Al Mafraq</v>
      </c>
      <c r="B2521" s="9" t="str">
        <f>IFERROR(__xludf.DUMMYFUNCTION("""COMPUTED_VALUE"""),"jo-ma")</f>
        <v>jo-ma</v>
      </c>
      <c r="C2521" s="9" t="str">
        <f>IFERROR(__xludf.DUMMYFUNCTION("GOOGLETRANSLATE($A2521,""en"",""de"")"),"Al Mafraq")</f>
        <v>Al Mafraq</v>
      </c>
      <c r="D2521" s="9" t="str">
        <f>IFERROR(__xludf.DUMMYFUNCTION("GOOGLETRANSLATE($A2521,""en"",""fr"")"),"Al-Mafraq")</f>
        <v>Al-Mafraq</v>
      </c>
      <c r="E2521" s="9" t="str">
        <f>IFERROR(__xludf.DUMMYFUNCTION("GOOGLETRANSLATE($A2521,""en"",""es"")"),"Al-Mafraq")</f>
        <v>Al-Mafraq</v>
      </c>
      <c r="F2521" s="9" t="str">
        <f>IFERROR(__xludf.DUMMYFUNCTION("GOOGLETRANSLATE($A2521,""en"",""it"")"),"Al Mafraq")</f>
        <v>Al Mafraq</v>
      </c>
      <c r="G2521" s="9" t="str">
        <f>IFERROR(__xludf.DUMMYFUNCTION("GOOGLETRANSLATE($A2521,""en"",""zh-cn"")"),"阿尔·马弗拉克")</f>
        <v>阿尔·马弗拉克</v>
      </c>
      <c r="H2521" s="9" t="str">
        <f>IFERROR(__xludf.DUMMYFUNCTION("GOOGLETRANSLATE($A2521,""en"",""ja"")"),"アル・マフラク")</f>
        <v>アル・マフラク</v>
      </c>
      <c r="I2521" s="9" t="str">
        <f>IFERROR(__xludf.DUMMYFUNCTION("GOOGLETRANSLATE($A2521,""en"",""ko"")"),"알 마프라크")</f>
        <v>알 마프라크</v>
      </c>
      <c r="J2521" s="9" t="str">
        <f>IFERROR(__xludf.DUMMYFUNCTION("GOOGLETRANSLATE($A2521,""en"",""pt-BR"")"),"Al Mafraq")</f>
        <v>Al Mafraq</v>
      </c>
    </row>
    <row r="2522">
      <c r="A2522" s="9" t="str">
        <f>IFERROR(__xludf.DUMMYFUNCTION("""COMPUTED_VALUE"""),"‘Ajlūn")</f>
        <v>‘Ajlūn</v>
      </c>
      <c r="B2522" s="9" t="str">
        <f>IFERROR(__xludf.DUMMYFUNCTION("""COMPUTED_VALUE"""),"jo-aj")</f>
        <v>jo-aj</v>
      </c>
      <c r="C2522" s="9" t="str">
        <f>IFERROR(__xludf.DUMMYFUNCTION("GOOGLETRANSLATE($A2522,""en"",""de"")"),"„Ajlūn")</f>
        <v>„Ajlūn</v>
      </c>
      <c r="D2522" s="9" t="str">
        <f>IFERROR(__xludf.DUMMYFUNCTION("GOOGLETRANSLATE($A2522,""en"",""fr"")"),"'Ajlun")</f>
        <v>'Ajlun</v>
      </c>
      <c r="E2522" s="9" t="str">
        <f>IFERROR(__xludf.DUMMYFUNCTION("GOOGLETRANSLATE($A2522,""en"",""es"")"),"'Ajlun")</f>
        <v>'Ajlun</v>
      </c>
      <c r="F2522" s="9" t="str">
        <f>IFERROR(__xludf.DUMMYFUNCTION("GOOGLETRANSLATE($A2522,""en"",""it"")"),"'Ajlūn")</f>
        <v>'Ajlūn</v>
      </c>
      <c r="G2522" s="9" t="str">
        <f>IFERROR(__xludf.DUMMYFUNCTION("GOOGLETRANSLATE($A2522,""en"",""zh-cn"")"),"阿杰伦")</f>
        <v>阿杰伦</v>
      </c>
      <c r="H2522" s="9" t="str">
        <f>IFERROR(__xludf.DUMMYFUNCTION("GOOGLETRANSLATE($A2522,""en"",""ja"")"),"「アジュルン」")</f>
        <v>「アジュルン」</v>
      </c>
      <c r="I2522" s="9" t="str">
        <f>IFERROR(__xludf.DUMMYFUNCTION("GOOGLETRANSLATE($A2522,""en"",""ko"")"),"'아즐룬")</f>
        <v>'아즐룬</v>
      </c>
      <c r="J2522" s="9" t="str">
        <f>IFERROR(__xludf.DUMMYFUNCTION("GOOGLETRANSLATE($A2522,""en"",""pt-BR"")"),"‘Ajlun")</f>
        <v>‘Ajlun</v>
      </c>
    </row>
    <row r="2523">
      <c r="A2523" s="9" t="str">
        <f>IFERROR(__xludf.DUMMYFUNCTION("""COMPUTED_VALUE"""),"West Kazakhstan Region")</f>
        <v>West Kazakhstan Region</v>
      </c>
      <c r="B2523" s="9" t="str">
        <f>IFERROR(__xludf.DUMMYFUNCTION("""COMPUTED_VALUE"""),"kz-zap")</f>
        <v>kz-zap</v>
      </c>
      <c r="C2523" s="9" t="str">
        <f>IFERROR(__xludf.DUMMYFUNCTION("GOOGLETRANSLATE($A2523,""en"",""de"")"),"Region Westkasachstan")</f>
        <v>Region Westkasachstan</v>
      </c>
      <c r="D2523" s="9" t="str">
        <f>IFERROR(__xludf.DUMMYFUNCTION("GOOGLETRANSLATE($A2523,""en"",""fr"")"),"Région du Kazakhstan occidental")</f>
        <v>Région du Kazakhstan occidental</v>
      </c>
      <c r="E2523" s="9" t="str">
        <f>IFERROR(__xludf.DUMMYFUNCTION("GOOGLETRANSLATE($A2523,""en"",""es"")"),"Región de Kazajstán Occidental")</f>
        <v>Región de Kazajstán Occidental</v>
      </c>
      <c r="F2523" s="9" t="str">
        <f>IFERROR(__xludf.DUMMYFUNCTION("GOOGLETRANSLATE($A2523,""en"",""it"")"),"Regione del Kazakistan occidentale")</f>
        <v>Regione del Kazakistan occidentale</v>
      </c>
      <c r="G2523" s="9" t="str">
        <f>IFERROR(__xludf.DUMMYFUNCTION("GOOGLETRANSLATE($A2523,""en"",""zh-cn"")"),"西哈萨克斯坦地区")</f>
        <v>西哈萨克斯坦地区</v>
      </c>
      <c r="H2523" s="9" t="str">
        <f>IFERROR(__xludf.DUMMYFUNCTION("GOOGLETRANSLATE($A2523,""en"",""ja"")"),"西カザフスタン地域")</f>
        <v>西カザフスタン地域</v>
      </c>
      <c r="I2523" s="9" t="str">
        <f>IFERROR(__xludf.DUMMYFUNCTION("GOOGLETRANSLATE($A2523,""en"",""ko"")"),"서부카자흐스탄 지역")</f>
        <v>서부카자흐스탄 지역</v>
      </c>
      <c r="J2523" s="9" t="str">
        <f>IFERROR(__xludf.DUMMYFUNCTION("GOOGLETRANSLATE($A2523,""en"",""pt-BR"")"),"Região do Cazaquistão Ocidental")</f>
        <v>Região do Cazaquistão Ocidental</v>
      </c>
    </row>
    <row r="2524">
      <c r="A2524" s="9" t="str">
        <f>IFERROR(__xludf.DUMMYFUNCTION("""COMPUTED_VALUE"""),"Zhambyl Region")</f>
        <v>Zhambyl Region</v>
      </c>
      <c r="B2524" s="9" t="str">
        <f>IFERROR(__xludf.DUMMYFUNCTION("""COMPUTED_VALUE"""),"kz-zha")</f>
        <v>kz-zha</v>
      </c>
      <c r="C2524" s="9" t="str">
        <f>IFERROR(__xludf.DUMMYFUNCTION("GOOGLETRANSLATE($A2524,""en"",""de"")"),"Region Schambyl")</f>
        <v>Region Schambyl</v>
      </c>
      <c r="D2524" s="9" t="str">
        <f>IFERROR(__xludf.DUMMYFUNCTION("GOOGLETRANSLATE($A2524,""en"",""fr"")"),"Région de Jambyl")</f>
        <v>Région de Jambyl</v>
      </c>
      <c r="E2524" s="9" t="str">
        <f>IFERROR(__xludf.DUMMYFUNCTION("GOOGLETRANSLATE($A2524,""en"",""es"")"),"Región de Zhambyl")</f>
        <v>Región de Zhambyl</v>
      </c>
      <c r="F2524" s="9" t="str">
        <f>IFERROR(__xludf.DUMMYFUNCTION("GOOGLETRANSLATE($A2524,""en"",""it"")"),"Regione di Zhambyl")</f>
        <v>Regione di Zhambyl</v>
      </c>
      <c r="G2524" s="9" t="str">
        <f>IFERROR(__xludf.DUMMYFUNCTION("GOOGLETRANSLATE($A2524,""en"",""zh-cn"")"),"江布尔州")</f>
        <v>江布尔州</v>
      </c>
      <c r="H2524" s="9" t="str">
        <f>IFERROR(__xludf.DUMMYFUNCTION("GOOGLETRANSLATE($A2524,""en"",""ja"")"),"ザンビル地域")</f>
        <v>ザンビル地域</v>
      </c>
      <c r="I2524" s="9" t="str">
        <f>IFERROR(__xludf.DUMMYFUNCTION("GOOGLETRANSLATE($A2524,""en"",""ko"")"),"잠빌 지역")</f>
        <v>잠빌 지역</v>
      </c>
      <c r="J2524" s="9" t="str">
        <f>IFERROR(__xludf.DUMMYFUNCTION("GOOGLETRANSLATE($A2524,""en"",""pt-BR"")"),"Região de Zhambyl")</f>
        <v>Região de Zhambyl</v>
      </c>
    </row>
    <row r="2525">
      <c r="A2525" s="9" t="str">
        <f>IFERROR(__xludf.DUMMYFUNCTION("""COMPUTED_VALUE"""),"East Kazakhstan Region")</f>
        <v>East Kazakhstan Region</v>
      </c>
      <c r="B2525" s="9" t="str">
        <f>IFERROR(__xludf.DUMMYFUNCTION("""COMPUTED_VALUE"""),"kz-vos")</f>
        <v>kz-vos</v>
      </c>
      <c r="C2525" s="9" t="str">
        <f>IFERROR(__xludf.DUMMYFUNCTION("GOOGLETRANSLATE($A2525,""en"",""de"")"),"Region Ostkasachstan")</f>
        <v>Region Ostkasachstan</v>
      </c>
      <c r="D2525" s="9" t="str">
        <f>IFERROR(__xludf.DUMMYFUNCTION("GOOGLETRANSLATE($A2525,""en"",""fr"")"),"Région du Kazakhstan oriental")</f>
        <v>Région du Kazakhstan oriental</v>
      </c>
      <c r="E2525" s="9" t="str">
        <f>IFERROR(__xludf.DUMMYFUNCTION("GOOGLETRANSLATE($A2525,""en"",""es"")"),"Región de Kazajstán Oriental")</f>
        <v>Región de Kazajstán Oriental</v>
      </c>
      <c r="F2525" s="9" t="str">
        <f>IFERROR(__xludf.DUMMYFUNCTION("GOOGLETRANSLATE($A2525,""en"",""it"")"),"Regione del Kazakistan orientale")</f>
        <v>Regione del Kazakistan orientale</v>
      </c>
      <c r="G2525" s="9" t="str">
        <f>IFERROR(__xludf.DUMMYFUNCTION("GOOGLETRANSLATE($A2525,""en"",""zh-cn"")"),"东哈萨克斯坦地区")</f>
        <v>东哈萨克斯坦地区</v>
      </c>
      <c r="H2525" s="9" t="str">
        <f>IFERROR(__xludf.DUMMYFUNCTION("GOOGLETRANSLATE($A2525,""en"",""ja"")"),"東カザフスタン地域")</f>
        <v>東カザフスタン地域</v>
      </c>
      <c r="I2525" s="9" t="str">
        <f>IFERROR(__xludf.DUMMYFUNCTION("GOOGLETRANSLATE($A2525,""en"",""ko"")"),"동부 카자흐스탄 지역")</f>
        <v>동부 카자흐스탄 지역</v>
      </c>
      <c r="J2525" s="9" t="str">
        <f>IFERROR(__xludf.DUMMYFUNCTION("GOOGLETRANSLATE($A2525,""en"",""pt-BR"")"),"Região Leste do Cazaquistão")</f>
        <v>Região Leste do Cazaquistão</v>
      </c>
    </row>
    <row r="2526">
      <c r="A2526" s="9" t="str">
        <f>IFERROR(__xludf.DUMMYFUNCTION("""COMPUTED_VALUE"""),"Aqtobe Region")</f>
        <v>Aqtobe Region</v>
      </c>
      <c r="B2526" s="9" t="str">
        <f>IFERROR(__xludf.DUMMYFUNCTION("""COMPUTED_VALUE"""),"kz-akt")</f>
        <v>kz-akt</v>
      </c>
      <c r="C2526" s="9" t="str">
        <f>IFERROR(__xludf.DUMMYFUNCTION("GOOGLETRANSLATE($A2526,""en"",""de"")"),"Region Aqtobe")</f>
        <v>Region Aqtobe</v>
      </c>
      <c r="D2526" s="9" t="str">
        <f>IFERROR(__xludf.DUMMYFUNCTION("GOOGLETRANSLATE($A2526,""en"",""fr"")"),"Région d'Aqtobé")</f>
        <v>Région d'Aqtobé</v>
      </c>
      <c r="E2526" s="9" t="str">
        <f>IFERROR(__xludf.DUMMYFUNCTION("GOOGLETRANSLATE($A2526,""en"",""es"")"),"Región de Aqtobe")</f>
        <v>Región de Aqtobe</v>
      </c>
      <c r="F2526" s="9" t="str">
        <f>IFERROR(__xludf.DUMMYFUNCTION("GOOGLETRANSLATE($A2526,""en"",""it"")"),"Regione di Aqtobe")</f>
        <v>Regione di Aqtobe</v>
      </c>
      <c r="G2526" s="9" t="str">
        <f>IFERROR(__xludf.DUMMYFUNCTION("GOOGLETRANSLATE($A2526,""en"",""zh-cn"")"),"阿克托比地区")</f>
        <v>阿克托比地区</v>
      </c>
      <c r="H2526" s="9" t="str">
        <f>IFERROR(__xludf.DUMMYFUNCTION("GOOGLETRANSLATE($A2526,""en"",""ja"")"),"アクトベ地域")</f>
        <v>アクトベ地域</v>
      </c>
      <c r="I2526" s="9" t="str">
        <f>IFERROR(__xludf.DUMMYFUNCTION("GOOGLETRANSLATE($A2526,""en"",""ko"")"),"악토베 지역")</f>
        <v>악토베 지역</v>
      </c>
      <c r="J2526" s="9" t="str">
        <f>IFERROR(__xludf.DUMMYFUNCTION("GOOGLETRANSLATE($A2526,""en"",""pt-BR"")"),"Região de Aqtobe")</f>
        <v>Região de Aqtobe</v>
      </c>
    </row>
    <row r="2527">
      <c r="A2527" s="9" t="str">
        <f>IFERROR(__xludf.DUMMYFUNCTION("""COMPUTED_VALUE"""),"Qaraghandy Region")</f>
        <v>Qaraghandy Region</v>
      </c>
      <c r="B2527" s="9" t="str">
        <f>IFERROR(__xludf.DUMMYFUNCTION("""COMPUTED_VALUE"""),"kz-kar")</f>
        <v>kz-kar</v>
      </c>
      <c r="C2527" s="9" t="str">
        <f>IFERROR(__xludf.DUMMYFUNCTION("GOOGLETRANSLATE($A2527,""en"",""de"")"),"Qaraghandy-Region")</f>
        <v>Qaraghandy-Region</v>
      </c>
      <c r="D2527" s="9" t="str">
        <f>IFERROR(__xludf.DUMMYFUNCTION("GOOGLETRANSLATE($A2527,""en"",""fr"")"),"Région de Qaraghandy")</f>
        <v>Région de Qaraghandy</v>
      </c>
      <c r="E2527" s="9" t="str">
        <f>IFERROR(__xludf.DUMMYFUNCTION("GOOGLETRANSLATE($A2527,""en"",""es"")"),"Región de Qaraghandy")</f>
        <v>Región de Qaraghandy</v>
      </c>
      <c r="F2527" s="9" t="str">
        <f>IFERROR(__xludf.DUMMYFUNCTION("GOOGLETRANSLATE($A2527,""en"",""it"")"),"Regione di Qaraghandy")</f>
        <v>Regione di Qaraghandy</v>
      </c>
      <c r="G2527" s="9" t="str">
        <f>IFERROR(__xludf.DUMMYFUNCTION("GOOGLETRANSLATE($A2527,""en"",""zh-cn"")"),"卡拉干达地区")</f>
        <v>卡拉干达地区</v>
      </c>
      <c r="H2527" s="9" t="str">
        <f>IFERROR(__xludf.DUMMYFUNCTION("GOOGLETRANSLATE($A2527,""en"",""ja"")"),"カラガンダ州")</f>
        <v>カラガンダ州</v>
      </c>
      <c r="I2527" s="9" t="str">
        <f>IFERROR(__xludf.DUMMYFUNCTION("GOOGLETRANSLATE($A2527,""en"",""ko"")"),"카라간디 지역")</f>
        <v>카라간디 지역</v>
      </c>
      <c r="J2527" s="9" t="str">
        <f>IFERROR(__xludf.DUMMYFUNCTION("GOOGLETRANSLATE($A2527,""en"",""pt-BR"")"),"Região de Qaraghandy")</f>
        <v>Região de Qaraghandy</v>
      </c>
    </row>
    <row r="2528">
      <c r="A2528" s="9" t="str">
        <f>IFERROR(__xludf.DUMMYFUNCTION("""COMPUTED_VALUE"""),"Bayqonyr City")</f>
        <v>Bayqonyr City</v>
      </c>
      <c r="B2528" s="9" t="str">
        <f>IFERROR(__xludf.DUMMYFUNCTION("""COMPUTED_VALUE"""),"kz-bay")</f>
        <v>kz-bay</v>
      </c>
      <c r="C2528" s="9" t="str">
        <f>IFERROR(__xludf.DUMMYFUNCTION("GOOGLETRANSLATE($A2528,""en"",""de"")"),"Stadt Bayqonyr")</f>
        <v>Stadt Bayqonyr</v>
      </c>
      <c r="D2528" s="9" t="str">
        <f>IFERROR(__xludf.DUMMYFUNCTION("GOOGLETRANSLATE($A2528,""en"",""fr"")"),"Ville de Bayqonyr")</f>
        <v>Ville de Bayqonyr</v>
      </c>
      <c r="E2528" s="9" t="str">
        <f>IFERROR(__xludf.DUMMYFUNCTION("GOOGLETRANSLATE($A2528,""en"",""es"")"),"Ciudad de Bayqonyr")</f>
        <v>Ciudad de Bayqonyr</v>
      </c>
      <c r="F2528" s="9" t="str">
        <f>IFERROR(__xludf.DUMMYFUNCTION("GOOGLETRANSLATE($A2528,""en"",""it"")"),"Città di Bayqonyr")</f>
        <v>Città di Bayqonyr</v>
      </c>
      <c r="G2528" s="9" t="str">
        <f>IFERROR(__xludf.DUMMYFUNCTION("GOOGLETRANSLATE($A2528,""en"",""zh-cn"")"),"拜丘尼尔市")</f>
        <v>拜丘尼尔市</v>
      </c>
      <c r="H2528" s="9" t="str">
        <f>IFERROR(__xludf.DUMMYFUNCTION("GOOGLETRANSLATE($A2528,""en"",""ja"")"),"バイコニル市")</f>
        <v>バイコニル市</v>
      </c>
      <c r="I2528" s="9" t="str">
        <f>IFERROR(__xludf.DUMMYFUNCTION("GOOGLETRANSLATE($A2528,""en"",""ko"")"),"바이코니르 시티")</f>
        <v>바이코니르 시티</v>
      </c>
      <c r="J2528" s="9" t="str">
        <f>IFERROR(__xludf.DUMMYFUNCTION("GOOGLETRANSLATE($A2528,""en"",""pt-BR"")"),"Cidade de Bayqonyr")</f>
        <v>Cidade de Bayqonyr</v>
      </c>
    </row>
    <row r="2529">
      <c r="A2529" s="9" t="str">
        <f>IFERROR(__xludf.DUMMYFUNCTION("""COMPUTED_VALUE"""),"Aqmola Region")</f>
        <v>Aqmola Region</v>
      </c>
      <c r="B2529" s="9" t="str">
        <f>IFERROR(__xludf.DUMMYFUNCTION("""COMPUTED_VALUE"""),"kz-akm")</f>
        <v>kz-akm</v>
      </c>
      <c r="C2529" s="9" t="str">
        <f>IFERROR(__xludf.DUMMYFUNCTION("GOOGLETRANSLATE($A2529,""en"",""de"")"),"Aqmola-Region")</f>
        <v>Aqmola-Region</v>
      </c>
      <c r="D2529" s="9" t="str">
        <f>IFERROR(__xludf.DUMMYFUNCTION("GOOGLETRANSLATE($A2529,""en"",""fr"")"),"Région d'Aqmola")</f>
        <v>Région d'Aqmola</v>
      </c>
      <c r="E2529" s="9" t="str">
        <f>IFERROR(__xludf.DUMMYFUNCTION("GOOGLETRANSLATE($A2529,""en"",""es"")"),"Región de Aqmola")</f>
        <v>Región de Aqmola</v>
      </c>
      <c r="F2529" s="9" t="str">
        <f>IFERROR(__xludf.DUMMYFUNCTION("GOOGLETRANSLATE($A2529,""en"",""it"")"),"Regione Aqmola")</f>
        <v>Regione Aqmola</v>
      </c>
      <c r="G2529" s="9" t="str">
        <f>IFERROR(__xludf.DUMMYFUNCTION("GOOGLETRANSLATE($A2529,""en"",""zh-cn"")"),"阿克莫拉地区")</f>
        <v>阿克莫拉地区</v>
      </c>
      <c r="H2529" s="9" t="str">
        <f>IFERROR(__xludf.DUMMYFUNCTION("GOOGLETRANSLATE($A2529,""en"",""ja"")"),"アクモラ地方")</f>
        <v>アクモラ地方</v>
      </c>
      <c r="I2529" s="9" t="str">
        <f>IFERROR(__xludf.DUMMYFUNCTION("GOOGLETRANSLATE($A2529,""en"",""ko"")"),"아크몰라 지역")</f>
        <v>아크몰라 지역</v>
      </c>
      <c r="J2529" s="9" t="str">
        <f>IFERROR(__xludf.DUMMYFUNCTION("GOOGLETRANSLATE($A2529,""en"",""pt-BR"")"),"Região de Aqmola")</f>
        <v>Região de Aqmola</v>
      </c>
    </row>
    <row r="2530">
      <c r="A2530" s="9" t="str">
        <f>IFERROR(__xludf.DUMMYFUNCTION("""COMPUTED_VALUE"""),"Mangghystau Region")</f>
        <v>Mangghystau Region</v>
      </c>
      <c r="B2530" s="9" t="str">
        <f>IFERROR(__xludf.DUMMYFUNCTION("""COMPUTED_VALUE"""),"kz-man")</f>
        <v>kz-man</v>
      </c>
      <c r="C2530" s="9" t="str">
        <f>IFERROR(__xludf.DUMMYFUNCTION("GOOGLETRANSLATE($A2530,""en"",""de"")"),"Mangghystau-Region")</f>
        <v>Mangghystau-Region</v>
      </c>
      <c r="D2530" s="9" t="str">
        <f>IFERROR(__xludf.DUMMYFUNCTION("GOOGLETRANSLATE($A2530,""en"",""fr"")"),"Région de Mangghystau")</f>
        <v>Région de Mangghystau</v>
      </c>
      <c r="E2530" s="9" t="str">
        <f>IFERROR(__xludf.DUMMYFUNCTION("GOOGLETRANSLATE($A2530,""en"",""es"")"),"Región de Mangghystau")</f>
        <v>Región de Mangghystau</v>
      </c>
      <c r="F2530" s="9" t="str">
        <f>IFERROR(__xludf.DUMMYFUNCTION("GOOGLETRANSLATE($A2530,""en"",""it"")"),"Regione di Mangghystau")</f>
        <v>Regione di Mangghystau</v>
      </c>
      <c r="G2530" s="9" t="str">
        <f>IFERROR(__xludf.DUMMYFUNCTION("GOOGLETRANSLATE($A2530,""en"",""zh-cn"")"),"曼格希套地区")</f>
        <v>曼格希套地区</v>
      </c>
      <c r="H2530" s="9" t="str">
        <f>IFERROR(__xludf.DUMMYFUNCTION("GOOGLETRANSLATE($A2530,""en"",""ja"")"),"マンギスタウ地方")</f>
        <v>マンギスタウ地方</v>
      </c>
      <c r="I2530" s="9" t="str">
        <f>IFERROR(__xludf.DUMMYFUNCTION("GOOGLETRANSLATE($A2530,""en"",""ko"")"),"망기스타우 지역")</f>
        <v>망기스타우 지역</v>
      </c>
      <c r="J2530" s="9" t="str">
        <f>IFERROR(__xludf.DUMMYFUNCTION("GOOGLETRANSLATE($A2530,""en"",""pt-BR"")"),"Região de Mangghystau")</f>
        <v>Região de Mangghystau</v>
      </c>
    </row>
    <row r="2531">
      <c r="A2531" s="9" t="str">
        <f>IFERROR(__xludf.DUMMYFUNCTION("""COMPUTED_VALUE"""),"Shymkent")</f>
        <v>Shymkent</v>
      </c>
      <c r="B2531" s="9" t="str">
        <f>IFERROR(__xludf.DUMMYFUNCTION("""COMPUTED_VALUE"""),"kz-shy")</f>
        <v>kz-shy</v>
      </c>
      <c r="C2531" s="9" t="str">
        <f>IFERROR(__xludf.DUMMYFUNCTION("GOOGLETRANSLATE($A2531,""en"",""de"")"),"Schymkent")</f>
        <v>Schymkent</v>
      </c>
      <c r="D2531" s="9" t="str">
        <f>IFERROR(__xludf.DUMMYFUNCTION("GOOGLETRANSLATE($A2531,""en"",""fr"")"),"Chimkent")</f>
        <v>Chimkent</v>
      </c>
      <c r="E2531" s="9" t="str">
        <f>IFERROR(__xludf.DUMMYFUNCTION("GOOGLETRANSLATE($A2531,""en"",""es"")"),"Shymkent")</f>
        <v>Shymkent</v>
      </c>
      <c r="F2531" s="9" t="str">
        <f>IFERROR(__xludf.DUMMYFUNCTION("GOOGLETRANSLATE($A2531,""en"",""it"")"),"Shymkent")</f>
        <v>Shymkent</v>
      </c>
      <c r="G2531" s="9" t="str">
        <f>IFERROR(__xludf.DUMMYFUNCTION("GOOGLETRANSLATE($A2531,""en"",""zh-cn"")"),"奇姆肯特")</f>
        <v>奇姆肯特</v>
      </c>
      <c r="H2531" s="9" t="str">
        <f>IFERROR(__xludf.DUMMYFUNCTION("GOOGLETRANSLATE($A2531,""en"",""ja"")"),"シムケント")</f>
        <v>シムケント</v>
      </c>
      <c r="I2531" s="9" t="str">
        <f>IFERROR(__xludf.DUMMYFUNCTION("GOOGLETRANSLATE($A2531,""en"",""ko"")"),"쉼켄트")</f>
        <v>쉼켄트</v>
      </c>
      <c r="J2531" s="9" t="str">
        <f>IFERROR(__xludf.DUMMYFUNCTION("GOOGLETRANSLATE($A2531,""en"",""pt-BR"")"),"Shymkent")</f>
        <v>Shymkent</v>
      </c>
    </row>
    <row r="2532">
      <c r="A2532" s="9" t="str">
        <f>IFERROR(__xludf.DUMMYFUNCTION("""COMPUTED_VALUE"""),"North Kazakhstan Region")</f>
        <v>North Kazakhstan Region</v>
      </c>
      <c r="B2532" s="9" t="str">
        <f>IFERROR(__xludf.DUMMYFUNCTION("""COMPUTED_VALUE"""),"kz-sev")</f>
        <v>kz-sev</v>
      </c>
      <c r="C2532" s="9" t="str">
        <f>IFERROR(__xludf.DUMMYFUNCTION("GOOGLETRANSLATE($A2532,""en"",""de"")"),"Region Nordkasachstan")</f>
        <v>Region Nordkasachstan</v>
      </c>
      <c r="D2532" s="9" t="str">
        <f>IFERROR(__xludf.DUMMYFUNCTION("GOOGLETRANSLATE($A2532,""en"",""fr"")"),"Région du Kazakhstan du Nord")</f>
        <v>Région du Kazakhstan du Nord</v>
      </c>
      <c r="E2532" s="9" t="str">
        <f>IFERROR(__xludf.DUMMYFUNCTION("GOOGLETRANSLATE($A2532,""en"",""es"")"),"Región del norte de Kazajstán")</f>
        <v>Región del norte de Kazajstán</v>
      </c>
      <c r="F2532" s="9" t="str">
        <f>IFERROR(__xludf.DUMMYFUNCTION("GOOGLETRANSLATE($A2532,""en"",""it"")"),"Regione del Kazakistan settentrionale")</f>
        <v>Regione del Kazakistan settentrionale</v>
      </c>
      <c r="G2532" s="9" t="str">
        <f>IFERROR(__xludf.DUMMYFUNCTION("GOOGLETRANSLATE($A2532,""en"",""zh-cn"")"),"北哈萨克斯坦地区")</f>
        <v>北哈萨克斯坦地区</v>
      </c>
      <c r="H2532" s="9" t="str">
        <f>IFERROR(__xludf.DUMMYFUNCTION("GOOGLETRANSLATE($A2532,""en"",""ja"")"),"北カザフスタン地域")</f>
        <v>北カザフスタン地域</v>
      </c>
      <c r="I2532" s="9" t="str">
        <f>IFERROR(__xludf.DUMMYFUNCTION("GOOGLETRANSLATE($A2532,""en"",""ko"")"),"북카자흐스탄 지역")</f>
        <v>북카자흐스탄 지역</v>
      </c>
      <c r="J2532" s="9" t="str">
        <f>IFERROR(__xludf.DUMMYFUNCTION("GOOGLETRANSLATE($A2532,""en"",""pt-BR"")"),"Região Norte do Cazaquistão")</f>
        <v>Região Norte do Cazaquistão</v>
      </c>
    </row>
    <row r="2533">
      <c r="A2533" s="9" t="str">
        <f>IFERROR(__xludf.DUMMYFUNCTION("""COMPUTED_VALUE"""),"Almaty City")</f>
        <v>Almaty City</v>
      </c>
      <c r="B2533" s="9" t="str">
        <f>IFERROR(__xludf.DUMMYFUNCTION("""COMPUTED_VALUE"""),"kz-ala")</f>
        <v>kz-ala</v>
      </c>
      <c r="C2533" s="9" t="str">
        <f>IFERROR(__xludf.DUMMYFUNCTION("GOOGLETRANSLATE($A2533,""en"",""de"")"),"Almaty-Stadt")</f>
        <v>Almaty-Stadt</v>
      </c>
      <c r="D2533" s="9" t="str">
        <f>IFERROR(__xludf.DUMMYFUNCTION("GOOGLETRANSLATE($A2533,""en"",""fr"")"),"Ville d'Almaty")</f>
        <v>Ville d'Almaty</v>
      </c>
      <c r="E2533" s="9" t="str">
        <f>IFERROR(__xludf.DUMMYFUNCTION("GOOGLETRANSLATE($A2533,""en"",""es"")"),"ciudad de almatý")</f>
        <v>ciudad de almatý</v>
      </c>
      <c r="F2533" s="9" t="str">
        <f>IFERROR(__xludf.DUMMYFUNCTION("GOOGLETRANSLATE($A2533,""en"",""it"")"),"Città di Almaty")</f>
        <v>Città di Almaty</v>
      </c>
      <c r="G2533" s="9" t="str">
        <f>IFERROR(__xludf.DUMMYFUNCTION("GOOGLETRANSLATE($A2533,""en"",""zh-cn"")"),"阿拉木图市")</f>
        <v>阿拉木图市</v>
      </c>
      <c r="H2533" s="9" t="str">
        <f>IFERROR(__xludf.DUMMYFUNCTION("GOOGLETRANSLATE($A2533,""en"",""ja"")"),"アルマトイ市")</f>
        <v>アルマトイ市</v>
      </c>
      <c r="I2533" s="9" t="str">
        <f>IFERROR(__xludf.DUMMYFUNCTION("GOOGLETRANSLATE($A2533,""en"",""ko"")"),"알마티시")</f>
        <v>알마티시</v>
      </c>
      <c r="J2533" s="9" t="str">
        <f>IFERROR(__xludf.DUMMYFUNCTION("GOOGLETRANSLATE($A2533,""en"",""pt-BR"")"),"Cidade de Almaty")</f>
        <v>Cidade de Almaty</v>
      </c>
    </row>
    <row r="2534">
      <c r="A2534" s="9" t="str">
        <f>IFERROR(__xludf.DUMMYFUNCTION("""COMPUTED_VALUE"""),"Qostanay Region")</f>
        <v>Qostanay Region</v>
      </c>
      <c r="B2534" s="9" t="str">
        <f>IFERROR(__xludf.DUMMYFUNCTION("""COMPUTED_VALUE"""),"kz-kus")</f>
        <v>kz-kus</v>
      </c>
      <c r="C2534" s="9" t="str">
        <f>IFERROR(__xludf.DUMMYFUNCTION("GOOGLETRANSLATE($A2534,""en"",""de"")"),"Region Qostanay")</f>
        <v>Region Qostanay</v>
      </c>
      <c r="D2534" s="9" t="str">
        <f>IFERROR(__xludf.DUMMYFUNCTION("GOOGLETRANSLATE($A2534,""en"",""fr"")"),"Région de Qostanay")</f>
        <v>Région de Qostanay</v>
      </c>
      <c r="E2534" s="9" t="str">
        <f>IFERROR(__xludf.DUMMYFUNCTION("GOOGLETRANSLATE($A2534,""en"",""es"")"),"Región de Qostanay")</f>
        <v>Región de Qostanay</v>
      </c>
      <c r="F2534" s="9" t="str">
        <f>IFERROR(__xludf.DUMMYFUNCTION("GOOGLETRANSLATE($A2534,""en"",""it"")"),"Regione di Qostanay")</f>
        <v>Regione di Qostanay</v>
      </c>
      <c r="G2534" s="9" t="str">
        <f>IFERROR(__xludf.DUMMYFUNCTION("GOOGLETRANSLATE($A2534,""en"",""zh-cn"")"),"库斯塔奈地区")</f>
        <v>库斯塔奈地区</v>
      </c>
      <c r="H2534" s="9" t="str">
        <f>IFERROR(__xludf.DUMMYFUNCTION("GOOGLETRANSLATE($A2534,""en"",""ja"")"),"コススタナイ地方")</f>
        <v>コススタナイ地方</v>
      </c>
      <c r="I2534" s="9" t="str">
        <f>IFERROR(__xludf.DUMMYFUNCTION("GOOGLETRANSLATE($A2534,""en"",""ko"")"),"코스타나이 지역")</f>
        <v>코스타나이 지역</v>
      </c>
      <c r="J2534" s="9" t="str">
        <f>IFERROR(__xludf.DUMMYFUNCTION("GOOGLETRANSLATE($A2534,""en"",""pt-BR"")"),"Região de Qostanay")</f>
        <v>Região de Qostanay</v>
      </c>
    </row>
    <row r="2535">
      <c r="A2535" s="9" t="str">
        <f>IFERROR(__xludf.DUMMYFUNCTION("""COMPUTED_VALUE"""),"Turkistan Region")</f>
        <v>Turkistan Region</v>
      </c>
      <c r="B2535" s="9" t="str">
        <f>IFERROR(__xludf.DUMMYFUNCTION("""COMPUTED_VALUE"""),"kz-yuz")</f>
        <v>kz-yuz</v>
      </c>
      <c r="C2535" s="9" t="str">
        <f>IFERROR(__xludf.DUMMYFUNCTION("GOOGLETRANSLATE($A2535,""en"",""de"")"),"Region Turkistan")</f>
        <v>Region Turkistan</v>
      </c>
      <c r="D2535" s="9" t="str">
        <f>IFERROR(__xludf.DUMMYFUNCTION("GOOGLETRANSLATE($A2535,""en"",""fr"")"),"Région du Turkestan")</f>
        <v>Région du Turkestan</v>
      </c>
      <c r="E2535" s="9" t="str">
        <f>IFERROR(__xludf.DUMMYFUNCTION("GOOGLETRANSLATE($A2535,""en"",""es"")"),"Región de Turkestán")</f>
        <v>Región de Turkestán</v>
      </c>
      <c r="F2535" s="9" t="str">
        <f>IFERROR(__xludf.DUMMYFUNCTION("GOOGLETRANSLATE($A2535,""en"",""it"")"),"Regione del Turkistan")</f>
        <v>Regione del Turkistan</v>
      </c>
      <c r="G2535" s="9" t="str">
        <f>IFERROR(__xludf.DUMMYFUNCTION("GOOGLETRANSLATE($A2535,""en"",""zh-cn"")"),"突厥斯坦地区")</f>
        <v>突厥斯坦地区</v>
      </c>
      <c r="H2535" s="9" t="str">
        <f>IFERROR(__xludf.DUMMYFUNCTION("GOOGLETRANSLATE($A2535,""en"",""ja"")"),"トルキスタン地域")</f>
        <v>トルキスタン地域</v>
      </c>
      <c r="I2535" s="9" t="str">
        <f>IFERROR(__xludf.DUMMYFUNCTION("GOOGLETRANSLATE($A2535,""en"",""ko"")"),"투르키스탄 지역")</f>
        <v>투르키스탄 지역</v>
      </c>
      <c r="J2535" s="9" t="str">
        <f>IFERROR(__xludf.DUMMYFUNCTION("GOOGLETRANSLATE($A2535,""en"",""pt-BR"")"),"Região do Turquestão")</f>
        <v>Região do Turquestão</v>
      </c>
    </row>
    <row r="2536">
      <c r="A2536" s="9" t="str">
        <f>IFERROR(__xludf.DUMMYFUNCTION("""COMPUTED_VALUE"""),"Astana city")</f>
        <v>Astana city</v>
      </c>
      <c r="B2536" s="9" t="str">
        <f>IFERROR(__xludf.DUMMYFUNCTION("""COMPUTED_VALUE"""),"kz-ast")</f>
        <v>kz-ast</v>
      </c>
      <c r="C2536" s="9" t="str">
        <f>IFERROR(__xludf.DUMMYFUNCTION("GOOGLETRANSLATE($A2536,""en"",""de"")"),"Astana-Stadt")</f>
        <v>Astana-Stadt</v>
      </c>
      <c r="D2536" s="9" t="str">
        <f>IFERROR(__xludf.DUMMYFUNCTION("GOOGLETRANSLATE($A2536,""en"",""fr"")"),"Ville d'Astana")</f>
        <v>Ville d'Astana</v>
      </c>
      <c r="E2536" s="9" t="str">
        <f>IFERROR(__xludf.DUMMYFUNCTION("GOOGLETRANSLATE($A2536,""en"",""es"")"),"ciudad de astaná")</f>
        <v>ciudad de astaná</v>
      </c>
      <c r="F2536" s="9" t="str">
        <f>IFERROR(__xludf.DUMMYFUNCTION("GOOGLETRANSLATE($A2536,""en"",""it"")"),"Città di Astana")</f>
        <v>Città di Astana</v>
      </c>
      <c r="G2536" s="9" t="str">
        <f>IFERROR(__xludf.DUMMYFUNCTION("GOOGLETRANSLATE($A2536,""en"",""zh-cn"")"),"阿斯塔纳市")</f>
        <v>阿斯塔纳市</v>
      </c>
      <c r="H2536" s="9" t="str">
        <f>IFERROR(__xludf.DUMMYFUNCTION("GOOGLETRANSLATE($A2536,""en"",""ja"")"),"アスタナ市")</f>
        <v>アスタナ市</v>
      </c>
      <c r="I2536" s="9" t="str">
        <f>IFERROR(__xludf.DUMMYFUNCTION("GOOGLETRANSLATE($A2536,""en"",""ko"")"),"아스타나 시")</f>
        <v>아스타나 시</v>
      </c>
      <c r="J2536" s="9" t="str">
        <f>IFERROR(__xludf.DUMMYFUNCTION("GOOGLETRANSLATE($A2536,""en"",""pt-BR"")"),"Cidade de Astana")</f>
        <v>Cidade de Astana</v>
      </c>
    </row>
    <row r="2537">
      <c r="A2537" s="9" t="str">
        <f>IFERROR(__xludf.DUMMYFUNCTION("""COMPUTED_VALUE"""),"Atyrau Region")</f>
        <v>Atyrau Region</v>
      </c>
      <c r="B2537" s="9" t="str">
        <f>IFERROR(__xludf.DUMMYFUNCTION("""COMPUTED_VALUE"""),"kz-aty")</f>
        <v>kz-aty</v>
      </c>
      <c r="C2537" s="9" t="str">
        <f>IFERROR(__xludf.DUMMYFUNCTION("GOOGLETRANSLATE($A2537,""en"",""de"")"),"Region Atyrau")</f>
        <v>Region Atyrau</v>
      </c>
      <c r="D2537" s="9" t="str">
        <f>IFERROR(__xludf.DUMMYFUNCTION("GOOGLETRANSLATE($A2537,""en"",""fr"")"),"Région d'Atyraou")</f>
        <v>Région d'Atyraou</v>
      </c>
      <c r="E2537" s="9" t="str">
        <f>IFERROR(__xludf.DUMMYFUNCTION("GOOGLETRANSLATE($A2537,""en"",""es"")"),"Región de Atirau")</f>
        <v>Región de Atirau</v>
      </c>
      <c r="F2537" s="9" t="str">
        <f>IFERROR(__xludf.DUMMYFUNCTION("GOOGLETRANSLATE($A2537,""en"",""it"")"),"Regione di Atyrau")</f>
        <v>Regione di Atyrau</v>
      </c>
      <c r="G2537" s="9" t="str">
        <f>IFERROR(__xludf.DUMMYFUNCTION("GOOGLETRANSLATE($A2537,""en"",""zh-cn"")"),"阿特劳地区")</f>
        <v>阿特劳地区</v>
      </c>
      <c r="H2537" s="9" t="str">
        <f>IFERROR(__xludf.DUMMYFUNCTION("GOOGLETRANSLATE($A2537,""en"",""ja"")"),"アティラウ地方")</f>
        <v>アティラウ地方</v>
      </c>
      <c r="I2537" s="9" t="str">
        <f>IFERROR(__xludf.DUMMYFUNCTION("GOOGLETRANSLATE($A2537,""en"",""ko"")"),"아티라우 지역")</f>
        <v>아티라우 지역</v>
      </c>
      <c r="J2537" s="9" t="str">
        <f>IFERROR(__xludf.DUMMYFUNCTION("GOOGLETRANSLATE($A2537,""en"",""pt-BR"")"),"Região de Atyrau")</f>
        <v>Região de Atyrau</v>
      </c>
    </row>
    <row r="2538">
      <c r="A2538" s="9" t="str">
        <f>IFERROR(__xludf.DUMMYFUNCTION("""COMPUTED_VALUE"""),"Qyzylorda Region")</f>
        <v>Qyzylorda Region</v>
      </c>
      <c r="B2538" s="9" t="str">
        <f>IFERROR(__xludf.DUMMYFUNCTION("""COMPUTED_VALUE"""),"kz-kzy")</f>
        <v>kz-kzy</v>
      </c>
      <c r="C2538" s="9" t="str">
        <f>IFERROR(__xludf.DUMMYFUNCTION("GOOGLETRANSLATE($A2538,""en"",""de"")"),"Qyzylorda-Region")</f>
        <v>Qyzylorda-Region</v>
      </c>
      <c r="D2538" s="9" t="str">
        <f>IFERROR(__xludf.DUMMYFUNCTION("GOOGLETRANSLATE($A2538,""en"",""fr"")"),"Région de Kyzylorda")</f>
        <v>Région de Kyzylorda</v>
      </c>
      <c r="E2538" s="9" t="str">
        <f>IFERROR(__xludf.DUMMYFUNCTION("GOOGLETRANSLATE($A2538,""en"",""es"")"),"Región de Qyzylorda")</f>
        <v>Región de Qyzylorda</v>
      </c>
      <c r="F2538" s="9" t="str">
        <f>IFERROR(__xludf.DUMMYFUNCTION("GOOGLETRANSLATE($A2538,""en"",""it"")"),"Regione di Qyzylorda")</f>
        <v>Regione di Qyzylorda</v>
      </c>
      <c r="G2538" s="9" t="str">
        <f>IFERROR(__xludf.DUMMYFUNCTION("GOOGLETRANSLATE($A2538,""en"",""zh-cn"")"),"克孜勒奥尔达州")</f>
        <v>克孜勒奥尔达州</v>
      </c>
      <c r="H2538" s="9" t="str">
        <f>IFERROR(__xludf.DUMMYFUNCTION("GOOGLETRANSLATE($A2538,""en"",""ja"")"),"クズロルダ地域")</f>
        <v>クズロルダ地域</v>
      </c>
      <c r="I2538" s="9" t="str">
        <f>IFERROR(__xludf.DUMMYFUNCTION("GOOGLETRANSLATE($A2538,""en"",""ko"")"),"키질로르다 지역")</f>
        <v>키질로르다 지역</v>
      </c>
      <c r="J2538" s="9" t="str">
        <f>IFERROR(__xludf.DUMMYFUNCTION("GOOGLETRANSLATE($A2538,""en"",""pt-BR"")"),"Região de Qyzylorda")</f>
        <v>Região de Qyzylorda</v>
      </c>
    </row>
    <row r="2539">
      <c r="A2539" s="9" t="str">
        <f>IFERROR(__xludf.DUMMYFUNCTION("""COMPUTED_VALUE"""),"Pavlodar Region")</f>
        <v>Pavlodar Region</v>
      </c>
      <c r="B2539" s="9" t="str">
        <f>IFERROR(__xludf.DUMMYFUNCTION("""COMPUTED_VALUE"""),"kz-pav")</f>
        <v>kz-pav</v>
      </c>
      <c r="C2539" s="9" t="str">
        <f>IFERROR(__xludf.DUMMYFUNCTION("GOOGLETRANSLATE($A2539,""en"",""de"")"),"Region Pawlodar")</f>
        <v>Region Pawlodar</v>
      </c>
      <c r="D2539" s="9" t="str">
        <f>IFERROR(__xludf.DUMMYFUNCTION("GOOGLETRANSLATE($A2539,""en"",""fr"")"),"Région de Pavlodar")</f>
        <v>Région de Pavlodar</v>
      </c>
      <c r="E2539" s="9" t="str">
        <f>IFERROR(__xludf.DUMMYFUNCTION("GOOGLETRANSLATE($A2539,""en"",""es"")"),"Región de Pavlodar")</f>
        <v>Región de Pavlodar</v>
      </c>
      <c r="F2539" s="9" t="str">
        <f>IFERROR(__xludf.DUMMYFUNCTION("GOOGLETRANSLATE($A2539,""en"",""it"")"),"Regione di Pavlodar")</f>
        <v>Regione di Pavlodar</v>
      </c>
      <c r="G2539" s="9" t="str">
        <f>IFERROR(__xludf.DUMMYFUNCTION("GOOGLETRANSLATE($A2539,""en"",""zh-cn"")"),"巴甫洛达尔地区")</f>
        <v>巴甫洛达尔地区</v>
      </c>
      <c r="H2539" s="9" t="str">
        <f>IFERROR(__xludf.DUMMYFUNCTION("GOOGLETRANSLATE($A2539,""en"",""ja"")"),"パヴロダル地域")</f>
        <v>パヴロダル地域</v>
      </c>
      <c r="I2539" s="9" t="str">
        <f>IFERROR(__xludf.DUMMYFUNCTION("GOOGLETRANSLATE($A2539,""en"",""ko"")"),"파블로다르 지역")</f>
        <v>파블로다르 지역</v>
      </c>
      <c r="J2539" s="9" t="str">
        <f>IFERROR(__xludf.DUMMYFUNCTION("GOOGLETRANSLATE($A2539,""en"",""pt-BR"")"),"Região de Pavlodar")</f>
        <v>Região de Pavlodar</v>
      </c>
    </row>
    <row r="2540">
      <c r="A2540" s="9" t="str">
        <f>IFERROR(__xludf.DUMMYFUNCTION("""COMPUTED_VALUE"""),"Almaty Region")</f>
        <v>Almaty Region</v>
      </c>
      <c r="B2540" s="9" t="str">
        <f>IFERROR(__xludf.DUMMYFUNCTION("""COMPUTED_VALUE"""),"kz-alm")</f>
        <v>kz-alm</v>
      </c>
      <c r="C2540" s="9" t="str">
        <f>IFERROR(__xludf.DUMMYFUNCTION("GOOGLETRANSLATE($A2540,""en"",""de"")"),"Region Almaty")</f>
        <v>Region Almaty</v>
      </c>
      <c r="D2540" s="9" t="str">
        <f>IFERROR(__xludf.DUMMYFUNCTION("GOOGLETRANSLATE($A2540,""en"",""fr"")"),"Région d'Almaty")</f>
        <v>Région d'Almaty</v>
      </c>
      <c r="E2540" s="9" t="str">
        <f>IFERROR(__xludf.DUMMYFUNCTION("GOOGLETRANSLATE($A2540,""en"",""es"")"),"Región de Almatý")</f>
        <v>Región de Almatý</v>
      </c>
      <c r="F2540" s="9" t="str">
        <f>IFERROR(__xludf.DUMMYFUNCTION("GOOGLETRANSLATE($A2540,""en"",""it"")"),"Regione di Almaty")</f>
        <v>Regione di Almaty</v>
      </c>
      <c r="G2540" s="9" t="str">
        <f>IFERROR(__xludf.DUMMYFUNCTION("GOOGLETRANSLATE($A2540,""en"",""zh-cn"")"),"阿拉木图地区")</f>
        <v>阿拉木图地区</v>
      </c>
      <c r="H2540" s="9" t="str">
        <f>IFERROR(__xludf.DUMMYFUNCTION("GOOGLETRANSLATE($A2540,""en"",""ja"")"),"アルマトイ地方")</f>
        <v>アルマトイ地方</v>
      </c>
      <c r="I2540" s="9" t="str">
        <f>IFERROR(__xludf.DUMMYFUNCTION("GOOGLETRANSLATE($A2540,""en"",""ko"")"),"알마티 지역")</f>
        <v>알마티 지역</v>
      </c>
      <c r="J2540" s="9" t="str">
        <f>IFERROR(__xludf.DUMMYFUNCTION("GOOGLETRANSLATE($A2540,""en"",""pt-BR"")"),"Região de Almaty")</f>
        <v>Região de Almaty</v>
      </c>
    </row>
    <row r="2541">
      <c r="A2541" s="9" t="str">
        <f>IFERROR(__xludf.DUMMYFUNCTION("""COMPUTED_VALUE"""),"Nyanza")</f>
        <v>Nyanza</v>
      </c>
      <c r="B2541" s="9" t="str">
        <f>IFERROR(__xludf.DUMMYFUNCTION("""COMPUTED_VALUE"""),"ke-600")</f>
        <v>ke-600</v>
      </c>
      <c r="C2541" s="9" t="str">
        <f>IFERROR(__xludf.DUMMYFUNCTION("GOOGLETRANSLATE($A2541,""en"",""de"")"),"Nyanza")</f>
        <v>Nyanza</v>
      </c>
      <c r="D2541" s="9" t="str">
        <f>IFERROR(__xludf.DUMMYFUNCTION("GOOGLETRANSLATE($A2541,""en"",""fr"")"),"Nyanza")</f>
        <v>Nyanza</v>
      </c>
      <c r="E2541" s="9" t="str">
        <f>IFERROR(__xludf.DUMMYFUNCTION("GOOGLETRANSLATE($A2541,""en"",""es"")"),"Nyanza")</f>
        <v>Nyanza</v>
      </c>
      <c r="F2541" s="9" t="str">
        <f>IFERROR(__xludf.DUMMYFUNCTION("GOOGLETRANSLATE($A2541,""en"",""it"")"),"Nyanza")</f>
        <v>Nyanza</v>
      </c>
      <c r="G2541" s="9" t="str">
        <f>IFERROR(__xludf.DUMMYFUNCTION("GOOGLETRANSLATE($A2541,""en"",""zh-cn"")"),"尼安萨")</f>
        <v>尼安萨</v>
      </c>
      <c r="H2541" s="9" t="str">
        <f>IFERROR(__xludf.DUMMYFUNCTION("GOOGLETRANSLATE($A2541,""en"",""ja"")"),"ニャンザ")</f>
        <v>ニャンザ</v>
      </c>
      <c r="I2541" s="9" t="str">
        <f>IFERROR(__xludf.DUMMYFUNCTION("GOOGLETRANSLATE($A2541,""en"",""ko"")"),"냔자")</f>
        <v>냔자</v>
      </c>
      <c r="J2541" s="9" t="str">
        <f>IFERROR(__xludf.DUMMYFUNCTION("GOOGLETRANSLATE($A2541,""en"",""pt-BR"")"),"Nyanza")</f>
        <v>Nyanza</v>
      </c>
    </row>
    <row r="2542">
      <c r="A2542" s="9" t="str">
        <f>IFERROR(__xludf.DUMMYFUNCTION("""COMPUTED_VALUE"""),"Eastern (KE)")</f>
        <v>Eastern (KE)</v>
      </c>
      <c r="B2542" s="9" t="str">
        <f>IFERROR(__xludf.DUMMYFUNCTION("""COMPUTED_VALUE"""),"ke-400")</f>
        <v>ke-400</v>
      </c>
      <c r="C2542" s="9" t="str">
        <f>IFERROR(__xludf.DUMMYFUNCTION("GOOGLETRANSLATE($A2542,""en"",""de"")"),"Osten (KE)")</f>
        <v>Osten (KE)</v>
      </c>
      <c r="D2542" s="9" t="str">
        <f>IFERROR(__xludf.DUMMYFUNCTION("GOOGLETRANSLATE($A2542,""en"",""fr"")"),"Est (KE)")</f>
        <v>Est (KE)</v>
      </c>
      <c r="E2542" s="9" t="str">
        <f>IFERROR(__xludf.DUMMYFUNCTION("GOOGLETRANSLATE($A2542,""en"",""es"")"),"Este (KE)")</f>
        <v>Este (KE)</v>
      </c>
      <c r="F2542" s="9" t="str">
        <f>IFERROR(__xludf.DUMMYFUNCTION("GOOGLETRANSLATE($A2542,""en"",""it"")"),"Orientale (KE)")</f>
        <v>Orientale (KE)</v>
      </c>
      <c r="G2542" s="9" t="str">
        <f>IFERROR(__xludf.DUMMYFUNCTION("GOOGLETRANSLATE($A2542,""en"",""zh-cn"")"),"东部 (KE)")</f>
        <v>东部 (KE)</v>
      </c>
      <c r="H2542" s="9" t="str">
        <f>IFERROR(__xludf.DUMMYFUNCTION("GOOGLETRANSLATE($A2542,""en"",""ja"")"),"東部 (KE)")</f>
        <v>東部 (KE)</v>
      </c>
      <c r="I2542" s="9" t="str">
        <f>IFERROR(__xludf.DUMMYFUNCTION("GOOGLETRANSLATE($A2542,""en"",""ko"")"),"동부(KE)")</f>
        <v>동부(KE)</v>
      </c>
      <c r="J2542" s="9" t="str">
        <f>IFERROR(__xludf.DUMMYFUNCTION("GOOGLETRANSLATE($A2542,""en"",""pt-BR"")"),"Leste (KE)")</f>
        <v>Leste (KE)</v>
      </c>
    </row>
    <row r="2543">
      <c r="A2543" s="9" t="str">
        <f>IFERROR(__xludf.DUMMYFUNCTION("""COMPUTED_VALUE"""),"Western (KE)")</f>
        <v>Western (KE)</v>
      </c>
      <c r="B2543" s="9" t="str">
        <f>IFERROR(__xludf.DUMMYFUNCTION("""COMPUTED_VALUE"""),"ke-800")</f>
        <v>ke-800</v>
      </c>
      <c r="C2543" s="9" t="str">
        <f>IFERROR(__xludf.DUMMYFUNCTION("GOOGLETRANSLATE($A2543,""en"",""de"")"),"Western (KE)")</f>
        <v>Western (KE)</v>
      </c>
      <c r="D2543" s="9" t="str">
        <f>IFERROR(__xludf.DUMMYFUNCTION("GOOGLETRANSLATE($A2543,""en"",""fr"")"),"Ouest (KE)")</f>
        <v>Ouest (KE)</v>
      </c>
      <c r="E2543" s="9" t="str">
        <f>IFERROR(__xludf.DUMMYFUNCTION("GOOGLETRANSLATE($A2543,""en"",""es"")"),"Occidental (KE)")</f>
        <v>Occidental (KE)</v>
      </c>
      <c r="F2543" s="9" t="str">
        <f>IFERROR(__xludf.DUMMYFUNCTION("GOOGLETRANSLATE($A2543,""en"",""it"")"),"Occidentale (KE)")</f>
        <v>Occidentale (KE)</v>
      </c>
      <c r="G2543" s="9" t="str">
        <f>IFERROR(__xludf.DUMMYFUNCTION("GOOGLETRANSLATE($A2543,""en"",""zh-cn"")"),"西部 (KE)")</f>
        <v>西部 (KE)</v>
      </c>
      <c r="H2543" s="9" t="str">
        <f>IFERROR(__xludf.DUMMYFUNCTION("GOOGLETRANSLATE($A2543,""en"",""ja"")"),"西部 (KE)")</f>
        <v>西部 (KE)</v>
      </c>
      <c r="I2543" s="9" t="str">
        <f>IFERROR(__xludf.DUMMYFUNCTION("GOOGLETRANSLATE($A2543,""en"",""ko"")"),"서부(KE)")</f>
        <v>서부(KE)</v>
      </c>
      <c r="J2543" s="9" t="str">
        <f>IFERROR(__xludf.DUMMYFUNCTION("GOOGLETRANSLATE($A2543,""en"",""pt-BR"")"),"Ocidental (KE)")</f>
        <v>Ocidental (KE)</v>
      </c>
    </row>
    <row r="2544">
      <c r="A2544" s="9" t="str">
        <f>IFERROR(__xludf.DUMMYFUNCTION("""COMPUTED_VALUE"""),"Central (KE)")</f>
        <v>Central (KE)</v>
      </c>
      <c r="B2544" s="9" t="str">
        <f>IFERROR(__xludf.DUMMYFUNCTION("""COMPUTED_VALUE"""),"ke-200")</f>
        <v>ke-200</v>
      </c>
      <c r="C2544" s="9" t="str">
        <f>IFERROR(__xludf.DUMMYFUNCTION("GOOGLETRANSLATE($A2544,""en"",""de"")"),"Zentral (KE)")</f>
        <v>Zentral (KE)</v>
      </c>
      <c r="D2544" s="9" t="str">
        <f>IFERROR(__xludf.DUMMYFUNCTION("GOOGLETRANSLATE($A2544,""en"",""fr"")"),"Centrale (KE)")</f>
        <v>Centrale (KE)</v>
      </c>
      <c r="E2544" s="9" t="str">
        <f>IFERROR(__xludf.DUMMYFUNCTION("GOOGLETRANSLATE($A2544,""en"",""es"")"),"Centro (KE)")</f>
        <v>Centro (KE)</v>
      </c>
      <c r="F2544" s="9" t="str">
        <f>IFERROR(__xludf.DUMMYFUNCTION("GOOGLETRANSLATE($A2544,""en"",""it"")"),"Centrale (KE)")</f>
        <v>Centrale (KE)</v>
      </c>
      <c r="G2544" s="9" t="str">
        <f>IFERROR(__xludf.DUMMYFUNCTION("GOOGLETRANSLATE($A2544,""en"",""zh-cn"")"),"中环 (东东)")</f>
        <v>中环 (东东)</v>
      </c>
      <c r="H2544" s="9" t="str">
        <f>IFERROR(__xludf.DUMMYFUNCTION("GOOGLETRANSLATE($A2544,""en"",""ja"")"),"中部 (KE)")</f>
        <v>中部 (KE)</v>
      </c>
      <c r="I2544" s="9" t="str">
        <f>IFERROR(__xludf.DUMMYFUNCTION("GOOGLETRANSLATE($A2544,""en"",""ko"")"),"중부(KE)")</f>
        <v>중부(KE)</v>
      </c>
      <c r="J2544" s="9" t="str">
        <f>IFERROR(__xludf.DUMMYFUNCTION("GOOGLETRANSLATE($A2544,""en"",""pt-BR"")"),"Central (KE)")</f>
        <v>Central (KE)</v>
      </c>
    </row>
    <row r="2545">
      <c r="A2545" s="9" t="str">
        <f>IFERROR(__xludf.DUMMYFUNCTION("""COMPUTED_VALUE"""),"Coast")</f>
        <v>Coast</v>
      </c>
      <c r="B2545" s="9" t="str">
        <f>IFERROR(__xludf.DUMMYFUNCTION("""COMPUTED_VALUE"""),"ke-300")</f>
        <v>ke-300</v>
      </c>
      <c r="C2545" s="9" t="str">
        <f>IFERROR(__xludf.DUMMYFUNCTION("GOOGLETRANSLATE($A2545,""en"",""de"")"),"Küste")</f>
        <v>Küste</v>
      </c>
      <c r="D2545" s="9" t="str">
        <f>IFERROR(__xludf.DUMMYFUNCTION("GOOGLETRANSLATE($A2545,""en"",""fr"")"),"Côte")</f>
        <v>Côte</v>
      </c>
      <c r="E2545" s="9" t="str">
        <f>IFERROR(__xludf.DUMMYFUNCTION("GOOGLETRANSLATE($A2545,""en"",""es"")"),"Costa")</f>
        <v>Costa</v>
      </c>
      <c r="F2545" s="9" t="str">
        <f>IFERROR(__xludf.DUMMYFUNCTION("GOOGLETRANSLATE($A2545,""en"",""it"")"),"Costa")</f>
        <v>Costa</v>
      </c>
      <c r="G2545" s="9" t="str">
        <f>IFERROR(__xludf.DUMMYFUNCTION("GOOGLETRANSLATE($A2545,""en"",""zh-cn"")"),"海岸")</f>
        <v>海岸</v>
      </c>
      <c r="H2545" s="9" t="str">
        <f>IFERROR(__xludf.DUMMYFUNCTION("GOOGLETRANSLATE($A2545,""en"",""ja"")"),"海岸")</f>
        <v>海岸</v>
      </c>
      <c r="I2545" s="9" t="str">
        <f>IFERROR(__xludf.DUMMYFUNCTION("GOOGLETRANSLATE($A2545,""en"",""ko"")"),"해안")</f>
        <v>해안</v>
      </c>
      <c r="J2545" s="9" t="str">
        <f>IFERROR(__xludf.DUMMYFUNCTION("GOOGLETRANSLATE($A2545,""en"",""pt-BR"")"),"Costa")</f>
        <v>Costa</v>
      </c>
    </row>
    <row r="2546">
      <c r="A2546" s="9" t="str">
        <f>IFERROR(__xludf.DUMMYFUNCTION("""COMPUTED_VALUE"""),"Rift Valley")</f>
        <v>Rift Valley</v>
      </c>
      <c r="B2546" s="9" t="str">
        <f>IFERROR(__xludf.DUMMYFUNCTION("""COMPUTED_VALUE"""),"ke-700")</f>
        <v>ke-700</v>
      </c>
      <c r="C2546" s="9" t="str">
        <f>IFERROR(__xludf.DUMMYFUNCTION("GOOGLETRANSLATE($A2546,""en"",""de"")"),"Grabenbruch")</f>
        <v>Grabenbruch</v>
      </c>
      <c r="D2546" s="9" t="str">
        <f>IFERROR(__xludf.DUMMYFUNCTION("GOOGLETRANSLATE($A2546,""en"",""fr"")"),"Vallée du Rift")</f>
        <v>Vallée du Rift</v>
      </c>
      <c r="E2546" s="9" t="str">
        <f>IFERROR(__xludf.DUMMYFUNCTION("GOOGLETRANSLATE($A2546,""en"",""es"")"),"Valle del Rift")</f>
        <v>Valle del Rift</v>
      </c>
      <c r="F2546" s="9" t="str">
        <f>IFERROR(__xludf.DUMMYFUNCTION("GOOGLETRANSLATE($A2546,""en"",""it"")"),"Valle del Rift")</f>
        <v>Valle del Rift</v>
      </c>
      <c r="G2546" s="9" t="str">
        <f>IFERROR(__xludf.DUMMYFUNCTION("GOOGLETRANSLATE($A2546,""en"",""zh-cn"")"),"裂谷")</f>
        <v>裂谷</v>
      </c>
      <c r="H2546" s="9" t="str">
        <f>IFERROR(__xludf.DUMMYFUNCTION("GOOGLETRANSLATE($A2546,""en"",""ja"")"),"リフトバレー")</f>
        <v>リフトバレー</v>
      </c>
      <c r="I2546" s="9" t="str">
        <f>IFERROR(__xludf.DUMMYFUNCTION("GOOGLETRANSLATE($A2546,""en"",""ko"")"),"리프트 밸리")</f>
        <v>리프트 밸리</v>
      </c>
      <c r="J2546" s="9" t="str">
        <f>IFERROR(__xludf.DUMMYFUNCTION("GOOGLETRANSLATE($A2546,""en"",""pt-BR"")"),"Vale do Rift")</f>
        <v>Vale do Rift</v>
      </c>
    </row>
    <row r="2547">
      <c r="A2547" s="9" t="str">
        <f>IFERROR(__xludf.DUMMYFUNCTION("""COMPUTED_VALUE"""),"Nairobi")</f>
        <v>Nairobi</v>
      </c>
      <c r="B2547" s="9" t="str">
        <f>IFERROR(__xludf.DUMMYFUNCTION("""COMPUTED_VALUE"""),"ke-110")</f>
        <v>ke-110</v>
      </c>
      <c r="C2547" s="9" t="str">
        <f>IFERROR(__xludf.DUMMYFUNCTION("GOOGLETRANSLATE($A2547,""en"",""de"")"),"Nairobi")</f>
        <v>Nairobi</v>
      </c>
      <c r="D2547" s="9" t="str">
        <f>IFERROR(__xludf.DUMMYFUNCTION("GOOGLETRANSLATE($A2547,""en"",""fr"")"),"Nairobi")</f>
        <v>Nairobi</v>
      </c>
      <c r="E2547" s="9" t="str">
        <f>IFERROR(__xludf.DUMMYFUNCTION("GOOGLETRANSLATE($A2547,""en"",""es"")"),"Nairobi")</f>
        <v>Nairobi</v>
      </c>
      <c r="F2547" s="9" t="str">
        <f>IFERROR(__xludf.DUMMYFUNCTION("GOOGLETRANSLATE($A2547,""en"",""it"")"),"Nairobi")</f>
        <v>Nairobi</v>
      </c>
      <c r="G2547" s="9" t="str">
        <f>IFERROR(__xludf.DUMMYFUNCTION("GOOGLETRANSLATE($A2547,""en"",""zh-cn"")"),"内罗毕")</f>
        <v>内罗毕</v>
      </c>
      <c r="H2547" s="9" t="str">
        <f>IFERROR(__xludf.DUMMYFUNCTION("GOOGLETRANSLATE($A2547,""en"",""ja"")"),"ナイロビ")</f>
        <v>ナイロビ</v>
      </c>
      <c r="I2547" s="9" t="str">
        <f>IFERROR(__xludf.DUMMYFUNCTION("GOOGLETRANSLATE($A2547,""en"",""ko"")"),"나이로비")</f>
        <v>나이로비</v>
      </c>
      <c r="J2547" s="9" t="str">
        <f>IFERROR(__xludf.DUMMYFUNCTION("GOOGLETRANSLATE($A2547,""en"",""pt-BR"")"),"Nairóbi")</f>
        <v>Nairóbi</v>
      </c>
    </row>
    <row r="2548">
      <c r="A2548" s="9" t="str">
        <f>IFERROR(__xludf.DUMMYFUNCTION("""COMPUTED_VALUE"""),"North-Eastern")</f>
        <v>North-Eastern</v>
      </c>
      <c r="B2548" s="9" t="str">
        <f>IFERROR(__xludf.DUMMYFUNCTION("""COMPUTED_VALUE"""),"ke-500")</f>
        <v>ke-500</v>
      </c>
      <c r="C2548" s="9" t="str">
        <f>IFERROR(__xludf.DUMMYFUNCTION("GOOGLETRANSLATE($A2548,""en"",""de"")"),"Nordöstlich")</f>
        <v>Nordöstlich</v>
      </c>
      <c r="D2548" s="9" t="str">
        <f>IFERROR(__xludf.DUMMYFUNCTION("GOOGLETRANSLATE($A2548,""en"",""fr"")"),"Nord-Est")</f>
        <v>Nord-Est</v>
      </c>
      <c r="E2548" s="9" t="str">
        <f>IFERROR(__xludf.DUMMYFUNCTION("GOOGLETRANSLATE($A2548,""en"",""es"")"),"Del nordeste")</f>
        <v>Del nordeste</v>
      </c>
      <c r="F2548" s="9" t="str">
        <f>IFERROR(__xludf.DUMMYFUNCTION("GOOGLETRANSLATE($A2548,""en"",""it"")"),"Nord-orientale")</f>
        <v>Nord-orientale</v>
      </c>
      <c r="G2548" s="9" t="str">
        <f>IFERROR(__xludf.DUMMYFUNCTION("GOOGLETRANSLATE($A2548,""en"",""zh-cn"")"),"东北")</f>
        <v>东北</v>
      </c>
      <c r="H2548" s="9" t="str">
        <f>IFERROR(__xludf.DUMMYFUNCTION("GOOGLETRANSLATE($A2548,""en"",""ja"")"),"北東部")</f>
        <v>北東部</v>
      </c>
      <c r="I2548" s="9" t="str">
        <f>IFERROR(__xludf.DUMMYFUNCTION("GOOGLETRANSLATE($A2548,""en"",""ko"")"),"북동부")</f>
        <v>북동부</v>
      </c>
      <c r="J2548" s="9" t="str">
        <f>IFERROR(__xludf.DUMMYFUNCTION("GOOGLETRANSLATE($A2548,""en"",""pt-BR"")"),"Nordeste")</f>
        <v>Nordeste</v>
      </c>
    </row>
    <row r="2549">
      <c r="A2549" s="9" t="str">
        <f>IFERROR(__xludf.DUMMYFUNCTION("""COMPUTED_VALUE"""),"Line Islands")</f>
        <v>Line Islands</v>
      </c>
      <c r="B2549" s="9" t="str">
        <f>IFERROR(__xludf.DUMMYFUNCTION("""COMPUTED_VALUE"""),"ki-l")</f>
        <v>ki-l</v>
      </c>
      <c r="C2549" s="9" t="str">
        <f>IFERROR(__xludf.DUMMYFUNCTION("GOOGLETRANSLATE($A2549,""en"",""de"")"),"Linieninseln")</f>
        <v>Linieninseln</v>
      </c>
      <c r="D2549" s="9" t="str">
        <f>IFERROR(__xludf.DUMMYFUNCTION("GOOGLETRANSLATE($A2549,""en"",""fr"")"),"Îles de la Ligne")</f>
        <v>Îles de la Ligne</v>
      </c>
      <c r="E2549" s="9" t="str">
        <f>IFERROR(__xludf.DUMMYFUNCTION("GOOGLETRANSLATE($A2549,""en"",""es"")"),"Islas de línea")</f>
        <v>Islas de línea</v>
      </c>
      <c r="F2549" s="9" t="str">
        <f>IFERROR(__xludf.DUMMYFUNCTION("GOOGLETRANSLATE($A2549,""en"",""it"")"),"Isole di linea")</f>
        <v>Isole di linea</v>
      </c>
      <c r="G2549" s="9" t="str">
        <f>IFERROR(__xludf.DUMMYFUNCTION("GOOGLETRANSLATE($A2549,""en"",""zh-cn"")"),"莱恩群岛")</f>
        <v>莱恩群岛</v>
      </c>
      <c r="H2549" s="9" t="str">
        <f>IFERROR(__xludf.DUMMYFUNCTION("GOOGLETRANSLATE($A2549,""en"",""ja"")"),"ライン諸島")</f>
        <v>ライン諸島</v>
      </c>
      <c r="I2549" s="9" t="str">
        <f>IFERROR(__xludf.DUMMYFUNCTION("GOOGLETRANSLATE($A2549,""en"",""ko"")"),"라인 제도")</f>
        <v>라인 제도</v>
      </c>
      <c r="J2549" s="9" t="str">
        <f>IFERROR(__xludf.DUMMYFUNCTION("GOOGLETRANSLATE($A2549,""en"",""pt-BR"")"),"Ilhas de Linha")</f>
        <v>Ilhas de Linha</v>
      </c>
    </row>
    <row r="2550">
      <c r="A2550" s="9" t="str">
        <f>IFERROR(__xludf.DUMMYFUNCTION("""COMPUTED_VALUE"""),"Gilbert Islands")</f>
        <v>Gilbert Islands</v>
      </c>
      <c r="B2550" s="9" t="str">
        <f>IFERROR(__xludf.DUMMYFUNCTION("""COMPUTED_VALUE"""),"ki-g")</f>
        <v>ki-g</v>
      </c>
      <c r="C2550" s="9" t="str">
        <f>IFERROR(__xludf.DUMMYFUNCTION("GOOGLETRANSLATE($A2550,""en"",""de"")"),"Gilbert-Inseln")</f>
        <v>Gilbert-Inseln</v>
      </c>
      <c r="D2550" s="9" t="str">
        <f>IFERROR(__xludf.DUMMYFUNCTION("GOOGLETRANSLATE($A2550,""en"",""fr"")"),"Îles Gilbert")</f>
        <v>Îles Gilbert</v>
      </c>
      <c r="E2550" s="9" t="str">
        <f>IFERROR(__xludf.DUMMYFUNCTION("GOOGLETRANSLATE($A2550,""en"",""es"")"),"Islas Gilbert")</f>
        <v>Islas Gilbert</v>
      </c>
      <c r="F2550" s="9" t="str">
        <f>IFERROR(__xludf.DUMMYFUNCTION("GOOGLETRANSLATE($A2550,""en"",""it"")"),"Isole Gilbert")</f>
        <v>Isole Gilbert</v>
      </c>
      <c r="G2550" s="9" t="str">
        <f>IFERROR(__xludf.DUMMYFUNCTION("GOOGLETRANSLATE($A2550,""en"",""zh-cn"")"),"吉尔伯特群岛")</f>
        <v>吉尔伯特群岛</v>
      </c>
      <c r="H2550" s="9" t="str">
        <f>IFERROR(__xludf.DUMMYFUNCTION("GOOGLETRANSLATE($A2550,""en"",""ja"")"),"ギルバート諸島")</f>
        <v>ギルバート諸島</v>
      </c>
      <c r="I2550" s="9" t="str">
        <f>IFERROR(__xludf.DUMMYFUNCTION("GOOGLETRANSLATE($A2550,""en"",""ko"")"),"길버트 제도")</f>
        <v>길버트 제도</v>
      </c>
      <c r="J2550" s="9" t="str">
        <f>IFERROR(__xludf.DUMMYFUNCTION("GOOGLETRANSLATE($A2550,""en"",""pt-BR"")"),"Ilhas Gilbert")</f>
        <v>Ilhas Gilbert</v>
      </c>
    </row>
    <row r="2551">
      <c r="A2551" s="9" t="str">
        <f>IFERROR(__xludf.DUMMYFUNCTION("""COMPUTED_VALUE"""),"Phoenix Islands")</f>
        <v>Phoenix Islands</v>
      </c>
      <c r="B2551" s="9" t="str">
        <f>IFERROR(__xludf.DUMMYFUNCTION("""COMPUTED_VALUE"""),"ki-p")</f>
        <v>ki-p</v>
      </c>
      <c r="C2551" s="9" t="str">
        <f>IFERROR(__xludf.DUMMYFUNCTION("GOOGLETRANSLATE($A2551,""en"",""de"")"),"Phoenix-Inseln")</f>
        <v>Phoenix-Inseln</v>
      </c>
      <c r="D2551" s="9" t="str">
        <f>IFERROR(__xludf.DUMMYFUNCTION("GOOGLETRANSLATE($A2551,""en"",""fr"")"),"Îles Phénix")</f>
        <v>Îles Phénix</v>
      </c>
      <c r="E2551" s="9" t="str">
        <f>IFERROR(__xludf.DUMMYFUNCTION("GOOGLETRANSLATE($A2551,""en"",""es"")"),"Islas Fénix")</f>
        <v>Islas Fénix</v>
      </c>
      <c r="F2551" s="9" t="str">
        <f>IFERROR(__xludf.DUMMYFUNCTION("GOOGLETRANSLATE($A2551,""en"",""it"")"),"Isole della Fenice")</f>
        <v>Isole della Fenice</v>
      </c>
      <c r="G2551" s="9" t="str">
        <f>IFERROR(__xludf.DUMMYFUNCTION("GOOGLETRANSLATE($A2551,""en"",""zh-cn"")"),"菲尼克斯群岛")</f>
        <v>菲尼克斯群岛</v>
      </c>
      <c r="H2551" s="9" t="str">
        <f>IFERROR(__xludf.DUMMYFUNCTION("GOOGLETRANSLATE($A2551,""en"",""ja"")"),"フェニックス諸島")</f>
        <v>フェニックス諸島</v>
      </c>
      <c r="I2551" s="9" t="str">
        <f>IFERROR(__xludf.DUMMYFUNCTION("GOOGLETRANSLATE($A2551,""en"",""ko"")"),"피닉스 제도")</f>
        <v>피닉스 제도</v>
      </c>
      <c r="J2551" s="9" t="str">
        <f>IFERROR(__xludf.DUMMYFUNCTION("GOOGLETRANSLATE($A2551,""en"",""pt-BR"")"),"Ilhas Fênix")</f>
        <v>Ilhas Fênix</v>
      </c>
    </row>
    <row r="2552">
      <c r="A2552" s="9" t="str">
        <f>IFERROR(__xludf.DUMMYFUNCTION("""COMPUTED_VALUE"""),"Al Farwānīyah")</f>
        <v>Al Farwānīyah</v>
      </c>
      <c r="B2552" s="9" t="str">
        <f>IFERROR(__xludf.DUMMYFUNCTION("""COMPUTED_VALUE"""),"kw-fa")</f>
        <v>kw-fa</v>
      </c>
      <c r="C2552" s="9" t="str">
        <f>IFERROR(__xludf.DUMMYFUNCTION("GOOGLETRANSLATE($A2552,""en"",""de"")"),"Al Farwānīyah")</f>
        <v>Al Farwānīyah</v>
      </c>
      <c r="D2552" s="9" t="str">
        <f>IFERROR(__xludf.DUMMYFUNCTION("GOOGLETRANSLATE($A2552,""en"",""fr"")"),"Al Farwaniyah")</f>
        <v>Al Farwaniyah</v>
      </c>
      <c r="E2552" s="9" t="str">
        <f>IFERROR(__xludf.DUMMYFUNCTION("GOOGLETRANSLATE($A2552,""en"",""es"")"),"Al Farwānīyah")</f>
        <v>Al Farwānīyah</v>
      </c>
      <c r="F2552" s="9" t="str">
        <f>IFERROR(__xludf.DUMMYFUNCTION("GOOGLETRANSLATE($A2552,""en"",""it"")"),"Al Farwaniyah")</f>
        <v>Al Farwaniyah</v>
      </c>
      <c r="G2552" s="9" t="str">
        <f>IFERROR(__xludf.DUMMYFUNCTION("GOOGLETRANSLATE($A2552,""en"",""zh-cn"")"),"法瓦尼亚")</f>
        <v>法瓦尼亚</v>
      </c>
      <c r="H2552" s="9" t="str">
        <f>IFERROR(__xludf.DUMMYFUNCTION("GOOGLETRANSLATE($A2552,""en"",""ja"")"),"アル・ファルワニーヤ")</f>
        <v>アル・ファルワニーヤ</v>
      </c>
      <c r="I2552" s="9" t="str">
        <f>IFERROR(__xludf.DUMMYFUNCTION("GOOGLETRANSLATE($A2552,""en"",""ko"")"),"알 파르와니야")</f>
        <v>알 파르와니야</v>
      </c>
      <c r="J2552" s="9" t="str">
        <f>IFERROR(__xludf.DUMMYFUNCTION("GOOGLETRANSLATE($A2552,""en"",""pt-BR"")"),"Al Farwaniyah")</f>
        <v>Al Farwaniyah</v>
      </c>
    </row>
    <row r="2553">
      <c r="A2553" s="9" t="str">
        <f>IFERROR(__xludf.DUMMYFUNCTION("""COMPUTED_VALUE"""),"Al Aḩmadi")</f>
        <v>Al Aḩmadi</v>
      </c>
      <c r="B2553" s="9" t="str">
        <f>IFERROR(__xludf.DUMMYFUNCTION("""COMPUTED_VALUE"""),"kw-ah")</f>
        <v>kw-ah</v>
      </c>
      <c r="C2553" s="9" t="str">
        <f>IFERROR(__xludf.DUMMYFUNCTION("GOOGLETRANSLATE($A2553,""en"",""de"")"),"Al Ahmadi")</f>
        <v>Al Ahmadi</v>
      </c>
      <c r="D2553" s="9" t="str">
        <f>IFERROR(__xludf.DUMMYFUNCTION("GOOGLETRANSLATE($A2553,""en"",""fr"")"),"Al Ahmadi")</f>
        <v>Al Ahmadi</v>
      </c>
      <c r="E2553" s="9" t="str">
        <f>IFERROR(__xludf.DUMMYFUNCTION("GOOGLETRANSLATE($A2553,""en"",""es"")"),"Al Ahmadi")</f>
        <v>Al Ahmadi</v>
      </c>
      <c r="F2553" s="9" t="str">
        <f>IFERROR(__xludf.DUMMYFUNCTION("GOOGLETRANSLATE($A2553,""en"",""it"")"),"Al Aḩmadi")</f>
        <v>Al Aḩmadi</v>
      </c>
      <c r="G2553" s="9" t="str">
        <f>IFERROR(__xludf.DUMMYFUNCTION("GOOGLETRANSLATE($A2553,""en"",""zh-cn"")"),"艾哈迈迪")</f>
        <v>艾哈迈迪</v>
      </c>
      <c r="H2553" s="9" t="str">
        <f>IFERROR(__xludf.DUMMYFUNCTION("GOOGLETRANSLATE($A2553,""en"",""ja"")"),"アル・アハマディ")</f>
        <v>アル・アハマディ</v>
      </c>
      <c r="I2553" s="9" t="str">
        <f>IFERROR(__xludf.DUMMYFUNCTION("GOOGLETRANSLATE($A2553,""en"",""ko"")"),"알 아마디")</f>
        <v>알 아마디</v>
      </c>
      <c r="J2553" s="9" t="str">
        <f>IFERROR(__xludf.DUMMYFUNCTION("GOOGLETRANSLATE($A2553,""en"",""pt-BR"")"),"Al Ahmadi")</f>
        <v>Al Ahmadi</v>
      </c>
    </row>
    <row r="2554">
      <c r="A2554" s="9" t="str">
        <f>IFERROR(__xludf.DUMMYFUNCTION("""COMPUTED_VALUE"""),"Ḩawallī")</f>
        <v>Ḩawallī</v>
      </c>
      <c r="B2554" s="9" t="str">
        <f>IFERROR(__xludf.DUMMYFUNCTION("""COMPUTED_VALUE"""),"kw-ha")</f>
        <v>kw-ha</v>
      </c>
      <c r="C2554" s="9" t="str">
        <f>IFERROR(__xludf.DUMMYFUNCTION("GOOGLETRANSLATE($A2554,""en"",""de"")"),"Hawalli")</f>
        <v>Hawalli</v>
      </c>
      <c r="D2554" s="9" t="str">
        <f>IFERROR(__xludf.DUMMYFUNCTION("GOOGLETRANSLATE($A2554,""en"",""fr"")"),"Hawalli")</f>
        <v>Hawalli</v>
      </c>
      <c r="E2554" s="9" t="str">
        <f>IFERROR(__xludf.DUMMYFUNCTION("GOOGLETRANSLATE($A2554,""en"",""es"")"),"Hawalli")</f>
        <v>Hawalli</v>
      </c>
      <c r="F2554" s="9" t="str">
        <f>IFERROR(__xludf.DUMMYFUNCTION("GOOGLETRANSLATE($A2554,""en"",""it"")"),"Hawalli")</f>
        <v>Hawalli</v>
      </c>
      <c r="G2554" s="9" t="str">
        <f>IFERROR(__xludf.DUMMYFUNCTION("GOOGLETRANSLATE($A2554,""en"",""zh-cn"")"),"塔瓦利")</f>
        <v>塔瓦利</v>
      </c>
      <c r="H2554" s="9" t="str">
        <f>IFERROR(__xludf.DUMMYFUNCTION("GOOGLETRANSLATE($A2554,""en"",""ja"")"),"ハワリー")</f>
        <v>ハワリー</v>
      </c>
      <c r="I2554" s="9" t="str">
        <f>IFERROR(__xludf.DUMMYFUNCTION("GOOGLETRANSLATE($A2554,""en"",""ko"")"),"하왈리")</f>
        <v>하왈리</v>
      </c>
      <c r="J2554" s="9" t="str">
        <f>IFERROR(__xludf.DUMMYFUNCTION("GOOGLETRANSLATE($A2554,""en"",""pt-BR"")"),"Hawallī")</f>
        <v>Hawallī</v>
      </c>
    </row>
    <row r="2555">
      <c r="A2555" s="9" t="str">
        <f>IFERROR(__xludf.DUMMYFUNCTION("""COMPUTED_VALUE"""),"Mubārak al Kabīr")</f>
        <v>Mubārak al Kabīr</v>
      </c>
      <c r="B2555" s="9" t="str">
        <f>IFERROR(__xludf.DUMMYFUNCTION("""COMPUTED_VALUE"""),"kw-mu")</f>
        <v>kw-mu</v>
      </c>
      <c r="C2555" s="9" t="str">
        <f>IFERROR(__xludf.DUMMYFUNCTION("GOOGLETRANSLATE($A2555,""en"",""de"")"),"Mubarak al Kabir")</f>
        <v>Mubarak al Kabir</v>
      </c>
      <c r="D2555" s="9" t="str">
        <f>IFERROR(__xludf.DUMMYFUNCTION("GOOGLETRANSLATE($A2555,""en"",""fr"")"),"Moubarak al Kabir")</f>
        <v>Moubarak al Kabir</v>
      </c>
      <c r="E2555" s="9" t="str">
        <f>IFERROR(__xludf.DUMMYFUNCTION("GOOGLETRANSLATE($A2555,""en"",""es"")"),"Mubārak al Kabīr")</f>
        <v>Mubārak al Kabīr</v>
      </c>
      <c r="F2555" s="9" t="str">
        <f>IFERROR(__xludf.DUMMYFUNCTION("GOOGLETRANSLATE($A2555,""en"",""it"")"),"Mubarak al Kabir")</f>
        <v>Mubarak al Kabir</v>
      </c>
      <c r="G2555" s="9" t="str">
        <f>IFERROR(__xludf.DUMMYFUNCTION("GOOGLETRANSLATE($A2555,""en"",""zh-cn"")"),"穆巴拉克·卡比尔")</f>
        <v>穆巴拉克·卡比尔</v>
      </c>
      <c r="H2555" s="9" t="str">
        <f>IFERROR(__xludf.DUMMYFUNCTION("GOOGLETRANSLATE($A2555,""en"",""ja"")"),"ムバラク・アル・カビール")</f>
        <v>ムバラク・アル・カビール</v>
      </c>
      <c r="I2555" s="9" t="str">
        <f>IFERROR(__xludf.DUMMYFUNCTION("GOOGLETRANSLATE($A2555,""en"",""ko"")"),"무바라크 알 카비르")</f>
        <v>무바라크 알 카비르</v>
      </c>
      <c r="J2555" s="9" t="str">
        <f>IFERROR(__xludf.DUMMYFUNCTION("GOOGLETRANSLATE($A2555,""en"",""pt-BR"")"),"Mubarak al Kabir")</f>
        <v>Mubarak al Kabir</v>
      </c>
    </row>
    <row r="2556">
      <c r="A2556" s="9" t="str">
        <f>IFERROR(__xludf.DUMMYFUNCTION("""COMPUTED_VALUE"""),"Al Kuwayt (Al ٰĀşimah)")</f>
        <v>Al Kuwayt (Al ٰĀşimah)</v>
      </c>
      <c r="B2556" s="9" t="str">
        <f>IFERROR(__xludf.DUMMYFUNCTION("""COMPUTED_VALUE"""),"kw-ku")</f>
        <v>kw-ku</v>
      </c>
      <c r="C2556" s="9" t="str">
        <f>IFERROR(__xludf.DUMMYFUNCTION("GOOGLETRANSLATE($A2556,""en"",""de"")"),"Al Kuwayt (Al ٰĀşimah)")</f>
        <v>Al Kuwayt (Al ٰĀşimah)</v>
      </c>
      <c r="D2556" s="9" t="str">
        <f>IFERROR(__xludf.DUMMYFUNCTION("GOOGLETRANSLATE($A2556,""en"",""fr"")"),"Al Kuwayt (Al ٰĀşimah)")</f>
        <v>Al Kuwayt (Al ٰĀşimah)</v>
      </c>
      <c r="E2556" s="9" t="str">
        <f>IFERROR(__xludf.DUMMYFUNCTION("GOOGLETRANSLATE($A2556,""en"",""es"")"),"Al Kuwayt (Al ٰĀşimah)")</f>
        <v>Al Kuwayt (Al ٰĀşimah)</v>
      </c>
      <c r="F2556" s="9" t="str">
        <f>IFERROR(__xludf.DUMMYFUNCTION("GOOGLETRANSLATE($A2556,""en"",""it"")"),"Al Kuwayt (Al ٰĀşimah)")</f>
        <v>Al Kuwayt (Al ٰĀşimah)</v>
      </c>
      <c r="G2556" s="9" t="str">
        <f>IFERROR(__xludf.DUMMYFUNCTION("GOOGLETRANSLATE($A2556,""en"",""zh-cn"")"),"科威特 (Al ٰĀşimah)")</f>
        <v>科威特 (Al ٰĀşimah)</v>
      </c>
      <c r="H2556" s="9" t="str">
        <f>IFERROR(__xludf.DUMMYFUNCTION("GOOGLETRANSLATE($A2556,""en"",""ja"")"),"アル・クウェイト (アル・ナジシマ)")</f>
        <v>アル・クウェイト (アル・ナジシマ)</v>
      </c>
      <c r="I2556" s="9" t="str">
        <f>IFERROR(__xludf.DUMMYFUNCTION("GOOGLETRANSLATE($A2556,""en"",""ko"")"),"알 쿠웨이트(Al ٰĀşimah)")</f>
        <v>알 쿠웨이트(Al ٰĀşimah)</v>
      </c>
      <c r="J2556" s="9" t="str">
        <f>IFERROR(__xludf.DUMMYFUNCTION("GOOGLETRANSLATE($A2556,""en"",""pt-BR"")"),"Al Kuwayt (Al ٰĀşimah)")</f>
        <v>Al Kuwayt (Al ٰĀşimah)</v>
      </c>
    </row>
    <row r="2557">
      <c r="A2557" s="9" t="str">
        <f>IFERROR(__xludf.DUMMYFUNCTION("""COMPUTED_VALUE"""),"Al Jahrā’")</f>
        <v>Al Jahrā’</v>
      </c>
      <c r="B2557" s="9" t="str">
        <f>IFERROR(__xludf.DUMMYFUNCTION("""COMPUTED_VALUE"""),"kw-ja")</f>
        <v>kw-ja</v>
      </c>
      <c r="C2557" s="9" t="str">
        <f>IFERROR(__xludf.DUMMYFUNCTION("GOOGLETRANSLATE($A2557,""en"",""de"")"),"Al Jahrā’")</f>
        <v>Al Jahrā’</v>
      </c>
      <c r="D2557" s="9" t="str">
        <f>IFERROR(__xludf.DUMMYFUNCTION("GOOGLETRANSLATE($A2557,""en"",""fr"")"),"Al Jahra'")</f>
        <v>Al Jahra'</v>
      </c>
      <c r="E2557" s="9" t="str">
        <f>IFERROR(__xludf.DUMMYFUNCTION("GOOGLETRANSLATE($A2557,""en"",""es"")"),"Al Jahra’")</f>
        <v>Al Jahra’</v>
      </c>
      <c r="F2557" s="9" t="str">
        <f>IFERROR(__xludf.DUMMYFUNCTION("GOOGLETRANSLATE($A2557,""en"",""it"")"),"Al Jahrā’")</f>
        <v>Al Jahrā’</v>
      </c>
      <c r="G2557" s="9" t="str">
        <f>IFERROR(__xludf.DUMMYFUNCTION("GOOGLETRANSLATE($A2557,""en"",""zh-cn"")"),"贾赫拉’")</f>
        <v>贾赫拉’</v>
      </c>
      <c r="H2557" s="9" t="str">
        <f>IFERROR(__xludf.DUMMYFUNCTION("GOOGLETRANSLATE($A2557,""en"",""ja"")"),"アル・ジャラー』")</f>
        <v>アル・ジャラー』</v>
      </c>
      <c r="I2557" s="9" t="str">
        <f>IFERROR(__xludf.DUMMYFUNCTION("GOOGLETRANSLATE($A2557,""en"",""ko"")"),"알 자흐라'")</f>
        <v>알 자흐라'</v>
      </c>
      <c r="J2557" s="9" t="str">
        <f>IFERROR(__xludf.DUMMYFUNCTION("GOOGLETRANSLATE($A2557,""en"",""pt-BR"")"),"Al Jahrā’")</f>
        <v>Al Jahrā’</v>
      </c>
    </row>
    <row r="2558">
      <c r="A2558" s="9" t="str">
        <f>IFERROR(__xludf.DUMMYFUNCTION("""COMPUTED_VALUE"""),"Batken")</f>
        <v>Batken</v>
      </c>
      <c r="B2558" s="9" t="str">
        <f>IFERROR(__xludf.DUMMYFUNCTION("""COMPUTED_VALUE"""),"kg-b")</f>
        <v>kg-b</v>
      </c>
      <c r="C2558" s="9" t="str">
        <f>IFERROR(__xludf.DUMMYFUNCTION("GOOGLETRANSLATE($A2558,""en"",""de"")"),"Batken")</f>
        <v>Batken</v>
      </c>
      <c r="D2558" s="9" t="str">
        <f>IFERROR(__xludf.DUMMYFUNCTION("GOOGLETRANSLATE($A2558,""en"",""fr"")"),"Batken")</f>
        <v>Batken</v>
      </c>
      <c r="E2558" s="9" t="str">
        <f>IFERROR(__xludf.DUMMYFUNCTION("GOOGLETRANSLATE($A2558,""en"",""es"")"),"Batken")</f>
        <v>Batken</v>
      </c>
      <c r="F2558" s="9" t="str">
        <f>IFERROR(__xludf.DUMMYFUNCTION("GOOGLETRANSLATE($A2558,""en"",""it"")"),"Batti")</f>
        <v>Batti</v>
      </c>
      <c r="G2558" s="9" t="str">
        <f>IFERROR(__xludf.DUMMYFUNCTION("GOOGLETRANSLATE($A2558,""en"",""zh-cn"")"),"巴特肯")</f>
        <v>巴特肯</v>
      </c>
      <c r="H2558" s="9" t="str">
        <f>IFERROR(__xludf.DUMMYFUNCTION("GOOGLETRANSLATE($A2558,""en"",""ja"")"),"バトケン")</f>
        <v>バトケン</v>
      </c>
      <c r="I2558" s="9" t="str">
        <f>IFERROR(__xludf.DUMMYFUNCTION("GOOGLETRANSLATE($A2558,""en"",""ko"")"),"바켄")</f>
        <v>바켄</v>
      </c>
      <c r="J2558" s="9" t="str">
        <f>IFERROR(__xludf.DUMMYFUNCTION("GOOGLETRANSLATE($A2558,""en"",""pt-BR"")"),"Batken")</f>
        <v>Batken</v>
      </c>
    </row>
    <row r="2559">
      <c r="A2559" s="9" t="str">
        <f>IFERROR(__xludf.DUMMYFUNCTION("""COMPUTED_VALUE"""),"Ysyk-Köl")</f>
        <v>Ysyk-Köl</v>
      </c>
      <c r="B2559" s="9" t="str">
        <f>IFERROR(__xludf.DUMMYFUNCTION("""COMPUTED_VALUE"""),"kg-y")</f>
        <v>kg-y</v>
      </c>
      <c r="C2559" s="9" t="str">
        <f>IFERROR(__xludf.DUMMYFUNCTION("GOOGLETRANSLATE($A2559,""en"",""de"")"),"Ysyk-Köl")</f>
        <v>Ysyk-Köl</v>
      </c>
      <c r="D2559" s="9" t="str">
        <f>IFERROR(__xludf.DUMMYFUNCTION("GOOGLETRANSLATE($A2559,""en"",""fr"")"),"Ysyk-Köl")</f>
        <v>Ysyk-Köl</v>
      </c>
      <c r="E2559" s="9" t="str">
        <f>IFERROR(__xludf.DUMMYFUNCTION("GOOGLETRANSLATE($A2559,""en"",""es"")"),"Ysyk-Köl")</f>
        <v>Ysyk-Köl</v>
      </c>
      <c r="F2559" s="9" t="str">
        <f>IFERROR(__xludf.DUMMYFUNCTION("GOOGLETRANSLATE($A2559,""en"",""it"")"),"Ysyk-Köl")</f>
        <v>Ysyk-Köl</v>
      </c>
      <c r="G2559" s="9" t="str">
        <f>IFERROR(__xludf.DUMMYFUNCTION("GOOGLETRANSLATE($A2559,""en"",""zh-cn"")"),"伊塞克科尔")</f>
        <v>伊塞克科尔</v>
      </c>
      <c r="H2559" s="9" t="str">
        <f>IFERROR(__xludf.DUMMYFUNCTION("GOOGLETRANSLATE($A2559,""en"",""ja"")"),"イシクケル")</f>
        <v>イシクケル</v>
      </c>
      <c r="I2559" s="9" t="str">
        <f>IFERROR(__xludf.DUMMYFUNCTION("GOOGLETRANSLATE($A2559,""en"",""ko"")"),"이시크콜")</f>
        <v>이시크콜</v>
      </c>
      <c r="J2559" s="9" t="str">
        <f>IFERROR(__xludf.DUMMYFUNCTION("GOOGLETRANSLATE($A2559,""en"",""pt-BR"")"),"Ysyk-Köl")</f>
        <v>Ysyk-Köl</v>
      </c>
    </row>
    <row r="2560">
      <c r="A2560" s="9" t="str">
        <f>IFERROR(__xludf.DUMMYFUNCTION("""COMPUTED_VALUE"""),"Jalal-Abad")</f>
        <v>Jalal-Abad</v>
      </c>
      <c r="B2560" s="9" t="str">
        <f>IFERROR(__xludf.DUMMYFUNCTION("""COMPUTED_VALUE"""),"kg-j")</f>
        <v>kg-j</v>
      </c>
      <c r="C2560" s="9" t="str">
        <f>IFERROR(__xludf.DUMMYFUNCTION("GOOGLETRANSLATE($A2560,""en"",""de"")"),"Jalal-Abad")</f>
        <v>Jalal-Abad</v>
      </c>
      <c r="D2560" s="9" t="str">
        <f>IFERROR(__xludf.DUMMYFUNCTION("GOOGLETRANSLATE($A2560,""en"",""fr"")"),"Djalal-Abad")</f>
        <v>Djalal-Abad</v>
      </c>
      <c r="E2560" s="9" t="str">
        <f>IFERROR(__xludf.DUMMYFUNCTION("GOOGLETRANSLATE($A2560,""en"",""es"")"),"Jalal-Abad")</f>
        <v>Jalal-Abad</v>
      </c>
      <c r="F2560" s="9" t="str">
        <f>IFERROR(__xludf.DUMMYFUNCTION("GOOGLETRANSLATE($A2560,""en"",""it"")"),"Jalal-Abad")</f>
        <v>Jalal-Abad</v>
      </c>
      <c r="G2560" s="9" t="str">
        <f>IFERROR(__xludf.DUMMYFUNCTION("GOOGLETRANSLATE($A2560,""en"",""zh-cn"")"),"贾拉拉巴德")</f>
        <v>贾拉拉巴德</v>
      </c>
      <c r="H2560" s="9" t="str">
        <f>IFERROR(__xludf.DUMMYFUNCTION("GOOGLETRANSLATE($A2560,""en"",""ja"")"),"ジャララバード")</f>
        <v>ジャララバード</v>
      </c>
      <c r="I2560" s="9" t="str">
        <f>IFERROR(__xludf.DUMMYFUNCTION("GOOGLETRANSLATE($A2560,""en"",""ko"")"),"잘랄아바드")</f>
        <v>잘랄아바드</v>
      </c>
      <c r="J2560" s="9" t="str">
        <f>IFERROR(__xludf.DUMMYFUNCTION("GOOGLETRANSLATE($A2560,""en"",""pt-BR"")"),"Jalal-Abad")</f>
        <v>Jalal-Abad</v>
      </c>
    </row>
    <row r="2561">
      <c r="A2561" s="9" t="str">
        <f>IFERROR(__xludf.DUMMYFUNCTION("""COMPUTED_VALUE"""),"Naryn")</f>
        <v>Naryn</v>
      </c>
      <c r="B2561" s="9" t="str">
        <f>IFERROR(__xludf.DUMMYFUNCTION("""COMPUTED_VALUE"""),"kg-n")</f>
        <v>kg-n</v>
      </c>
      <c r="C2561" s="9" t="str">
        <f>IFERROR(__xludf.DUMMYFUNCTION("GOOGLETRANSLATE($A2561,""en"",""de"")"),"Naryn")</f>
        <v>Naryn</v>
      </c>
      <c r="D2561" s="9" t="str">
        <f>IFERROR(__xludf.DUMMYFUNCTION("GOOGLETRANSLATE($A2561,""en"",""fr"")"),"Naryn")</f>
        <v>Naryn</v>
      </c>
      <c r="E2561" s="9" t="str">
        <f>IFERROR(__xludf.DUMMYFUNCTION("GOOGLETRANSLATE($A2561,""en"",""es"")"),"naryn")</f>
        <v>naryn</v>
      </c>
      <c r="F2561" s="9" t="str">
        <f>IFERROR(__xludf.DUMMYFUNCTION("GOOGLETRANSLATE($A2561,""en"",""it"")"),"Naryn")</f>
        <v>Naryn</v>
      </c>
      <c r="G2561" s="9" t="str">
        <f>IFERROR(__xludf.DUMMYFUNCTION("GOOGLETRANSLATE($A2561,""en"",""zh-cn"")"),"纳伦")</f>
        <v>纳伦</v>
      </c>
      <c r="H2561" s="9" t="str">
        <f>IFERROR(__xludf.DUMMYFUNCTION("GOOGLETRANSLATE($A2561,""en"",""ja"")"),"ナルイン")</f>
        <v>ナルイン</v>
      </c>
      <c r="I2561" s="9" t="str">
        <f>IFERROR(__xludf.DUMMYFUNCTION("GOOGLETRANSLATE($A2561,""en"",""ko"")"),"나린")</f>
        <v>나린</v>
      </c>
      <c r="J2561" s="9" t="str">
        <f>IFERROR(__xludf.DUMMYFUNCTION("GOOGLETRANSLATE($A2561,""en"",""pt-BR"")"),"Naryn")</f>
        <v>Naryn</v>
      </c>
    </row>
    <row r="2562">
      <c r="A2562" s="9" t="str">
        <f>IFERROR(__xludf.DUMMYFUNCTION("""COMPUTED_VALUE"""),"Osh (City)")</f>
        <v>Osh (City)</v>
      </c>
      <c r="B2562" s="9" t="str">
        <f>IFERROR(__xludf.DUMMYFUNCTION("""COMPUTED_VALUE"""),"kg-go")</f>
        <v>kg-go</v>
      </c>
      <c r="C2562" s="9" t="str">
        <f>IFERROR(__xludf.DUMMYFUNCTION("GOOGLETRANSLATE($A2562,""en"",""de"")"),"Osch (Stadt)")</f>
        <v>Osch (Stadt)</v>
      </c>
      <c r="D2562" s="9" t="str">
        <f>IFERROR(__xludf.DUMMYFUNCTION("GOOGLETRANSLATE($A2562,""en"",""fr"")"),"Och (Ville)")</f>
        <v>Och (Ville)</v>
      </c>
      <c r="E2562" s="9" t="str">
        <f>IFERROR(__xludf.DUMMYFUNCTION("GOOGLETRANSLATE($A2562,""en"",""es"")"),"Osh (Ciudad)")</f>
        <v>Osh (Ciudad)</v>
      </c>
      <c r="F2562" s="9" t="str">
        <f>IFERROR(__xludf.DUMMYFUNCTION("GOOGLETRANSLATE($A2562,""en"",""it"")"),"Osh (Città)")</f>
        <v>Osh (Città)</v>
      </c>
      <c r="G2562" s="9" t="str">
        <f>IFERROR(__xludf.DUMMYFUNCTION("GOOGLETRANSLATE($A2562,""en"",""zh-cn"")"),"奥什（市）")</f>
        <v>奥什（市）</v>
      </c>
      <c r="H2562" s="9" t="str">
        <f>IFERROR(__xludf.DUMMYFUNCTION("GOOGLETRANSLATE($A2562,""en"",""ja"")"),"オシ (市)")</f>
        <v>オシ (市)</v>
      </c>
      <c r="I2562" s="9" t="str">
        <f>IFERROR(__xludf.DUMMYFUNCTION("GOOGLETRANSLATE($A2562,""en"",""ko"")"),"오쉬(도시)")</f>
        <v>오쉬(도시)</v>
      </c>
      <c r="J2562" s="9" t="str">
        <f>IFERROR(__xludf.DUMMYFUNCTION("GOOGLETRANSLATE($A2562,""en"",""pt-BR"")"),"Osh (Cidade)")</f>
        <v>Osh (Cidade)</v>
      </c>
    </row>
    <row r="2563">
      <c r="A2563" s="9" t="str">
        <f>IFERROR(__xludf.DUMMYFUNCTION("""COMPUTED_VALUE"""),"Bishkek")</f>
        <v>Bishkek</v>
      </c>
      <c r="B2563" s="9" t="str">
        <f>IFERROR(__xludf.DUMMYFUNCTION("""COMPUTED_VALUE"""),"kg-gb")</f>
        <v>kg-gb</v>
      </c>
      <c r="C2563" s="9" t="str">
        <f>IFERROR(__xludf.DUMMYFUNCTION("GOOGLETRANSLATE($A2563,""en"",""de"")"),"Bischkek")</f>
        <v>Bischkek</v>
      </c>
      <c r="D2563" s="9" t="str">
        <f>IFERROR(__xludf.DUMMYFUNCTION("GOOGLETRANSLATE($A2563,""en"",""fr"")"),"Bichkek")</f>
        <v>Bichkek</v>
      </c>
      <c r="E2563" s="9" t="str">
        <f>IFERROR(__xludf.DUMMYFUNCTION("GOOGLETRANSLATE($A2563,""en"",""es"")"),"Biskek")</f>
        <v>Biskek</v>
      </c>
      <c r="F2563" s="9" t="str">
        <f>IFERROR(__xludf.DUMMYFUNCTION("GOOGLETRANSLATE($A2563,""en"",""it"")"),"Biškek")</f>
        <v>Biškek</v>
      </c>
      <c r="G2563" s="9" t="str">
        <f>IFERROR(__xludf.DUMMYFUNCTION("GOOGLETRANSLATE($A2563,""en"",""zh-cn"")"),"比什凯克")</f>
        <v>比什凯克</v>
      </c>
      <c r="H2563" s="9" t="str">
        <f>IFERROR(__xludf.DUMMYFUNCTION("GOOGLETRANSLATE($A2563,""en"",""ja"")"),"ビシュケク")</f>
        <v>ビシュケク</v>
      </c>
      <c r="I2563" s="9" t="str">
        <f>IFERROR(__xludf.DUMMYFUNCTION("GOOGLETRANSLATE($A2563,""en"",""ko"")"),"비슈케크")</f>
        <v>비슈케크</v>
      </c>
      <c r="J2563" s="9" t="str">
        <f>IFERROR(__xludf.DUMMYFUNCTION("GOOGLETRANSLATE($A2563,""en"",""pt-BR"")"),"Bisqueque")</f>
        <v>Bisqueque</v>
      </c>
    </row>
    <row r="2564">
      <c r="A2564" s="9" t="str">
        <f>IFERROR(__xludf.DUMMYFUNCTION("""COMPUTED_VALUE"""),"Chüy")</f>
        <v>Chüy</v>
      </c>
      <c r="B2564" s="9" t="str">
        <f>IFERROR(__xludf.DUMMYFUNCTION("""COMPUTED_VALUE"""),"kg-c")</f>
        <v>kg-c</v>
      </c>
      <c r="C2564" s="9" t="str">
        <f>IFERROR(__xludf.DUMMYFUNCTION("GOOGLETRANSLATE($A2564,""en"",""de"")"),"Chüy")</f>
        <v>Chüy</v>
      </c>
      <c r="D2564" s="9" t="str">
        <f>IFERROR(__xludf.DUMMYFUNCTION("GOOGLETRANSLATE($A2564,""en"",""fr"")"),"Chuy")</f>
        <v>Chuy</v>
      </c>
      <c r="E2564" s="9" t="str">
        <f>IFERROR(__xludf.DUMMYFUNCTION("GOOGLETRANSLATE($A2564,""en"",""es"")"),"chuy")</f>
        <v>chuy</v>
      </c>
      <c r="F2564" s="9" t="str">
        <f>IFERROR(__xludf.DUMMYFUNCTION("GOOGLETRANSLATE($A2564,""en"",""it"")"),"Chuy")</f>
        <v>Chuy</v>
      </c>
      <c r="G2564" s="9" t="str">
        <f>IFERROR(__xludf.DUMMYFUNCTION("GOOGLETRANSLATE($A2564,""en"",""zh-cn"")"),"楚伊")</f>
        <v>楚伊</v>
      </c>
      <c r="H2564" s="9" t="str">
        <f>IFERROR(__xludf.DUMMYFUNCTION("GOOGLETRANSLATE($A2564,""en"",""ja"")"),"チュイ")</f>
        <v>チュイ</v>
      </c>
      <c r="I2564" s="9" t="str">
        <f>IFERROR(__xludf.DUMMYFUNCTION("GOOGLETRANSLATE($A2564,""en"",""ko"")"),"추이")</f>
        <v>추이</v>
      </c>
      <c r="J2564" s="9" t="str">
        <f>IFERROR(__xludf.DUMMYFUNCTION("GOOGLETRANSLATE($A2564,""en"",""pt-BR"")"),"Chuy")</f>
        <v>Chuy</v>
      </c>
    </row>
    <row r="2565">
      <c r="A2565" s="9" t="str">
        <f>IFERROR(__xludf.DUMMYFUNCTION("""COMPUTED_VALUE"""),"Talas")</f>
        <v>Talas</v>
      </c>
      <c r="B2565" s="9" t="str">
        <f>IFERROR(__xludf.DUMMYFUNCTION("""COMPUTED_VALUE"""),"kg-t")</f>
        <v>kg-t</v>
      </c>
      <c r="C2565" s="9" t="str">
        <f>IFERROR(__xludf.DUMMYFUNCTION("GOOGLETRANSLATE($A2565,""en"",""de"")"),"Talas")</f>
        <v>Talas</v>
      </c>
      <c r="D2565" s="9" t="str">
        <f>IFERROR(__xludf.DUMMYFUNCTION("GOOGLETRANSLATE($A2565,""en"",""fr"")"),"Talas")</f>
        <v>Talas</v>
      </c>
      <c r="E2565" s="9" t="str">
        <f>IFERROR(__xludf.DUMMYFUNCTION("GOOGLETRANSLATE($A2565,""en"",""es"")"),"Talas")</f>
        <v>Talas</v>
      </c>
      <c r="F2565" s="9" t="str">
        <f>IFERROR(__xludf.DUMMYFUNCTION("GOOGLETRANSLATE($A2565,""en"",""it"")"),"Talas")</f>
        <v>Talas</v>
      </c>
      <c r="G2565" s="9" t="str">
        <f>IFERROR(__xludf.DUMMYFUNCTION("GOOGLETRANSLATE($A2565,""en"",""zh-cn"")"),"怛罗斯")</f>
        <v>怛罗斯</v>
      </c>
      <c r="H2565" s="9" t="str">
        <f>IFERROR(__xludf.DUMMYFUNCTION("GOOGLETRANSLATE($A2565,""en"",""ja"")"),"タラス")</f>
        <v>タラス</v>
      </c>
      <c r="I2565" s="9" t="str">
        <f>IFERROR(__xludf.DUMMYFUNCTION("GOOGLETRANSLATE($A2565,""en"",""ko"")"),"탈라스")</f>
        <v>탈라스</v>
      </c>
      <c r="J2565" s="9" t="str">
        <f>IFERROR(__xludf.DUMMYFUNCTION("GOOGLETRANSLATE($A2565,""en"",""pt-BR"")"),"Talas")</f>
        <v>Talas</v>
      </c>
    </row>
    <row r="2566">
      <c r="A2566" s="9" t="str">
        <f>IFERROR(__xludf.DUMMYFUNCTION("""COMPUTED_VALUE"""),"Osh (Region)")</f>
        <v>Osh (Region)</v>
      </c>
      <c r="B2566" s="9" t="str">
        <f>IFERROR(__xludf.DUMMYFUNCTION("""COMPUTED_VALUE"""),"kg-o")</f>
        <v>kg-o</v>
      </c>
      <c r="C2566" s="9" t="str">
        <f>IFERROR(__xludf.DUMMYFUNCTION("GOOGLETRANSLATE($A2566,""en"",""de"")"),"Osch (Region)")</f>
        <v>Osch (Region)</v>
      </c>
      <c r="D2566" s="9" t="str">
        <f>IFERROR(__xludf.DUMMYFUNCTION("GOOGLETRANSLATE($A2566,""en"",""fr"")"),"Osh (Région)")</f>
        <v>Osh (Région)</v>
      </c>
      <c r="E2566" s="9" t="str">
        <f>IFERROR(__xludf.DUMMYFUNCTION("GOOGLETRANSLATE($A2566,""en"",""es"")"),"Osh (Región)")</f>
        <v>Osh (Región)</v>
      </c>
      <c r="F2566" s="9" t="str">
        <f>IFERROR(__xludf.DUMMYFUNCTION("GOOGLETRANSLATE($A2566,""en"",""it"")"),"SSL (Regione)")</f>
        <v>SSL (Regione)</v>
      </c>
      <c r="G2566" s="9" t="str">
        <f>IFERROR(__xludf.DUMMYFUNCTION("GOOGLETRANSLATE($A2566,""en"",""zh-cn"")"),"奥什（地区）")</f>
        <v>奥什（地区）</v>
      </c>
      <c r="H2566" s="9" t="str">
        <f>IFERROR(__xludf.DUMMYFUNCTION("GOOGLETRANSLATE($A2566,""en"",""ja"")"),"オシ (地域)")</f>
        <v>オシ (地域)</v>
      </c>
      <c r="I2566" s="9" t="str">
        <f>IFERROR(__xludf.DUMMYFUNCTION("GOOGLETRANSLATE($A2566,""en"",""ko"")"),"오쉬(지역)")</f>
        <v>오쉬(지역)</v>
      </c>
      <c r="J2566" s="9" t="str">
        <f>IFERROR(__xludf.DUMMYFUNCTION("GOOGLETRANSLATE($A2566,""en"",""pt-BR"")"),"Osh (Região)")</f>
        <v>Osh (Região)</v>
      </c>
    </row>
    <row r="2567">
      <c r="A2567" s="9" t="str">
        <f>IFERROR(__xludf.DUMMYFUNCTION("""COMPUTED_VALUE"""),"Xaisômboun")</f>
        <v>Xaisômboun</v>
      </c>
      <c r="B2567" s="9" t="str">
        <f>IFERROR(__xludf.DUMMYFUNCTION("""COMPUTED_VALUE"""),"la-xn")</f>
        <v>la-xn</v>
      </c>
      <c r="C2567" s="9" t="str">
        <f>IFERROR(__xludf.DUMMYFUNCTION("GOOGLETRANSLATE($A2567,""en"",""de"")"),"Xaisômboun")</f>
        <v>Xaisômboun</v>
      </c>
      <c r="D2567" s="9" t="str">
        <f>IFERROR(__xludf.DUMMYFUNCTION("GOOGLETRANSLATE($A2567,""en"",""fr"")"),"Xaisômboun")</f>
        <v>Xaisômboun</v>
      </c>
      <c r="E2567" s="9" t="str">
        <f>IFERROR(__xludf.DUMMYFUNCTION("GOOGLETRANSLATE($A2567,""en"",""es"")"),"Xaisômboun")</f>
        <v>Xaisômboun</v>
      </c>
      <c r="F2567" s="9" t="str">
        <f>IFERROR(__xludf.DUMMYFUNCTION("GOOGLETRANSLATE($A2567,""en"",""it"")"),"Xaisômboun")</f>
        <v>Xaisômboun</v>
      </c>
      <c r="G2567" s="9" t="str">
        <f>IFERROR(__xludf.DUMMYFUNCTION("GOOGLETRANSLATE($A2567,""en"",""zh-cn"")"),"赛松本")</f>
        <v>赛松本</v>
      </c>
      <c r="H2567" s="9" t="str">
        <f>IFERROR(__xludf.DUMMYFUNCTION("GOOGLETRANSLATE($A2567,""en"",""ja"")"),"サイソンブン")</f>
        <v>サイソンブン</v>
      </c>
      <c r="I2567" s="9" t="str">
        <f>IFERROR(__xludf.DUMMYFUNCTION("GOOGLETRANSLATE($A2567,""en"",""ko"")"),"사이솜분")</f>
        <v>사이솜분</v>
      </c>
      <c r="J2567" s="9" t="str">
        <f>IFERROR(__xludf.DUMMYFUNCTION("GOOGLETRANSLATE($A2567,""en"",""pt-BR"")"),"Xaisômboun")</f>
        <v>Xaisômboun</v>
      </c>
    </row>
    <row r="2568">
      <c r="A2568" s="9" t="str">
        <f>IFERROR(__xludf.DUMMYFUNCTION("""COMPUTED_VALUE"""),"Attapu [Attopeu]")</f>
        <v>Attapu [Attopeu]</v>
      </c>
      <c r="B2568" s="9" t="str">
        <f>IFERROR(__xludf.DUMMYFUNCTION("""COMPUTED_VALUE"""),"la-at")</f>
        <v>la-at</v>
      </c>
      <c r="C2568" s="9" t="str">
        <f>IFERROR(__xludf.DUMMYFUNCTION("GOOGLETRANSLATE($A2568,""en"",""de"")"),"Attapu [Attopeu]")</f>
        <v>Attapu [Attopeu]</v>
      </c>
      <c r="D2568" s="9" t="str">
        <f>IFERROR(__xludf.DUMMYFUNCTION("GOOGLETRANSLATE($A2568,""en"",""fr"")"),"Attapu [Attopeu]")</f>
        <v>Attapu [Attopeu]</v>
      </c>
      <c r="E2568" s="9" t="str">
        <f>IFERROR(__xludf.DUMMYFUNCTION("GOOGLETRANSLATE($A2568,""en"",""es"")"),"Attapu [Attopeu]")</f>
        <v>Attapu [Attopeu]</v>
      </c>
      <c r="F2568" s="9" t="str">
        <f>IFERROR(__xludf.DUMMYFUNCTION("GOOGLETRANSLATE($A2568,""en"",""it"")"),"Attapu [Attopeu]")</f>
        <v>Attapu [Attopeu]</v>
      </c>
      <c r="G2568" s="9" t="str">
        <f>IFERROR(__xludf.DUMMYFUNCTION("GOOGLETRANSLATE($A2568,""en"",""zh-cn"")"),"阿塔普[Attopeu]")</f>
        <v>阿塔普[Attopeu]</v>
      </c>
      <c r="H2568" s="9" t="str">
        <f>IFERROR(__xludf.DUMMYFUNCTION("GOOGLETRANSLATE($A2568,""en"",""ja"")"),"アッタプー[アトプー]")</f>
        <v>アッタプー[アトプー]</v>
      </c>
      <c r="I2568" s="9" t="str">
        <f>IFERROR(__xludf.DUMMYFUNCTION("GOOGLETRANSLATE($A2568,""en"",""ko"")"),"아타푸 [Attopeu]")</f>
        <v>아타푸 [Attopeu]</v>
      </c>
      <c r="J2568" s="9" t="str">
        <f>IFERROR(__xludf.DUMMYFUNCTION("GOOGLETRANSLATE($A2568,""en"",""pt-BR"")"),"Attapu [Attopeu]")</f>
        <v>Attapu [Attopeu]</v>
      </c>
    </row>
    <row r="2569">
      <c r="A2569" s="9" t="str">
        <f>IFERROR(__xludf.DUMMYFUNCTION("""COMPUTED_VALUE"""),"Salavan [Saravane]")</f>
        <v>Salavan [Saravane]</v>
      </c>
      <c r="B2569" s="9" t="str">
        <f>IFERROR(__xludf.DUMMYFUNCTION("""COMPUTED_VALUE"""),"la-sl")</f>
        <v>la-sl</v>
      </c>
      <c r="C2569" s="9" t="str">
        <f>IFERROR(__xludf.DUMMYFUNCTION("GOOGLETRANSLATE($A2569,""en"",""de"")"),"Salavan [Saravane]")</f>
        <v>Salavan [Saravane]</v>
      </c>
      <c r="D2569" s="9" t="str">
        <f>IFERROR(__xludf.DUMMYFUNCTION("GOOGLETRANSLATE($A2569,""en"",""fr"")"),"Salavan [Saravane]")</f>
        <v>Salavan [Saravane]</v>
      </c>
      <c r="E2569" s="9" t="str">
        <f>IFERROR(__xludf.DUMMYFUNCTION("GOOGLETRANSLATE($A2569,""en"",""es"")"),"Salavan [Saravane]")</f>
        <v>Salavan [Saravane]</v>
      </c>
      <c r="F2569" s="9" t="str">
        <f>IFERROR(__xludf.DUMMYFUNCTION("GOOGLETRANSLATE($A2569,""en"",""it"")"),"Salavan [Saravane]")</f>
        <v>Salavan [Saravane]</v>
      </c>
      <c r="G2569" s="9" t="str">
        <f>IFERROR(__xludf.DUMMYFUNCTION("GOOGLETRANSLATE($A2569,""en"",""zh-cn"")"),"沙拉湾 [沙拉湾]")</f>
        <v>沙拉湾 [沙拉湾]</v>
      </c>
      <c r="H2569" s="9" t="str">
        <f>IFERROR(__xludf.DUMMYFUNCTION("GOOGLETRANSLATE($A2569,""en"",""ja"")"),"サラバン [サラバン]")</f>
        <v>サラバン [サラバン]</v>
      </c>
      <c r="I2569" s="9" t="str">
        <f>IFERROR(__xludf.DUMMYFUNCTION("GOOGLETRANSLATE($A2569,""en"",""ko"")"),"살라반 [사라바네]")</f>
        <v>살라반 [사라바네]</v>
      </c>
      <c r="J2569" s="9" t="str">
        <f>IFERROR(__xludf.DUMMYFUNCTION("GOOGLETRANSLATE($A2569,""en"",""pt-BR"")"),"Salavan [Saravane]")</f>
        <v>Salavan [Saravane]</v>
      </c>
    </row>
    <row r="2570">
      <c r="A2570" s="9" t="str">
        <f>IFERROR(__xludf.DUMMYFUNCTION("""COMPUTED_VALUE"""),"Savannakhét")</f>
        <v>Savannakhét</v>
      </c>
      <c r="B2570" s="9" t="str">
        <f>IFERROR(__xludf.DUMMYFUNCTION("""COMPUTED_VALUE"""),"la-sv")</f>
        <v>la-sv</v>
      </c>
      <c r="C2570" s="9" t="str">
        <f>IFERROR(__xludf.DUMMYFUNCTION("GOOGLETRANSLATE($A2570,""en"",""de"")"),"Savannakhet")</f>
        <v>Savannakhet</v>
      </c>
      <c r="D2570" s="9" t="str">
        <f>IFERROR(__xludf.DUMMYFUNCTION("GOOGLETRANSLATE($A2570,""en"",""fr"")"),"Savannakhet")</f>
        <v>Savannakhet</v>
      </c>
      <c r="E2570" s="9" t="str">
        <f>IFERROR(__xludf.DUMMYFUNCTION("GOOGLETRANSLATE($A2570,""en"",""es"")"),"sabanakhét")</f>
        <v>sabanakhét</v>
      </c>
      <c r="F2570" s="9" t="str">
        <f>IFERROR(__xludf.DUMMYFUNCTION("GOOGLETRANSLATE($A2570,""en"",""it"")"),"Savannakhet")</f>
        <v>Savannakhet</v>
      </c>
      <c r="G2570" s="9" t="str">
        <f>IFERROR(__xludf.DUMMYFUNCTION("GOOGLETRANSLATE($A2570,""en"",""zh-cn"")"),"沙湾拿吉")</f>
        <v>沙湾拿吉</v>
      </c>
      <c r="H2570" s="9" t="str">
        <f>IFERROR(__xludf.DUMMYFUNCTION("GOOGLETRANSLATE($A2570,""en"",""ja"")"),"サワンナケート")</f>
        <v>サワンナケート</v>
      </c>
      <c r="I2570" s="9" t="str">
        <f>IFERROR(__xludf.DUMMYFUNCTION("GOOGLETRANSLATE($A2570,""en"",""ko"")"),"사바나케트")</f>
        <v>사바나케트</v>
      </c>
      <c r="J2570" s="9" t="str">
        <f>IFERROR(__xludf.DUMMYFUNCTION("GOOGLETRANSLATE($A2570,""en"",""pt-BR"")"),"Savannakhet")</f>
        <v>Savannakhet</v>
      </c>
    </row>
    <row r="2571">
      <c r="A2571" s="9" t="str">
        <f>IFERROR(__xludf.DUMMYFUNCTION("""COMPUTED_VALUE"""),"Khammouan")</f>
        <v>Khammouan</v>
      </c>
      <c r="B2571" s="9" t="str">
        <f>IFERROR(__xludf.DUMMYFUNCTION("""COMPUTED_VALUE"""),"la-kh")</f>
        <v>la-kh</v>
      </c>
      <c r="C2571" s="9" t="str">
        <f>IFERROR(__xludf.DUMMYFUNCTION("GOOGLETRANSLATE($A2571,""en"",""de"")"),"Khammouan")</f>
        <v>Khammouan</v>
      </c>
      <c r="D2571" s="9" t="str">
        <f>IFERROR(__xludf.DUMMYFUNCTION("GOOGLETRANSLATE($A2571,""en"",""fr"")"),"Khammouan")</f>
        <v>Khammouan</v>
      </c>
      <c r="E2571" s="9" t="str">
        <f>IFERROR(__xludf.DUMMYFUNCTION("GOOGLETRANSLATE($A2571,""en"",""es"")"),"Khammouan")</f>
        <v>Khammouan</v>
      </c>
      <c r="F2571" s="9" t="str">
        <f>IFERROR(__xludf.DUMMYFUNCTION("GOOGLETRANSLATE($A2571,""en"",""it"")"),"Khammouan")</f>
        <v>Khammouan</v>
      </c>
      <c r="G2571" s="9" t="str">
        <f>IFERROR(__xludf.DUMMYFUNCTION("GOOGLETRANSLATE($A2571,""en"",""zh-cn"")"),"甘蒙")</f>
        <v>甘蒙</v>
      </c>
      <c r="H2571" s="9" t="str">
        <f>IFERROR(__xludf.DUMMYFUNCTION("GOOGLETRANSLATE($A2571,""en"",""ja"")"),"カムアン")</f>
        <v>カムアン</v>
      </c>
      <c r="I2571" s="9" t="str">
        <f>IFERROR(__xludf.DUMMYFUNCTION("GOOGLETRANSLATE($A2571,""en"",""ko"")"),"캄무안")</f>
        <v>캄무안</v>
      </c>
      <c r="J2571" s="9" t="str">
        <f>IFERROR(__xludf.DUMMYFUNCTION("GOOGLETRANSLATE($A2571,""en"",""pt-BR"")"),"Khammouan")</f>
        <v>Khammouan</v>
      </c>
    </row>
    <row r="2572">
      <c r="A2572" s="9" t="str">
        <f>IFERROR(__xludf.DUMMYFUNCTION("""COMPUTED_VALUE"""),"Bokèo")</f>
        <v>Bokèo</v>
      </c>
      <c r="B2572" s="9" t="str">
        <f>IFERROR(__xludf.DUMMYFUNCTION("""COMPUTED_VALUE"""),"la-bk")</f>
        <v>la-bk</v>
      </c>
      <c r="C2572" s="9" t="str">
        <f>IFERROR(__xludf.DUMMYFUNCTION("GOOGLETRANSLATE($A2572,""en"",""de"")"),"Bokeo")</f>
        <v>Bokeo</v>
      </c>
      <c r="D2572" s="9" t="str">
        <f>IFERROR(__xludf.DUMMYFUNCTION("GOOGLETRANSLATE($A2572,""en"",""fr"")"),"Bokeo")</f>
        <v>Bokeo</v>
      </c>
      <c r="E2572" s="9" t="str">
        <f>IFERROR(__xludf.DUMMYFUNCTION("GOOGLETRANSLATE($A2572,""en"",""es"")"),"bokeo")</f>
        <v>bokeo</v>
      </c>
      <c r="F2572" s="9" t="str">
        <f>IFERROR(__xludf.DUMMYFUNCTION("GOOGLETRANSLATE($A2572,""en"",""it"")"),"Bokeo")</f>
        <v>Bokeo</v>
      </c>
      <c r="G2572" s="9" t="str">
        <f>IFERROR(__xludf.DUMMYFUNCTION("GOOGLETRANSLATE($A2572,""en"",""zh-cn"")"),"博克奥")</f>
        <v>博克奥</v>
      </c>
      <c r="H2572" s="9" t="str">
        <f>IFERROR(__xludf.DUMMYFUNCTION("GOOGLETRANSLATE($A2572,""en"",""ja"")"),"ボケオ")</f>
        <v>ボケオ</v>
      </c>
      <c r="I2572" s="9" t="str">
        <f>IFERROR(__xludf.DUMMYFUNCTION("GOOGLETRANSLATE($A2572,""en"",""ko"")"),"보케오")</f>
        <v>보케오</v>
      </c>
      <c r="J2572" s="9" t="str">
        <f>IFERROR(__xludf.DUMMYFUNCTION("GOOGLETRANSLATE($A2572,""en"",""pt-BR"")"),"Bokeo")</f>
        <v>Bokeo</v>
      </c>
    </row>
    <row r="2573">
      <c r="A2573" s="9" t="str">
        <f>IFERROR(__xludf.DUMMYFUNCTION("""COMPUTED_VALUE"""),"Vientiane (Province)")</f>
        <v>Vientiane (Province)</v>
      </c>
      <c r="B2573" s="9" t="str">
        <f>IFERROR(__xludf.DUMMYFUNCTION("""COMPUTED_VALUE"""),"la-vi")</f>
        <v>la-vi</v>
      </c>
      <c r="C2573" s="9" t="str">
        <f>IFERROR(__xludf.DUMMYFUNCTION("GOOGLETRANSLATE($A2573,""en"",""de"")"),"Vientiane (Provinz)")</f>
        <v>Vientiane (Provinz)</v>
      </c>
      <c r="D2573" s="9" t="str">
        <f>IFERROR(__xludf.DUMMYFUNCTION("GOOGLETRANSLATE($A2573,""en"",""fr"")"),"Vientiane (Province)")</f>
        <v>Vientiane (Province)</v>
      </c>
      <c r="E2573" s="9" t="str">
        <f>IFERROR(__xludf.DUMMYFUNCTION("GOOGLETRANSLATE($A2573,""en"",""es"")"),"Vientián (Provincia)")</f>
        <v>Vientián (Provincia)</v>
      </c>
      <c r="F2573" s="9" t="str">
        <f>IFERROR(__xludf.DUMMYFUNCTION("GOOGLETRANSLATE($A2573,""en"",""it"")"),"Vientiane (Provincia)")</f>
        <v>Vientiane (Provincia)</v>
      </c>
      <c r="G2573" s="9" t="str">
        <f>IFERROR(__xludf.DUMMYFUNCTION("GOOGLETRANSLATE($A2573,""en"",""zh-cn"")"),"万象 (省)")</f>
        <v>万象 (省)</v>
      </c>
      <c r="H2573" s="9" t="str">
        <f>IFERROR(__xludf.DUMMYFUNCTION("GOOGLETRANSLATE($A2573,""en"",""ja"")"),"ビエンチャン (県)")</f>
        <v>ビエンチャン (県)</v>
      </c>
      <c r="I2573" s="9" t="str">
        <f>IFERROR(__xludf.DUMMYFUNCTION("GOOGLETRANSLATE($A2573,""en"",""ko"")"),"비엔티안(지방)")</f>
        <v>비엔티안(지방)</v>
      </c>
      <c r="J2573" s="9" t="str">
        <f>IFERROR(__xludf.DUMMYFUNCTION("GOOGLETRANSLATE($A2573,""en"",""pt-BR"")"),"Vienciana (Província)")</f>
        <v>Vienciana (Província)</v>
      </c>
    </row>
    <row r="2574">
      <c r="A2574" s="9" t="str">
        <f>IFERROR(__xludf.DUMMYFUNCTION("""COMPUTED_VALUE"""),"Oudômxai [Oudomsai]")</f>
        <v>Oudômxai [Oudomsai]</v>
      </c>
      <c r="B2574" s="9" t="str">
        <f>IFERROR(__xludf.DUMMYFUNCTION("""COMPUTED_VALUE"""),"la-ou")</f>
        <v>la-ou</v>
      </c>
      <c r="C2574" s="9" t="str">
        <f>IFERROR(__xludf.DUMMYFUNCTION("GOOGLETRANSLATE($A2574,""en"",""de"")"),"Oudômxai [Oudomsai]")</f>
        <v>Oudômxai [Oudomsai]</v>
      </c>
      <c r="D2574" s="9" t="str">
        <f>IFERROR(__xludf.DUMMYFUNCTION("GOOGLETRANSLATE($A2574,""en"",""fr"")"),"Oudômxaï [Oudomsaï]")</f>
        <v>Oudômxaï [Oudomsaï]</v>
      </c>
      <c r="E2574" s="9" t="str">
        <f>IFERROR(__xludf.DUMMYFUNCTION("GOOGLETRANSLATE($A2574,""en"",""es"")"),"Oudomsai [Oudomsai]")</f>
        <v>Oudomsai [Oudomsai]</v>
      </c>
      <c r="F2574" s="9" t="str">
        <f>IFERROR(__xludf.DUMMYFUNCTION("GOOGLETRANSLATE($A2574,""en"",""it"")"),"Oudômxai [Oudomsai]")</f>
        <v>Oudômxai [Oudomsai]</v>
      </c>
      <c r="G2574" s="9" t="str">
        <f>IFERROR(__xludf.DUMMYFUNCTION("GOOGLETRANSLATE($A2574,""en"",""zh-cn"")"),"乌多姆赛 [Oudomsai]")</f>
        <v>乌多姆赛 [Oudomsai]</v>
      </c>
      <c r="H2574" s="9" t="str">
        <f>IFERROR(__xludf.DUMMYFUNCTION("GOOGLETRANSLATE($A2574,""en"",""ja"")"),"オウドムサイ [オウドムサイ]")</f>
        <v>オウドムサイ [オウドムサイ]</v>
      </c>
      <c r="I2574" s="9" t="str">
        <f>IFERROR(__xludf.DUMMYFUNCTION("GOOGLETRANSLATE($A2574,""en"",""ko"")"),"Oudômxai [우돔사이]")</f>
        <v>Oudômxai [우돔사이]</v>
      </c>
      <c r="J2574" s="9" t="str">
        <f>IFERROR(__xludf.DUMMYFUNCTION("GOOGLETRANSLATE($A2574,""en"",""pt-BR"")"),"Oudomxai [Oudomsai]")</f>
        <v>Oudomxai [Oudomsai]</v>
      </c>
    </row>
    <row r="2575">
      <c r="A2575" s="9" t="str">
        <f>IFERROR(__xludf.DUMMYFUNCTION("""COMPUTED_VALUE"""),"Xékong [Sékong]")</f>
        <v>Xékong [Sékong]</v>
      </c>
      <c r="B2575" s="9" t="str">
        <f>IFERROR(__xludf.DUMMYFUNCTION("""COMPUTED_VALUE"""),"la-xe")</f>
        <v>la-xe</v>
      </c>
      <c r="C2575" s="9" t="str">
        <f>IFERROR(__xludf.DUMMYFUNCTION("GOOGLETRANSLATE($A2575,""en"",""de"")"),"Xékong [Sékong]")</f>
        <v>Xékong [Sékong]</v>
      </c>
      <c r="D2575" s="9" t="str">
        <f>IFERROR(__xludf.DUMMYFUNCTION("GOOGLETRANSLATE($A2575,""en"",""fr"")"),"Xékong [Sékong]")</f>
        <v>Xékong [Sékong]</v>
      </c>
      <c r="E2575" s="9" t="str">
        <f>IFERROR(__xludf.DUMMYFUNCTION("GOOGLETRANSLATE($A2575,""en"",""es"")"),"Xékong [Sékong]")</f>
        <v>Xékong [Sékong]</v>
      </c>
      <c r="F2575" s="9" t="str">
        <f>IFERROR(__xludf.DUMMYFUNCTION("GOOGLETRANSLATE($A2575,""en"",""it"")"),"Xékong [Sékong]")</f>
        <v>Xékong [Sékong]</v>
      </c>
      <c r="G2575" s="9" t="str">
        <f>IFERROR(__xludf.DUMMYFUNCTION("GOOGLETRANSLATE($A2575,""en"",""zh-cn"")"),"塞贡 [Sékong]")</f>
        <v>塞贡 [Sékong]</v>
      </c>
      <c r="H2575" s="9" t="str">
        <f>IFERROR(__xludf.DUMMYFUNCTION("GOOGLETRANSLATE($A2575,""en"",""ja"")"),"Xékong [セコン]")</f>
        <v>Xékong [セコン]</v>
      </c>
      <c r="I2575" s="9" t="str">
        <f>IFERROR(__xludf.DUMMYFUNCTION("GOOGLETRANSLATE($A2575,""en"",""ko"")"),"Xékong [세콩]")</f>
        <v>Xékong [세콩]</v>
      </c>
      <c r="J2575" s="9" t="str">
        <f>IFERROR(__xludf.DUMMYFUNCTION("GOOGLETRANSLATE($A2575,""en"",""pt-BR"")"),"Xékong [Sékong]")</f>
        <v>Xékong [Sékong]</v>
      </c>
    </row>
    <row r="2576">
      <c r="A2576" s="9" t="str">
        <f>IFERROR(__xludf.DUMMYFUNCTION("""COMPUTED_VALUE"""),"Houaphan")</f>
        <v>Houaphan</v>
      </c>
      <c r="B2576" s="9" t="str">
        <f>IFERROR(__xludf.DUMMYFUNCTION("""COMPUTED_VALUE"""),"la-ho")</f>
        <v>la-ho</v>
      </c>
      <c r="C2576" s="9" t="str">
        <f>IFERROR(__xludf.DUMMYFUNCTION("GOOGLETRANSLATE($A2576,""en"",""de"")"),"Houaphan")</f>
        <v>Houaphan</v>
      </c>
      <c r="D2576" s="9" t="str">
        <f>IFERROR(__xludf.DUMMYFUNCTION("GOOGLETRANSLATE($A2576,""en"",""fr"")"),"Houaphan")</f>
        <v>Houaphan</v>
      </c>
      <c r="E2576" s="9" t="str">
        <f>IFERROR(__xludf.DUMMYFUNCTION("GOOGLETRANSLATE($A2576,""en"",""es"")"),"Houaphan")</f>
        <v>Houaphan</v>
      </c>
      <c r="F2576" s="9" t="str">
        <f>IFERROR(__xludf.DUMMYFUNCTION("GOOGLETRANSLATE($A2576,""en"",""it"")"),"Houaphan")</f>
        <v>Houaphan</v>
      </c>
      <c r="G2576" s="9" t="str">
        <f>IFERROR(__xludf.DUMMYFUNCTION("GOOGLETRANSLATE($A2576,""en"",""zh-cn"")"),"华潘")</f>
        <v>华潘</v>
      </c>
      <c r="H2576" s="9" t="str">
        <f>IFERROR(__xludf.DUMMYFUNCTION("GOOGLETRANSLATE($A2576,""en"",""ja"")"),"ホアファン")</f>
        <v>ホアファン</v>
      </c>
      <c r="I2576" s="9" t="str">
        <f>IFERROR(__xludf.DUMMYFUNCTION("GOOGLETRANSLATE($A2576,""en"",""ko"")"),"후아판")</f>
        <v>후아판</v>
      </c>
      <c r="J2576" s="9" t="str">
        <f>IFERROR(__xludf.DUMMYFUNCTION("GOOGLETRANSLATE($A2576,""en"",""pt-BR"")"),"Houaphan")</f>
        <v>Houaphan</v>
      </c>
    </row>
    <row r="2577">
      <c r="A2577" s="9" t="str">
        <f>IFERROR(__xludf.DUMMYFUNCTION("""COMPUTED_VALUE"""),"Phôngsali [Phong Saly]")</f>
        <v>Phôngsali [Phong Saly]</v>
      </c>
      <c r="B2577" s="9" t="str">
        <f>IFERROR(__xludf.DUMMYFUNCTION("""COMPUTED_VALUE"""),"la-ph")</f>
        <v>la-ph</v>
      </c>
      <c r="C2577" s="9" t="str">
        <f>IFERROR(__xludf.DUMMYFUNCTION("GOOGLETRANSLATE($A2577,""en"",""de"")"),"Phongsali [Phong Saly]")</f>
        <v>Phongsali [Phong Saly]</v>
      </c>
      <c r="D2577" s="9" t="str">
        <f>IFERROR(__xludf.DUMMYFUNCTION("GOOGLETRANSLATE($A2577,""en"",""fr"")"),"Phongsali [Phong Saly]")</f>
        <v>Phongsali [Phong Saly]</v>
      </c>
      <c r="E2577" s="9" t="str">
        <f>IFERROR(__xludf.DUMMYFUNCTION("GOOGLETRANSLATE($A2577,""en"",""es"")"),"Phôngsali [Phong Saly]")</f>
        <v>Phôngsali [Phong Saly]</v>
      </c>
      <c r="F2577" s="9" t="str">
        <f>IFERROR(__xludf.DUMMYFUNCTION("GOOGLETRANSLATE($A2577,""en"",""it"")"),"Phôngsali [Phong Saly]")</f>
        <v>Phôngsali [Phong Saly]</v>
      </c>
      <c r="G2577" s="9" t="str">
        <f>IFERROR(__xludf.DUMMYFUNCTION("GOOGLETRANSLATE($A2577,""en"",""zh-cn"")"),"丰沙里 [Phong Saly]")</f>
        <v>丰沙里 [Phong Saly]</v>
      </c>
      <c r="H2577" s="9" t="str">
        <f>IFERROR(__xludf.DUMMYFUNCTION("GOOGLETRANSLATE($A2577,""en"",""ja"")"),"Phôngsali [フォンサリー]")</f>
        <v>Phôngsali [フォンサリー]</v>
      </c>
      <c r="I2577" s="9" t="str">
        <f>IFERROR(__xludf.DUMMYFUNCTION("GOOGLETRANSLATE($A2577,""en"",""ko"")"),"퐁살리 [Phong Saly]")</f>
        <v>퐁살리 [Phong Saly]</v>
      </c>
      <c r="J2577" s="9" t="str">
        <f>IFERROR(__xludf.DUMMYFUNCTION("GOOGLETRANSLATE($A2577,""en"",""pt-BR"")"),"Phôngsali [Phong Saly]")</f>
        <v>Phôngsali [Phong Saly]</v>
      </c>
    </row>
    <row r="2578">
      <c r="A2578" s="9" t="str">
        <f>IFERROR(__xludf.DUMMYFUNCTION("""COMPUTED_VALUE"""),"Xaignabouli")</f>
        <v>Xaignabouli</v>
      </c>
      <c r="B2578" s="9" t="str">
        <f>IFERROR(__xludf.DUMMYFUNCTION("""COMPUTED_VALUE"""),"la-xa")</f>
        <v>la-xa</v>
      </c>
      <c r="C2578" s="9" t="str">
        <f>IFERROR(__xludf.DUMMYFUNCTION("GOOGLETRANSLATE($A2578,""en"",""de"")"),"Xaignabouli")</f>
        <v>Xaignabouli</v>
      </c>
      <c r="D2578" s="9" t="str">
        <f>IFERROR(__xludf.DUMMYFUNCTION("GOOGLETRANSLATE($A2578,""en"",""fr"")"),"Xaignabouli")</f>
        <v>Xaignabouli</v>
      </c>
      <c r="E2578" s="9" t="str">
        <f>IFERROR(__xludf.DUMMYFUNCTION("GOOGLETRANSLATE($A2578,""en"",""es"")"),"Xaignabouli")</f>
        <v>Xaignabouli</v>
      </c>
      <c r="F2578" s="9" t="str">
        <f>IFERROR(__xludf.DUMMYFUNCTION("GOOGLETRANSLATE($A2578,""en"",""it"")"),"Xaignabouli")</f>
        <v>Xaignabouli</v>
      </c>
      <c r="G2578" s="9" t="str">
        <f>IFERROR(__xludf.DUMMYFUNCTION("GOOGLETRANSLATE($A2578,""en"",""zh-cn"")"),"赛纳布利")</f>
        <v>赛纳布利</v>
      </c>
      <c r="H2578" s="9" t="str">
        <f>IFERROR(__xludf.DUMMYFUNCTION("GOOGLETRANSLATE($A2578,""en"",""ja"")"),"サイグナブーリ")</f>
        <v>サイグナブーリ</v>
      </c>
      <c r="I2578" s="9" t="str">
        <f>IFERROR(__xludf.DUMMYFUNCTION("GOOGLETRANSLATE($A2578,""en"",""ko"")"),"사이냐불리")</f>
        <v>사이냐불리</v>
      </c>
      <c r="J2578" s="9" t="str">
        <f>IFERROR(__xludf.DUMMYFUNCTION("GOOGLETRANSLATE($A2578,""en"",""pt-BR"")"),"Xaignbouli")</f>
        <v>Xaignbouli</v>
      </c>
    </row>
    <row r="2579">
      <c r="A2579" s="9" t="str">
        <f>IFERROR(__xludf.DUMMYFUNCTION("""COMPUTED_VALUE"""),"Vientiane (Prefecture)")</f>
        <v>Vientiane (Prefecture)</v>
      </c>
      <c r="B2579" s="9" t="str">
        <f>IFERROR(__xludf.DUMMYFUNCTION("""COMPUTED_VALUE"""),"la-vt")</f>
        <v>la-vt</v>
      </c>
      <c r="C2579" s="9" t="str">
        <f>IFERROR(__xludf.DUMMYFUNCTION("GOOGLETRANSLATE($A2579,""en"",""de"")"),"Vientiane (Präfektur)")</f>
        <v>Vientiane (Präfektur)</v>
      </c>
      <c r="D2579" s="9" t="str">
        <f>IFERROR(__xludf.DUMMYFUNCTION("GOOGLETRANSLATE($A2579,""en"",""fr"")"),"Vientiane (Préfecture)")</f>
        <v>Vientiane (Préfecture)</v>
      </c>
      <c r="E2579" s="9" t="str">
        <f>IFERROR(__xludf.DUMMYFUNCTION("GOOGLETRANSLATE($A2579,""en"",""es"")"),"Vientián (Prefectura)")</f>
        <v>Vientián (Prefectura)</v>
      </c>
      <c r="F2579" s="9" t="str">
        <f>IFERROR(__xludf.DUMMYFUNCTION("GOOGLETRANSLATE($A2579,""en"",""it"")"),"Vientiane (Prefettura)")</f>
        <v>Vientiane (Prefettura)</v>
      </c>
      <c r="G2579" s="9" t="str">
        <f>IFERROR(__xludf.DUMMYFUNCTION("GOOGLETRANSLATE($A2579,""en"",""zh-cn"")"),"万象（县）")</f>
        <v>万象（县）</v>
      </c>
      <c r="H2579" s="9" t="str">
        <f>IFERROR(__xludf.DUMMYFUNCTION("GOOGLETRANSLATE($A2579,""en"",""ja"")"),"ビエンチャン(県)")</f>
        <v>ビエンチャン(県)</v>
      </c>
      <c r="I2579" s="9" t="str">
        <f>IFERROR(__xludf.DUMMYFUNCTION("GOOGLETRANSLATE($A2579,""en"",""ko"")"),"비엔티안(현)")</f>
        <v>비엔티안(현)</v>
      </c>
      <c r="J2579" s="9" t="str">
        <f>IFERROR(__xludf.DUMMYFUNCTION("GOOGLETRANSLATE($A2579,""en"",""pt-BR"")"),"Vienciana (Prefeitura)")</f>
        <v>Vienciana (Prefeitura)</v>
      </c>
    </row>
    <row r="2580">
      <c r="A2580" s="9" t="str">
        <f>IFERROR(__xludf.DUMMYFUNCTION("""COMPUTED_VALUE"""),"Bolikhamxai [Borikhane]")</f>
        <v>Bolikhamxai [Borikhane]</v>
      </c>
      <c r="B2580" s="9" t="str">
        <f>IFERROR(__xludf.DUMMYFUNCTION("""COMPUTED_VALUE"""),"la-bl")</f>
        <v>la-bl</v>
      </c>
      <c r="C2580" s="9" t="str">
        <f>IFERROR(__xludf.DUMMYFUNCTION("GOOGLETRANSLATE($A2580,""en"",""de"")"),"Bolikhamxai [Borikhane]")</f>
        <v>Bolikhamxai [Borikhane]</v>
      </c>
      <c r="D2580" s="9" t="str">
        <f>IFERROR(__xludf.DUMMYFUNCTION("GOOGLETRANSLATE($A2580,""en"",""fr"")"),"Bolikhamxai [Borikhane]")</f>
        <v>Bolikhamxai [Borikhane]</v>
      </c>
      <c r="E2580" s="9" t="str">
        <f>IFERROR(__xludf.DUMMYFUNCTION("GOOGLETRANSLATE($A2580,""en"",""es"")"),"Bolikhamxai [Borikhane]")</f>
        <v>Bolikhamxai [Borikhane]</v>
      </c>
      <c r="F2580" s="9" t="str">
        <f>IFERROR(__xludf.DUMMYFUNCTION("GOOGLETRANSLATE($A2580,""en"",""it"")"),"Bolikhamxai [Borikhane]")</f>
        <v>Bolikhamxai [Borikhane]</v>
      </c>
      <c r="G2580" s="9" t="str">
        <f>IFERROR(__xludf.DUMMYFUNCTION("GOOGLETRANSLATE($A2580,""en"",""zh-cn"")"),"博里坎赛 [Borikhane]")</f>
        <v>博里坎赛 [Borikhane]</v>
      </c>
      <c r="H2580" s="9" t="str">
        <f>IFERROR(__xludf.DUMMYFUNCTION("GOOGLETRANSLATE($A2580,""en"",""ja"")"),"ボリカムサイ [ボリカン]")</f>
        <v>ボリカムサイ [ボリカン]</v>
      </c>
      <c r="I2580" s="9" t="str">
        <f>IFERROR(__xludf.DUMMYFUNCTION("GOOGLETRANSLATE($A2580,""en"",""ko"")"),"볼리캄사이 [보리칸]")</f>
        <v>볼리캄사이 [보리칸]</v>
      </c>
      <c r="J2580" s="9" t="str">
        <f>IFERROR(__xludf.DUMMYFUNCTION("GOOGLETRANSLATE($A2580,""en"",""pt-BR"")"),"Bolikhamxai [Borikhane]")</f>
        <v>Bolikhamxai [Borikhane]</v>
      </c>
    </row>
    <row r="2581">
      <c r="A2581" s="9" t="str">
        <f>IFERROR(__xludf.DUMMYFUNCTION("""COMPUTED_VALUE"""),"Louang Namtha")</f>
        <v>Louang Namtha</v>
      </c>
      <c r="B2581" s="9" t="str">
        <f>IFERROR(__xludf.DUMMYFUNCTION("""COMPUTED_VALUE"""),"la-lm")</f>
        <v>la-lm</v>
      </c>
      <c r="C2581" s="9" t="str">
        <f>IFERROR(__xludf.DUMMYFUNCTION("GOOGLETRANSLATE($A2581,""en"",""de"")"),"Louang Namtha")</f>
        <v>Louang Namtha</v>
      </c>
      <c r="D2581" s="9" t="str">
        <f>IFERROR(__xludf.DUMMYFUNCTION("GOOGLETRANSLATE($A2581,""en"",""fr"")"),"Louang Namtha")</f>
        <v>Louang Namtha</v>
      </c>
      <c r="E2581" s="9" t="str">
        <f>IFERROR(__xludf.DUMMYFUNCTION("GOOGLETRANSLATE($A2581,""en"",""es"")"),"Louang Namtha")</f>
        <v>Louang Namtha</v>
      </c>
      <c r="F2581" s="9" t="str">
        <f>IFERROR(__xludf.DUMMYFUNCTION("GOOGLETRANSLATE($A2581,""en"",""it"")"),"Louang Namtha")</f>
        <v>Louang Namtha</v>
      </c>
      <c r="G2581" s="9" t="str">
        <f>IFERROR(__xludf.DUMMYFUNCTION("GOOGLETRANSLATE($A2581,""en"",""zh-cn"")"),"琅南塔")</f>
        <v>琅南塔</v>
      </c>
      <c r="H2581" s="9" t="str">
        <f>IFERROR(__xludf.DUMMYFUNCTION("GOOGLETRANSLATE($A2581,""en"",""ja"")"),"ルアンナムター")</f>
        <v>ルアンナムター</v>
      </c>
      <c r="I2581" s="9" t="str">
        <f>IFERROR(__xludf.DUMMYFUNCTION("GOOGLETRANSLATE($A2581,""en"",""ko"")"),"루앙 남타")</f>
        <v>루앙 남타</v>
      </c>
      <c r="J2581" s="9" t="str">
        <f>IFERROR(__xludf.DUMMYFUNCTION("GOOGLETRANSLATE($A2581,""en"",""pt-BR"")"),"Louang Namtha")</f>
        <v>Louang Namtha</v>
      </c>
    </row>
    <row r="2582">
      <c r="A2582" s="9" t="str">
        <f>IFERROR(__xludf.DUMMYFUNCTION("""COMPUTED_VALUE"""),"Champasak [Champassak]")</f>
        <v>Champasak [Champassak]</v>
      </c>
      <c r="B2582" s="9" t="str">
        <f>IFERROR(__xludf.DUMMYFUNCTION("""COMPUTED_VALUE"""),"la-ch")</f>
        <v>la-ch</v>
      </c>
      <c r="C2582" s="9" t="str">
        <f>IFERROR(__xludf.DUMMYFUNCTION("GOOGLETRANSLATE($A2582,""en"",""de"")"),"Champasak [Champassak]")</f>
        <v>Champasak [Champassak]</v>
      </c>
      <c r="D2582" s="9" t="str">
        <f>IFERROR(__xludf.DUMMYFUNCTION("GOOGLETRANSLATE($A2582,""en"",""fr"")"),"Champassak [Champassak]")</f>
        <v>Champassak [Champassak]</v>
      </c>
      <c r="E2582" s="9" t="str">
        <f>IFERROR(__xludf.DUMMYFUNCTION("GOOGLETRANSLATE($A2582,""en"",""es"")"),"Champasak [Champasak]")</f>
        <v>Champasak [Champasak]</v>
      </c>
      <c r="F2582" s="9" t="str">
        <f>IFERROR(__xludf.DUMMYFUNCTION("GOOGLETRANSLATE($A2582,""en"",""it"")"),"Champasak [Champasak]")</f>
        <v>Champasak [Champasak]</v>
      </c>
      <c r="G2582" s="9" t="str">
        <f>IFERROR(__xludf.DUMMYFUNCTION("GOOGLETRANSLATE($A2582,""en"",""zh-cn"")"),"占巴色 [占巴色]")</f>
        <v>占巴色 [占巴色]</v>
      </c>
      <c r="H2582" s="9" t="str">
        <f>IFERROR(__xludf.DUMMYFUNCTION("GOOGLETRANSLATE($A2582,""en"",""ja"")"),"チャンパサック [チャンパサック]")</f>
        <v>チャンパサック [チャンパサック]</v>
      </c>
      <c r="I2582" s="9" t="str">
        <f>IFERROR(__xludf.DUMMYFUNCTION("GOOGLETRANSLATE($A2582,""en"",""ko"")"),"참빠삭 [Champassak]")</f>
        <v>참빠삭 [Champassak]</v>
      </c>
      <c r="J2582" s="9" t="str">
        <f>IFERROR(__xludf.DUMMYFUNCTION("GOOGLETRANSLATE($A2582,""en"",""pt-BR"")"),"Champasak [Champassak]")</f>
        <v>Champasak [Champassak]</v>
      </c>
    </row>
    <row r="2583">
      <c r="A2583" s="9" t="str">
        <f>IFERROR(__xludf.DUMMYFUNCTION("""COMPUTED_VALUE"""),"Louangphabang [Louang Prabang]")</f>
        <v>Louangphabang [Louang Prabang]</v>
      </c>
      <c r="B2583" s="9" t="str">
        <f>IFERROR(__xludf.DUMMYFUNCTION("""COMPUTED_VALUE"""),"la-lp")</f>
        <v>la-lp</v>
      </c>
      <c r="C2583" s="9" t="str">
        <f>IFERROR(__xludf.DUMMYFUNCTION("GOOGLETRANSLATE($A2583,""en"",""de"")"),"Louangphabang [Louang Prabang]")</f>
        <v>Louangphabang [Louang Prabang]</v>
      </c>
      <c r="D2583" s="9" t="str">
        <f>IFERROR(__xludf.DUMMYFUNCTION("GOOGLETRANSLATE($A2583,""en"",""fr"")"),"Louangphabang [Louang Prabang]")</f>
        <v>Louangphabang [Louang Prabang]</v>
      </c>
      <c r="E2583" s="9" t="str">
        <f>IFERROR(__xludf.DUMMYFUNCTION("GOOGLETRANSLATE($A2583,""en"",""es"")"),"Louang Fabang [Louang Prabang]")</f>
        <v>Louang Fabang [Louang Prabang]</v>
      </c>
      <c r="F2583" s="9" t="str">
        <f>IFERROR(__xludf.DUMMYFUNCTION("GOOGLETRANSLATE($A2583,""en"",""it"")"),"Louangphabang [Louang Prabang]")</f>
        <v>Louangphabang [Louang Prabang]</v>
      </c>
      <c r="G2583" s="9" t="str">
        <f>IFERROR(__xludf.DUMMYFUNCTION("GOOGLETRANSLATE($A2583,""en"",""zh-cn"")"),"琅勃拉邦 [琅勃拉邦]")</f>
        <v>琅勃拉邦 [琅勃拉邦]</v>
      </c>
      <c r="H2583" s="9" t="str">
        <f>IFERROR(__xludf.DUMMYFUNCTION("GOOGLETRANSLATE($A2583,""en"",""ja"")"),"ルアンパバーン [ルアンパバーン]")</f>
        <v>ルアンパバーン [ルアンパバーン]</v>
      </c>
      <c r="I2583" s="9" t="str">
        <f>IFERROR(__xludf.DUMMYFUNCTION("GOOGLETRANSLATE($A2583,""en"",""ko"")"),"루앙프라방 [루앙프라방]")</f>
        <v>루앙프라방 [루앙프라방]</v>
      </c>
      <c r="J2583" s="9" t="str">
        <f>IFERROR(__xludf.DUMMYFUNCTION("GOOGLETRANSLATE($A2583,""en"",""pt-BR"")"),"Louangphabang [Louang Prabang]")</f>
        <v>Louangphabang [Louang Prabang]</v>
      </c>
    </row>
    <row r="2584">
      <c r="A2584" s="9" t="str">
        <f>IFERROR(__xludf.DUMMYFUNCTION("""COMPUTED_VALUE"""),"Xiangkhoang [Xieng Khouang]")</f>
        <v>Xiangkhoang [Xieng Khouang]</v>
      </c>
      <c r="B2584" s="9" t="str">
        <f>IFERROR(__xludf.DUMMYFUNCTION("""COMPUTED_VALUE"""),"la-xi")</f>
        <v>la-xi</v>
      </c>
      <c r="C2584" s="9" t="str">
        <f>IFERROR(__xludf.DUMMYFUNCTION("GOOGLETRANSLATE($A2584,""en"",""de"")"),"Xiangkhoang [Xieng Khouang]")</f>
        <v>Xiangkhoang [Xieng Khouang]</v>
      </c>
      <c r="D2584" s="9" t="str">
        <f>IFERROR(__xludf.DUMMYFUNCTION("GOOGLETRANSLATE($A2584,""en"",""fr"")"),"Xiangkhoang [Xieng Khouang]")</f>
        <v>Xiangkhoang [Xieng Khouang]</v>
      </c>
      <c r="E2584" s="9" t="str">
        <f>IFERROR(__xludf.DUMMYFUNCTION("GOOGLETRANSLATE($A2584,""en"",""es"")"),"Xiangkhoang [Xieng Khouang]")</f>
        <v>Xiangkhoang [Xieng Khouang]</v>
      </c>
      <c r="F2584" s="9" t="str">
        <f>IFERROR(__xludf.DUMMYFUNCTION("GOOGLETRANSLATE($A2584,""en"",""it"")"),"Xiangkhoang [Xieng Khouang]")</f>
        <v>Xiangkhoang [Xieng Khouang]</v>
      </c>
      <c r="G2584" s="9" t="str">
        <f>IFERROR(__xludf.DUMMYFUNCTION("GOOGLETRANSLATE($A2584,""en"",""zh-cn"")"),"川圹 [Xieng Khouang]")</f>
        <v>川圹 [Xieng Khouang]</v>
      </c>
      <c r="H2584" s="9" t="str">
        <f>IFERROR(__xludf.DUMMYFUNCTION("GOOGLETRANSLATE($A2584,""en"",""ja"")"),"シャンクアン [シエンクアン]")</f>
        <v>シャンクアン [シエンクアン]</v>
      </c>
      <c r="I2584" s="9" t="str">
        <f>IFERROR(__xludf.DUMMYFUNCTION("GOOGLETRANSLATE($A2584,""en"",""ko"")"),"Xiangkhoang [Xieng Khouang]")</f>
        <v>Xiangkhoang [Xieng Khouang]</v>
      </c>
      <c r="J2584" s="9" t="str">
        <f>IFERROR(__xludf.DUMMYFUNCTION("GOOGLETRANSLATE($A2584,""en"",""pt-BR"")"),"Xiangkhoang [Xieng Khouang]")</f>
        <v>Xiangkhoang [Xieng Khouang]</v>
      </c>
    </row>
    <row r="2585">
      <c r="A2585" s="9" t="str">
        <f>IFERROR(__xludf.DUMMYFUNCTION("""COMPUTED_VALUE"""),"Rēzeknes novads")</f>
        <v>Rēzeknes novads</v>
      </c>
      <c r="B2585" s="9" t="str">
        <f>IFERROR(__xludf.DUMMYFUNCTION("""COMPUTED_VALUE"""),"lv-077")</f>
        <v>lv-077</v>
      </c>
      <c r="C2585" s="9" t="str">
        <f>IFERROR(__xludf.DUMMYFUNCTION("GOOGLETRANSLATE($A2585,""en"",""de"")"),"Rēzeknes novads")</f>
        <v>Rēzeknes novads</v>
      </c>
      <c r="D2585" s="9" t="str">
        <f>IFERROR(__xludf.DUMMYFUNCTION("GOOGLETRANSLATE($A2585,""en"",""fr"")"),"Novads de Rezeknes")</f>
        <v>Novads de Rezeknes</v>
      </c>
      <c r="E2585" s="9" t="str">
        <f>IFERROR(__xludf.DUMMYFUNCTION("GOOGLETRANSLATE($A2585,""en"",""es"")"),"Rēzeknes novads")</f>
        <v>Rēzeknes novads</v>
      </c>
      <c r="F2585" s="9" t="str">
        <f>IFERROR(__xludf.DUMMYFUNCTION("GOOGLETRANSLATE($A2585,""en"",""it"")"),"Rēzeknes novads")</f>
        <v>Rēzeknes novads</v>
      </c>
      <c r="G2585" s="9" t="str">
        <f>IFERROR(__xludf.DUMMYFUNCTION("GOOGLETRANSLATE($A2585,""en"",""zh-cn"")"),"雷泽克内斯新星")</f>
        <v>雷泽克内斯新星</v>
      </c>
      <c r="H2585" s="9" t="str">
        <f>IFERROR(__xludf.DUMMYFUNCTION("GOOGLETRANSLATE($A2585,""en"",""ja"")"),"レゼクネスの新星")</f>
        <v>レゼクネスの新星</v>
      </c>
      <c r="I2585" s="9" t="str">
        <f>IFERROR(__xludf.DUMMYFUNCTION("GOOGLETRANSLATE($A2585,""en"",""ko"")"),"Rēzeknes 노바드")</f>
        <v>Rēzeknes 노바드</v>
      </c>
      <c r="J2585" s="9" t="str">
        <f>IFERROR(__xludf.DUMMYFUNCTION("GOOGLETRANSLATE($A2585,""en"",""pt-BR"")"),"Rēzeknes novads")</f>
        <v>Rēzeknes novads</v>
      </c>
    </row>
    <row r="2586">
      <c r="A2586" s="9" t="str">
        <f>IFERROR(__xludf.DUMMYFUNCTION("""COMPUTED_VALUE"""),"Pārgaujas novads (Pārgauja)")</f>
        <v>Pārgaujas novads (Pārgauja)</v>
      </c>
      <c r="B2586" s="9" t="str">
        <f>IFERROR(__xludf.DUMMYFUNCTION("""COMPUTED_VALUE"""),"lv-070")</f>
        <v>lv-070</v>
      </c>
      <c r="C2586" s="9" t="str">
        <f>IFERROR(__xludf.DUMMYFUNCTION("GOOGLETRANSLATE($A2586,""en"",""de"")"),"Pārgaujas novads (Pārgauja)")</f>
        <v>Pārgaujas novads (Pārgauja)</v>
      </c>
      <c r="D2586" s="9" t="str">
        <f>IFERROR(__xludf.DUMMYFUNCTION("GOOGLETRANSLATE($A2586,""en"",""fr"")"),"Pārgaujas novads (Pārgauja)")</f>
        <v>Pārgaujas novads (Pārgauja)</v>
      </c>
      <c r="E2586" s="9" t="str">
        <f>IFERROR(__xludf.DUMMYFUNCTION("GOOGLETRANSLATE($A2586,""en"",""es"")"),"Pārgaujas novads (Pārgauja)")</f>
        <v>Pārgaujas novads (Pārgauja)</v>
      </c>
      <c r="F2586" s="9" t="str">
        <f>IFERROR(__xludf.DUMMYFUNCTION("GOOGLETRANSLATE($A2586,""en"",""it"")"),"Pargaujas novads (Pārgauja)")</f>
        <v>Pargaujas novads (Pārgauja)</v>
      </c>
      <c r="G2586" s="9" t="str">
        <f>IFERROR(__xludf.DUMMYFUNCTION("GOOGLETRANSLATE($A2586,""en"",""zh-cn"")"),"帕尔高雅新星 (Pārgauja)")</f>
        <v>帕尔高雅新星 (Pārgauja)</v>
      </c>
      <c r="H2586" s="9" t="str">
        <f>IFERROR(__xludf.DUMMYFUNCTION("GOOGLETRANSLATE($A2586,""en"",""ja"")"),"パールガウヤの新星 (パールガウヤ)")</f>
        <v>パールガウヤの新星 (パールガウヤ)</v>
      </c>
      <c r="I2586" s="9" t="str">
        <f>IFERROR(__xludf.DUMMYFUNCTION("GOOGLETRANSLATE($A2586,""en"",""ko"")"),"Pārgaujas novads(파르가우자)")</f>
        <v>Pārgaujas novads(파르가우자)</v>
      </c>
      <c r="J2586" s="9" t="str">
        <f>IFERROR(__xludf.DUMMYFUNCTION("GOOGLETRANSLATE($A2586,""en"",""pt-BR"")"),"Pārgaujas novads (Pārgauja)")</f>
        <v>Pārgaujas novads (Pārgauja)</v>
      </c>
    </row>
    <row r="2587">
      <c r="A2587" s="9" t="str">
        <f>IFERROR(__xludf.DUMMYFUNCTION("""COMPUTED_VALUE"""),"Viesītes novads (Viesīte)")</f>
        <v>Viesītes novads (Viesīte)</v>
      </c>
      <c r="B2587" s="9" t="str">
        <f>IFERROR(__xludf.DUMMYFUNCTION("""COMPUTED_VALUE"""),"lv-107")</f>
        <v>lv-107</v>
      </c>
      <c r="C2587" s="9" t="str">
        <f>IFERROR(__xludf.DUMMYFUNCTION("GOOGLETRANSLATE($A2587,""en"",""de"")"),"Viesītes novads (Viesīte)")</f>
        <v>Viesītes novads (Viesīte)</v>
      </c>
      <c r="D2587" s="9" t="str">
        <f>IFERROR(__xludf.DUMMYFUNCTION("GOOGLETRANSLATE($A2587,""en"",""fr"")"),"Viesītes novads (Viesīte)")</f>
        <v>Viesītes novads (Viesīte)</v>
      </c>
      <c r="E2587" s="9" t="str">
        <f>IFERROR(__xludf.DUMMYFUNCTION("GOOGLETRANSLATE($A2587,""en"",""es"")"),"Viesītes novads (Viesīte)")</f>
        <v>Viesītes novads (Viesīte)</v>
      </c>
      <c r="F2587" s="9" t="str">
        <f>IFERROR(__xludf.DUMMYFUNCTION("GOOGLETRANSLATE($A2587,""en"",""it"")"),"Viesītes novads (Viesīte)")</f>
        <v>Viesītes novads (Viesīte)</v>
      </c>
      <c r="G2587" s="9" t="str">
        <f>IFERROR(__xludf.DUMMYFUNCTION("GOOGLETRANSLATE($A2587,""en"",""zh-cn"")"),"维耶斯新星 (Viesīte)")</f>
        <v>维耶斯新星 (Viesīte)</v>
      </c>
      <c r="H2587" s="9" t="str">
        <f>IFERROR(__xludf.DUMMYFUNCTION("GOOGLETRANSLATE($A2587,""en"",""ja"")"),"Viesītes novads (ヴィエシテ)")</f>
        <v>Viesītes novads (ヴィエシテ)</v>
      </c>
      <c r="I2587" s="9" t="str">
        <f>IFERROR(__xludf.DUMMYFUNCTION("GOOGLETRANSLATE($A2587,""en"",""ko"")"),"Viesītes novads (Viesīte)")</f>
        <v>Viesītes novads (Viesīte)</v>
      </c>
      <c r="J2587" s="9" t="str">
        <f>IFERROR(__xludf.DUMMYFUNCTION("GOOGLETRANSLATE($A2587,""en"",""pt-BR"")"),"Viesītes novads (Viesīte)")</f>
        <v>Viesītes novads (Viesīte)</v>
      </c>
    </row>
    <row r="2588">
      <c r="A2588" s="9" t="str">
        <f>IFERROR(__xludf.DUMMYFUNCTION("""COMPUTED_VALUE"""),"Mārupes novads")</f>
        <v>Mārupes novads</v>
      </c>
      <c r="B2588" s="9" t="str">
        <f>IFERROR(__xludf.DUMMYFUNCTION("""COMPUTED_VALUE"""),"lv-062")</f>
        <v>lv-062</v>
      </c>
      <c r="C2588" s="9" t="str">
        <f>IFERROR(__xludf.DUMMYFUNCTION("GOOGLETRANSLATE($A2588,""en"",""de"")"),"Mārupes novads")</f>
        <v>Mārupes novads</v>
      </c>
      <c r="D2588" s="9" t="str">
        <f>IFERROR(__xludf.DUMMYFUNCTION("GOOGLETRANSLATE($A2588,""en"",""fr"")"),"Marupes novads")</f>
        <v>Marupes novads</v>
      </c>
      <c r="E2588" s="9" t="str">
        <f>IFERROR(__xludf.DUMMYFUNCTION("GOOGLETRANSLATE($A2588,""en"",""es"")"),"Mārupes novads")</f>
        <v>Mārupes novads</v>
      </c>
      <c r="F2588" s="9" t="str">
        <f>IFERROR(__xludf.DUMMYFUNCTION("GOOGLETRANSLATE($A2588,""en"",""it"")"),"Marupes novads")</f>
        <v>Marupes novads</v>
      </c>
      <c r="G2588" s="9" t="str">
        <f>IFERROR(__xludf.DUMMYFUNCTION("GOOGLETRANSLATE($A2588,""en"",""zh-cn"")"),"马鲁佩斯新星")</f>
        <v>马鲁佩斯新星</v>
      </c>
      <c r="H2588" s="9" t="str">
        <f>IFERROR(__xludf.DUMMYFUNCTION("GOOGLETRANSLATE($A2588,""en"",""ja"")"),"マルペス・ノヴァド")</f>
        <v>マルペス・ノヴァド</v>
      </c>
      <c r="I2588" s="9" t="str">
        <f>IFERROR(__xludf.DUMMYFUNCTION("GOOGLETRANSLATE($A2588,""en"",""ko"")"),"마루페스 노바드")</f>
        <v>마루페스 노바드</v>
      </c>
      <c r="J2588" s="9" t="str">
        <f>IFERROR(__xludf.DUMMYFUNCTION("GOOGLETRANSLATE($A2588,""en"",""pt-BR"")"),"Mārupes novads")</f>
        <v>Mārupes novads</v>
      </c>
    </row>
    <row r="2589">
      <c r="A2589" s="9" t="str">
        <f>IFERROR(__xludf.DUMMYFUNCTION("""COMPUTED_VALUE"""),"Baltinavas novads (Baltinava)")</f>
        <v>Baltinavas novads (Baltinava)</v>
      </c>
      <c r="B2589" s="9" t="str">
        <f>IFERROR(__xludf.DUMMYFUNCTION("""COMPUTED_VALUE"""),"lv-014")</f>
        <v>lv-014</v>
      </c>
      <c r="C2589" s="9" t="str">
        <f>IFERROR(__xludf.DUMMYFUNCTION("GOOGLETRANSLATE($A2589,""en"",""de"")"),"Baltinavas novads (Baltinava)")</f>
        <v>Baltinavas novads (Baltinava)</v>
      </c>
      <c r="D2589" s="9" t="str">
        <f>IFERROR(__xludf.DUMMYFUNCTION("GOOGLETRANSLATE($A2589,""en"",""fr"")"),"Baltinavas novads (Baltinava)")</f>
        <v>Baltinavas novads (Baltinava)</v>
      </c>
      <c r="E2589" s="9" t="str">
        <f>IFERROR(__xludf.DUMMYFUNCTION("GOOGLETRANSLATE($A2589,""en"",""es"")"),"Baltinavas novads (Baltinava)")</f>
        <v>Baltinavas novads (Baltinava)</v>
      </c>
      <c r="F2589" s="9" t="str">
        <f>IFERROR(__xludf.DUMMYFUNCTION("GOOGLETRANSLATE($A2589,""en"",""it"")"),"Baltinavas novads (Baltinava)")</f>
        <v>Baltinavas novads (Baltinava)</v>
      </c>
      <c r="G2589" s="9" t="str">
        <f>IFERROR(__xludf.DUMMYFUNCTION("GOOGLETRANSLATE($A2589,""en"",""zh-cn"")"),"巴尔蒂纳瓦新星 (巴尔蒂纳瓦)")</f>
        <v>巴尔蒂纳瓦新星 (巴尔蒂纳瓦)</v>
      </c>
      <c r="H2589" s="9" t="str">
        <f>IFERROR(__xludf.DUMMYFUNCTION("GOOGLETRANSLATE($A2589,""en"",""ja"")"),"Baltinavas novads (バルティナヴァ)")</f>
        <v>Baltinavas novads (バルティナヴァ)</v>
      </c>
      <c r="I2589" s="9" t="str">
        <f>IFERROR(__xludf.DUMMYFUNCTION("GOOGLETRANSLATE($A2589,""en"",""ko"")"),"발티나바스 노바드(Baltinava)")</f>
        <v>발티나바스 노바드(Baltinava)</v>
      </c>
      <c r="J2589" s="9" t="str">
        <f>IFERROR(__xludf.DUMMYFUNCTION("GOOGLETRANSLATE($A2589,""en"",""pt-BR"")"),"Baltinavas novads (Baltinava)")</f>
        <v>Baltinavas novads (Baltinava)</v>
      </c>
    </row>
    <row r="2590">
      <c r="A2590" s="9" t="str">
        <f>IFERROR(__xludf.DUMMYFUNCTION("""COMPUTED_VALUE"""),"Dundagas novads (Dundaga)")</f>
        <v>Dundagas novads (Dundaga)</v>
      </c>
      <c r="B2590" s="9" t="str">
        <f>IFERROR(__xludf.DUMMYFUNCTION("""COMPUTED_VALUE"""),"lv-027")</f>
        <v>lv-027</v>
      </c>
      <c r="C2590" s="9" t="str">
        <f>IFERROR(__xludf.DUMMYFUNCTION("GOOGLETRANSLATE($A2590,""en"",""de"")"),"Dundagas Novads (Dundaga)")</f>
        <v>Dundagas Novads (Dundaga)</v>
      </c>
      <c r="D2590" s="9" t="str">
        <f>IFERROR(__xludf.DUMMYFUNCTION("GOOGLETRANSLATE($A2590,""en"",""fr"")"),"Dundagas novads (Dundaga)")</f>
        <v>Dundagas novads (Dundaga)</v>
      </c>
      <c r="E2590" s="9" t="str">
        <f>IFERROR(__xludf.DUMMYFUNCTION("GOOGLETRANSLATE($A2590,""en"",""es"")"),"Novads de Dundagas (Dundaga)")</f>
        <v>Novads de Dundagas (Dundaga)</v>
      </c>
      <c r="F2590" s="9" t="str">
        <f>IFERROR(__xludf.DUMMYFUNCTION("GOOGLETRANSLATE($A2590,""en"",""it"")"),"Dundagas novad (Dundaga)")</f>
        <v>Dundagas novad (Dundaga)</v>
      </c>
      <c r="G2590" s="9" t="str">
        <f>IFERROR(__xludf.DUMMYFUNCTION("GOOGLETRANSLATE($A2590,""en"",""zh-cn"")"),"邓达加新星 (Dundaga)")</f>
        <v>邓达加新星 (Dundaga)</v>
      </c>
      <c r="H2590" s="9" t="str">
        <f>IFERROR(__xludf.DUMMYFUNCTION("GOOGLETRANSLATE($A2590,""en"",""ja"")"),"ドゥンダガス ノヴァズ (ドゥンダガ)")</f>
        <v>ドゥンダガス ノヴァズ (ドゥンダガ)</v>
      </c>
      <c r="I2590" s="9" t="str">
        <f>IFERROR(__xludf.DUMMYFUNCTION("GOOGLETRANSLATE($A2590,""en"",""ko"")"),"던다가스 노바드(Dundaga)")</f>
        <v>던다가스 노바드(Dundaga)</v>
      </c>
      <c r="J2590" s="9" t="str">
        <f>IFERROR(__xludf.DUMMYFUNCTION("GOOGLETRANSLATE($A2590,""en"",""pt-BR"")"),"Dundagas novads (Dundaga)")</f>
        <v>Dundagas novads (Dundaga)</v>
      </c>
    </row>
    <row r="2591">
      <c r="A2591" s="9" t="str">
        <f>IFERROR(__xludf.DUMMYFUNCTION("""COMPUTED_VALUE"""),"Priekules novads (Priekule)")</f>
        <v>Priekules novads (Priekule)</v>
      </c>
      <c r="B2591" s="9" t="str">
        <f>IFERROR(__xludf.DUMMYFUNCTION("""COMPUTED_VALUE"""),"lv-074")</f>
        <v>lv-074</v>
      </c>
      <c r="C2591" s="9" t="str">
        <f>IFERROR(__xludf.DUMMYFUNCTION("GOOGLETRANSLATE($A2591,""en"",""de"")"),"Priekules novads (Priekule)")</f>
        <v>Priekules novads (Priekule)</v>
      </c>
      <c r="D2591" s="9" t="str">
        <f>IFERROR(__xludf.DUMMYFUNCTION("GOOGLETRANSLATE($A2591,""en"",""fr"")"),"Priekules novads (Priekule)")</f>
        <v>Priekules novads (Priekule)</v>
      </c>
      <c r="E2591" s="9" t="str">
        <f>IFERROR(__xludf.DUMMYFUNCTION("GOOGLETRANSLATE($A2591,""en"",""es"")"),"Priekules novads (Priekule)")</f>
        <v>Priekules novads (Priekule)</v>
      </c>
      <c r="F2591" s="9" t="str">
        <f>IFERROR(__xludf.DUMMYFUNCTION("GOOGLETRANSLATE($A2591,""en"",""it"")"),"Priekules novads (Priekule)")</f>
        <v>Priekules novads (Priekule)</v>
      </c>
      <c r="G2591" s="9" t="str">
        <f>IFERROR(__xludf.DUMMYFUNCTION("GOOGLETRANSLATE($A2591,""en"",""zh-cn"")"),"普里库勒斯新星 (Priekule)")</f>
        <v>普里库勒斯新星 (Priekule)</v>
      </c>
      <c r="H2591" s="9" t="str">
        <f>IFERROR(__xludf.DUMMYFUNCTION("GOOGLETRANSLATE($A2591,""en"",""ja"")"),"プリエクルの新星 (プリエクル)")</f>
        <v>プリエクルの新星 (プリエクル)</v>
      </c>
      <c r="I2591" s="9" t="str">
        <f>IFERROR(__xludf.DUMMYFUNCTION("GOOGLETRANSLATE($A2591,""en"",""ko"")"),"Priekules novads (Priekule)")</f>
        <v>Priekules novads (Priekule)</v>
      </c>
      <c r="J2591" s="9" t="str">
        <f>IFERROR(__xludf.DUMMYFUNCTION("GOOGLETRANSLATE($A2591,""en"",""pt-BR"")"),"Priekules novads (Priekule)")</f>
        <v>Priekules novads (Priekule)</v>
      </c>
    </row>
    <row r="2592">
      <c r="A2592" s="9" t="str">
        <f>IFERROR(__xludf.DUMMYFUNCTION("""COMPUTED_VALUE"""),"Rūjienas novads (Rūjiena)")</f>
        <v>Rūjienas novads (Rūjiena)</v>
      </c>
      <c r="B2592" s="9" t="str">
        <f>IFERROR(__xludf.DUMMYFUNCTION("""COMPUTED_VALUE"""),"lv-084")</f>
        <v>lv-084</v>
      </c>
      <c r="C2592" s="9" t="str">
        <f>IFERROR(__xludf.DUMMYFUNCTION("GOOGLETRANSLATE($A2592,""en"",""de"")"),"Rūjienas novads (Rūjiena)")</f>
        <v>Rūjienas novads (Rūjiena)</v>
      </c>
      <c r="D2592" s="9" t="str">
        <f>IFERROR(__xludf.DUMMYFUNCTION("GOOGLETRANSLATE($A2592,""en"",""fr"")"),"Rūjienas novads (Rūjiena)")</f>
        <v>Rūjienas novads (Rūjiena)</v>
      </c>
      <c r="E2592" s="9" t="str">
        <f>IFERROR(__xludf.DUMMYFUNCTION("GOOGLETRANSLATE($A2592,""en"",""es"")"),"Rūjienas novads (Rūjiena)")</f>
        <v>Rūjienas novads (Rūjiena)</v>
      </c>
      <c r="F2592" s="9" t="str">
        <f>IFERROR(__xludf.DUMMYFUNCTION("GOOGLETRANSLATE($A2592,""en"",""it"")"),"Rūjienas novads (Rūjiena)")</f>
        <v>Rūjienas novads (Rūjiena)</v>
      </c>
      <c r="G2592" s="9" t="str">
        <f>IFERROR(__xludf.DUMMYFUNCTION("GOOGLETRANSLATE($A2592,""en"",""zh-cn"")"),"鲁杰纳斯新星 (Rūjiena)")</f>
        <v>鲁杰纳斯新星 (Rūjiena)</v>
      </c>
      <c r="H2592" s="9" t="str">
        <f>IFERROR(__xludf.DUMMYFUNCTION("GOOGLETRANSLATE($A2592,""en"",""ja"")"),"ルジエナス・ノヴァド (ルジエナ)")</f>
        <v>ルジエナス・ノヴァド (ルジエナ)</v>
      </c>
      <c r="I2592" s="9" t="str">
        <f>IFERROR(__xludf.DUMMYFUNCTION("GOOGLETRANSLATE($A2592,""en"",""ko"")"),"Rūjienas novads (Rūjiena)")</f>
        <v>Rūjienas novads (Rūjiena)</v>
      </c>
      <c r="J2592" s="9" t="str">
        <f>IFERROR(__xludf.DUMMYFUNCTION("GOOGLETRANSLATE($A2592,""en"",""pt-BR"")"),"Rūjienas novads (Rūjiena)")</f>
        <v>Rūjienas novads (Rūjiena)</v>
      </c>
    </row>
    <row r="2593">
      <c r="A2593" s="9" t="str">
        <f>IFERROR(__xludf.DUMMYFUNCTION("""COMPUTED_VALUE"""),"Lielvārdes novads (Lielvārde)")</f>
        <v>Lielvārdes novads (Lielvārde)</v>
      </c>
      <c r="B2593" s="9" t="str">
        <f>IFERROR(__xludf.DUMMYFUNCTION("""COMPUTED_VALUE"""),"lv-053")</f>
        <v>lv-053</v>
      </c>
      <c r="C2593" s="9" t="str">
        <f>IFERROR(__xludf.DUMMYFUNCTION("GOOGLETRANSLATE($A2593,""en"",""de"")"),"Lielvārdes novads (Lielvārde)")</f>
        <v>Lielvārdes novads (Lielvārde)</v>
      </c>
      <c r="D2593" s="9" t="str">
        <f>IFERROR(__xludf.DUMMYFUNCTION("GOOGLETRANSLATE($A2593,""en"",""fr"")"),"Lielvārdes novads (Lielvārde)")</f>
        <v>Lielvārdes novads (Lielvārde)</v>
      </c>
      <c r="E2593" s="9" t="str">
        <f>IFERROR(__xludf.DUMMYFUNCTION("GOOGLETRANSLATE($A2593,""en"",""es"")"),"Lielvārdes novads (Lielvārde)")</f>
        <v>Lielvārdes novads (Lielvārde)</v>
      </c>
      <c r="F2593" s="9" t="str">
        <f>IFERROR(__xludf.DUMMYFUNCTION("GOOGLETRANSLATE($A2593,""en"",""it"")"),"Lielvārdes novads (Lielvārde)")</f>
        <v>Lielvārdes novads (Lielvārde)</v>
      </c>
      <c r="G2593" s="9" t="str">
        <f>IFERROR(__xludf.DUMMYFUNCTION("GOOGLETRANSLATE($A2593,""en"",""zh-cn"")"),"Lielvārdes novads (Lielvārde)")</f>
        <v>Lielvārdes novads (Lielvārde)</v>
      </c>
      <c r="H2593" s="9" t="str">
        <f>IFERROR(__xludf.DUMMYFUNCTION("GOOGLETRANSLATE($A2593,""en"",""ja"")"),"Lielvārdes novads (リエルヴァルデ)")</f>
        <v>Lielvārdes novads (リエルヴァルデ)</v>
      </c>
      <c r="I2593" s="9" t="str">
        <f>IFERROR(__xludf.DUMMYFUNCTION("GOOGLETRANSLATE($A2593,""en"",""ko"")"),"Lielvārdes novads (Lielvārde)")</f>
        <v>Lielvārdes novads (Lielvārde)</v>
      </c>
      <c r="J2593" s="9" t="str">
        <f>IFERROR(__xludf.DUMMYFUNCTION("GOOGLETRANSLATE($A2593,""en"",""pt-BR"")"),"Lielvārdes novads (Lielvārde)")</f>
        <v>Lielvārdes novads (Lielvārde)</v>
      </c>
    </row>
    <row r="2594">
      <c r="A2594" s="9" t="str">
        <f>IFERROR(__xludf.DUMMYFUNCTION("""COMPUTED_VALUE"""),"Ropažu novads")</f>
        <v>Ropažu novads</v>
      </c>
      <c r="B2594" s="9" t="str">
        <f>IFERROR(__xludf.DUMMYFUNCTION("""COMPUTED_VALUE"""),"lv-080")</f>
        <v>lv-080</v>
      </c>
      <c r="C2594" s="9" t="str">
        <f>IFERROR(__xludf.DUMMYFUNCTION("GOOGLETRANSLATE($A2594,""en"",""de"")"),"Ropažu novads")</f>
        <v>Ropažu novads</v>
      </c>
      <c r="D2594" s="9" t="str">
        <f>IFERROR(__xludf.DUMMYFUNCTION("GOOGLETRANSLATE($A2594,""en"",""fr"")"),"Ropažu novads")</f>
        <v>Ropažu novads</v>
      </c>
      <c r="E2594" s="9" t="str">
        <f>IFERROR(__xludf.DUMMYFUNCTION("GOOGLETRANSLATE($A2594,""en"",""es"")"),"Ropažu novads")</f>
        <v>Ropažu novads</v>
      </c>
      <c r="F2594" s="9" t="str">
        <f>IFERROR(__xludf.DUMMYFUNCTION("GOOGLETRANSLATE($A2594,""en"",""it"")"),"Ropažu novads")</f>
        <v>Ropažu novads</v>
      </c>
      <c r="G2594" s="9" t="str">
        <f>IFERROR(__xludf.DUMMYFUNCTION("GOOGLETRANSLATE($A2594,""en"",""zh-cn"")"),"罗帕祖新星")</f>
        <v>罗帕祖新星</v>
      </c>
      <c r="H2594" s="9" t="str">
        <f>IFERROR(__xludf.DUMMYFUNCTION("GOOGLETRANSLATE($A2594,""en"",""ja"")"),"ロパジュ・ノヴァド")</f>
        <v>ロパジュ・ノヴァド</v>
      </c>
      <c r="I2594" s="9" t="str">
        <f>IFERROR(__xludf.DUMMYFUNCTION("GOOGLETRANSLATE($A2594,""en"",""ko"")"),"로파주 노바드")</f>
        <v>로파주 노바드</v>
      </c>
      <c r="J2594" s="9" t="str">
        <f>IFERROR(__xludf.DUMMYFUNCTION("GOOGLETRANSLATE($A2594,""en"",""pt-BR"")"),"Ropažu novads")</f>
        <v>Ropažu novads</v>
      </c>
    </row>
    <row r="2595">
      <c r="A2595" s="9" t="str">
        <f>IFERROR(__xludf.DUMMYFUNCTION("""COMPUTED_VALUE"""),"Cēsu novads")</f>
        <v>Cēsu novads</v>
      </c>
      <c r="B2595" s="9" t="str">
        <f>IFERROR(__xludf.DUMMYFUNCTION("""COMPUTED_VALUE"""),"lv-022")</f>
        <v>lv-022</v>
      </c>
      <c r="C2595" s="9" t="str">
        <f>IFERROR(__xludf.DUMMYFUNCTION("GOOGLETRANSLATE($A2595,""en"",""de"")"),"Cēsu novads")</f>
        <v>Cēsu novads</v>
      </c>
      <c r="D2595" s="9" t="str">
        <f>IFERROR(__xludf.DUMMYFUNCTION("GOOGLETRANSLATE($A2595,""en"",""fr"")"),"Cēsu novads")</f>
        <v>Cēsu novads</v>
      </c>
      <c r="E2595" s="9" t="str">
        <f>IFERROR(__xludf.DUMMYFUNCTION("GOOGLETRANSLATE($A2595,""en"",""es"")"),"Cēsu novads")</f>
        <v>Cēsu novads</v>
      </c>
      <c r="F2595" s="9" t="str">
        <f>IFERROR(__xludf.DUMMYFUNCTION("GOOGLETRANSLATE($A2595,""en"",""it"")"),"Cēsu novads")</f>
        <v>Cēsu novads</v>
      </c>
      <c r="G2595" s="9" t="str">
        <f>IFERROR(__xludf.DUMMYFUNCTION("GOOGLETRANSLATE($A2595,""en"",""zh-cn"")"),"塞苏新星")</f>
        <v>塞苏新星</v>
      </c>
      <c r="H2595" s="9" t="str">
        <f>IFERROR(__xludf.DUMMYFUNCTION("GOOGLETRANSLATE($A2595,""en"",""ja"")"),"チェス・ノヴァズ")</f>
        <v>チェス・ノヴァズ</v>
      </c>
      <c r="I2595" s="9" t="str">
        <f>IFERROR(__xludf.DUMMYFUNCTION("GOOGLETRANSLATE($A2595,""en"",""ko"")"),"Cēsu 노바드")</f>
        <v>Cēsu 노바드</v>
      </c>
      <c r="J2595" s="9" t="str">
        <f>IFERROR(__xludf.DUMMYFUNCTION("GOOGLETRANSLATE($A2595,""en"",""pt-BR"")"),"Cēsu novads")</f>
        <v>Cēsu novads</v>
      </c>
    </row>
    <row r="2596">
      <c r="A2596" s="9" t="str">
        <f>IFERROR(__xludf.DUMMYFUNCTION("""COMPUTED_VALUE"""),"Rucavas novads (Rucava)")</f>
        <v>Rucavas novads (Rucava)</v>
      </c>
      <c r="B2596" s="9" t="str">
        <f>IFERROR(__xludf.DUMMYFUNCTION("""COMPUTED_VALUE"""),"lv-081")</f>
        <v>lv-081</v>
      </c>
      <c r="C2596" s="9" t="str">
        <f>IFERROR(__xludf.DUMMYFUNCTION("GOOGLETRANSLATE($A2596,""en"",""de"")"),"Rucavas novads (Rucava)")</f>
        <v>Rucavas novads (Rucava)</v>
      </c>
      <c r="D2596" s="9" t="str">
        <f>IFERROR(__xludf.DUMMYFUNCTION("GOOGLETRANSLATE($A2596,""en"",""fr"")"),"Rucavas novads (Rucava)")</f>
        <v>Rucavas novads (Rucava)</v>
      </c>
      <c r="E2596" s="9" t="str">
        <f>IFERROR(__xludf.DUMMYFUNCTION("GOOGLETRANSLATE($A2596,""en"",""es"")"),"Rucavas novads (Rucava)")</f>
        <v>Rucavas novads (Rucava)</v>
      </c>
      <c r="F2596" s="9" t="str">
        <f>IFERROR(__xludf.DUMMYFUNCTION("GOOGLETRANSLATE($A2596,""en"",""it"")"),"Rucavas novads (Rucava)")</f>
        <v>Rucavas novads (Rucava)</v>
      </c>
      <c r="G2596" s="9" t="str">
        <f>IFERROR(__xludf.DUMMYFUNCTION("GOOGLETRANSLATE($A2596,""en"",""zh-cn"")"),"鲁卡瓦斯新星 (Rucava)")</f>
        <v>鲁卡瓦斯新星 (Rucava)</v>
      </c>
      <c r="H2596" s="9" t="str">
        <f>IFERROR(__xludf.DUMMYFUNCTION("GOOGLETRANSLATE($A2596,""en"",""ja"")"),"Rucavas novads (ルカヴァ)")</f>
        <v>Rucavas novads (ルカヴァ)</v>
      </c>
      <c r="I2596" s="9" t="str">
        <f>IFERROR(__xludf.DUMMYFUNCTION("GOOGLETRANSLATE($A2596,""en"",""ko"")"),"Rucavas novads (Rucava)")</f>
        <v>Rucavas novads (Rucava)</v>
      </c>
      <c r="J2596" s="9" t="str">
        <f>IFERROR(__xludf.DUMMYFUNCTION("GOOGLETRANSLATE($A2596,""en"",""pt-BR"")"),"Rucavas novads (Rucava)")</f>
        <v>Rucavas novads (Rucava)</v>
      </c>
    </row>
    <row r="2597">
      <c r="A2597" s="9" t="str">
        <f>IFERROR(__xludf.DUMMYFUNCTION("""COMPUTED_VALUE"""),"Vecumnieku novads (Vecumnieki)")</f>
        <v>Vecumnieku novads (Vecumnieki)</v>
      </c>
      <c r="B2597" s="9" t="str">
        <f>IFERROR(__xludf.DUMMYFUNCTION("""COMPUTED_VALUE"""),"lv-105")</f>
        <v>lv-105</v>
      </c>
      <c r="C2597" s="9" t="str">
        <f>IFERROR(__xludf.DUMMYFUNCTION("GOOGLETRANSLATE($A2597,""en"",""de"")"),"Vecumnieku novads (Vecumnieki)")</f>
        <v>Vecumnieku novads (Vecumnieki)</v>
      </c>
      <c r="D2597" s="9" t="str">
        <f>IFERROR(__xludf.DUMMYFUNCTION("GOOGLETRANSLATE($A2597,""en"",""fr"")"),"Vecumnieku novads (Vecumnieki)")</f>
        <v>Vecumnieku novads (Vecumnieki)</v>
      </c>
      <c r="E2597" s="9" t="str">
        <f>IFERROR(__xludf.DUMMYFUNCTION("GOOGLETRANSLATE($A2597,""en"",""es"")"),"Vecumnieku novads (Vecumnieki)")</f>
        <v>Vecumnieku novads (Vecumnieki)</v>
      </c>
      <c r="F2597" s="9" t="str">
        <f>IFERROR(__xludf.DUMMYFUNCTION("GOOGLETRANSLATE($A2597,""en"",""it"")"),"Vecumnieku novads (Vecumnieki)")</f>
        <v>Vecumnieku novads (Vecumnieki)</v>
      </c>
      <c r="G2597" s="9" t="str">
        <f>IFERROR(__xludf.DUMMYFUNCTION("GOOGLETRANSLATE($A2597,""en"",""zh-cn"")"),"维库姆涅库新星 (Vecumnieki)")</f>
        <v>维库姆涅库新星 (Vecumnieki)</v>
      </c>
      <c r="H2597" s="9" t="str">
        <f>IFERROR(__xludf.DUMMYFUNCTION("GOOGLETRANSLATE($A2597,""en"",""ja"")"),"ヴェクムニエキ ノヴァド (ヴェクムニエキ)")</f>
        <v>ヴェクムニエキ ノヴァド (ヴェクムニエキ)</v>
      </c>
      <c r="I2597" s="9" t="str">
        <f>IFERROR(__xludf.DUMMYFUNCTION("GOOGLETRANSLATE($A2597,""en"",""ko"")"),"Vecumnieku novads (Vecumnieki)")</f>
        <v>Vecumnieku novads (Vecumnieki)</v>
      </c>
      <c r="J2597" s="9" t="str">
        <f>IFERROR(__xludf.DUMMYFUNCTION("GOOGLETRANSLATE($A2597,""en"",""pt-BR"")"),"Vecumnieku novads (Vecumnieki)")</f>
        <v>Vecumnieku novads (Vecumnieki)</v>
      </c>
    </row>
    <row r="2598">
      <c r="A2598" s="9" t="str">
        <f>IFERROR(__xludf.DUMMYFUNCTION("""COMPUTED_VALUE"""),"Jēkabpils")</f>
        <v>Jēkabpils</v>
      </c>
      <c r="B2598" s="9" t="str">
        <f>IFERROR(__xludf.DUMMYFUNCTION("""COMPUTED_VALUE"""),"lv-jkb")</f>
        <v>lv-jkb</v>
      </c>
      <c r="C2598" s="9" t="str">
        <f>IFERROR(__xludf.DUMMYFUNCTION("GOOGLETRANSLATE($A2598,""en"",""de"")"),"Jēkabpils")</f>
        <v>Jēkabpils</v>
      </c>
      <c r="D2598" s="9" t="str">
        <f>IFERROR(__xludf.DUMMYFUNCTION("GOOGLETRANSLATE($A2598,""en"",""fr"")"),"Jēkabpils")</f>
        <v>Jēkabpils</v>
      </c>
      <c r="E2598" s="9" t="str">
        <f>IFERROR(__xludf.DUMMYFUNCTION("GOOGLETRANSLATE($A2598,""en"",""es"")"),"Jekabpils")</f>
        <v>Jekabpils</v>
      </c>
      <c r="F2598" s="9" t="str">
        <f>IFERROR(__xludf.DUMMYFUNCTION("GOOGLETRANSLATE($A2598,""en"",""it"")"),"Jēkabpils")</f>
        <v>Jēkabpils</v>
      </c>
      <c r="G2598" s="9" t="str">
        <f>IFERROR(__xludf.DUMMYFUNCTION("GOOGLETRANSLATE($A2598,""en"",""zh-cn"")"),"耶卡皮尔斯")</f>
        <v>耶卡皮尔斯</v>
      </c>
      <c r="H2598" s="9" t="str">
        <f>IFERROR(__xludf.DUMMYFUNCTION("GOOGLETRANSLATE($A2598,""en"",""ja"")"),"イェカブピルス")</f>
        <v>イェカブピルス</v>
      </c>
      <c r="I2598" s="9" t="str">
        <f>IFERROR(__xludf.DUMMYFUNCTION("GOOGLETRANSLATE($A2598,""en"",""ko"")"),"예캅필스")</f>
        <v>예캅필스</v>
      </c>
      <c r="J2598" s="9" t="str">
        <f>IFERROR(__xludf.DUMMYFUNCTION("GOOGLETRANSLATE($A2598,""en"",""pt-BR"")"),"Jēkabpils")</f>
        <v>Jēkabpils</v>
      </c>
    </row>
    <row r="2599">
      <c r="A2599" s="9" t="str">
        <f>IFERROR(__xludf.DUMMYFUNCTION("""COMPUTED_VALUE"""),"Gulbenes novads")</f>
        <v>Gulbenes novads</v>
      </c>
      <c r="B2599" s="9" t="str">
        <f>IFERROR(__xludf.DUMMYFUNCTION("""COMPUTED_VALUE"""),"lv-033")</f>
        <v>lv-033</v>
      </c>
      <c r="C2599" s="9" t="str">
        <f>IFERROR(__xludf.DUMMYFUNCTION("GOOGLETRANSLATE($A2599,""en"",""de"")"),"Gulbenes Novads")</f>
        <v>Gulbenes Novads</v>
      </c>
      <c r="D2599" s="9" t="str">
        <f>IFERROR(__xludf.DUMMYFUNCTION("GOOGLETRANSLATE($A2599,""en"",""fr"")"),"Gulbenes novads")</f>
        <v>Gulbenes novads</v>
      </c>
      <c r="E2599" s="9" t="str">
        <f>IFERROR(__xludf.DUMMYFUNCTION("GOOGLETRANSLATE($A2599,""en"",""es"")"),"Gulbenes novads")</f>
        <v>Gulbenes novads</v>
      </c>
      <c r="F2599" s="9" t="str">
        <f>IFERROR(__xludf.DUMMYFUNCTION("GOOGLETRANSLATE($A2599,""en"",""it"")"),"Gulbenes novads")</f>
        <v>Gulbenes novads</v>
      </c>
      <c r="G2599" s="9" t="str">
        <f>IFERROR(__xludf.DUMMYFUNCTION("GOOGLETRANSLATE($A2599,""en"",""zh-cn"")"),"古尔本内斯新星")</f>
        <v>古尔本内斯新星</v>
      </c>
      <c r="H2599" s="9" t="str">
        <f>IFERROR(__xludf.DUMMYFUNCTION("GOOGLETRANSLATE($A2599,""en"",""ja"")"),"グルベネスの新星")</f>
        <v>グルベネスの新星</v>
      </c>
      <c r="I2599" s="9" t="str">
        <f>IFERROR(__xludf.DUMMYFUNCTION("GOOGLETRANSLATE($A2599,""en"",""ko"")"),"굴베네스 노바드")</f>
        <v>굴베네스 노바드</v>
      </c>
      <c r="J2599" s="9" t="str">
        <f>IFERROR(__xludf.DUMMYFUNCTION("GOOGLETRANSLATE($A2599,""en"",""pt-BR"")"),"Gulbenes novads")</f>
        <v>Gulbenes novads</v>
      </c>
    </row>
    <row r="2600">
      <c r="A2600" s="9" t="str">
        <f>IFERROR(__xludf.DUMMYFUNCTION("""COMPUTED_VALUE"""),"Lubānas novads (Lubāna)")</f>
        <v>Lubānas novads (Lubāna)</v>
      </c>
      <c r="B2600" s="9" t="str">
        <f>IFERROR(__xludf.DUMMYFUNCTION("""COMPUTED_VALUE"""),"lv-057")</f>
        <v>lv-057</v>
      </c>
      <c r="C2600" s="9" t="str">
        <f>IFERROR(__xludf.DUMMYFUNCTION("GOOGLETRANSLATE($A2600,""en"",""de"")"),"Lubānas novads (Lubāna)")</f>
        <v>Lubānas novads (Lubāna)</v>
      </c>
      <c r="D2600" s="9" t="str">
        <f>IFERROR(__xludf.DUMMYFUNCTION("GOOGLETRANSLATE($A2600,""en"",""fr"")"),"Lubānas novads (Lubāna)")</f>
        <v>Lubānas novads (Lubāna)</v>
      </c>
      <c r="E2600" s="9" t="str">
        <f>IFERROR(__xludf.DUMMYFUNCTION("GOOGLETRANSLATE($A2600,""en"",""es"")"),"Lubānas novads (Lubāna)")</f>
        <v>Lubānas novads (Lubāna)</v>
      </c>
      <c r="F2600" s="9" t="str">
        <f>IFERROR(__xludf.DUMMYFUNCTION("GOOGLETRANSLATE($A2600,""en"",""it"")"),"Lubanas novads (Lubana)")</f>
        <v>Lubanas novads (Lubana)</v>
      </c>
      <c r="G2600" s="9" t="str">
        <f>IFERROR(__xludf.DUMMYFUNCTION("GOOGLETRANSLATE($A2600,""en"",""zh-cn"")"),"卢巴纳斯新星 (Lubāna)")</f>
        <v>卢巴纳斯新星 (Lubāna)</v>
      </c>
      <c r="H2600" s="9" t="str">
        <f>IFERROR(__xludf.DUMMYFUNCTION("GOOGLETRANSLATE($A2600,""en"",""ja"")"),"Lubānas novads (ルバーナ)")</f>
        <v>Lubānas novads (ルバーナ)</v>
      </c>
      <c r="I2600" s="9" t="str">
        <f>IFERROR(__xludf.DUMMYFUNCTION("GOOGLETRANSLATE($A2600,""en"",""ko"")"),"Lubānas novads (Lubāna)")</f>
        <v>Lubānas novads (Lubāna)</v>
      </c>
      <c r="J2600" s="9" t="str">
        <f>IFERROR(__xludf.DUMMYFUNCTION("GOOGLETRANSLATE($A2600,""en"",""pt-BR"")"),"Lubanas novads (Lubana)")</f>
        <v>Lubanas novads (Lubana)</v>
      </c>
    </row>
    <row r="2601">
      <c r="A2601" s="9" t="str">
        <f>IFERROR(__xludf.DUMMYFUNCTION("""COMPUTED_VALUE"""),"Ērgļu novads (Ērgļi)")</f>
        <v>Ērgļu novads (Ērgļi)</v>
      </c>
      <c r="B2601" s="9" t="str">
        <f>IFERROR(__xludf.DUMMYFUNCTION("""COMPUTED_VALUE"""),"lv-030")</f>
        <v>lv-030</v>
      </c>
      <c r="C2601" s="9" t="str">
        <f>IFERROR(__xludf.DUMMYFUNCTION("GOOGLETRANSLATE($A2601,""en"",""de"")"),"Ērgļu novads (Ērgļi)")</f>
        <v>Ērgļu novads (Ērgļi)</v>
      </c>
      <c r="D2601" s="9" t="str">
        <f>IFERROR(__xludf.DUMMYFUNCTION("GOOGLETRANSLATE($A2601,""en"",""fr"")"),"Ērgļu novads (Ērgļi)")</f>
        <v>Ērgļu novads (Ērgļi)</v>
      </c>
      <c r="E2601" s="9" t="str">
        <f>IFERROR(__xludf.DUMMYFUNCTION("GOOGLETRANSLATE($A2601,""en"",""es"")"),"Ērgļu novads (Ērgļi)")</f>
        <v>Ērgļu novads (Ērgļi)</v>
      </c>
      <c r="F2601" s="9" t="str">
        <f>IFERROR(__xludf.DUMMYFUNCTION("GOOGLETRANSLATE($A2601,""en"",""it"")"),"Ērgļu novads (Ērgļi)")</f>
        <v>Ērgļu novads (Ērgļi)</v>
      </c>
      <c r="G2601" s="9" t="str">
        <f>IFERROR(__xludf.DUMMYFUNCTION("GOOGLETRANSLATE($A2601,""en"",""zh-cn"")"),"Ērgļu novads (Ērgļi)")</f>
        <v>Ērgļu novads (Ērgļi)</v>
      </c>
      <c r="H2601" s="9" t="str">
        <f>IFERROR(__xludf.DUMMYFUNCTION("GOOGLETRANSLATE($A2601,""en"",""ja"")"),"Ērgļu novads (Ērgļi)")</f>
        <v>Ērgļu novads (Ērgļi)</v>
      </c>
      <c r="I2601" s="9" t="str">
        <f>IFERROR(__xludf.DUMMYFUNCTION("GOOGLETRANSLATE($A2601,""en"",""ko"")"),"Ērgļu novads(Ērgļi)")</f>
        <v>Ērgļu novads(Ērgļi)</v>
      </c>
      <c r="J2601" s="9" t="str">
        <f>IFERROR(__xludf.DUMMYFUNCTION("GOOGLETRANSLATE($A2601,""en"",""pt-BR"")"),"Ērgļu novads (Ērgļi)")</f>
        <v>Ērgļu novads (Ērgļi)</v>
      </c>
    </row>
    <row r="2602">
      <c r="A2602" s="9" t="str">
        <f>IFERROR(__xludf.DUMMYFUNCTION("""COMPUTED_VALUE"""),"Daugavpils")</f>
        <v>Daugavpils</v>
      </c>
      <c r="B2602" s="9" t="str">
        <f>IFERROR(__xludf.DUMMYFUNCTION("""COMPUTED_VALUE"""),"lv-dgv")</f>
        <v>lv-dgv</v>
      </c>
      <c r="C2602" s="9" t="str">
        <f>IFERROR(__xludf.DUMMYFUNCTION("GOOGLETRANSLATE($A2602,""en"",""de"")"),"Daugavpils")</f>
        <v>Daugavpils</v>
      </c>
      <c r="D2602" s="9" t="str">
        <f>IFERROR(__xludf.DUMMYFUNCTION("GOOGLETRANSLATE($A2602,""en"",""fr"")"),"Daugavpils")</f>
        <v>Daugavpils</v>
      </c>
      <c r="E2602" s="9" t="str">
        <f>IFERROR(__xludf.DUMMYFUNCTION("GOOGLETRANSLATE($A2602,""en"",""es"")"),"Daugavpils")</f>
        <v>Daugavpils</v>
      </c>
      <c r="F2602" s="9" t="str">
        <f>IFERROR(__xludf.DUMMYFUNCTION("GOOGLETRANSLATE($A2602,""en"",""it"")"),"Daugavpils")</f>
        <v>Daugavpils</v>
      </c>
      <c r="G2602" s="9" t="str">
        <f>IFERROR(__xludf.DUMMYFUNCTION("GOOGLETRANSLATE($A2602,""en"",""zh-cn"")"),"陶格夫匹尔斯")</f>
        <v>陶格夫匹尔斯</v>
      </c>
      <c r="H2602" s="9" t="str">
        <f>IFERROR(__xludf.DUMMYFUNCTION("GOOGLETRANSLATE($A2602,""en"",""ja"")"),"ダウガフピルス")</f>
        <v>ダウガフピルス</v>
      </c>
      <c r="I2602" s="9" t="str">
        <f>IFERROR(__xludf.DUMMYFUNCTION("GOOGLETRANSLATE($A2602,""en"",""ko"")"),"다우가프필스")</f>
        <v>다우가프필스</v>
      </c>
      <c r="J2602" s="9" t="str">
        <f>IFERROR(__xludf.DUMMYFUNCTION("GOOGLETRANSLATE($A2602,""en"",""pt-BR"")"),"Daugavpils")</f>
        <v>Daugavpils</v>
      </c>
    </row>
    <row r="2603">
      <c r="A2603" s="9" t="str">
        <f>IFERROR(__xludf.DUMMYFUNCTION("""COMPUTED_VALUE"""),"Limbažu novads")</f>
        <v>Limbažu novads</v>
      </c>
      <c r="B2603" s="9" t="str">
        <f>IFERROR(__xludf.DUMMYFUNCTION("""COMPUTED_VALUE"""),"lv-054")</f>
        <v>lv-054</v>
      </c>
      <c r="C2603" s="9" t="str">
        <f>IFERROR(__xludf.DUMMYFUNCTION("GOOGLETRANSLATE($A2603,""en"",""de"")"),"Limbažu novads")</f>
        <v>Limbažu novads</v>
      </c>
      <c r="D2603" s="9" t="str">
        <f>IFERROR(__xludf.DUMMYFUNCTION("GOOGLETRANSLATE($A2603,""en"",""fr"")"),"Limbazu novads")</f>
        <v>Limbazu novads</v>
      </c>
      <c r="E2603" s="9" t="str">
        <f>IFERROR(__xludf.DUMMYFUNCTION("GOOGLETRANSLATE($A2603,""en"",""es"")"),"Novads de Limbažu")</f>
        <v>Novads de Limbažu</v>
      </c>
      <c r="F2603" s="9" t="str">
        <f>IFERROR(__xludf.DUMMYFUNCTION("GOOGLETRANSLATE($A2603,""en"",""it"")"),"Limbažu novads")</f>
        <v>Limbažu novads</v>
      </c>
      <c r="G2603" s="9" t="str">
        <f>IFERROR(__xludf.DUMMYFUNCTION("GOOGLETRANSLATE($A2603,""en"",""zh-cn"")"),"林巴祖新星")</f>
        <v>林巴祖新星</v>
      </c>
      <c r="H2603" s="9" t="str">
        <f>IFERROR(__xludf.DUMMYFUNCTION("GOOGLETRANSLATE($A2603,""en"",""ja"")"),"リンバジュの新星")</f>
        <v>リンバジュの新星</v>
      </c>
      <c r="I2603" s="9" t="str">
        <f>IFERROR(__xludf.DUMMYFUNCTION("GOOGLETRANSLATE($A2603,""en"",""ko"")"),"림바주 노바드")</f>
        <v>림바주 노바드</v>
      </c>
      <c r="J2603" s="9" t="str">
        <f>IFERROR(__xludf.DUMMYFUNCTION("GOOGLETRANSLATE($A2603,""en"",""pt-BR"")"),"Limbažu novads")</f>
        <v>Limbažu novads</v>
      </c>
    </row>
    <row r="2604">
      <c r="A2604" s="9" t="str">
        <f>IFERROR(__xludf.DUMMYFUNCTION("""COMPUTED_VALUE"""),"Ķekavas novads")</f>
        <v>Ķekavas novads</v>
      </c>
      <c r="B2604" s="9" t="str">
        <f>IFERROR(__xludf.DUMMYFUNCTION("""COMPUTED_VALUE"""),"lv-052")</f>
        <v>lv-052</v>
      </c>
      <c r="C2604" s="9" t="str">
        <f>IFERROR(__xludf.DUMMYFUNCTION("GOOGLETRANSLATE($A2604,""en"",""de"")"),"Ķekavas novads")</f>
        <v>Ķekavas novads</v>
      </c>
      <c r="D2604" s="9" t="str">
        <f>IFERROR(__xludf.DUMMYFUNCTION("GOOGLETRANSLATE($A2604,""en"",""fr"")"),"Ķekavas novads")</f>
        <v>Ķekavas novads</v>
      </c>
      <c r="E2604" s="9" t="str">
        <f>IFERROR(__xludf.DUMMYFUNCTION("GOOGLETRANSLATE($A2604,""en"",""es"")"),"Ķekavas novads")</f>
        <v>Ķekavas novads</v>
      </c>
      <c r="F2604" s="9" t="str">
        <f>IFERROR(__xludf.DUMMYFUNCTION("GOOGLETRANSLATE($A2604,""en"",""it"")"),"Ķekavas novads")</f>
        <v>Ķekavas novads</v>
      </c>
      <c r="G2604" s="9" t="str">
        <f>IFERROR(__xludf.DUMMYFUNCTION("GOOGLETRANSLATE($A2604,""en"",""zh-cn"")"),"凯卡瓦斯新星")</f>
        <v>凯卡瓦斯新星</v>
      </c>
      <c r="H2604" s="9" t="str">
        <f>IFERROR(__xludf.DUMMYFUNCTION("GOOGLETRANSLATE($A2604,""en"",""ja"")"),"チェカヴァ・ノヴァド")</f>
        <v>チェカヴァ・ノヴァド</v>
      </c>
      <c r="I2604" s="9" t="str">
        <f>IFERROR(__xludf.DUMMYFUNCTION("GOOGLETRANSLATE($A2604,""en"",""ko"")"),"케카바스 노바드")</f>
        <v>케카바스 노바드</v>
      </c>
      <c r="J2604" s="9" t="str">
        <f>IFERROR(__xludf.DUMMYFUNCTION("GOOGLETRANSLATE($A2604,""en"",""pt-BR"")"),"Ķekavas novads")</f>
        <v>Ķekavas novads</v>
      </c>
    </row>
    <row r="2605">
      <c r="A2605" s="9" t="str">
        <f>IFERROR(__xludf.DUMMYFUNCTION("""COMPUTED_VALUE"""),"Jelgava")</f>
        <v>Jelgava</v>
      </c>
      <c r="B2605" s="9" t="str">
        <f>IFERROR(__xludf.DUMMYFUNCTION("""COMPUTED_VALUE"""),"lv-jel")</f>
        <v>lv-jel</v>
      </c>
      <c r="C2605" s="9" t="str">
        <f>IFERROR(__xludf.DUMMYFUNCTION("GOOGLETRANSLATE($A2605,""en"",""de"")"),"Jelgava")</f>
        <v>Jelgava</v>
      </c>
      <c r="D2605" s="9" t="str">
        <f>IFERROR(__xludf.DUMMYFUNCTION("GOOGLETRANSLATE($A2605,""en"",""fr"")"),"Djelgava")</f>
        <v>Djelgava</v>
      </c>
      <c r="E2605" s="9" t="str">
        <f>IFERROR(__xludf.DUMMYFUNCTION("GOOGLETRANSLATE($A2605,""en"",""es"")"),"Jelgava")</f>
        <v>Jelgava</v>
      </c>
      <c r="F2605" s="9" t="str">
        <f>IFERROR(__xludf.DUMMYFUNCTION("GOOGLETRANSLATE($A2605,""en"",""it"")"),"Jelgava")</f>
        <v>Jelgava</v>
      </c>
      <c r="G2605" s="9" t="str">
        <f>IFERROR(__xludf.DUMMYFUNCTION("GOOGLETRANSLATE($A2605,""en"",""zh-cn"")"),"叶尔加瓦")</f>
        <v>叶尔加瓦</v>
      </c>
      <c r="H2605" s="9" t="str">
        <f>IFERROR(__xludf.DUMMYFUNCTION("GOOGLETRANSLATE($A2605,""en"",""ja"")"),"エルガヴァ")</f>
        <v>エルガヴァ</v>
      </c>
      <c r="I2605" s="9" t="str">
        <f>IFERROR(__xludf.DUMMYFUNCTION("GOOGLETRANSLATE($A2605,""en"",""ko"")"),"옐가바")</f>
        <v>옐가바</v>
      </c>
      <c r="J2605" s="9" t="str">
        <f>IFERROR(__xludf.DUMMYFUNCTION("GOOGLETRANSLATE($A2605,""en"",""pt-BR"")"),"Jelgava")</f>
        <v>Jelgava</v>
      </c>
    </row>
    <row r="2606">
      <c r="A2606" s="9" t="str">
        <f>IFERROR(__xludf.DUMMYFUNCTION("""COMPUTED_VALUE"""),"Ikšķiles novads (Ikšķile)")</f>
        <v>Ikšķiles novads (Ikšķile)</v>
      </c>
      <c r="B2606" s="9" t="str">
        <f>IFERROR(__xludf.DUMMYFUNCTION("""COMPUTED_VALUE"""),"lv-035")</f>
        <v>lv-035</v>
      </c>
      <c r="C2606" s="9" t="str">
        <f>IFERROR(__xludf.DUMMYFUNCTION("GOOGLETRANSLATE($A2606,""en"",""de"")"),"Ikšķiles novads (Ikšķile)")</f>
        <v>Ikšķiles novads (Ikšķile)</v>
      </c>
      <c r="D2606" s="9" t="str">
        <f>IFERROR(__xludf.DUMMYFUNCTION("GOOGLETRANSLATE($A2606,""en"",""fr"")"),"Ikšķiles novads (Ikšķile)")</f>
        <v>Ikšķiles novads (Ikšķile)</v>
      </c>
      <c r="E2606" s="9" t="str">
        <f>IFERROR(__xludf.DUMMYFUNCTION("GOOGLETRANSLATE($A2606,""en"",""es"")"),"Ikšķiles novads (Ikšķile)")</f>
        <v>Ikšķiles novads (Ikšķile)</v>
      </c>
      <c r="F2606" s="9" t="str">
        <f>IFERROR(__xludf.DUMMYFUNCTION("GOOGLETRANSLATE($A2606,""en"",""it"")"),"Ikšķiles novads (Ikšķile)")</f>
        <v>Ikšķiles novads (Ikšķile)</v>
      </c>
      <c r="G2606" s="9" t="str">
        <f>IFERROR(__xludf.DUMMYFUNCTION("GOOGLETRANSLATE($A2606,""en"",""zh-cn"")"),"Ikšķiles novads (Ikšķile)")</f>
        <v>Ikšķiles novads (Ikšķile)</v>
      </c>
      <c r="H2606" s="9" t="str">
        <f>IFERROR(__xludf.DUMMYFUNCTION("GOOGLETRANSLATE($A2606,""en"",""ja"")"),"Ikšķiles novads (イクシレ)")</f>
        <v>Ikšķiles novads (イクシレ)</v>
      </c>
      <c r="I2606" s="9" t="str">
        <f>IFERROR(__xludf.DUMMYFUNCTION("GOOGLETRANSLATE($A2606,""en"",""ko"")"),"Ikšķiles novads (Ikšķile)")</f>
        <v>Ikšķiles novads (Ikšķile)</v>
      </c>
      <c r="J2606" s="9" t="str">
        <f>IFERROR(__xludf.DUMMYFUNCTION("GOOGLETRANSLATE($A2606,""en"",""pt-BR"")"),"Ikšķiles novads (Ikšķile)")</f>
        <v>Ikšķiles novads (Ikšķile)</v>
      </c>
    </row>
    <row r="2607">
      <c r="A2607" s="9" t="str">
        <f>IFERROR(__xludf.DUMMYFUNCTION("""COMPUTED_VALUE"""),"Valmieras Novads")</f>
        <v>Valmieras Novads</v>
      </c>
      <c r="B2607" s="9" t="str">
        <f>IFERROR(__xludf.DUMMYFUNCTION("""COMPUTED_VALUE"""),"lv-113")</f>
        <v>lv-113</v>
      </c>
      <c r="C2607" s="9" t="str">
        <f>IFERROR(__xludf.DUMMYFUNCTION("GOOGLETRANSLATE($A2607,""en"",""de"")"),"Valmieras Novads")</f>
        <v>Valmieras Novads</v>
      </c>
      <c r="D2607" s="9" t="str">
        <f>IFERROR(__xludf.DUMMYFUNCTION("GOOGLETRANSLATE($A2607,""en"",""fr"")"),"Valmieras Novads")</f>
        <v>Valmieras Novads</v>
      </c>
      <c r="E2607" s="9" t="str">
        <f>IFERROR(__xludf.DUMMYFUNCTION("GOOGLETRANSLATE($A2607,""en"",""es"")"),"Valmieras Novads")</f>
        <v>Valmieras Novads</v>
      </c>
      <c r="F2607" s="9" t="str">
        <f>IFERROR(__xludf.DUMMYFUNCTION("GOOGLETRANSLATE($A2607,""en"",""it"")"),"Valmieras Novads")</f>
        <v>Valmieras Novads</v>
      </c>
      <c r="G2607" s="9" t="str">
        <f>IFERROR(__xludf.DUMMYFUNCTION("GOOGLETRANSLATE($A2607,""en"",""zh-cn"")"),"瓦尔米耶拉斯·诺瓦兹")</f>
        <v>瓦尔米耶拉斯·诺瓦兹</v>
      </c>
      <c r="H2607" s="9" t="str">
        <f>IFERROR(__xludf.DUMMYFUNCTION("GOOGLETRANSLATE($A2607,""en"",""ja"")"),"ヴァルミエラス・ノヴァズ")</f>
        <v>ヴァルミエラス・ノヴァズ</v>
      </c>
      <c r="I2607" s="9" t="str">
        <f>IFERROR(__xludf.DUMMYFUNCTION("GOOGLETRANSLATE($A2607,""en"",""ko"")"),"발미에라스 노바드")</f>
        <v>발미에라스 노바드</v>
      </c>
      <c r="J2607" s="9" t="str">
        <f>IFERROR(__xludf.DUMMYFUNCTION("GOOGLETRANSLATE($A2607,""en"",""pt-BR"")"),"Valmieras Novads")</f>
        <v>Valmieras Novads</v>
      </c>
    </row>
    <row r="2608">
      <c r="A2608" s="9" t="str">
        <f>IFERROR(__xludf.DUMMYFUNCTION("""COMPUTED_VALUE"""),"Dienvidkurzemes Novads")</f>
        <v>Dienvidkurzemes Novads</v>
      </c>
      <c r="B2608" s="9" t="str">
        <f>IFERROR(__xludf.DUMMYFUNCTION("""COMPUTED_VALUE"""),"lv-112")</f>
        <v>lv-112</v>
      </c>
      <c r="C2608" s="9" t="str">
        <f>IFERROR(__xludf.DUMMYFUNCTION("GOOGLETRANSLATE($A2608,""en"",""de"")"),"Dienvidkurzemes Novads")</f>
        <v>Dienvidkurzemes Novads</v>
      </c>
      <c r="D2608" s="9" t="str">
        <f>IFERROR(__xludf.DUMMYFUNCTION("GOOGLETRANSLATE($A2608,""en"",""fr"")"),"Dienvidkurzemes Novads")</f>
        <v>Dienvidkurzemes Novads</v>
      </c>
      <c r="E2608" s="9" t="str">
        <f>IFERROR(__xludf.DUMMYFUNCTION("GOOGLETRANSLATE($A2608,""en"",""es"")"),"Dienvidkurzemes Novads")</f>
        <v>Dienvidkurzemes Novads</v>
      </c>
      <c r="F2608" s="9" t="str">
        <f>IFERROR(__xludf.DUMMYFUNCTION("GOOGLETRANSLATE($A2608,""en"",""it"")"),"Dienvidkurzemes Novads")</f>
        <v>Dienvidkurzemes Novads</v>
      </c>
      <c r="G2608" s="9" t="str">
        <f>IFERROR(__xludf.DUMMYFUNCTION("GOOGLETRANSLATE($A2608,""en"",""zh-cn"")"),"迪恩维德库泽梅斯·诺瓦兹")</f>
        <v>迪恩维德库泽梅斯·诺瓦兹</v>
      </c>
      <c r="H2608" s="9" t="str">
        <f>IFERROR(__xludf.DUMMYFUNCTION("GOOGLETRANSLATE($A2608,""en"",""ja"")"),"ディエンヴィッドクルゼメス・ノヴァズ")</f>
        <v>ディエンヴィッドクルゼメス・ノヴァズ</v>
      </c>
      <c r="I2608" s="9" t="str">
        <f>IFERROR(__xludf.DUMMYFUNCTION("GOOGLETRANSLATE($A2608,""en"",""ko"")"),"Dienvidkurzemes Novads")</f>
        <v>Dienvidkurzemes Novads</v>
      </c>
      <c r="J2608" s="9" t="str">
        <f>IFERROR(__xludf.DUMMYFUNCTION("GOOGLETRANSLATE($A2608,""en"",""pt-BR"")"),"Dienvidkurzemes Novads")</f>
        <v>Dienvidkurzemes Novads</v>
      </c>
    </row>
    <row r="2609">
      <c r="A2609" s="9" t="str">
        <f>IFERROR(__xludf.DUMMYFUNCTION("""COMPUTED_VALUE"""),"Augšdaugavas novads")</f>
        <v>Augšdaugavas novads</v>
      </c>
      <c r="B2609" s="9" t="str">
        <f>IFERROR(__xludf.DUMMYFUNCTION("""COMPUTED_VALUE"""),"lv-111")</f>
        <v>lv-111</v>
      </c>
      <c r="C2609" s="9" t="str">
        <f>IFERROR(__xludf.DUMMYFUNCTION("GOOGLETRANSLATE($A2609,""en"",""de"")"),"Augšdaugavas novads")</f>
        <v>Augšdaugavas novads</v>
      </c>
      <c r="D2609" s="9" t="str">
        <f>IFERROR(__xludf.DUMMYFUNCTION("GOOGLETRANSLATE($A2609,""en"",""fr"")"),"Augšdaugavas novads")</f>
        <v>Augšdaugavas novads</v>
      </c>
      <c r="E2609" s="9" t="str">
        <f>IFERROR(__xludf.DUMMYFUNCTION("GOOGLETRANSLATE($A2609,""en"",""es"")"),"Novads de Augšdaugavas")</f>
        <v>Novads de Augšdaugavas</v>
      </c>
      <c r="F2609" s="9" t="str">
        <f>IFERROR(__xludf.DUMMYFUNCTION("GOOGLETRANSLATE($A2609,""en"",""it"")"),"Augšdaugavas novads")</f>
        <v>Augšdaugavas novads</v>
      </c>
      <c r="G2609" s="9" t="str">
        <f>IFERROR(__xludf.DUMMYFUNCTION("GOOGLETRANSLATE($A2609,""en"",""zh-cn"")"),"奥格什道加瓦斯新星")</f>
        <v>奥格什道加瓦斯新星</v>
      </c>
      <c r="H2609" s="9" t="str">
        <f>IFERROR(__xludf.DUMMYFUNCTION("GOOGLETRANSLATE($A2609,""en"",""ja"")"),"アウグシュダウガヴァの新星")</f>
        <v>アウグシュダウガヴァの新星</v>
      </c>
      <c r="I2609" s="9" t="str">
        <f>IFERROR(__xludf.DUMMYFUNCTION("GOOGLETRANSLATE($A2609,""en"",""ko"")"),"Augšdaugavas 노바드")</f>
        <v>Augšdaugavas 노바드</v>
      </c>
      <c r="J2609" s="9" t="str">
        <f>IFERROR(__xludf.DUMMYFUNCTION("GOOGLETRANSLATE($A2609,""en"",""pt-BR"")"),"Augšdaugavas novads")</f>
        <v>Augšdaugavas novads</v>
      </c>
    </row>
    <row r="2610">
      <c r="A2610" s="9" t="str">
        <f>IFERROR(__xludf.DUMMYFUNCTION("""COMPUTED_VALUE"""),"Rēzekne")</f>
        <v>Rēzekne</v>
      </c>
      <c r="B2610" s="9" t="str">
        <f>IFERROR(__xludf.DUMMYFUNCTION("""COMPUTED_VALUE"""),"lv-rez")</f>
        <v>lv-rez</v>
      </c>
      <c r="C2610" s="9" t="str">
        <f>IFERROR(__xludf.DUMMYFUNCTION("GOOGLETRANSLATE($A2610,""en"",""de"")"),"Rēzekne")</f>
        <v>Rēzekne</v>
      </c>
      <c r="D2610" s="9" t="str">
        <f>IFERROR(__xludf.DUMMYFUNCTION("GOOGLETRANSLATE($A2610,""en"",""fr"")"),"Rezekne")</f>
        <v>Rezekne</v>
      </c>
      <c r="E2610" s="9" t="str">
        <f>IFERROR(__xludf.DUMMYFUNCTION("GOOGLETRANSLATE($A2610,""en"",""es"")"),"Rezekne")</f>
        <v>Rezekne</v>
      </c>
      <c r="F2610" s="9" t="str">
        <f>IFERROR(__xludf.DUMMYFUNCTION("GOOGLETRANSLATE($A2610,""en"",""it"")"),"Rēzekne")</f>
        <v>Rēzekne</v>
      </c>
      <c r="G2610" s="9" t="str">
        <f>IFERROR(__xludf.DUMMYFUNCTION("GOOGLETRANSLATE($A2610,""en"",""zh-cn"")"),"雷泽克内")</f>
        <v>雷泽克内</v>
      </c>
      <c r="H2610" s="9" t="str">
        <f>IFERROR(__xludf.DUMMYFUNCTION("GOOGLETRANSLATE($A2610,""en"",""ja"")"),"レゼクネ")</f>
        <v>レゼクネ</v>
      </c>
      <c r="I2610" s="9" t="str">
        <f>IFERROR(__xludf.DUMMYFUNCTION("GOOGLETRANSLATE($A2610,""en"",""ko"")"),"레제크네")</f>
        <v>레제크네</v>
      </c>
      <c r="J2610" s="9" t="str">
        <f>IFERROR(__xludf.DUMMYFUNCTION("GOOGLETRANSLATE($A2610,""en"",""pt-BR"")"),"Rezekne")</f>
        <v>Rezekne</v>
      </c>
    </row>
    <row r="2611">
      <c r="A2611" s="9" t="str">
        <f>IFERROR(__xludf.DUMMYFUNCTION("""COMPUTED_VALUE"""),"Vecpiebalgas novads (Vecpiebalga)")</f>
        <v>Vecpiebalgas novads (Vecpiebalga)</v>
      </c>
      <c r="B2611" s="9" t="str">
        <f>IFERROR(__xludf.DUMMYFUNCTION("""COMPUTED_VALUE"""),"lv-104")</f>
        <v>lv-104</v>
      </c>
      <c r="C2611" s="9" t="str">
        <f>IFERROR(__xludf.DUMMYFUNCTION("GOOGLETRANSLATE($A2611,""en"",""de"")"),"Vecpiebalgas novads (Vecpiebalga)")</f>
        <v>Vecpiebalgas novads (Vecpiebalga)</v>
      </c>
      <c r="D2611" s="9" t="str">
        <f>IFERROR(__xludf.DUMMYFUNCTION("GOOGLETRANSLATE($A2611,""en"",""fr"")"),"Vecpiebalgas novads (Vecpiebalga)")</f>
        <v>Vecpiebalgas novads (Vecpiebalga)</v>
      </c>
      <c r="E2611" s="9" t="str">
        <f>IFERROR(__xludf.DUMMYFUNCTION("GOOGLETRANSLATE($A2611,""en"",""es"")"),"Vecpiebalgas novads (Vecpiebalga)")</f>
        <v>Vecpiebalgas novads (Vecpiebalga)</v>
      </c>
      <c r="F2611" s="9" t="str">
        <f>IFERROR(__xludf.DUMMYFUNCTION("GOOGLETRANSLATE($A2611,""en"",""it"")"),"Vecpiebalgas novads (Vecpiebalga)")</f>
        <v>Vecpiebalgas novads (Vecpiebalga)</v>
      </c>
      <c r="G2611" s="9" t="str">
        <f>IFERROR(__xludf.DUMMYFUNCTION("GOOGLETRANSLATE($A2611,""en"",""zh-cn"")"),"Vecpiebalgas novads (Vecpiebalga)")</f>
        <v>Vecpiebalgas novads (Vecpiebalga)</v>
      </c>
      <c r="H2611" s="9" t="str">
        <f>IFERROR(__xludf.DUMMYFUNCTION("GOOGLETRANSLATE($A2611,""en"",""ja"")"),"ベクピバルガス ノヴァド (ベクピバルガ)")</f>
        <v>ベクピバルガス ノヴァド (ベクピバルガ)</v>
      </c>
      <c r="I2611" s="9" t="str">
        <f>IFERROR(__xludf.DUMMYFUNCTION("GOOGLETRANSLATE($A2611,""en"",""ko"")"),"Vecpiebalgas novads (Vecpiebalga)")</f>
        <v>Vecpiebalgas novads (Vecpiebalga)</v>
      </c>
      <c r="J2611" s="9" t="str">
        <f>IFERROR(__xludf.DUMMYFUNCTION("GOOGLETRANSLATE($A2611,""en"",""pt-BR"")"),"Vecpiebalgas novads (Vecpiebalga)")</f>
        <v>Vecpiebalgas novads (Vecpiebalga)</v>
      </c>
    </row>
    <row r="2612">
      <c r="A2612" s="9" t="str">
        <f>IFERROR(__xludf.DUMMYFUNCTION("""COMPUTED_VALUE"""),"Kandavas novads (Kandava)")</f>
        <v>Kandavas novads (Kandava)</v>
      </c>
      <c r="B2612" s="9" t="str">
        <f>IFERROR(__xludf.DUMMYFUNCTION("""COMPUTED_VALUE"""),"lv-043")</f>
        <v>lv-043</v>
      </c>
      <c r="C2612" s="9" t="str">
        <f>IFERROR(__xludf.DUMMYFUNCTION("GOOGLETRANSLATE($A2612,""en"",""de"")"),"Kandavas Novads (Kandava)")</f>
        <v>Kandavas Novads (Kandava)</v>
      </c>
      <c r="D2612" s="9" t="str">
        <f>IFERROR(__xludf.DUMMYFUNCTION("GOOGLETRANSLATE($A2612,""en"",""fr"")"),"Kandavas novads (Kandava)")</f>
        <v>Kandavas novads (Kandava)</v>
      </c>
      <c r="E2612" s="9" t="str">
        <f>IFERROR(__xludf.DUMMYFUNCTION("GOOGLETRANSLATE($A2612,""en"",""es"")"),"Kandavas novads (Kandava)")</f>
        <v>Kandavas novads (Kandava)</v>
      </c>
      <c r="F2612" s="9" t="str">
        <f>IFERROR(__xludf.DUMMYFUNCTION("GOOGLETRANSLATE($A2612,""en"",""it"")"),"Kandava novad (Kandava)")</f>
        <v>Kandava novad (Kandava)</v>
      </c>
      <c r="G2612" s="9" t="str">
        <f>IFERROR(__xludf.DUMMYFUNCTION("GOOGLETRANSLATE($A2612,""en"",""zh-cn"")"),"坎达瓦新星 (Kandava)")</f>
        <v>坎达瓦新星 (Kandava)</v>
      </c>
      <c r="H2612" s="9" t="str">
        <f>IFERROR(__xludf.DUMMYFUNCTION("GOOGLETRANSLATE($A2612,""en"",""ja"")"),"カンダヴァ ノヴァド (カンダヴァ)")</f>
        <v>カンダヴァ ノヴァド (カンダヴァ)</v>
      </c>
      <c r="I2612" s="9" t="str">
        <f>IFERROR(__xludf.DUMMYFUNCTION("GOOGLETRANSLATE($A2612,""en"",""ko"")"),"칸다바스 노바드(칸다바)")</f>
        <v>칸다바스 노바드(칸다바)</v>
      </c>
      <c r="J2612" s="9" t="str">
        <f>IFERROR(__xludf.DUMMYFUNCTION("GOOGLETRANSLATE($A2612,""en"",""pt-BR"")"),"Kandavas novads (Kandava)")</f>
        <v>Kandavas novads (Kandava)</v>
      </c>
    </row>
    <row r="2613">
      <c r="A2613" s="9" t="str">
        <f>IFERROR(__xludf.DUMMYFUNCTION("""COMPUTED_VALUE"""),"Rīga")</f>
        <v>Rīga</v>
      </c>
      <c r="B2613" s="9" t="str">
        <f>IFERROR(__xludf.DUMMYFUNCTION("""COMPUTED_VALUE"""),"lv-rix")</f>
        <v>lv-rix</v>
      </c>
      <c r="C2613" s="9" t="str">
        <f>IFERROR(__xludf.DUMMYFUNCTION("GOOGLETRANSLATE($A2613,""en"",""de"")"),"Riga")</f>
        <v>Riga</v>
      </c>
      <c r="D2613" s="9" t="str">
        <f>IFERROR(__xludf.DUMMYFUNCTION("GOOGLETRANSLATE($A2613,""en"",""fr"")"),"Riga")</f>
        <v>Riga</v>
      </c>
      <c r="E2613" s="9" t="str">
        <f>IFERROR(__xludf.DUMMYFUNCTION("GOOGLETRANSLATE($A2613,""en"",""es"")"),"Riga")</f>
        <v>Riga</v>
      </c>
      <c r="F2613" s="9" t="str">
        <f>IFERROR(__xludf.DUMMYFUNCTION("GOOGLETRANSLATE($A2613,""en"",""it"")"),"Riga")</f>
        <v>Riga</v>
      </c>
      <c r="G2613" s="9" t="str">
        <f>IFERROR(__xludf.DUMMYFUNCTION("GOOGLETRANSLATE($A2613,""en"",""zh-cn"")"),"里加")</f>
        <v>里加</v>
      </c>
      <c r="H2613" s="9" t="str">
        <f>IFERROR(__xludf.DUMMYFUNCTION("GOOGLETRANSLATE($A2613,""en"",""ja"")"),"リガ")</f>
        <v>リガ</v>
      </c>
      <c r="I2613" s="9" t="str">
        <f>IFERROR(__xludf.DUMMYFUNCTION("GOOGLETRANSLATE($A2613,""en"",""ko"")"),"리가")</f>
        <v>리가</v>
      </c>
      <c r="J2613" s="9" t="str">
        <f>IFERROR(__xludf.DUMMYFUNCTION("GOOGLETRANSLATE($A2613,""en"",""pt-BR"")"),"Riga")</f>
        <v>Riga</v>
      </c>
    </row>
    <row r="2614">
      <c r="A2614" s="9" t="str">
        <f>IFERROR(__xludf.DUMMYFUNCTION("""COMPUTED_VALUE"""),"Salas novads (Sala)")</f>
        <v>Salas novads (Sala)</v>
      </c>
      <c r="B2614" s="9" t="str">
        <f>IFERROR(__xludf.DUMMYFUNCTION("""COMPUTED_VALUE"""),"lv-085")</f>
        <v>lv-085</v>
      </c>
      <c r="C2614" s="9" t="str">
        <f>IFERROR(__xludf.DUMMYFUNCTION("GOOGLETRANSLATE($A2614,""en"",""de"")"),"Salas novads (Sala)")</f>
        <v>Salas novads (Sala)</v>
      </c>
      <c r="D2614" s="9" t="str">
        <f>IFERROR(__xludf.DUMMYFUNCTION("GOOGLETRANSLATE($A2614,""en"",""fr"")"),"Salas novads (Sala)")</f>
        <v>Salas novads (Sala)</v>
      </c>
      <c r="E2614" s="9" t="str">
        <f>IFERROR(__xludf.DUMMYFUNCTION("GOOGLETRANSLATE($A2614,""en"",""es"")"),"Salas Novads (Sala)")</f>
        <v>Salas Novads (Sala)</v>
      </c>
      <c r="F2614" s="9" t="str">
        <f>IFERROR(__xludf.DUMMYFUNCTION("GOOGLETRANSLATE($A2614,""en"",""it"")"),"Salas novads (Sala)")</f>
        <v>Salas novads (Sala)</v>
      </c>
      <c r="G2614" s="9" t="str">
        <f>IFERROR(__xludf.DUMMYFUNCTION("GOOGLETRANSLATE($A2614,""en"",""zh-cn"")"),"萨拉斯新星 (Sala)")</f>
        <v>萨拉斯新星 (Sala)</v>
      </c>
      <c r="H2614" s="9" t="str">
        <f>IFERROR(__xludf.DUMMYFUNCTION("GOOGLETRANSLATE($A2614,""en"",""ja"")"),"サラス・ノヴァド（サラ）")</f>
        <v>サラス・ノヴァド（サラ）</v>
      </c>
      <c r="I2614" s="9" t="str">
        <f>IFERROR(__xludf.DUMMYFUNCTION("GOOGLETRANSLATE($A2614,""en"",""ko"")"),"살라스 노바드(Sala)")</f>
        <v>살라스 노바드(Sala)</v>
      </c>
      <c r="J2614" s="9" t="str">
        <f>IFERROR(__xludf.DUMMYFUNCTION("GOOGLETRANSLATE($A2614,""en"",""pt-BR"")"),"Salas Novads (Sala)")</f>
        <v>Salas Novads (Sala)</v>
      </c>
    </row>
    <row r="2615">
      <c r="A2615" s="9" t="str">
        <f>IFERROR(__xludf.DUMMYFUNCTION("""COMPUTED_VALUE"""),"Iecavas novads (Iecava)")</f>
        <v>Iecavas novads (Iecava)</v>
      </c>
      <c r="B2615" s="9" t="str">
        <f>IFERROR(__xludf.DUMMYFUNCTION("""COMPUTED_VALUE"""),"lv-034")</f>
        <v>lv-034</v>
      </c>
      <c r="C2615" s="9" t="str">
        <f>IFERROR(__xludf.DUMMYFUNCTION("GOOGLETRANSLATE($A2615,""en"",""de"")"),"Iecavas novads (Iecava)")</f>
        <v>Iecavas novads (Iecava)</v>
      </c>
      <c r="D2615" s="9" t="str">
        <f>IFERROR(__xludf.DUMMYFUNCTION("GOOGLETRANSLATE($A2615,""en"",""fr"")"),"Iecavas novads (Iecava)")</f>
        <v>Iecavas novads (Iecava)</v>
      </c>
      <c r="E2615" s="9" t="str">
        <f>IFERROR(__xludf.DUMMYFUNCTION("GOOGLETRANSLATE($A2615,""en"",""es"")"),"Iecavas novads (Iecava)")</f>
        <v>Iecavas novads (Iecava)</v>
      </c>
      <c r="F2615" s="9" t="str">
        <f>IFERROR(__xludf.DUMMYFUNCTION("GOOGLETRANSLATE($A2615,""en"",""it"")"),"Iecavas novads (Iecava)")</f>
        <v>Iecavas novads (Iecava)</v>
      </c>
      <c r="G2615" s="9" t="str">
        <f>IFERROR(__xludf.DUMMYFUNCTION("GOOGLETRANSLATE($A2615,""en"",""zh-cn"")"),"伊卡瓦新星 (Iecava)")</f>
        <v>伊卡瓦新星 (Iecava)</v>
      </c>
      <c r="H2615" s="9" t="str">
        <f>IFERROR(__xludf.DUMMYFUNCTION("GOOGLETRANSLATE($A2615,""en"",""ja"")"),"Iecava novads (イエツァヴァ)")</f>
        <v>Iecava novads (イエツァヴァ)</v>
      </c>
      <c r="I2615" s="9" t="str">
        <f>IFERROR(__xludf.DUMMYFUNCTION("GOOGLETRANSLATE($A2615,""en"",""ko"")"),"Iecavas novads (Iecava)")</f>
        <v>Iecavas novads (Iecava)</v>
      </c>
      <c r="J2615" s="9" t="str">
        <f>IFERROR(__xludf.DUMMYFUNCTION("GOOGLETRANSLATE($A2615,""en"",""pt-BR"")"),"Iecavas novads (Iecava)")</f>
        <v>Iecavas novads (Iecava)</v>
      </c>
    </row>
    <row r="2616">
      <c r="A2616" s="9" t="str">
        <f>IFERROR(__xludf.DUMMYFUNCTION("""COMPUTED_VALUE"""),"Aknīstes novads (Aknīste)")</f>
        <v>Aknīstes novads (Aknīste)</v>
      </c>
      <c r="B2616" s="9" t="str">
        <f>IFERROR(__xludf.DUMMYFUNCTION("""COMPUTED_VALUE"""),"lv-004")</f>
        <v>lv-004</v>
      </c>
      <c r="C2616" s="9" t="str">
        <f>IFERROR(__xludf.DUMMYFUNCTION("GOOGLETRANSLATE($A2616,""en"",""de"")"),"Aknīstes novads (Aknīste)")</f>
        <v>Aknīstes novads (Aknīste)</v>
      </c>
      <c r="D2616" s="9" t="str">
        <f>IFERROR(__xludf.DUMMYFUNCTION("GOOGLETRANSLATE($A2616,""en"",""fr"")"),"Aknistes novads (Akniste)")</f>
        <v>Aknistes novads (Akniste)</v>
      </c>
      <c r="E2616" s="9" t="str">
        <f>IFERROR(__xludf.DUMMYFUNCTION("GOOGLETRANSLATE($A2616,""en"",""es"")"),"Aknīstes novads (Aknīste)")</f>
        <v>Aknīstes novads (Aknīste)</v>
      </c>
      <c r="F2616" s="9" t="str">
        <f>IFERROR(__xludf.DUMMYFUNCTION("GOOGLETRANSLATE($A2616,""en"",""it"")"),"Aknīstes novads (Aknīste)")</f>
        <v>Aknīstes novads (Aknīste)</v>
      </c>
      <c r="G2616" s="9" t="str">
        <f>IFERROR(__xludf.DUMMYFUNCTION("GOOGLETRANSLATE($A2616,""en"",""zh-cn"")"),"Aknīstes novads (Aknīste)")</f>
        <v>Aknīstes novads (Aknīste)</v>
      </c>
      <c r="H2616" s="9" t="str">
        <f>IFERROR(__xludf.DUMMYFUNCTION("GOOGLETRANSLATE($A2616,""en"",""ja"")"),"アクニステス・ノヴァド (アクニステ)")</f>
        <v>アクニステス・ノヴァド (アクニステ)</v>
      </c>
      <c r="I2616" s="9" t="str">
        <f>IFERROR(__xludf.DUMMYFUNCTION("GOOGLETRANSLATE($A2616,""en"",""ko"")"),"Aknīstes novads (Aknīste)")</f>
        <v>Aknīstes novads (Aknīste)</v>
      </c>
      <c r="J2616" s="9" t="str">
        <f>IFERROR(__xludf.DUMMYFUNCTION("GOOGLETRANSLATE($A2616,""en"",""pt-BR"")"),"Aknīstes novads (Aknīste)")</f>
        <v>Aknīstes novads (Aknīste)</v>
      </c>
    </row>
    <row r="2617">
      <c r="A2617" s="9" t="str">
        <f>IFERROR(__xludf.DUMMYFUNCTION("""COMPUTED_VALUE"""),"Carnikavas novads (Carnikava)")</f>
        <v>Carnikavas novads (Carnikava)</v>
      </c>
      <c r="B2617" s="9" t="str">
        <f>IFERROR(__xludf.DUMMYFUNCTION("""COMPUTED_VALUE"""),"lv-020")</f>
        <v>lv-020</v>
      </c>
      <c r="C2617" s="9" t="str">
        <f>IFERROR(__xludf.DUMMYFUNCTION("GOOGLETRANSLATE($A2617,""en"",""de"")"),"Carnikavas novads (Carnikava)")</f>
        <v>Carnikavas novads (Carnikava)</v>
      </c>
      <c r="D2617" s="9" t="str">
        <f>IFERROR(__xludf.DUMMYFUNCTION("GOOGLETRANSLATE($A2617,""en"",""fr"")"),"Carnikavas novads (Carnikava)")</f>
        <v>Carnikavas novads (Carnikava)</v>
      </c>
      <c r="E2617" s="9" t="str">
        <f>IFERROR(__xludf.DUMMYFUNCTION("GOOGLETRANSLATE($A2617,""en"",""es"")"),"Carnikavas novads (Carnikava)")</f>
        <v>Carnikavas novads (Carnikava)</v>
      </c>
      <c r="F2617" s="9" t="str">
        <f>IFERROR(__xludf.DUMMYFUNCTION("GOOGLETRANSLATE($A2617,""en"",""it"")"),"Carnikavas novads (Carnikava)")</f>
        <v>Carnikavas novads (Carnikava)</v>
      </c>
      <c r="G2617" s="9" t="str">
        <f>IFERROR(__xludf.DUMMYFUNCTION("GOOGLETRANSLATE($A2617,""en"",""zh-cn"")"),"卡尼卡瓦新星 (Carnikava)")</f>
        <v>卡尼卡瓦新星 (Carnikava)</v>
      </c>
      <c r="H2617" s="9" t="str">
        <f>IFERROR(__xludf.DUMMYFUNCTION("GOOGLETRANSLATE($A2617,""en"",""ja"")"),"Carnikavas novads (カルニカヴァ)")</f>
        <v>Carnikavas novads (カルニカヴァ)</v>
      </c>
      <c r="I2617" s="9" t="str">
        <f>IFERROR(__xludf.DUMMYFUNCTION("GOOGLETRANSLATE($A2617,""en"",""ko"")"),"Carnikavas novads (Carnikava)")</f>
        <v>Carnikavas novads (Carnikava)</v>
      </c>
      <c r="J2617" s="9" t="str">
        <f>IFERROR(__xludf.DUMMYFUNCTION("GOOGLETRANSLATE($A2617,""en"",""pt-BR"")"),"Carnikavas novads (Carnikava)")</f>
        <v>Carnikavas novads (Carnikava)</v>
      </c>
    </row>
    <row r="2618">
      <c r="A2618" s="9" t="str">
        <f>IFERROR(__xludf.DUMMYFUNCTION("""COMPUTED_VALUE"""),"Zilupes novads (Zilupe)")</f>
        <v>Zilupes novads (Zilupe)</v>
      </c>
      <c r="B2618" s="9" t="str">
        <f>IFERROR(__xludf.DUMMYFUNCTION("""COMPUTED_VALUE"""),"lv-110")</f>
        <v>lv-110</v>
      </c>
      <c r="C2618" s="9" t="str">
        <f>IFERROR(__xludf.DUMMYFUNCTION("GOOGLETRANSLATE($A2618,""en"",""de"")"),"Zilupes novads (Zilupe)")</f>
        <v>Zilupes novads (Zilupe)</v>
      </c>
      <c r="D2618" s="9" t="str">
        <f>IFERROR(__xludf.DUMMYFUNCTION("GOOGLETRANSLATE($A2618,""en"",""fr"")"),"Zilupes novads (Zilupe)")</f>
        <v>Zilupes novads (Zilupe)</v>
      </c>
      <c r="E2618" s="9" t="str">
        <f>IFERROR(__xludf.DUMMYFUNCTION("GOOGLETRANSLATE($A2618,""en"",""es"")"),"Zilupes novads (Zilupe)")</f>
        <v>Zilupes novads (Zilupe)</v>
      </c>
      <c r="F2618" s="9" t="str">
        <f>IFERROR(__xludf.DUMMYFUNCTION("GOOGLETRANSLATE($A2618,""en"",""it"")"),"Zilupes novad (Zilupe)")</f>
        <v>Zilupes novad (Zilupe)</v>
      </c>
      <c r="G2618" s="9" t="str">
        <f>IFERROR(__xludf.DUMMYFUNCTION("GOOGLETRANSLATE($A2618,""en"",""zh-cn"")"),"新星齐鲁佩斯 (Zilupe)")</f>
        <v>新星齐鲁佩斯 (Zilupe)</v>
      </c>
      <c r="H2618" s="9" t="str">
        <f>IFERROR(__xludf.DUMMYFUNCTION("GOOGLETRANSLATE($A2618,""en"",""ja"")"),"Zilupes novad (ジルペ)")</f>
        <v>Zilupes novad (ジルペ)</v>
      </c>
      <c r="I2618" s="9" t="str">
        <f>IFERROR(__xludf.DUMMYFUNCTION("GOOGLETRANSLATE($A2618,""en"",""ko"")"),"Zilupes novads (Zilupe)")</f>
        <v>Zilupes novads (Zilupe)</v>
      </c>
      <c r="J2618" s="9" t="str">
        <f>IFERROR(__xludf.DUMMYFUNCTION("GOOGLETRANSLATE($A2618,""en"",""pt-BR"")"),"Zilupes novads (Zilupe)")</f>
        <v>Zilupes novads (Zilupe)</v>
      </c>
    </row>
    <row r="2619">
      <c r="A2619" s="9" t="str">
        <f>IFERROR(__xludf.DUMMYFUNCTION("""COMPUTED_VALUE"""),"Varakļānu novads")</f>
        <v>Varakļānu novads</v>
      </c>
      <c r="B2619" s="9" t="str">
        <f>IFERROR(__xludf.DUMMYFUNCTION("""COMPUTED_VALUE"""),"lv-102")</f>
        <v>lv-102</v>
      </c>
      <c r="C2619" s="9" t="str">
        <f>IFERROR(__xludf.DUMMYFUNCTION("GOOGLETRANSLATE($A2619,""en"",""de"")"),"Varakļānu novads")</f>
        <v>Varakļānu novads</v>
      </c>
      <c r="D2619" s="9" t="str">
        <f>IFERROR(__xludf.DUMMYFUNCTION("GOOGLETRANSLATE($A2619,""en"",""fr"")"),"Varakļānu novads")</f>
        <v>Varakļānu novads</v>
      </c>
      <c r="E2619" s="9" t="str">
        <f>IFERROR(__xludf.DUMMYFUNCTION("GOOGLETRANSLATE($A2619,""en"",""es"")"),"Varakļānu novadas")</f>
        <v>Varakļānu novadas</v>
      </c>
      <c r="F2619" s="9" t="str">
        <f>IFERROR(__xludf.DUMMYFUNCTION("GOOGLETRANSLATE($A2619,""en"",""it"")"),"Varakļānu novads")</f>
        <v>Varakļānu novads</v>
      </c>
      <c r="G2619" s="9" t="str">
        <f>IFERROR(__xludf.DUMMYFUNCTION("GOOGLETRANSLATE($A2619,""en"",""zh-cn"")"),"瓦拉卡努新星")</f>
        <v>瓦拉卡努新星</v>
      </c>
      <c r="H2619" s="9" t="str">
        <f>IFERROR(__xludf.DUMMYFUNCTION("GOOGLETRANSLATE($A2619,""en"",""ja"")"),"ヴァラカヌ・ノヴァド")</f>
        <v>ヴァラカヌ・ノヴァド</v>
      </c>
      <c r="I2619" s="9" t="str">
        <f>IFERROR(__xludf.DUMMYFUNCTION("GOOGLETRANSLATE($A2619,""en"",""ko"")"),"바라카누 노바드(Varakļānu novads)")</f>
        <v>바라카누 노바드(Varakļānu novads)</v>
      </c>
      <c r="J2619" s="9" t="str">
        <f>IFERROR(__xludf.DUMMYFUNCTION("GOOGLETRANSLATE($A2619,""en"",""pt-BR"")"),"Varakļānu novads")</f>
        <v>Varakļānu novads</v>
      </c>
    </row>
    <row r="2620">
      <c r="A2620" s="9" t="str">
        <f>IFERROR(__xludf.DUMMYFUNCTION("""COMPUTED_VALUE"""),"Burtnieku novads (Burtnieki)")</f>
        <v>Burtnieku novads (Burtnieki)</v>
      </c>
      <c r="B2620" s="9" t="str">
        <f>IFERROR(__xludf.DUMMYFUNCTION("""COMPUTED_VALUE"""),"lv-019")</f>
        <v>lv-019</v>
      </c>
      <c r="C2620" s="9" t="str">
        <f>IFERROR(__xludf.DUMMYFUNCTION("GOOGLETRANSLATE($A2620,""en"",""de"")"),"Burtnieku novads (Burtnieki)")</f>
        <v>Burtnieku novads (Burtnieki)</v>
      </c>
      <c r="D2620" s="9" t="str">
        <f>IFERROR(__xludf.DUMMYFUNCTION("GOOGLETRANSLATE($A2620,""en"",""fr"")"),"Burtnieku novads (Burtnieki)")</f>
        <v>Burtnieku novads (Burtnieki)</v>
      </c>
      <c r="E2620" s="9" t="str">
        <f>IFERROR(__xludf.DUMMYFUNCTION("GOOGLETRANSLATE($A2620,""en"",""es"")"),"Burtnieku novads (Burtnieki)")</f>
        <v>Burtnieku novads (Burtnieki)</v>
      </c>
      <c r="F2620" s="9" t="str">
        <f>IFERROR(__xludf.DUMMYFUNCTION("GOOGLETRANSLATE($A2620,""en"",""it"")"),"Burtnieku novad (Burtnieki)")</f>
        <v>Burtnieku novad (Burtnieki)</v>
      </c>
      <c r="G2620" s="9" t="str">
        <f>IFERROR(__xludf.DUMMYFUNCTION("GOOGLETRANSLATE($A2620,""en"",""zh-cn"")"),"布尔特涅库新星 (Burtnieki)")</f>
        <v>布尔特涅库新星 (Burtnieki)</v>
      </c>
      <c r="H2620" s="9" t="str">
        <f>IFERROR(__xludf.DUMMYFUNCTION("GOOGLETRANSLATE($A2620,""en"",""ja"")"),"Burtnieku novads (ブルトニエキ)")</f>
        <v>Burtnieku novads (ブルトニエキ)</v>
      </c>
      <c r="I2620" s="9" t="str">
        <f>IFERROR(__xludf.DUMMYFUNCTION("GOOGLETRANSLATE($A2620,""en"",""ko"")"),"Burtnieku novads (Burtnieki)")</f>
        <v>Burtnieku novads (Burtnieki)</v>
      </c>
      <c r="J2620" s="9" t="str">
        <f>IFERROR(__xludf.DUMMYFUNCTION("GOOGLETRANSLATE($A2620,""en"",""pt-BR"")"),"Burtnieku novads (Burtnieki)")</f>
        <v>Burtnieku novads (Burtnieki)</v>
      </c>
    </row>
    <row r="2621">
      <c r="A2621" s="9" t="str">
        <f>IFERROR(__xludf.DUMMYFUNCTION("""COMPUTED_VALUE"""),"Ventspils")</f>
        <v>Ventspils</v>
      </c>
      <c r="B2621" s="9" t="str">
        <f>IFERROR(__xludf.DUMMYFUNCTION("""COMPUTED_VALUE"""),"lv-ven")</f>
        <v>lv-ven</v>
      </c>
      <c r="C2621" s="9" t="str">
        <f>IFERROR(__xludf.DUMMYFUNCTION("GOOGLETRANSLATE($A2621,""en"",""de"")"),"Ventspils")</f>
        <v>Ventspils</v>
      </c>
      <c r="D2621" s="9" t="str">
        <f>IFERROR(__xludf.DUMMYFUNCTION("GOOGLETRANSLATE($A2621,""en"",""fr"")"),"Ventspils")</f>
        <v>Ventspils</v>
      </c>
      <c r="E2621" s="9" t="str">
        <f>IFERROR(__xludf.DUMMYFUNCTION("GOOGLETRANSLATE($A2621,""en"",""es"")"),"Ventspils")</f>
        <v>Ventspils</v>
      </c>
      <c r="F2621" s="9" t="str">
        <f>IFERROR(__xludf.DUMMYFUNCTION("GOOGLETRANSLATE($A2621,""en"",""it"")"),"Ventspils")</f>
        <v>Ventspils</v>
      </c>
      <c r="G2621" s="9" t="str">
        <f>IFERROR(__xludf.DUMMYFUNCTION("GOOGLETRANSLATE($A2621,""en"",""zh-cn"")"),"文茨皮尔斯")</f>
        <v>文茨皮尔斯</v>
      </c>
      <c r="H2621" s="9" t="str">
        <f>IFERROR(__xludf.DUMMYFUNCTION("GOOGLETRANSLATE($A2621,""en"",""ja"")"),"ヴェンツピルス")</f>
        <v>ヴェンツピルス</v>
      </c>
      <c r="I2621" s="9" t="str">
        <f>IFERROR(__xludf.DUMMYFUNCTION("GOOGLETRANSLATE($A2621,""en"",""ko"")"),"벤츠필스")</f>
        <v>벤츠필스</v>
      </c>
      <c r="J2621" s="9" t="str">
        <f>IFERROR(__xludf.DUMMYFUNCTION("GOOGLETRANSLATE($A2621,""en"",""pt-BR"")"),"Ventspils")</f>
        <v>Ventspils</v>
      </c>
    </row>
    <row r="2622">
      <c r="A2622" s="9" t="str">
        <f>IFERROR(__xludf.DUMMYFUNCTION("""COMPUTED_VALUE"""),"Nīcas novads (Nīca)")</f>
        <v>Nīcas novads (Nīca)</v>
      </c>
      <c r="B2622" s="9" t="str">
        <f>IFERROR(__xludf.DUMMYFUNCTION("""COMPUTED_VALUE"""),"lv-066")</f>
        <v>lv-066</v>
      </c>
      <c r="C2622" s="9" t="str">
        <f>IFERROR(__xludf.DUMMYFUNCTION("GOOGLETRANSLATE($A2622,""en"",""de"")"),"Nīcas novads (Nīca)")</f>
        <v>Nīcas novads (Nīca)</v>
      </c>
      <c r="D2622" s="9" t="str">
        <f>IFERROR(__xludf.DUMMYFUNCTION("GOOGLETRANSLATE($A2622,""en"",""fr"")"),"Nīcas novads (Nīca)")</f>
        <v>Nīcas novads (Nīca)</v>
      </c>
      <c r="E2622" s="9" t="str">
        <f>IFERROR(__xludf.DUMMYFUNCTION("GOOGLETRANSLATE($A2622,""en"",""es"")"),"Nīcas novads (Nīca)")</f>
        <v>Nīcas novads (Nīca)</v>
      </c>
      <c r="F2622" s="9" t="str">
        <f>IFERROR(__xludf.DUMMYFUNCTION("GOOGLETRANSLATE($A2622,""en"",""it"")"),"Nicas novads (Nica)")</f>
        <v>Nicas novads (Nica)</v>
      </c>
      <c r="G2622" s="9" t="str">
        <f>IFERROR(__xludf.DUMMYFUNCTION("GOOGLETRANSLATE($A2622,""en"",""zh-cn"")"),"尼卡斯新星 (Nīca)")</f>
        <v>尼卡斯新星 (Nīca)</v>
      </c>
      <c r="H2622" s="9" t="str">
        <f>IFERROR(__xludf.DUMMYFUNCTION("GOOGLETRANSLATE($A2622,""en"",""ja"")"),"Nīcas novads (ニカ)")</f>
        <v>Nīcas novads (ニカ)</v>
      </c>
      <c r="I2622" s="9" t="str">
        <f>IFERROR(__xludf.DUMMYFUNCTION("GOOGLETRANSLATE($A2622,""en"",""ko"")"),"Nīcas novads (Nīca)")</f>
        <v>Nīcas novads (Nīca)</v>
      </c>
      <c r="J2622" s="9" t="str">
        <f>IFERROR(__xludf.DUMMYFUNCTION("GOOGLETRANSLATE($A2622,""en"",""pt-BR"")"),"Nīcas novads (Nīca)")</f>
        <v>Nīcas novads (Nīca)</v>
      </c>
    </row>
    <row r="2623">
      <c r="A2623" s="9" t="str">
        <f>IFERROR(__xludf.DUMMYFUNCTION("""COMPUTED_VALUE"""),"Cesvaines novads (Cesvaine)")</f>
        <v>Cesvaines novads (Cesvaine)</v>
      </c>
      <c r="B2623" s="9" t="str">
        <f>IFERROR(__xludf.DUMMYFUNCTION("""COMPUTED_VALUE"""),"lv-021")</f>
        <v>lv-021</v>
      </c>
      <c r="C2623" s="9" t="str">
        <f>IFERROR(__xludf.DUMMYFUNCTION("GOOGLETRANSLATE($A2623,""en"",""de"")"),"Cesvaines novads (Cesvaine)")</f>
        <v>Cesvaines novads (Cesvaine)</v>
      </c>
      <c r="D2623" s="9" t="str">
        <f>IFERROR(__xludf.DUMMYFUNCTION("GOOGLETRANSLATE($A2623,""en"",""fr"")"),"Cesvaines novads (Cesvaine)")</f>
        <v>Cesvaines novads (Cesvaine)</v>
      </c>
      <c r="E2623" s="9" t="str">
        <f>IFERROR(__xludf.DUMMYFUNCTION("GOOGLETRANSLATE($A2623,""en"",""es"")"),"Cesvaines novads (Cesvaine)")</f>
        <v>Cesvaines novads (Cesvaine)</v>
      </c>
      <c r="F2623" s="9" t="str">
        <f>IFERROR(__xludf.DUMMYFUNCTION("GOOGLETRANSLATE($A2623,""en"",""it"")"),"Cesvaines novads (Cesvaine)")</f>
        <v>Cesvaines novads (Cesvaine)</v>
      </c>
      <c r="G2623" s="9" t="str">
        <f>IFERROR(__xludf.DUMMYFUNCTION("GOOGLETRANSLATE($A2623,""en"",""zh-cn"")"),"塞斯万新星 (Cesvaine)")</f>
        <v>塞斯万新星 (Cesvaine)</v>
      </c>
      <c r="H2623" s="9" t="str">
        <f>IFERROR(__xludf.DUMMYFUNCTION("GOOGLETRANSLATE($A2623,""en"",""ja"")"),"セスヴェイン ノヴァド (セスヴェイン)")</f>
        <v>セスヴェイン ノヴァド (セスヴェイン)</v>
      </c>
      <c r="I2623" s="9" t="str">
        <f>IFERROR(__xludf.DUMMYFUNCTION("GOOGLETRANSLATE($A2623,""en"",""ko"")"),"Cesvaines novads (Cesvaine)")</f>
        <v>Cesvaines novads (Cesvaine)</v>
      </c>
      <c r="J2623" s="9" t="str">
        <f>IFERROR(__xludf.DUMMYFUNCTION("GOOGLETRANSLATE($A2623,""en"",""pt-BR"")"),"Cesvaines novads (Cesvaine)")</f>
        <v>Cesvaines novads (Cesvaine)</v>
      </c>
    </row>
    <row r="2624">
      <c r="A2624" s="9" t="str">
        <f>IFERROR(__xludf.DUMMYFUNCTION("""COMPUTED_VALUE"""),"Salacgrīvas novads (Salacgrīva)")</f>
        <v>Salacgrīvas novads (Salacgrīva)</v>
      </c>
      <c r="B2624" s="9" t="str">
        <f>IFERROR(__xludf.DUMMYFUNCTION("""COMPUTED_VALUE"""),"lv-086")</f>
        <v>lv-086</v>
      </c>
      <c r="C2624" s="9" t="str">
        <f>IFERROR(__xludf.DUMMYFUNCTION("GOOGLETRANSLATE($A2624,""en"",""de"")"),"Salacgrīvas novads (Salacgrīva)")</f>
        <v>Salacgrīvas novads (Salacgrīva)</v>
      </c>
      <c r="D2624" s="9" t="str">
        <f>IFERROR(__xludf.DUMMYFUNCTION("GOOGLETRANSLATE($A2624,""en"",""fr"")"),"Salacgrīvas novads (Salacgrīva)")</f>
        <v>Salacgrīvas novads (Salacgrīva)</v>
      </c>
      <c r="E2624" s="9" t="str">
        <f>IFERROR(__xludf.DUMMYFUNCTION("GOOGLETRANSLATE($A2624,""en"",""es"")"),"Salacgrīvas novads (Salacgrīva)")</f>
        <v>Salacgrīvas novads (Salacgrīva)</v>
      </c>
      <c r="F2624" s="9" t="str">
        <f>IFERROR(__xludf.DUMMYFUNCTION("GOOGLETRANSLATE($A2624,""en"",""it"")"),"Salacgrīvas novads (Salacgrīva)")</f>
        <v>Salacgrīvas novads (Salacgrīva)</v>
      </c>
      <c r="G2624" s="9" t="str">
        <f>IFERROR(__xludf.DUMMYFUNCTION("GOOGLETRANSLATE($A2624,""en"",""zh-cn"")"),"萨拉克格里瓦斯新星 (Salacgrīva)")</f>
        <v>萨拉克格里瓦斯新星 (Salacgrīva)</v>
      </c>
      <c r="H2624" s="9" t="str">
        <f>IFERROR(__xludf.DUMMYFUNCTION("GOOGLETRANSLATE($A2624,""en"",""ja"")"),"Salacgrīvas novads (サラクグリーヴァ)")</f>
        <v>Salacgrīvas novads (サラクグリーヴァ)</v>
      </c>
      <c r="I2624" s="9" t="str">
        <f>IFERROR(__xludf.DUMMYFUNCTION("GOOGLETRANSLATE($A2624,""en"",""ko"")"),"Salacgrīva novads (Salacgrīva)")</f>
        <v>Salacgrīva novads (Salacgrīva)</v>
      </c>
      <c r="J2624" s="9" t="str">
        <f>IFERROR(__xludf.DUMMYFUNCTION("GOOGLETRANSLATE($A2624,""en"",""pt-BR"")"),"Salacgrīvas novads (Salacgrīva)")</f>
        <v>Salacgrīvas novads (Salacgrīva)</v>
      </c>
    </row>
    <row r="2625">
      <c r="A2625" s="9" t="str">
        <f>IFERROR(__xludf.DUMMYFUNCTION("""COMPUTED_VALUE"""),"Stopiņu novads (Stopiņi)")</f>
        <v>Stopiņu novads (Stopiņi)</v>
      </c>
      <c r="B2625" s="9" t="str">
        <f>IFERROR(__xludf.DUMMYFUNCTION("""COMPUTED_VALUE"""),"lv-095")</f>
        <v>lv-095</v>
      </c>
      <c r="C2625" s="9" t="str">
        <f>IFERROR(__xludf.DUMMYFUNCTION("GOOGLETRANSLATE($A2625,""en"",""de"")"),"Stopiņu novads (Stopiņi)")</f>
        <v>Stopiņu novads (Stopiņi)</v>
      </c>
      <c r="D2625" s="9" t="str">
        <f>IFERROR(__xludf.DUMMYFUNCTION("GOOGLETRANSLATE($A2625,""en"",""fr"")"),"Stopiņu novads (Stopiņi)")</f>
        <v>Stopiņu novads (Stopiņi)</v>
      </c>
      <c r="E2625" s="9" t="str">
        <f>IFERROR(__xludf.DUMMYFUNCTION("GOOGLETRANSLATE($A2625,""en"",""es"")"),"Stopiņu novads (Stopiņi)")</f>
        <v>Stopiņu novads (Stopiņi)</v>
      </c>
      <c r="F2625" s="9" t="str">
        <f>IFERROR(__xludf.DUMMYFUNCTION("GOOGLETRANSLATE($A2625,""en"",""it"")"),"Stopiņu novads (Stopiņi)")</f>
        <v>Stopiņu novads (Stopiņi)</v>
      </c>
      <c r="G2625" s="9" t="str">
        <f>IFERROR(__xludf.DUMMYFUNCTION("GOOGLETRANSLATE($A2625,""en"",""zh-cn"")"),"斯托皮尼新星 (Stopiņi)")</f>
        <v>斯托皮尼新星 (Stopiņi)</v>
      </c>
      <c r="H2625" s="9" t="str">
        <f>IFERROR(__xludf.DUMMYFUNCTION("GOOGLETRANSLATE($A2625,""en"",""ja"")"),"Stopiņu novads (Stopiņi)")</f>
        <v>Stopiņu novads (Stopiņi)</v>
      </c>
      <c r="I2625" s="9" t="str">
        <f>IFERROR(__xludf.DUMMYFUNCTION("GOOGLETRANSLATE($A2625,""en"",""ko"")"),"Stopiņu novads (Stopiņi)")</f>
        <v>Stopiņu novads (Stopiņi)</v>
      </c>
      <c r="J2625" s="9" t="str">
        <f>IFERROR(__xludf.DUMMYFUNCTION("GOOGLETRANSLATE($A2625,""en"",""pt-BR"")"),"Stopiņu novads (Stopiņi)")</f>
        <v>Stopiņu novads (Stopiņi)</v>
      </c>
    </row>
    <row r="2626">
      <c r="A2626" s="9" t="str">
        <f>IFERROR(__xludf.DUMMYFUNCTION("""COMPUTED_VALUE"""),"Strenču novads (Strenči)")</f>
        <v>Strenču novads (Strenči)</v>
      </c>
      <c r="B2626" s="9" t="str">
        <f>IFERROR(__xludf.DUMMYFUNCTION("""COMPUTED_VALUE"""),"lv-096")</f>
        <v>lv-096</v>
      </c>
      <c r="C2626" s="9" t="str">
        <f>IFERROR(__xludf.DUMMYFUNCTION("GOOGLETRANSLATE($A2626,""en"",""de"")"),"Strenču novads (Strenči)")</f>
        <v>Strenču novads (Strenči)</v>
      </c>
      <c r="D2626" s="9" t="str">
        <f>IFERROR(__xludf.DUMMYFUNCTION("GOOGLETRANSLATE($A2626,""en"",""fr"")"),"Strenču novads (Strenči)")</f>
        <v>Strenču novads (Strenči)</v>
      </c>
      <c r="E2626" s="9" t="str">
        <f>IFERROR(__xludf.DUMMYFUNCTION("GOOGLETRANSLATE($A2626,""en"",""es"")"),"Strenču novads (Strenči)")</f>
        <v>Strenču novads (Strenči)</v>
      </c>
      <c r="F2626" s="9" t="str">
        <f>IFERROR(__xludf.DUMMYFUNCTION("GOOGLETRANSLATE($A2626,""en"",""it"")"),"Strenču novads (Strenči)")</f>
        <v>Strenču novads (Strenči)</v>
      </c>
      <c r="G2626" s="9" t="str">
        <f>IFERROR(__xludf.DUMMYFUNCTION("GOOGLETRANSLATE($A2626,""en"",""zh-cn"")"),"斯特伦库新星 (Strenči)")</f>
        <v>斯特伦库新星 (Strenči)</v>
      </c>
      <c r="H2626" s="9" t="str">
        <f>IFERROR(__xludf.DUMMYFUNCTION("GOOGLETRANSLATE($A2626,""en"",""ja"")"),"Strenču novads (ストレンチ)")</f>
        <v>Strenču novads (ストレンチ)</v>
      </c>
      <c r="I2626" s="9" t="str">
        <f>IFERROR(__xludf.DUMMYFUNCTION("GOOGLETRANSLATE($A2626,""en"",""ko"")"),"Strenču novads (Strenči)")</f>
        <v>Strenču novads (Strenči)</v>
      </c>
      <c r="J2626" s="9" t="str">
        <f>IFERROR(__xludf.DUMMYFUNCTION("GOOGLETRANSLATE($A2626,""en"",""pt-BR"")"),"Strenču novads (Strenči)")</f>
        <v>Strenču novads (Strenči)</v>
      </c>
    </row>
    <row r="2627">
      <c r="A2627" s="9" t="str">
        <f>IFERROR(__xludf.DUMMYFUNCTION("""COMPUTED_VALUE"""),"Rugāju novads (Rugāji)")</f>
        <v>Rugāju novads (Rugāji)</v>
      </c>
      <c r="B2627" s="9" t="str">
        <f>IFERROR(__xludf.DUMMYFUNCTION("""COMPUTED_VALUE"""),"lv-082")</f>
        <v>lv-082</v>
      </c>
      <c r="C2627" s="9" t="str">
        <f>IFERROR(__xludf.DUMMYFUNCTION("GOOGLETRANSLATE($A2627,""en"",""de"")"),"Rugāju novads (Rugāji)")</f>
        <v>Rugāju novads (Rugāji)</v>
      </c>
      <c r="D2627" s="9" t="str">
        <f>IFERROR(__xludf.DUMMYFUNCTION("GOOGLETRANSLATE($A2627,""en"",""fr"")"),"Rugāju novads (Rugāji)")</f>
        <v>Rugāju novads (Rugāji)</v>
      </c>
      <c r="E2627" s="9" t="str">
        <f>IFERROR(__xludf.DUMMYFUNCTION("GOOGLETRANSLATE($A2627,""en"",""es"")"),"Rugāju novads (Rugāji)")</f>
        <v>Rugāju novads (Rugāji)</v>
      </c>
      <c r="F2627" s="9" t="str">
        <f>IFERROR(__xludf.DUMMYFUNCTION("GOOGLETRANSLATE($A2627,""en"",""it"")"),"Rugāju novad (Rugāji)")</f>
        <v>Rugāju novad (Rugāji)</v>
      </c>
      <c r="G2627" s="9" t="str">
        <f>IFERROR(__xludf.DUMMYFUNCTION("GOOGLETRANSLATE($A2627,""en"",""zh-cn"")"),"鲁加朱新星 (Rugāji)")</f>
        <v>鲁加朱新星 (Rugāji)</v>
      </c>
      <c r="H2627" s="9" t="str">
        <f>IFERROR(__xludf.DUMMYFUNCTION("GOOGLETRANSLATE($A2627,""en"",""ja"")"),"Rugāju novads (ルガージ)")</f>
        <v>Rugāju novads (ルガージ)</v>
      </c>
      <c r="I2627" s="9" t="str">
        <f>IFERROR(__xludf.DUMMYFUNCTION("GOOGLETRANSLATE($A2627,""en"",""ko"")"),"Rugāju novads (Rugāji)")</f>
        <v>Rugāju novads (Rugāji)</v>
      </c>
      <c r="J2627" s="9" t="str">
        <f>IFERROR(__xludf.DUMMYFUNCTION("GOOGLETRANSLATE($A2627,""en"",""pt-BR"")"),"Rugāju novads (Rugaji)")</f>
        <v>Rugāju novads (Rugaji)</v>
      </c>
    </row>
    <row r="2628">
      <c r="A2628" s="9" t="str">
        <f>IFERROR(__xludf.DUMMYFUNCTION("""COMPUTED_VALUE"""),"Balvu novads")</f>
        <v>Balvu novads</v>
      </c>
      <c r="B2628" s="9" t="str">
        <f>IFERROR(__xludf.DUMMYFUNCTION("""COMPUTED_VALUE"""),"lv-015")</f>
        <v>lv-015</v>
      </c>
      <c r="C2628" s="9" t="str">
        <f>IFERROR(__xludf.DUMMYFUNCTION("GOOGLETRANSLATE($A2628,""en"",""de"")"),"Balvu Novads")</f>
        <v>Balvu Novads</v>
      </c>
      <c r="D2628" s="9" t="str">
        <f>IFERROR(__xludf.DUMMYFUNCTION("GOOGLETRANSLATE($A2628,""en"",""fr"")"),"Balvu novads")</f>
        <v>Balvu novads</v>
      </c>
      <c r="E2628" s="9" t="str">
        <f>IFERROR(__xludf.DUMMYFUNCTION("GOOGLETRANSLATE($A2628,""en"",""es"")"),"Novas de Balvu")</f>
        <v>Novas de Balvu</v>
      </c>
      <c r="F2628" s="9" t="str">
        <f>IFERROR(__xludf.DUMMYFUNCTION("GOOGLETRANSLATE($A2628,""en"",""it"")"),"Balvu novad")</f>
        <v>Balvu novad</v>
      </c>
      <c r="G2628" s="9" t="str">
        <f>IFERROR(__xludf.DUMMYFUNCTION("GOOGLETRANSLATE($A2628,""en"",""zh-cn"")"),"巴尔武新星")</f>
        <v>巴尔武新星</v>
      </c>
      <c r="H2628" s="9" t="str">
        <f>IFERROR(__xludf.DUMMYFUNCTION("GOOGLETRANSLATE($A2628,""en"",""ja"")"),"バルヴ・ノヴァド")</f>
        <v>バルヴ・ノヴァド</v>
      </c>
      <c r="I2628" s="9" t="str">
        <f>IFERROR(__xludf.DUMMYFUNCTION("GOOGLETRANSLATE($A2628,""en"",""ko"")"),"발부 노바드")</f>
        <v>발부 노바드</v>
      </c>
      <c r="J2628" s="9" t="str">
        <f>IFERROR(__xludf.DUMMYFUNCTION("GOOGLETRANSLATE($A2628,""en"",""pt-BR"")"),"Novads de Balvu")</f>
        <v>Novads de Balvu</v>
      </c>
    </row>
    <row r="2629">
      <c r="A2629" s="9" t="str">
        <f>IFERROR(__xludf.DUMMYFUNCTION("""COMPUTED_VALUE"""),"Jelgavas novads")</f>
        <v>Jelgavas novads</v>
      </c>
      <c r="B2629" s="9" t="str">
        <f>IFERROR(__xludf.DUMMYFUNCTION("""COMPUTED_VALUE"""),"lv-041")</f>
        <v>lv-041</v>
      </c>
      <c r="C2629" s="9" t="str">
        <f>IFERROR(__xludf.DUMMYFUNCTION("GOOGLETRANSLATE($A2629,""en"",""de"")"),"Jelgavas Novads")</f>
        <v>Jelgavas Novads</v>
      </c>
      <c r="D2629" s="9" t="str">
        <f>IFERROR(__xludf.DUMMYFUNCTION("GOOGLETRANSLATE($A2629,""en"",""fr"")"),"Jelgavas novads")</f>
        <v>Jelgavas novads</v>
      </c>
      <c r="E2629" s="9" t="str">
        <f>IFERROR(__xludf.DUMMYFUNCTION("GOOGLETRANSLATE($A2629,""en"",""es"")"),"Novads de Jelgavas")</f>
        <v>Novads de Jelgavas</v>
      </c>
      <c r="F2629" s="9" t="str">
        <f>IFERROR(__xludf.DUMMYFUNCTION("GOOGLETRANSLATE($A2629,""en"",""it"")"),"Jelgavas novads")</f>
        <v>Jelgavas novads</v>
      </c>
      <c r="G2629" s="9" t="str">
        <f>IFERROR(__xludf.DUMMYFUNCTION("GOOGLETRANSLATE($A2629,""en"",""zh-cn"")"),"叶尔加瓦斯新星")</f>
        <v>叶尔加瓦斯新星</v>
      </c>
      <c r="H2629" s="9" t="str">
        <f>IFERROR(__xludf.DUMMYFUNCTION("GOOGLETRANSLATE($A2629,""en"",""ja"")"),"ジェルガヴァの新星")</f>
        <v>ジェルガヴァの新星</v>
      </c>
      <c r="I2629" s="9" t="str">
        <f>IFERROR(__xludf.DUMMYFUNCTION("GOOGLETRANSLATE($A2629,""en"",""ko"")"),"젤가바스 노바드")</f>
        <v>젤가바스 노바드</v>
      </c>
      <c r="J2629" s="9" t="str">
        <f>IFERROR(__xludf.DUMMYFUNCTION("GOOGLETRANSLATE($A2629,""en"",""pt-BR"")"),"Jelgavas novads")</f>
        <v>Jelgavas novads</v>
      </c>
    </row>
    <row r="2630">
      <c r="A2630" s="9" t="str">
        <f>IFERROR(__xludf.DUMMYFUNCTION("""COMPUTED_VALUE"""),"Auces novads (Auce)")</f>
        <v>Auces novads (Auce)</v>
      </c>
      <c r="B2630" s="9" t="str">
        <f>IFERROR(__xludf.DUMMYFUNCTION("""COMPUTED_VALUE"""),"lv-010")</f>
        <v>lv-010</v>
      </c>
      <c r="C2630" s="9" t="str">
        <f>IFERROR(__xludf.DUMMYFUNCTION("GOOGLETRANSLATE($A2630,""en"",""de"")"),"Auces novads (Auce)")</f>
        <v>Auces novads (Auce)</v>
      </c>
      <c r="D2630" s="9" t="str">
        <f>IFERROR(__xludf.DUMMYFUNCTION("GOOGLETRANSLATE($A2630,""en"",""fr"")"),"Auces novads (Auce)")</f>
        <v>Auces novads (Auce)</v>
      </c>
      <c r="E2630" s="9" t="str">
        <f>IFERROR(__xludf.DUMMYFUNCTION("GOOGLETRANSLATE($A2630,""en"",""es"")"),"Auces novads (Auce)")</f>
        <v>Auces novads (Auce)</v>
      </c>
      <c r="F2630" s="9" t="str">
        <f>IFERROR(__xludf.DUMMYFUNCTION("GOOGLETRANSLATE($A2630,""en"",""it"")"),"Auces novads (Auce)")</f>
        <v>Auces novads (Auce)</v>
      </c>
      <c r="G2630" s="9" t="str">
        <f>IFERROR(__xludf.DUMMYFUNCTION("GOOGLETRANSLATE($A2630,""en"",""zh-cn"")"),"奥斯新星 (Auce)")</f>
        <v>奥斯新星 (Auce)</v>
      </c>
      <c r="H2630" s="9" t="str">
        <f>IFERROR(__xludf.DUMMYFUNCTION("GOOGLETRANSLATE($A2630,""en"",""ja"")"),"Auces novad (オーセ)")</f>
        <v>Auces novad (オーセ)</v>
      </c>
      <c r="I2630" s="9" t="str">
        <f>IFERROR(__xludf.DUMMYFUNCTION("GOOGLETRANSLATE($A2630,""en"",""ko"")"),"Auce 노바드(Auce)")</f>
        <v>Auce 노바드(Auce)</v>
      </c>
      <c r="J2630" s="9" t="str">
        <f>IFERROR(__xludf.DUMMYFUNCTION("GOOGLETRANSLATE($A2630,""en"",""pt-BR"")"),"Auces novads (Auce)")</f>
        <v>Auces novads (Auce)</v>
      </c>
    </row>
    <row r="2631">
      <c r="A2631" s="9" t="str">
        <f>IFERROR(__xludf.DUMMYFUNCTION("""COMPUTED_VALUE"""),"Alsungas novads (Alsunga)")</f>
        <v>Alsungas novads (Alsunga)</v>
      </c>
      <c r="B2631" s="9" t="str">
        <f>IFERROR(__xludf.DUMMYFUNCTION("""COMPUTED_VALUE"""),"lv-006")</f>
        <v>lv-006</v>
      </c>
      <c r="C2631" s="9" t="str">
        <f>IFERROR(__xludf.DUMMYFUNCTION("GOOGLETRANSLATE($A2631,""en"",""de"")"),"Alsungas novads (Alsunga)")</f>
        <v>Alsungas novads (Alsunga)</v>
      </c>
      <c r="D2631" s="9" t="str">
        <f>IFERROR(__xludf.DUMMYFUNCTION("GOOGLETRANSLATE($A2631,""en"",""fr"")"),"Alsungas novads (Alsunga)")</f>
        <v>Alsungas novads (Alsunga)</v>
      </c>
      <c r="E2631" s="9" t="str">
        <f>IFERROR(__xludf.DUMMYFUNCTION("GOOGLETRANSLATE($A2631,""en"",""es"")"),"Alsungas novads (Alsunga)")</f>
        <v>Alsungas novads (Alsunga)</v>
      </c>
      <c r="F2631" s="9" t="str">
        <f>IFERROR(__xludf.DUMMYFUNCTION("GOOGLETRANSLATE($A2631,""en"",""it"")"),"Alsungas novads (Alsunga)")</f>
        <v>Alsungas novads (Alsunga)</v>
      </c>
      <c r="G2631" s="9" t="str">
        <f>IFERROR(__xludf.DUMMYFUNCTION("GOOGLETRANSLATE($A2631,""en"",""zh-cn"")"),"阿尔松加新星 (Alsunga)")</f>
        <v>阿尔松加新星 (Alsunga)</v>
      </c>
      <c r="H2631" s="9" t="str">
        <f>IFERROR(__xludf.DUMMYFUNCTION("GOOGLETRANSLATE($A2631,""en"",""ja"")"),"アルスンガ・ノヴァド (アルスンガ)")</f>
        <v>アルスンガ・ノヴァド (アルスンガ)</v>
      </c>
      <c r="I2631" s="9" t="str">
        <f>IFERROR(__xludf.DUMMYFUNCTION("GOOGLETRANSLATE($A2631,""en"",""ko"")"),"Alsungas novads (Alsunga)")</f>
        <v>Alsungas novads (Alsunga)</v>
      </c>
      <c r="J2631" s="9" t="str">
        <f>IFERROR(__xludf.DUMMYFUNCTION("GOOGLETRANSLATE($A2631,""en"",""pt-BR"")"),"Alsungas novads (Alsunga)")</f>
        <v>Alsungas novads (Alsunga)</v>
      </c>
    </row>
    <row r="2632">
      <c r="A2632" s="9" t="str">
        <f>IFERROR(__xludf.DUMMYFUNCTION("""COMPUTED_VALUE"""),"Daugavpils novads (Daugavpils)")</f>
        <v>Daugavpils novads (Daugavpils)</v>
      </c>
      <c r="B2632" s="9" t="str">
        <f>IFERROR(__xludf.DUMMYFUNCTION("""COMPUTED_VALUE"""),"lv-025")</f>
        <v>lv-025</v>
      </c>
      <c r="C2632" s="9" t="str">
        <f>IFERROR(__xludf.DUMMYFUNCTION("GOOGLETRANSLATE($A2632,""en"",""de"")"),"Daugavpils Novads (Daugavpils)")</f>
        <v>Daugavpils Novads (Daugavpils)</v>
      </c>
      <c r="D2632" s="9" t="str">
        <f>IFERROR(__xludf.DUMMYFUNCTION("GOOGLETRANSLATE($A2632,""en"",""fr"")"),"Daugavpils novads (Daugavpils)")</f>
        <v>Daugavpils novads (Daugavpils)</v>
      </c>
      <c r="E2632" s="9" t="str">
        <f>IFERROR(__xludf.DUMMYFUNCTION("GOOGLETRANSLATE($A2632,""en"",""es"")"),"Daugavpils novads (Daugavpils)")</f>
        <v>Daugavpils novads (Daugavpils)</v>
      </c>
      <c r="F2632" s="9" t="str">
        <f>IFERROR(__xludf.DUMMYFUNCTION("GOOGLETRANSLATE($A2632,""en"",""it"")"),"Daugavpils novad (Daugavpils)")</f>
        <v>Daugavpils novad (Daugavpils)</v>
      </c>
      <c r="G2632" s="9" t="str">
        <f>IFERROR(__xludf.DUMMYFUNCTION("GOOGLETRANSLATE($A2632,""en"",""zh-cn"")"),"陶格夫匹尔斯新星 (陶格夫匹尔斯)")</f>
        <v>陶格夫匹尔斯新星 (陶格夫匹尔斯)</v>
      </c>
      <c r="H2632" s="9" t="str">
        <f>IFERROR(__xludf.DUMMYFUNCTION("GOOGLETRANSLATE($A2632,""en"",""ja"")"),"ダウガフピルス ノヴァド (ダウガフピルス)")</f>
        <v>ダウガフピルス ノヴァド (ダウガフピルス)</v>
      </c>
      <c r="I2632" s="9" t="str">
        <f>IFERROR(__xludf.DUMMYFUNCTION("GOOGLETRANSLATE($A2632,""en"",""ko"")"),"다우가프필스 노바드(Daugavpils)")</f>
        <v>다우가프필스 노바드(Daugavpils)</v>
      </c>
      <c r="J2632" s="9" t="str">
        <f>IFERROR(__xludf.DUMMYFUNCTION("GOOGLETRANSLATE($A2632,""en"",""pt-BR"")"),"Daugavpils novads (Daugavpils)")</f>
        <v>Daugavpils novads (Daugavpils)</v>
      </c>
    </row>
    <row r="2633">
      <c r="A2633" s="9" t="str">
        <f>IFERROR(__xludf.DUMMYFUNCTION("""COMPUTED_VALUE"""),"Valmiera")</f>
        <v>Valmiera</v>
      </c>
      <c r="B2633" s="9" t="str">
        <f>IFERROR(__xludf.DUMMYFUNCTION("""COMPUTED_VALUE"""),"lv-vmr")</f>
        <v>lv-vmr</v>
      </c>
      <c r="C2633" s="9" t="str">
        <f>IFERROR(__xludf.DUMMYFUNCTION("GOOGLETRANSLATE($A2633,""en"",""de"")"),"Valmiera")</f>
        <v>Valmiera</v>
      </c>
      <c r="D2633" s="9" t="str">
        <f>IFERROR(__xludf.DUMMYFUNCTION("GOOGLETRANSLATE($A2633,""en"",""fr"")"),"Valmiera")</f>
        <v>Valmiera</v>
      </c>
      <c r="E2633" s="9" t="str">
        <f>IFERROR(__xludf.DUMMYFUNCTION("GOOGLETRANSLATE($A2633,""en"",""es"")"),"Valmiera")</f>
        <v>Valmiera</v>
      </c>
      <c r="F2633" s="9" t="str">
        <f>IFERROR(__xludf.DUMMYFUNCTION("GOOGLETRANSLATE($A2633,""en"",""it"")"),"Valmiera")</f>
        <v>Valmiera</v>
      </c>
      <c r="G2633" s="9" t="str">
        <f>IFERROR(__xludf.DUMMYFUNCTION("GOOGLETRANSLATE($A2633,""en"",""zh-cn"")"),"瓦尔米耶拉")</f>
        <v>瓦尔米耶拉</v>
      </c>
      <c r="H2633" s="9" t="str">
        <f>IFERROR(__xludf.DUMMYFUNCTION("GOOGLETRANSLATE($A2633,""en"",""ja"")"),"ヴァルミエラ")</f>
        <v>ヴァルミエラ</v>
      </c>
      <c r="I2633" s="9" t="str">
        <f>IFERROR(__xludf.DUMMYFUNCTION("GOOGLETRANSLATE($A2633,""en"",""ko"")"),"발미에라")</f>
        <v>발미에라</v>
      </c>
      <c r="J2633" s="9" t="str">
        <f>IFERROR(__xludf.DUMMYFUNCTION("GOOGLETRANSLATE($A2633,""en"",""pt-BR"")"),"Valmiera")</f>
        <v>Valmiera</v>
      </c>
    </row>
    <row r="2634">
      <c r="A2634" s="9" t="str">
        <f>IFERROR(__xludf.DUMMYFUNCTION("""COMPUTED_VALUE"""),"Viļānu novads (Viļāni)")</f>
        <v>Viļānu novads (Viļāni)</v>
      </c>
      <c r="B2634" s="9" t="str">
        <f>IFERROR(__xludf.DUMMYFUNCTION("""COMPUTED_VALUE"""),"lv-109")</f>
        <v>lv-109</v>
      </c>
      <c r="C2634" s="9" t="str">
        <f>IFERROR(__xludf.DUMMYFUNCTION("GOOGLETRANSLATE($A2634,""en"",""de"")"),"Viļānu novads (Viļāni)")</f>
        <v>Viļānu novads (Viļāni)</v>
      </c>
      <c r="D2634" s="9" t="str">
        <f>IFERROR(__xludf.DUMMYFUNCTION("GOOGLETRANSLATE($A2634,""en"",""fr"")"),"Viļānu novads (Viļāni)")</f>
        <v>Viļānu novads (Viļāni)</v>
      </c>
      <c r="E2634" s="9" t="str">
        <f>IFERROR(__xludf.DUMMYFUNCTION("GOOGLETRANSLATE($A2634,""en"",""es"")"),"Viļānu novads (Viļāni)")</f>
        <v>Viļānu novads (Viļāni)</v>
      </c>
      <c r="F2634" s="9" t="str">
        <f>IFERROR(__xludf.DUMMYFUNCTION("GOOGLETRANSLATE($A2634,""en"",""it"")"),"Viļānu novads (Viļāni)")</f>
        <v>Viļānu novads (Viļāni)</v>
      </c>
      <c r="G2634" s="9" t="str">
        <f>IFERROR(__xludf.DUMMYFUNCTION("GOOGLETRANSLATE($A2634,""en"",""zh-cn"")"),"Viļānu novads (Viļāni)")</f>
        <v>Viļānu novads (Viļāni)</v>
      </c>
      <c r="H2634" s="9" t="str">
        <f>IFERROR(__xludf.DUMMYFUNCTION("GOOGLETRANSLATE($A2634,""en"",""ja"")"),"ヴィアーヌ ノヴァド (ヴィアーニ)")</f>
        <v>ヴィアーヌ ノヴァド (ヴィアーニ)</v>
      </c>
      <c r="I2634" s="9" t="str">
        <f>IFERROR(__xludf.DUMMYFUNCTION("GOOGLETRANSLATE($A2634,""en"",""ko"")"),"Viļānu novads (Viļāni)")</f>
        <v>Viļānu novads (Viļāni)</v>
      </c>
      <c r="J2634" s="9" t="str">
        <f>IFERROR(__xludf.DUMMYFUNCTION("GOOGLETRANSLATE($A2634,""en"",""pt-BR"")"),"Viļānu novads (Viļāni)")</f>
        <v>Viļānu novads (Viļāni)</v>
      </c>
    </row>
    <row r="2635">
      <c r="A2635" s="9" t="str">
        <f>IFERROR(__xludf.DUMMYFUNCTION("""COMPUTED_VALUE"""),"Rojas novads (Roja)")</f>
        <v>Rojas novads (Roja)</v>
      </c>
      <c r="B2635" s="9" t="str">
        <f>IFERROR(__xludf.DUMMYFUNCTION("""COMPUTED_VALUE"""),"lv-079")</f>
        <v>lv-079</v>
      </c>
      <c r="C2635" s="9" t="str">
        <f>IFERROR(__xludf.DUMMYFUNCTION("GOOGLETRANSLATE($A2635,""en"",""de"")"),"Rojas novads (Roja)")</f>
        <v>Rojas novads (Roja)</v>
      </c>
      <c r="D2635" s="9" t="str">
        <f>IFERROR(__xludf.DUMMYFUNCTION("GOOGLETRANSLATE($A2635,""en"",""fr"")"),"Rojas Novads (Roja)")</f>
        <v>Rojas Novads (Roja)</v>
      </c>
      <c r="E2635" s="9" t="str">
        <f>IFERROR(__xludf.DUMMYFUNCTION("GOOGLETRANSLATE($A2635,""en"",""es"")"),"Rojas Novads (Roja)")</f>
        <v>Rojas Novads (Roja)</v>
      </c>
      <c r="F2635" s="9" t="str">
        <f>IFERROR(__xludf.DUMMYFUNCTION("GOOGLETRANSLATE($A2635,""en"",""it"")"),"Rojas novads (Roja)")</f>
        <v>Rojas novads (Roja)</v>
      </c>
      <c r="G2635" s="9" t="str">
        <f>IFERROR(__xludf.DUMMYFUNCTION("GOOGLETRANSLATE($A2635,""en"",""zh-cn"")"),"罗哈斯新星 (Roja)")</f>
        <v>罗哈斯新星 (Roja)</v>
      </c>
      <c r="H2635" s="9" t="str">
        <f>IFERROR(__xludf.DUMMYFUNCTION("GOOGLETRANSLATE($A2635,""en"",""ja"")"),"ロハス・ノヴァド（ロハ）")</f>
        <v>ロハス・ノヴァド（ロハ）</v>
      </c>
      <c r="I2635" s="9" t="str">
        <f>IFERROR(__xludf.DUMMYFUNCTION("GOOGLETRANSLATE($A2635,""en"",""ko"")"),"Rojas novads(로하)")</f>
        <v>Rojas novads(로하)</v>
      </c>
      <c r="J2635" s="9" t="str">
        <f>IFERROR(__xludf.DUMMYFUNCTION("GOOGLETRANSLATE($A2635,""en"",""pt-BR"")"),"Rojas novads (Roja)")</f>
        <v>Rojas novads (Roja)</v>
      </c>
    </row>
    <row r="2636">
      <c r="A2636" s="9" t="str">
        <f>IFERROR(__xludf.DUMMYFUNCTION("""COMPUTED_VALUE"""),"Vaiņodes novads (Vaiņode)")</f>
        <v>Vaiņodes novads (Vaiņode)</v>
      </c>
      <c r="B2636" s="9" t="str">
        <f>IFERROR(__xludf.DUMMYFUNCTION("""COMPUTED_VALUE"""),"lv-100")</f>
        <v>lv-100</v>
      </c>
      <c r="C2636" s="9" t="str">
        <f>IFERROR(__xludf.DUMMYFUNCTION("GOOGLETRANSLATE($A2636,""en"",""de"")"),"Vaiņodes novads (Vaiņode)")</f>
        <v>Vaiņodes novads (Vaiņode)</v>
      </c>
      <c r="D2636" s="9" t="str">
        <f>IFERROR(__xludf.DUMMYFUNCTION("GOOGLETRANSLATE($A2636,""en"",""fr"")"),"Vaiņodes novads (Vaiņode)")</f>
        <v>Vaiņodes novads (Vaiņode)</v>
      </c>
      <c r="E2636" s="9" t="str">
        <f>IFERROR(__xludf.DUMMYFUNCTION("GOOGLETRANSLATE($A2636,""en"",""es"")"),"Vaiņodes novads (Vaiņode)")</f>
        <v>Vaiņodes novads (Vaiņode)</v>
      </c>
      <c r="F2636" s="9" t="str">
        <f>IFERROR(__xludf.DUMMYFUNCTION("GOOGLETRANSLATE($A2636,""en"",""it"")"),"Vaiņodes novads (Vaiņode)")</f>
        <v>Vaiņodes novads (Vaiņode)</v>
      </c>
      <c r="G2636" s="9" t="str">
        <f>IFERROR(__xludf.DUMMYFUNCTION("GOOGLETRANSLATE($A2636,""en"",""zh-cn"")"),"Vaiņodes novads (Vaiņode)")</f>
        <v>Vaiņodes novads (Vaiņode)</v>
      </c>
      <c r="H2636" s="9" t="str">
        <f>IFERROR(__xludf.DUMMYFUNCTION("GOOGLETRANSLATE($A2636,""en"",""ja"")"),"Vaiņodes novads (ヴァイショデ)")</f>
        <v>Vaiņodes novads (ヴァイショデ)</v>
      </c>
      <c r="I2636" s="9" t="str">
        <f>IFERROR(__xludf.DUMMYFUNCTION("GOOGLETRANSLATE($A2636,""en"",""ko"")"),"Vaiņodes novads (Vaiņode)")</f>
        <v>Vaiņodes novads (Vaiņode)</v>
      </c>
      <c r="J2636" s="9" t="str">
        <f>IFERROR(__xludf.DUMMYFUNCTION("GOOGLETRANSLATE($A2636,""en"",""pt-BR"")"),"Vaiņodes novads (Vaiņode)")</f>
        <v>Vaiņodes novads (Vaiņode)</v>
      </c>
    </row>
    <row r="2637">
      <c r="A2637" s="9" t="str">
        <f>IFERROR(__xludf.DUMMYFUNCTION("""COMPUTED_VALUE"""),"Rundāles novads (Rundāle)")</f>
        <v>Rundāles novads (Rundāle)</v>
      </c>
      <c r="B2637" s="9" t="str">
        <f>IFERROR(__xludf.DUMMYFUNCTION("""COMPUTED_VALUE"""),"lv-083")</f>
        <v>lv-083</v>
      </c>
      <c r="C2637" s="9" t="str">
        <f>IFERROR(__xludf.DUMMYFUNCTION("GOOGLETRANSLATE($A2637,""en"",""de"")"),"Rundāles novads (Rundāle)")</f>
        <v>Rundāles novads (Rundāle)</v>
      </c>
      <c r="D2637" s="9" t="str">
        <f>IFERROR(__xludf.DUMMYFUNCTION("GOOGLETRANSLATE($A2637,""en"",""fr"")"),"Rundāles novads (Rundāle)")</f>
        <v>Rundāles novads (Rundāle)</v>
      </c>
      <c r="E2637" s="9" t="str">
        <f>IFERROR(__xludf.DUMMYFUNCTION("GOOGLETRANSLATE($A2637,""en"",""es"")"),"Rundāles novads (Rundāle)")</f>
        <v>Rundāles novads (Rundāle)</v>
      </c>
      <c r="F2637" s="9" t="str">
        <f>IFERROR(__xludf.DUMMYFUNCTION("GOOGLETRANSLATE($A2637,""en"",""it"")"),"Rundāles novads (Rundāle)")</f>
        <v>Rundāles novads (Rundāle)</v>
      </c>
      <c r="G2637" s="9" t="str">
        <f>IFERROR(__xludf.DUMMYFUNCTION("GOOGLETRANSLATE($A2637,""en"",""zh-cn"")"),"Rundāles novads (Rundāle)")</f>
        <v>Rundāles novads (Rundāle)</v>
      </c>
      <c r="H2637" s="9" t="str">
        <f>IFERROR(__xludf.DUMMYFUNCTION("GOOGLETRANSLATE($A2637,""en"",""ja"")"),"Rundāles novads (Rundāle)")</f>
        <v>Rundāles novads (Rundāle)</v>
      </c>
      <c r="I2637" s="9" t="str">
        <f>IFERROR(__xludf.DUMMYFUNCTION("GOOGLETRANSLATE($A2637,""en"",""ko"")"),"Rundāles novads (Rundāle)")</f>
        <v>Rundāles novads (Rundāle)</v>
      </c>
      <c r="J2637" s="9" t="str">
        <f>IFERROR(__xludf.DUMMYFUNCTION("GOOGLETRANSLATE($A2637,""en"",""pt-BR"")"),"Rundāles novads (Rundāle)")</f>
        <v>Rundāles novads (Rundāle)</v>
      </c>
    </row>
    <row r="2638">
      <c r="A2638" s="9" t="str">
        <f>IFERROR(__xludf.DUMMYFUNCTION("""COMPUTED_VALUE"""),"Skrīveru novads (Skrīveri)")</f>
        <v>Skrīveru novads (Skrīveri)</v>
      </c>
      <c r="B2638" s="9" t="str">
        <f>IFERROR(__xludf.DUMMYFUNCTION("""COMPUTED_VALUE"""),"lv-092")</f>
        <v>lv-092</v>
      </c>
      <c r="C2638" s="9" t="str">
        <f>IFERROR(__xludf.DUMMYFUNCTION("GOOGLETRANSLATE($A2638,""en"",""de"")"),"Skrīveru novads (Skriveri)")</f>
        <v>Skrīveru novads (Skriveri)</v>
      </c>
      <c r="D2638" s="9" t="str">
        <f>IFERROR(__xludf.DUMMYFUNCTION("GOOGLETRANSLATE($A2638,""en"",""fr"")"),"Skrīveru novads (Skrīveri)")</f>
        <v>Skrīveru novads (Skrīveri)</v>
      </c>
      <c r="E2638" s="9" t="str">
        <f>IFERROR(__xludf.DUMMYFUNCTION("GOOGLETRANSLATE($A2638,""en"",""es"")"),"Skrīveru novads (Skrīveri)")</f>
        <v>Skrīveru novads (Skrīveri)</v>
      </c>
      <c r="F2638" s="9" t="str">
        <f>IFERROR(__xludf.DUMMYFUNCTION("GOOGLETRANSLATE($A2638,""en"",""it"")"),"Skrīveru novads (Skrīveri)")</f>
        <v>Skrīveru novads (Skrīveri)</v>
      </c>
      <c r="G2638" s="9" t="str">
        <f>IFERROR(__xludf.DUMMYFUNCTION("GOOGLETRANSLATE($A2638,""en"",""zh-cn"")"),"斯克里维鲁新星 (Skrīveri)")</f>
        <v>斯克里维鲁新星 (Skrīveri)</v>
      </c>
      <c r="H2638" s="9" t="str">
        <f>IFERROR(__xludf.DUMMYFUNCTION("GOOGLETRANSLATE($A2638,""en"",""ja"")"),"Skrīveru novads (Skrīveri)")</f>
        <v>Skrīveru novads (Skrīveri)</v>
      </c>
      <c r="I2638" s="9" t="str">
        <f>IFERROR(__xludf.DUMMYFUNCTION("GOOGLETRANSLATE($A2638,""en"",""ko"")"),"Skrīveru novads (Skrīveri)")</f>
        <v>Skrīveru novads (Skrīveri)</v>
      </c>
      <c r="J2638" s="9" t="str">
        <f>IFERROR(__xludf.DUMMYFUNCTION("GOOGLETRANSLATE($A2638,""en"",""pt-BR"")"),"Skrīveru novads (Skrīveri)")</f>
        <v>Skrīveru novads (Skrīveri)</v>
      </c>
    </row>
    <row r="2639">
      <c r="A2639" s="9" t="str">
        <f>IFERROR(__xludf.DUMMYFUNCTION("""COMPUTED_VALUE"""),"Apes novads (Ape)")</f>
        <v>Apes novads (Ape)</v>
      </c>
      <c r="B2639" s="9" t="str">
        <f>IFERROR(__xludf.DUMMYFUNCTION("""COMPUTED_VALUE"""),"lv-009")</f>
        <v>lv-009</v>
      </c>
      <c r="C2639" s="9" t="str">
        <f>IFERROR(__xludf.DUMMYFUNCTION("GOOGLETRANSLATE($A2639,""en"",""de"")"),"Affen Novads (Affe)")</f>
        <v>Affen Novads (Affe)</v>
      </c>
      <c r="D2639" s="9" t="str">
        <f>IFERROR(__xludf.DUMMYFUNCTION("GOOGLETRANSLATE($A2639,""en"",""fr"")"),"Singes novads (Singe)")</f>
        <v>Singes novads (Singe)</v>
      </c>
      <c r="E2639" s="9" t="str">
        <f>IFERROR(__xludf.DUMMYFUNCTION("GOOGLETRANSLATE($A2639,""en"",""es"")"),"Simios novads (Simio)")</f>
        <v>Simios novads (Simio)</v>
      </c>
      <c r="F2639" s="9" t="str">
        <f>IFERROR(__xludf.DUMMYFUNCTION("GOOGLETRANSLATE($A2639,""en"",""it"")"),"Scimmie novadi (Scimmia)")</f>
        <v>Scimmie novadi (Scimmia)</v>
      </c>
      <c r="G2639" s="9" t="str">
        <f>IFERROR(__xludf.DUMMYFUNCTION("GOOGLETRANSLATE($A2639,""en"",""zh-cn"")"),"新猿（猿）")</f>
        <v>新猿（猿）</v>
      </c>
      <c r="H2639" s="9" t="str">
        <f>IFERROR(__xludf.DUMMYFUNCTION("GOOGLETRANSLATE($A2639,""en"",""ja"")"),"エイペス・ノヴァド（類人猿）")</f>
        <v>エイペス・ノヴァド（類人猿）</v>
      </c>
      <c r="I2639" s="9" t="str">
        <f>IFERROR(__xludf.DUMMYFUNCTION("GOOGLETRANSLATE($A2639,""en"",""ko"")"),"원숭이 노바드(Ape)")</f>
        <v>원숭이 노바드(Ape)</v>
      </c>
      <c r="J2639" s="9" t="str">
        <f>IFERROR(__xludf.DUMMYFUNCTION("GOOGLETRANSLATE($A2639,""en"",""pt-BR"")"),"Macacos novads (macaco)")</f>
        <v>Macacos novads (macaco)</v>
      </c>
    </row>
    <row r="2640">
      <c r="A2640" s="9" t="str">
        <f>IFERROR(__xludf.DUMMYFUNCTION("""COMPUTED_VALUE"""),"Skrundas novads (Skrunda)")</f>
        <v>Skrundas novads (Skrunda)</v>
      </c>
      <c r="B2640" s="9" t="str">
        <f>IFERROR(__xludf.DUMMYFUNCTION("""COMPUTED_VALUE"""),"lv-093")</f>
        <v>lv-093</v>
      </c>
      <c r="C2640" s="9" t="str">
        <f>IFERROR(__xludf.DUMMYFUNCTION("GOOGLETRANSLATE($A2640,""en"",""de"")"),"Skrundas novads (Skrunda)")</f>
        <v>Skrundas novads (Skrunda)</v>
      </c>
      <c r="D2640" s="9" t="str">
        <f>IFERROR(__xludf.DUMMYFUNCTION("GOOGLETRANSLATE($A2640,""en"",""fr"")"),"Skrundas novads (Skrunda)")</f>
        <v>Skrundas novads (Skrunda)</v>
      </c>
      <c r="E2640" s="9" t="str">
        <f>IFERROR(__xludf.DUMMYFUNCTION("GOOGLETRANSLATE($A2640,""en"",""es"")"),"Skrundas novads (Skrunda)")</f>
        <v>Skrundas novads (Skrunda)</v>
      </c>
      <c r="F2640" s="9" t="str">
        <f>IFERROR(__xludf.DUMMYFUNCTION("GOOGLETRANSLATE($A2640,""en"",""it"")"),"Skrundas novad (Skrunda)")</f>
        <v>Skrundas novad (Skrunda)</v>
      </c>
      <c r="G2640" s="9" t="str">
        <f>IFERROR(__xludf.DUMMYFUNCTION("GOOGLETRANSLATE($A2640,""en"",""zh-cn"")"),"斯克鲁达新星 (Skrunda)")</f>
        <v>斯克鲁达新星 (Skrunda)</v>
      </c>
      <c r="H2640" s="9" t="str">
        <f>IFERROR(__xludf.DUMMYFUNCTION("GOOGLETRANSLATE($A2640,""en"",""ja"")"),"スクルンダの新星 (スクルンダ)")</f>
        <v>スクルンダの新星 (スクルンダ)</v>
      </c>
      <c r="I2640" s="9" t="str">
        <f>IFERROR(__xludf.DUMMYFUNCTION("GOOGLETRANSLATE($A2640,""en"",""ko"")"),"Skrundas novads(스크룬다)")</f>
        <v>Skrundas novads(스크룬다)</v>
      </c>
      <c r="J2640" s="9" t="str">
        <f>IFERROR(__xludf.DUMMYFUNCTION("GOOGLETRANSLATE($A2640,""en"",""pt-BR"")"),"Skrundas novads (Skrunda)")</f>
        <v>Skrundas novads (Skrunda)</v>
      </c>
    </row>
    <row r="2641">
      <c r="A2641" s="9" t="str">
        <f>IFERROR(__xludf.DUMMYFUNCTION("""COMPUTED_VALUE"""),"Raunas novads (Rauna)")</f>
        <v>Raunas novads (Rauna)</v>
      </c>
      <c r="B2641" s="9" t="str">
        <f>IFERROR(__xludf.DUMMYFUNCTION("""COMPUTED_VALUE"""),"lv-076")</f>
        <v>lv-076</v>
      </c>
      <c r="C2641" s="9" t="str">
        <f>IFERROR(__xludf.DUMMYFUNCTION("GOOGLETRANSLATE($A2641,""en"",""de"")"),"Raunas novads (Rauna)")</f>
        <v>Raunas novads (Rauna)</v>
      </c>
      <c r="D2641" s="9" t="str">
        <f>IFERROR(__xludf.DUMMYFUNCTION("GOOGLETRANSLATE($A2641,""en"",""fr"")"),"Raunas novads (Rauna)")</f>
        <v>Raunas novads (Rauna)</v>
      </c>
      <c r="E2641" s="9" t="str">
        <f>IFERROR(__xludf.DUMMYFUNCTION("GOOGLETRANSLATE($A2641,""en"",""es"")"),"Raunas novads (Rauna)")</f>
        <v>Raunas novads (Rauna)</v>
      </c>
      <c r="F2641" s="9" t="str">
        <f>IFERROR(__xludf.DUMMYFUNCTION("GOOGLETRANSLATE($A2641,""en"",""it"")"),"Raunas novads (Rauna)")</f>
        <v>Raunas novads (Rauna)</v>
      </c>
      <c r="G2641" s="9" t="str">
        <f>IFERROR(__xludf.DUMMYFUNCTION("GOOGLETRANSLATE($A2641,""en"",""zh-cn"")"),"劳纳斯新星 (Rauna)")</f>
        <v>劳纳斯新星 (Rauna)</v>
      </c>
      <c r="H2641" s="9" t="str">
        <f>IFERROR(__xludf.DUMMYFUNCTION("GOOGLETRANSLATE($A2641,""en"",""ja"")"),"ラウナス・ノヴァド (ラウナ)")</f>
        <v>ラウナス・ノヴァド (ラウナ)</v>
      </c>
      <c r="I2641" s="9" t="str">
        <f>IFERROR(__xludf.DUMMYFUNCTION("GOOGLETRANSLATE($A2641,""en"",""ko"")"),"라우나스 노바드(Rauna)")</f>
        <v>라우나스 노바드(Rauna)</v>
      </c>
      <c r="J2641" s="9" t="str">
        <f>IFERROR(__xludf.DUMMYFUNCTION("GOOGLETRANSLATE($A2641,""en"",""pt-BR"")"),"Raunas novads (Rauna)")</f>
        <v>Raunas novads (Rauna)</v>
      </c>
    </row>
    <row r="2642">
      <c r="A2642" s="9" t="str">
        <f>IFERROR(__xludf.DUMMYFUNCTION("""COMPUTED_VALUE"""),"Kārsavas novads (Kārsava)")</f>
        <v>Kārsavas novads (Kārsava)</v>
      </c>
      <c r="B2642" s="9" t="str">
        <f>IFERROR(__xludf.DUMMYFUNCTION("""COMPUTED_VALUE"""),"lv-044")</f>
        <v>lv-044</v>
      </c>
      <c r="C2642" s="9" t="str">
        <f>IFERROR(__xludf.DUMMYFUNCTION("GOOGLETRANSLATE($A2642,""en"",""de"")"),"Kārsavas novads (Kārsava)")</f>
        <v>Kārsavas novads (Kārsava)</v>
      </c>
      <c r="D2642" s="9" t="str">
        <f>IFERROR(__xludf.DUMMYFUNCTION("GOOGLETRANSLATE($A2642,""en"",""fr"")"),"Kārsavas novads (Kārsava)")</f>
        <v>Kārsavas novads (Kārsava)</v>
      </c>
      <c r="E2642" s="9" t="str">
        <f>IFERROR(__xludf.DUMMYFUNCTION("GOOGLETRANSLATE($A2642,""en"",""es"")"),"Kārsavas novads (Kārsava)")</f>
        <v>Kārsavas novads (Kārsava)</v>
      </c>
      <c r="F2642" s="9" t="str">
        <f>IFERROR(__xludf.DUMMYFUNCTION("GOOGLETRANSLATE($A2642,""en"",""it"")"),"Kārsavas novad (Kārsava)")</f>
        <v>Kārsavas novad (Kārsava)</v>
      </c>
      <c r="G2642" s="9" t="str">
        <f>IFERROR(__xludf.DUMMYFUNCTION("GOOGLETRANSLATE($A2642,""en"",""zh-cn"")"),"卡尔萨瓦斯新星 (Kārsava)")</f>
        <v>卡尔萨瓦斯新星 (Kārsava)</v>
      </c>
      <c r="H2642" s="9" t="str">
        <f>IFERROR(__xludf.DUMMYFUNCTION("GOOGLETRANSLATE($A2642,""en"",""ja"")"),"カルシャヴァ ノヴァド (カルシャヴァ)")</f>
        <v>カルシャヴァ ノヴァド (カルシャヴァ)</v>
      </c>
      <c r="I2642" s="9" t="str">
        <f>IFERROR(__xludf.DUMMYFUNCTION("GOOGLETRANSLATE($A2642,""en"",""ko"")"),"Kārsavas novads (Kārsava)")</f>
        <v>Kārsavas novads (Kārsava)</v>
      </c>
      <c r="J2642" s="9" t="str">
        <f>IFERROR(__xludf.DUMMYFUNCTION("GOOGLETRANSLATE($A2642,""en"",""pt-BR"")"),"Kārsavas novads (Kārsava)")</f>
        <v>Kārsavas novads (Kārsava)</v>
      </c>
    </row>
    <row r="2643">
      <c r="A2643" s="9" t="str">
        <f>IFERROR(__xludf.DUMMYFUNCTION("""COMPUTED_VALUE"""),"Pāvilostas novads (Pāvilosta)")</f>
        <v>Pāvilostas novads (Pāvilosta)</v>
      </c>
      <c r="B2643" s="9" t="str">
        <f>IFERROR(__xludf.DUMMYFUNCTION("""COMPUTED_VALUE"""),"lv-071")</f>
        <v>lv-071</v>
      </c>
      <c r="C2643" s="9" t="str">
        <f>IFERROR(__xludf.DUMMYFUNCTION("GOOGLETRANSLATE($A2643,""en"",""de"")"),"Pāvilostas novads (Pāvilosta)")</f>
        <v>Pāvilostas novads (Pāvilosta)</v>
      </c>
      <c r="D2643" s="9" t="str">
        <f>IFERROR(__xludf.DUMMYFUNCTION("GOOGLETRANSLATE($A2643,""en"",""fr"")"),"Pavilostas novads (Pavilosta)")</f>
        <v>Pavilostas novads (Pavilosta)</v>
      </c>
      <c r="E2643" s="9" t="str">
        <f>IFERROR(__xludf.DUMMYFUNCTION("GOOGLETRANSLATE($A2643,""en"",""es"")"),"Pāvilostas novads (Pāvilosta)")</f>
        <v>Pāvilostas novads (Pāvilosta)</v>
      </c>
      <c r="F2643" s="9" t="str">
        <f>IFERROR(__xludf.DUMMYFUNCTION("GOOGLETRANSLATE($A2643,""en"",""it"")"),"Pāvilostas novads (Pāvilosta)")</f>
        <v>Pāvilostas novads (Pāvilosta)</v>
      </c>
      <c r="G2643" s="9" t="str">
        <f>IFERROR(__xludf.DUMMYFUNCTION("GOOGLETRANSLATE($A2643,""en"",""zh-cn"")"),"新帕维洛斯塔 (Pāvilosta)")</f>
        <v>新帕维洛斯塔 (Pāvilosta)</v>
      </c>
      <c r="H2643" s="9" t="str">
        <f>IFERROR(__xludf.DUMMYFUNCTION("GOOGLETRANSLATE($A2643,""en"",""ja"")"),"パヴィロスタ ノヴァド (パヴィロスタ)")</f>
        <v>パヴィロスタ ノヴァド (パヴィロスタ)</v>
      </c>
      <c r="I2643" s="9" t="str">
        <f>IFERROR(__xludf.DUMMYFUNCTION("GOOGLETRANSLATE($A2643,""en"",""ko"")"),"파빌로스타 노바드(Pāvilosta)")</f>
        <v>파빌로스타 노바드(Pāvilosta)</v>
      </c>
      <c r="J2643" s="9" t="str">
        <f>IFERROR(__xludf.DUMMYFUNCTION("GOOGLETRANSLATE($A2643,""en"",""pt-BR"")"),"Pavilostas novads (Pavilosta)")</f>
        <v>Pavilostas novads (Pavilosta)</v>
      </c>
    </row>
    <row r="2644">
      <c r="A2644" s="9" t="str">
        <f>IFERROR(__xludf.DUMMYFUNCTION("""COMPUTED_VALUE"""),"Brocēnu novads (Brocēni)")</f>
        <v>Brocēnu novads (Brocēni)</v>
      </c>
      <c r="B2644" s="9" t="str">
        <f>IFERROR(__xludf.DUMMYFUNCTION("""COMPUTED_VALUE"""),"lv-018")</f>
        <v>lv-018</v>
      </c>
      <c r="C2644" s="9" t="str">
        <f>IFERROR(__xludf.DUMMYFUNCTION("GOOGLETRANSLATE($A2644,""en"",""de"")"),"Brocēnu novads (Brocēni)")</f>
        <v>Brocēnu novads (Brocēni)</v>
      </c>
      <c r="D2644" s="9" t="str">
        <f>IFERROR(__xludf.DUMMYFUNCTION("GOOGLETRANSLATE($A2644,""en"",""fr"")"),"Brocēnu novads (Brocēni)")</f>
        <v>Brocēnu novads (Brocēni)</v>
      </c>
      <c r="E2644" s="9" t="str">
        <f>IFERROR(__xludf.DUMMYFUNCTION("GOOGLETRANSLATE($A2644,""en"",""es"")"),"Brocēnu novads (Brocēni)")</f>
        <v>Brocēnu novads (Brocēni)</v>
      </c>
      <c r="F2644" s="9" t="str">
        <f>IFERROR(__xludf.DUMMYFUNCTION("GOOGLETRANSLATE($A2644,""en"",""it"")"),"Brocēnu novads (Brocēni)")</f>
        <v>Brocēnu novads (Brocēni)</v>
      </c>
      <c r="G2644" s="9" t="str">
        <f>IFERROR(__xludf.DUMMYFUNCTION("GOOGLETRANSLATE($A2644,""en"",""zh-cn"")"),"布罗采努新星 (Brocēni)")</f>
        <v>布罗采努新星 (Brocēni)</v>
      </c>
      <c r="H2644" s="9" t="str">
        <f>IFERROR(__xludf.DUMMYFUNCTION("GOOGLETRANSLATE($A2644,""en"",""ja"")"),"Brocēnu novads (ブロチェニ)")</f>
        <v>Brocēnu novads (ブロチェニ)</v>
      </c>
      <c r="I2644" s="9" t="str">
        <f>IFERROR(__xludf.DUMMYFUNCTION("GOOGLETRANSLATE($A2644,""en"",""ko"")"),"Brocēnu novads (Brocēni)")</f>
        <v>Brocēnu novads (Brocēni)</v>
      </c>
      <c r="J2644" s="9" t="str">
        <f>IFERROR(__xludf.DUMMYFUNCTION("GOOGLETRANSLATE($A2644,""en"",""pt-BR"")"),"Brocenu novads (Broceni)")</f>
        <v>Brocenu novads (Broceni)</v>
      </c>
    </row>
    <row r="2645">
      <c r="A2645" s="9" t="str">
        <f>IFERROR(__xludf.DUMMYFUNCTION("""COMPUTED_VALUE"""),"Priekuļu novads (Priekuļi)")</f>
        <v>Priekuļu novads (Priekuļi)</v>
      </c>
      <c r="B2645" s="9" t="str">
        <f>IFERROR(__xludf.DUMMYFUNCTION("""COMPUTED_VALUE"""),"lv-075")</f>
        <v>lv-075</v>
      </c>
      <c r="C2645" s="9" t="str">
        <f>IFERROR(__xludf.DUMMYFUNCTION("GOOGLETRANSLATE($A2645,""en"",""de"")"),"Priekuļu novads (Priekuļi)")</f>
        <v>Priekuļu novads (Priekuļi)</v>
      </c>
      <c r="D2645" s="9" t="str">
        <f>IFERROR(__xludf.DUMMYFUNCTION("GOOGLETRANSLATE($A2645,""en"",""fr"")"),"Priekuļu novads (Priekuļi)")</f>
        <v>Priekuļu novads (Priekuļi)</v>
      </c>
      <c r="E2645" s="9" t="str">
        <f>IFERROR(__xludf.DUMMYFUNCTION("GOOGLETRANSLATE($A2645,""en"",""es"")"),"Priekuļu novads (Priekuļi)")</f>
        <v>Priekuļu novads (Priekuļi)</v>
      </c>
      <c r="F2645" s="9" t="str">
        <f>IFERROR(__xludf.DUMMYFUNCTION("GOOGLETRANSLATE($A2645,""en"",""it"")"),"Priekuļu novads (Priekuļi)")</f>
        <v>Priekuļu novads (Priekuļi)</v>
      </c>
      <c r="G2645" s="9" t="str">
        <f>IFERROR(__xludf.DUMMYFUNCTION("GOOGLETRANSLATE($A2645,""en"",""zh-cn"")"),"Priekuļu novads (Priekuļi)")</f>
        <v>Priekuļu novads (Priekuļi)</v>
      </c>
      <c r="H2645" s="9" t="str">
        <f>IFERROR(__xludf.DUMMYFUNCTION("GOOGLETRANSLATE($A2645,""en"",""ja"")"),"Priekuļu novads (プリエクイ)")</f>
        <v>Priekuļu novads (プリエクイ)</v>
      </c>
      <c r="I2645" s="9" t="str">
        <f>IFERROR(__xludf.DUMMYFUNCTION("GOOGLETRANSLATE($A2645,""en"",""ko"")"),"Priekuļu novads (Priekuļi)")</f>
        <v>Priekuļu novads (Priekuļi)</v>
      </c>
      <c r="J2645" s="9" t="str">
        <f>IFERROR(__xludf.DUMMYFUNCTION("GOOGLETRANSLATE($A2645,""en"",""pt-BR"")"),"Priekuļu novads (Priekuļi)")</f>
        <v>Priekuļu novads (Priekuļi)</v>
      </c>
    </row>
    <row r="2646">
      <c r="A2646" s="9" t="str">
        <f>IFERROR(__xludf.DUMMYFUNCTION("""COMPUTED_VALUE"""),"Saldus novads")</f>
        <v>Saldus novads</v>
      </c>
      <c r="B2646" s="9" t="str">
        <f>IFERROR(__xludf.DUMMYFUNCTION("""COMPUTED_VALUE"""),"lv-088")</f>
        <v>lv-088</v>
      </c>
      <c r="C2646" s="9" t="str">
        <f>IFERROR(__xludf.DUMMYFUNCTION("GOOGLETRANSLATE($A2646,""en"",""de"")"),"Saldus novads")</f>
        <v>Saldus novads</v>
      </c>
      <c r="D2646" s="9" t="str">
        <f>IFERROR(__xludf.DUMMYFUNCTION("GOOGLETRANSLATE($A2646,""en"",""fr"")"),"Saldus novads")</f>
        <v>Saldus novads</v>
      </c>
      <c r="E2646" s="9" t="str">
        <f>IFERROR(__xludf.DUMMYFUNCTION("GOOGLETRANSLATE($A2646,""en"",""es"")"),"Saldus novads")</f>
        <v>Saldus novads</v>
      </c>
      <c r="F2646" s="9" t="str">
        <f>IFERROR(__xludf.DUMMYFUNCTION("GOOGLETRANSLATE($A2646,""en"",""it"")"),"Saldus novads")</f>
        <v>Saldus novads</v>
      </c>
      <c r="G2646" s="9" t="str">
        <f>IFERROR(__xludf.DUMMYFUNCTION("GOOGLETRANSLATE($A2646,""en"",""zh-cn"")"),"新星萨尔杜斯")</f>
        <v>新星萨尔杜斯</v>
      </c>
      <c r="H2646" s="9" t="str">
        <f>IFERROR(__xludf.DUMMYFUNCTION("GOOGLETRANSLATE($A2646,""en"",""ja"")"),"サルドゥス・ノヴァド")</f>
        <v>サルドゥス・ノヴァド</v>
      </c>
      <c r="I2646" s="9" t="str">
        <f>IFERROR(__xludf.DUMMYFUNCTION("GOOGLETRANSLATE($A2646,""en"",""ko"")"),"살두스 노바드")</f>
        <v>살두스 노바드</v>
      </c>
      <c r="J2646" s="9" t="str">
        <f>IFERROR(__xludf.DUMMYFUNCTION("GOOGLETRANSLATE($A2646,""en"",""pt-BR"")"),"Saldus novads")</f>
        <v>Saldus novads</v>
      </c>
    </row>
    <row r="2647">
      <c r="A2647" s="9" t="str">
        <f>IFERROR(__xludf.DUMMYFUNCTION("""COMPUTED_VALUE"""),"Ludzas novads")</f>
        <v>Ludzas novads</v>
      </c>
      <c r="B2647" s="9" t="str">
        <f>IFERROR(__xludf.DUMMYFUNCTION("""COMPUTED_VALUE"""),"lv-058")</f>
        <v>lv-058</v>
      </c>
      <c r="C2647" s="9" t="str">
        <f>IFERROR(__xludf.DUMMYFUNCTION("GOOGLETRANSLATE($A2647,""en"",""de"")"),"Ludzas Novads")</f>
        <v>Ludzas Novads</v>
      </c>
      <c r="D2647" s="9" t="str">
        <f>IFERROR(__xludf.DUMMYFUNCTION("GOOGLETRANSLATE($A2647,""en"",""fr"")"),"Ludzas Novads")</f>
        <v>Ludzas Novads</v>
      </c>
      <c r="E2647" s="9" t="str">
        <f>IFERROR(__xludf.DUMMYFUNCTION("GOOGLETRANSLATE($A2647,""en"",""es"")"),"Ludzas novads")</f>
        <v>Ludzas novads</v>
      </c>
      <c r="F2647" s="9" t="str">
        <f>IFERROR(__xludf.DUMMYFUNCTION("GOOGLETRANSLATE($A2647,""en"",""it"")"),"Ludzas novads")</f>
        <v>Ludzas novads</v>
      </c>
      <c r="G2647" s="9" t="str">
        <f>IFERROR(__xludf.DUMMYFUNCTION("GOOGLETRANSLATE($A2647,""en"",""zh-cn"")"),"卢扎斯新星")</f>
        <v>卢扎斯新星</v>
      </c>
      <c r="H2647" s="9" t="str">
        <f>IFERROR(__xludf.DUMMYFUNCTION("GOOGLETRANSLATE($A2647,""en"",""ja"")"),"ルザス・ノヴァズ")</f>
        <v>ルザス・ノヴァズ</v>
      </c>
      <c r="I2647" s="9" t="str">
        <f>IFERROR(__xludf.DUMMYFUNCTION("GOOGLETRANSLATE($A2647,""en"",""ko"")"),"루자스 노바드")</f>
        <v>루자스 노바드</v>
      </c>
      <c r="J2647" s="9" t="str">
        <f>IFERROR(__xludf.DUMMYFUNCTION("GOOGLETRANSLATE($A2647,""en"",""pt-BR"")"),"Ludzas novads")</f>
        <v>Ludzas novads</v>
      </c>
    </row>
    <row r="2648">
      <c r="A2648" s="9" t="str">
        <f>IFERROR(__xludf.DUMMYFUNCTION("""COMPUTED_VALUE"""),"Garkalnes novads (Garkalne)")</f>
        <v>Garkalnes novads (Garkalne)</v>
      </c>
      <c r="B2648" s="9" t="str">
        <f>IFERROR(__xludf.DUMMYFUNCTION("""COMPUTED_VALUE"""),"lv-031")</f>
        <v>lv-031</v>
      </c>
      <c r="C2648" s="9" t="str">
        <f>IFERROR(__xludf.DUMMYFUNCTION("GOOGLETRANSLATE($A2648,""en"",""de"")"),"Garkalnes novads (Garkalne)")</f>
        <v>Garkalnes novads (Garkalne)</v>
      </c>
      <c r="D2648" s="9" t="str">
        <f>IFERROR(__xludf.DUMMYFUNCTION("GOOGLETRANSLATE($A2648,""en"",""fr"")"),"Garkalnes novads (Garkalne)")</f>
        <v>Garkalnes novads (Garkalne)</v>
      </c>
      <c r="E2648" s="9" t="str">
        <f>IFERROR(__xludf.DUMMYFUNCTION("GOOGLETRANSLATE($A2648,""en"",""es"")"),"Garkalnes novads (Garkalne)")</f>
        <v>Garkalnes novads (Garkalne)</v>
      </c>
      <c r="F2648" s="9" t="str">
        <f>IFERROR(__xludf.DUMMYFUNCTION("GOOGLETRANSLATE($A2648,""en"",""it"")"),"Garkalnes novads (Garkalne)")</f>
        <v>Garkalnes novads (Garkalne)</v>
      </c>
      <c r="G2648" s="9" t="str">
        <f>IFERROR(__xludf.DUMMYFUNCTION("GOOGLETRANSLATE($A2648,""en"",""zh-cn"")"),"加卡尔内斯新星 (Garkalne)")</f>
        <v>加卡尔内斯新星 (Garkalne)</v>
      </c>
      <c r="H2648" s="9" t="str">
        <f>IFERROR(__xludf.DUMMYFUNCTION("GOOGLETRANSLATE($A2648,""en"",""ja"")"),"ガルカルネの新星 (ガルカルネ)")</f>
        <v>ガルカルネの新星 (ガルカルネ)</v>
      </c>
      <c r="I2648" s="9" t="str">
        <f>IFERROR(__xludf.DUMMYFUNCTION("GOOGLETRANSLATE($A2648,""en"",""ko"")"),"가르칼네스 노바드(Garkalne)")</f>
        <v>가르칼네스 노바드(Garkalne)</v>
      </c>
      <c r="J2648" s="9" t="str">
        <f>IFERROR(__xludf.DUMMYFUNCTION("GOOGLETRANSLATE($A2648,""en"",""pt-BR"")"),"Garkalnes novads (Garkalne)")</f>
        <v>Garkalnes novads (Garkalne)</v>
      </c>
    </row>
    <row r="2649">
      <c r="A2649" s="9" t="str">
        <f>IFERROR(__xludf.DUMMYFUNCTION("""COMPUTED_VALUE"""),"Mālpils novads (Mālpils)")</f>
        <v>Mālpils novads (Mālpils)</v>
      </c>
      <c r="B2649" s="9" t="str">
        <f>IFERROR(__xludf.DUMMYFUNCTION("""COMPUTED_VALUE"""),"lv-061")</f>
        <v>lv-061</v>
      </c>
      <c r="C2649" s="9" t="str">
        <f>IFERROR(__xludf.DUMMYFUNCTION("GOOGLETRANSLATE($A2649,""en"",""de"")"),"Mālpils novads (Mālpils)")</f>
        <v>Mālpils novads (Mālpils)</v>
      </c>
      <c r="D2649" s="9" t="str">
        <f>IFERROR(__xludf.DUMMYFUNCTION("GOOGLETRANSLATE($A2649,""en"",""fr"")"),"Mālpils novads (Mālpils)")</f>
        <v>Mālpils novads (Mālpils)</v>
      </c>
      <c r="E2649" s="9" t="str">
        <f>IFERROR(__xludf.DUMMYFUNCTION("GOOGLETRANSLATE($A2649,""en"",""es"")"),"Mālpils novads (Mālpils)")</f>
        <v>Mālpils novads (Mālpils)</v>
      </c>
      <c r="F2649" s="9" t="str">
        <f>IFERROR(__xludf.DUMMYFUNCTION("GOOGLETRANSLATE($A2649,""en"",""it"")"),"Mālpils novads (Mālpils)")</f>
        <v>Mālpils novads (Mālpils)</v>
      </c>
      <c r="G2649" s="9" t="str">
        <f>IFERROR(__xludf.DUMMYFUNCTION("GOOGLETRANSLATE($A2649,""en"",""zh-cn"")"),"马尔皮斯新星 (Mālpils)")</f>
        <v>马尔皮斯新星 (Mālpils)</v>
      </c>
      <c r="H2649" s="9" t="str">
        <f>IFERROR(__xludf.DUMMYFUNCTION("GOOGLETRANSLATE($A2649,""en"",""ja"")"),"マルピルス ノヴァド (マルピルス)")</f>
        <v>マルピルス ノヴァド (マルピルス)</v>
      </c>
      <c r="I2649" s="9" t="str">
        <f>IFERROR(__xludf.DUMMYFUNCTION("GOOGLETRANSLATE($A2649,""en"",""ko"")"),"말필스 노바드(Mālpils)")</f>
        <v>말필스 노바드(Mālpils)</v>
      </c>
      <c r="J2649" s="9" t="str">
        <f>IFERROR(__xludf.DUMMYFUNCTION("GOOGLETRANSLATE($A2649,""en"",""pt-BR"")"),"Malpils novads (Mālpils)")</f>
        <v>Malpils novads (Mālpils)</v>
      </c>
    </row>
    <row r="2650">
      <c r="A2650" s="9" t="str">
        <f>IFERROR(__xludf.DUMMYFUNCTION("""COMPUTED_VALUE"""),"Engures novads (Engure)")</f>
        <v>Engures novads (Engure)</v>
      </c>
      <c r="B2650" s="9" t="str">
        <f>IFERROR(__xludf.DUMMYFUNCTION("""COMPUTED_VALUE"""),"lv-029")</f>
        <v>lv-029</v>
      </c>
      <c r="C2650" s="9" t="str">
        <f>IFERROR(__xludf.DUMMYFUNCTION("GOOGLETRANSLATE($A2650,""en"",""de"")"),"Engures novads (Engure)")</f>
        <v>Engures novads (Engure)</v>
      </c>
      <c r="D2650" s="9" t="str">
        <f>IFERROR(__xludf.DUMMYFUNCTION("GOOGLETRANSLATE($A2650,""en"",""fr"")"),"Engures novads (Engures)")</f>
        <v>Engures novads (Engures)</v>
      </c>
      <c r="E2650" s="9" t="str">
        <f>IFERROR(__xludf.DUMMYFUNCTION("GOOGLETRANSLATE($A2650,""en"",""es"")"),"Engures novads (Engure)")</f>
        <v>Engures novads (Engure)</v>
      </c>
      <c r="F2650" s="9" t="str">
        <f>IFERROR(__xludf.DUMMYFUNCTION("GOOGLETRANSLATE($A2650,""en"",""it"")"),"Inghiotte novad (Inghiotte)")</f>
        <v>Inghiotte novad (Inghiotte)</v>
      </c>
      <c r="G2650" s="9" t="str">
        <f>IFERROR(__xludf.DUMMYFUNCTION("GOOGLETRANSLATE($A2650,""en"",""zh-cn"")"),"恩古雷新星 (Engure)")</f>
        <v>恩古雷新星 (Engure)</v>
      </c>
      <c r="H2650" s="9" t="str">
        <f>IFERROR(__xludf.DUMMYFUNCTION("GOOGLETRANSLATE($A2650,""en"",""ja"")"),"Engres novad (エングレ)")</f>
        <v>Engres novad (エングレ)</v>
      </c>
      <c r="I2650" s="9" t="str">
        <f>IFERROR(__xludf.DUMMYFUNCTION("GOOGLETRANSLATE($A2650,""en"",""ko"")"),"Engueres 노바드(Engure)")</f>
        <v>Engueres 노바드(Engure)</v>
      </c>
      <c r="J2650" s="9" t="str">
        <f>IFERROR(__xludf.DUMMYFUNCTION("GOOGLETRANSLATE($A2650,""en"",""pt-BR"")"),"Engures novads (Engure)")</f>
        <v>Engures novads (Engure)</v>
      </c>
    </row>
    <row r="2651">
      <c r="A2651" s="9" t="str">
        <f>IFERROR(__xludf.DUMMYFUNCTION("""COMPUTED_VALUE"""),"Smiltenes novads")</f>
        <v>Smiltenes novads</v>
      </c>
      <c r="B2651" s="9" t="str">
        <f>IFERROR(__xludf.DUMMYFUNCTION("""COMPUTED_VALUE"""),"lv-094")</f>
        <v>lv-094</v>
      </c>
      <c r="C2651" s="9" t="str">
        <f>IFERROR(__xludf.DUMMYFUNCTION("GOOGLETRANSLATE($A2651,""en"",""de"")"),"Smiltenes novads")</f>
        <v>Smiltenes novads</v>
      </c>
      <c r="D2651" s="9" t="str">
        <f>IFERROR(__xludf.DUMMYFUNCTION("GOOGLETRANSLATE($A2651,""en"",""fr"")"),"Smiltènes novads")</f>
        <v>Smiltènes novads</v>
      </c>
      <c r="E2651" s="9" t="str">
        <f>IFERROR(__xludf.DUMMYFUNCTION("GOOGLETRANSLATE($A2651,""en"",""es"")"),"Novads de Smiltenes")</f>
        <v>Novads de Smiltenes</v>
      </c>
      <c r="F2651" s="9" t="str">
        <f>IFERROR(__xludf.DUMMYFUNCTION("GOOGLETRANSLATE($A2651,""en"",""it"")"),"Smiltenes novads")</f>
        <v>Smiltenes novads</v>
      </c>
      <c r="G2651" s="9" t="str">
        <f>IFERROR(__xludf.DUMMYFUNCTION("GOOGLETRANSLATE($A2651,""en"",""zh-cn"")"),"斯米尔特内斯新星")</f>
        <v>斯米尔特内斯新星</v>
      </c>
      <c r="H2651" s="9" t="str">
        <f>IFERROR(__xludf.DUMMYFUNCTION("GOOGLETRANSLATE($A2651,""en"",""ja"")"),"スミルテネスの新星")</f>
        <v>スミルテネスの新星</v>
      </c>
      <c r="I2651" s="9" t="str">
        <f>IFERROR(__xludf.DUMMYFUNCTION("GOOGLETRANSLATE($A2651,""en"",""ko"")"),"스밀테네스 노바드")</f>
        <v>스밀테네스 노바드</v>
      </c>
      <c r="J2651" s="9" t="str">
        <f>IFERROR(__xludf.DUMMYFUNCTION("GOOGLETRANSLATE($A2651,""en"",""pt-BR"")"),"Smiltenes novads")</f>
        <v>Smiltenes novads</v>
      </c>
    </row>
    <row r="2652">
      <c r="A2652" s="9" t="str">
        <f>IFERROR(__xludf.DUMMYFUNCTION("""COMPUTED_VALUE"""),"Inčukalna novads (Inčukalns)")</f>
        <v>Inčukalna novads (Inčukalns)</v>
      </c>
      <c r="B2652" s="9" t="str">
        <f>IFERROR(__xludf.DUMMYFUNCTION("""COMPUTED_VALUE"""),"lv-037")</f>
        <v>lv-037</v>
      </c>
      <c r="C2652" s="9" t="str">
        <f>IFERROR(__xludf.DUMMYFUNCTION("GOOGLETRANSLATE($A2652,""en"",""de"")"),"Inčukalna novads (Inčukalns)")</f>
        <v>Inčukalna novads (Inčukalns)</v>
      </c>
      <c r="D2652" s="9" t="str">
        <f>IFERROR(__xludf.DUMMYFUNCTION("GOOGLETRANSLATE($A2652,""en"",""fr"")"),"Inčukalna novads (Inčukalns)")</f>
        <v>Inčukalna novads (Inčukalns)</v>
      </c>
      <c r="E2652" s="9" t="str">
        <f>IFERROR(__xludf.DUMMYFUNCTION("GOOGLETRANSLATE($A2652,""en"",""es"")"),"Inčukalna novads (Inčukalns)")</f>
        <v>Inčukalna novads (Inčukalns)</v>
      </c>
      <c r="F2652" s="9" t="str">
        <f>IFERROR(__xludf.DUMMYFUNCTION("GOOGLETRANSLATE($A2652,""en"",""it"")"),"Inčukalna novads (Inčukalns)")</f>
        <v>Inčukalna novads (Inčukalns)</v>
      </c>
      <c r="G2652" s="9" t="str">
        <f>IFERROR(__xludf.DUMMYFUNCTION("GOOGLETRANSLATE($A2652,""en"",""zh-cn"")"),"因库卡尔纳新星 (Inčukalns)")</f>
        <v>因库卡尔纳新星 (Inčukalns)</v>
      </c>
      <c r="H2652" s="9" t="str">
        <f>IFERROR(__xludf.DUMMYFUNCTION("GOOGLETRANSLATE($A2652,""en"",""ja"")"),"インチュカルナ ノヴァド (インチュカルンス)")</f>
        <v>インチュカルナ ノヴァド (インチュカルンス)</v>
      </c>
      <c r="I2652" s="9" t="str">
        <f>IFERROR(__xludf.DUMMYFUNCTION("GOOGLETRANSLATE($A2652,""en"",""ko"")"),"Inčukalna novads (Inčukalns)")</f>
        <v>Inčukalna novads (Inčukalns)</v>
      </c>
      <c r="J2652" s="9" t="str">
        <f>IFERROR(__xludf.DUMMYFUNCTION("GOOGLETRANSLATE($A2652,""en"",""pt-BR"")"),"Inčukalna novads (Inčukalns)")</f>
        <v>Inčukalna novads (Inčukalns)</v>
      </c>
    </row>
    <row r="2653">
      <c r="A2653" s="9" t="str">
        <f>IFERROR(__xludf.DUMMYFUNCTION("""COMPUTED_VALUE"""),"Ozolnieku novads (Ozolnieki)")</f>
        <v>Ozolnieku novads (Ozolnieki)</v>
      </c>
      <c r="B2653" s="9" t="str">
        <f>IFERROR(__xludf.DUMMYFUNCTION("""COMPUTED_VALUE"""),"lv-069")</f>
        <v>lv-069</v>
      </c>
      <c r="C2653" s="9" t="str">
        <f>IFERROR(__xludf.DUMMYFUNCTION("GOOGLETRANSLATE($A2653,""en"",""de"")"),"Ozolnieku novads (Ozolnieki)")</f>
        <v>Ozolnieku novads (Ozolnieki)</v>
      </c>
      <c r="D2653" s="9" t="str">
        <f>IFERROR(__xludf.DUMMYFUNCTION("GOOGLETRANSLATE($A2653,""en"",""fr"")"),"Ozolnieku novads (Ozolnieki)")</f>
        <v>Ozolnieku novads (Ozolnieki)</v>
      </c>
      <c r="E2653" s="9" t="str">
        <f>IFERROR(__xludf.DUMMYFUNCTION("GOOGLETRANSLATE($A2653,""en"",""es"")"),"Ozolnieku novads (Ozolnieki)")</f>
        <v>Ozolnieku novads (Ozolnieki)</v>
      </c>
      <c r="F2653" s="9" t="str">
        <f>IFERROR(__xludf.DUMMYFUNCTION("GOOGLETRANSLATE($A2653,""en"",""it"")"),"Ozolnieku novads (Ozolnieki)")</f>
        <v>Ozolnieku novads (Ozolnieki)</v>
      </c>
      <c r="G2653" s="9" t="str">
        <f>IFERROR(__xludf.DUMMYFUNCTION("GOOGLETRANSLATE($A2653,""en"",""zh-cn"")"),"奥佐尔涅库新星 (Ozolnieki)")</f>
        <v>奥佐尔涅库新星 (Ozolnieki)</v>
      </c>
      <c r="H2653" s="9" t="str">
        <f>IFERROR(__xludf.DUMMYFUNCTION("GOOGLETRANSLATE($A2653,""en"",""ja"")"),"オゾルニエキ・ノヴァド (オゾルニエキ)")</f>
        <v>オゾルニエキ・ノヴァド (オゾルニエキ)</v>
      </c>
      <c r="I2653" s="9" t="str">
        <f>IFERROR(__xludf.DUMMYFUNCTION("GOOGLETRANSLATE($A2653,""en"",""ko"")"),"Ozolnieku novads (Ozolnieki)")</f>
        <v>Ozolnieku novads (Ozolnieki)</v>
      </c>
      <c r="J2653" s="9" t="str">
        <f>IFERROR(__xludf.DUMMYFUNCTION("GOOGLETRANSLATE($A2653,""en"",""pt-BR"")"),"Ozolnieku novads (Ozolnieki)")</f>
        <v>Ozolnieku novads (Ozolnieki)</v>
      </c>
    </row>
    <row r="2654">
      <c r="A2654" s="9" t="str">
        <f>IFERROR(__xludf.DUMMYFUNCTION("""COMPUTED_VALUE"""),"Olaines novads")</f>
        <v>Olaines novads</v>
      </c>
      <c r="B2654" s="9" t="str">
        <f>IFERROR(__xludf.DUMMYFUNCTION("""COMPUTED_VALUE"""),"lv-068")</f>
        <v>lv-068</v>
      </c>
      <c r="C2654" s="9" t="str">
        <f>IFERROR(__xludf.DUMMYFUNCTION("GOOGLETRANSLATE($A2654,""en"",""de"")"),"Olaines Novads")</f>
        <v>Olaines Novads</v>
      </c>
      <c r="D2654" s="9" t="str">
        <f>IFERROR(__xludf.DUMMYFUNCTION("GOOGLETRANSLATE($A2654,""en"",""fr"")"),"Olaines novads")</f>
        <v>Olaines novads</v>
      </c>
      <c r="E2654" s="9" t="str">
        <f>IFERROR(__xludf.DUMMYFUNCTION("GOOGLETRANSLATE($A2654,""en"",""es"")"),"Novads de Olaines")</f>
        <v>Novads de Olaines</v>
      </c>
      <c r="F2654" s="9" t="str">
        <f>IFERROR(__xludf.DUMMYFUNCTION("GOOGLETRANSLATE($A2654,""en"",""it"")"),"Olaines novad")</f>
        <v>Olaines novad</v>
      </c>
      <c r="G2654" s="9" t="str">
        <f>IFERROR(__xludf.DUMMYFUNCTION("GOOGLETRANSLATE($A2654,""en"",""zh-cn"")"),"奥莱恩斯新星")</f>
        <v>奥莱恩斯新星</v>
      </c>
      <c r="H2654" s="9" t="str">
        <f>IFERROR(__xludf.DUMMYFUNCTION("GOOGLETRANSLATE($A2654,""en"",""ja"")"),"オレインズ・ノヴァド")</f>
        <v>オレインズ・ノヴァド</v>
      </c>
      <c r="I2654" s="9" t="str">
        <f>IFERROR(__xludf.DUMMYFUNCTION("GOOGLETRANSLATE($A2654,""en"",""ko"")"),"올라인스 노바드")</f>
        <v>올라인스 노바드</v>
      </c>
      <c r="J2654" s="9" t="str">
        <f>IFERROR(__xludf.DUMMYFUNCTION("GOOGLETRANSLATE($A2654,""en"",""pt-BR"")"),"Olaines novads")</f>
        <v>Olaines novads</v>
      </c>
    </row>
    <row r="2655">
      <c r="A2655" s="9" t="str">
        <f>IFERROR(__xludf.DUMMYFUNCTION("""COMPUTED_VALUE"""),"Ādažu novads")</f>
        <v>Ādažu novads</v>
      </c>
      <c r="B2655" s="9" t="str">
        <f>IFERROR(__xludf.DUMMYFUNCTION("""COMPUTED_VALUE"""),"lv-011")</f>
        <v>lv-011</v>
      </c>
      <c r="C2655" s="9" t="str">
        <f>IFERROR(__xludf.DUMMYFUNCTION("GOOGLETRANSLATE($A2655,""en"",""de"")"),"Ādažu novads")</f>
        <v>Ādažu novads</v>
      </c>
      <c r="D2655" s="9" t="str">
        <f>IFERROR(__xludf.DUMMYFUNCTION("GOOGLETRANSLATE($A2655,""en"",""fr"")"),"Adazu Novads")</f>
        <v>Adazu Novads</v>
      </c>
      <c r="E2655" s="9" t="str">
        <f>IFERROR(__xludf.DUMMYFUNCTION("GOOGLETRANSLATE($A2655,""en"",""es"")"),"Ādažu novads")</f>
        <v>Ādažu novads</v>
      </c>
      <c r="F2655" s="9" t="str">
        <f>IFERROR(__xludf.DUMMYFUNCTION("GOOGLETRANSLATE($A2655,""en"",""it"")"),"Ādažu novads")</f>
        <v>Ādažu novads</v>
      </c>
      <c r="G2655" s="9" t="str">
        <f>IFERROR(__xludf.DUMMYFUNCTION("GOOGLETRANSLATE($A2655,""en"",""zh-cn"")"),"阿达祖新星")</f>
        <v>阿达祖新星</v>
      </c>
      <c r="H2655" s="9" t="str">
        <f>IFERROR(__xludf.DUMMYFUNCTION("GOOGLETRANSLATE($A2655,""en"",""ja"")"),"アーダジュ・ノヴァズ")</f>
        <v>アーダジュ・ノヴァズ</v>
      </c>
      <c r="I2655" s="9" t="str">
        <f>IFERROR(__xludf.DUMMYFUNCTION("GOOGLETRANSLATE($A2655,""en"",""ko"")"),"아다주 노바드")</f>
        <v>아다주 노바드</v>
      </c>
      <c r="J2655" s="9" t="str">
        <f>IFERROR(__xludf.DUMMYFUNCTION("GOOGLETRANSLATE($A2655,""en"",""pt-BR"")"),"Ādažu novads")</f>
        <v>Ādažu novads</v>
      </c>
    </row>
    <row r="2656">
      <c r="A2656" s="9" t="str">
        <f>IFERROR(__xludf.DUMMYFUNCTION("""COMPUTED_VALUE"""),"Alojas novads (Aloja)")</f>
        <v>Alojas novads (Aloja)</v>
      </c>
      <c r="B2656" s="9" t="str">
        <f>IFERROR(__xludf.DUMMYFUNCTION("""COMPUTED_VALUE"""),"lv-005")</f>
        <v>lv-005</v>
      </c>
      <c r="C2656" s="9" t="str">
        <f>IFERROR(__xludf.DUMMYFUNCTION("GOOGLETRANSLATE($A2656,""en"",""de"")"),"Alojas novads (Aloja)")</f>
        <v>Alojas novads (Aloja)</v>
      </c>
      <c r="D2656" s="9" t="str">
        <f>IFERROR(__xludf.DUMMYFUNCTION("GOOGLETRANSLATE($A2656,""en"",""fr"")"),"Alojas novads (Aloja)")</f>
        <v>Alojas novads (Aloja)</v>
      </c>
      <c r="E2656" s="9" t="str">
        <f>IFERROR(__xludf.DUMMYFUNCTION("GOOGLETRANSLATE($A2656,""en"",""es"")"),"Alojas Novads (Aloja)")</f>
        <v>Alojas Novads (Aloja)</v>
      </c>
      <c r="F2656" s="9" t="str">
        <f>IFERROR(__xludf.DUMMYFUNCTION("GOOGLETRANSLATE($A2656,""en"",""it"")"),"Alojas novads (Aloja)")</f>
        <v>Alojas novads (Aloja)</v>
      </c>
      <c r="G2656" s="9" t="str">
        <f>IFERROR(__xludf.DUMMYFUNCTION("GOOGLETRANSLATE($A2656,""en"",""zh-cn"")"),"阿洛哈斯新星 (Aloja)")</f>
        <v>阿洛哈斯新星 (Aloja)</v>
      </c>
      <c r="H2656" s="9" t="str">
        <f>IFERROR(__xludf.DUMMYFUNCTION("GOOGLETRANSLATE($A2656,""en"",""ja"")"),"アロハス ノヴァズ (アロハ)")</f>
        <v>アロハス ノヴァズ (アロハ)</v>
      </c>
      <c r="I2656" s="9" t="str">
        <f>IFERROR(__xludf.DUMMYFUNCTION("GOOGLETRANSLATE($A2656,""en"",""ko"")"),"알로하스 노바드(Aloja)")</f>
        <v>알로하스 노바드(Aloja)</v>
      </c>
      <c r="J2656" s="9" t="str">
        <f>IFERROR(__xludf.DUMMYFUNCTION("GOOGLETRANSLATE($A2656,""en"",""pt-BR"")"),"Alojas novads (Aloja)")</f>
        <v>Alojas novads (Aloja)</v>
      </c>
    </row>
    <row r="2657">
      <c r="A2657" s="9" t="str">
        <f>IFERROR(__xludf.DUMMYFUNCTION("""COMPUTED_VALUE"""),"Jaunjelgavas novads (Jaunjelgava)")</f>
        <v>Jaunjelgavas novads (Jaunjelgava)</v>
      </c>
      <c r="B2657" s="9" t="str">
        <f>IFERROR(__xludf.DUMMYFUNCTION("""COMPUTED_VALUE"""),"lv-038")</f>
        <v>lv-038</v>
      </c>
      <c r="C2657" s="9" t="str">
        <f>IFERROR(__xludf.DUMMYFUNCTION("GOOGLETRANSLATE($A2657,""en"",""de"")"),"Jaunjelgavas novads (Jaunjelgava)")</f>
        <v>Jaunjelgavas novads (Jaunjelgava)</v>
      </c>
      <c r="D2657" s="9" t="str">
        <f>IFERROR(__xludf.DUMMYFUNCTION("GOOGLETRANSLATE($A2657,""en"",""fr"")"),"Jaunjelgavas novads (Jaunjelgava)")</f>
        <v>Jaunjelgavas novads (Jaunjelgava)</v>
      </c>
      <c r="E2657" s="9" t="str">
        <f>IFERROR(__xludf.DUMMYFUNCTION("GOOGLETRANSLATE($A2657,""en"",""es"")"),"Jaunjelgavas novads (Jaunjelgava)")</f>
        <v>Jaunjelgavas novads (Jaunjelgava)</v>
      </c>
      <c r="F2657" s="9" t="str">
        <f>IFERROR(__xludf.DUMMYFUNCTION("GOOGLETRANSLATE($A2657,""en"",""it"")"),"Jaunjelgavas novads (Jaunjelgava)")</f>
        <v>Jaunjelgavas novads (Jaunjelgava)</v>
      </c>
      <c r="G2657" s="9" t="str">
        <f>IFERROR(__xludf.DUMMYFUNCTION("GOOGLETRANSLATE($A2657,""en"",""zh-cn"")"),"Jaunjelgava novads (Jaunjelgava)")</f>
        <v>Jaunjelgava novads (Jaunjelgava)</v>
      </c>
      <c r="H2657" s="9" t="str">
        <f>IFERROR(__xludf.DUMMYFUNCTION("GOOGLETRANSLATE($A2657,""en"",""ja"")"),"Jaunjelgavas novads (ジャウンジェルガヴァ)")</f>
        <v>Jaunjelgavas novads (ジャウンジェルガヴァ)</v>
      </c>
      <c r="I2657" s="9" t="str">
        <f>IFERROR(__xludf.DUMMYFUNCTION("GOOGLETRANSLATE($A2657,""en"",""ko"")"),"Jaunjelgavas novads (Jaunjelgava)")</f>
        <v>Jaunjelgavas novads (Jaunjelgava)</v>
      </c>
      <c r="J2657" s="9" t="str">
        <f>IFERROR(__xludf.DUMMYFUNCTION("GOOGLETRANSLATE($A2657,""en"",""pt-BR"")"),"Jaunjelgavas novads (Jaunjelgava)")</f>
        <v>Jaunjelgavas novads (Jaunjelgava)</v>
      </c>
    </row>
    <row r="2658">
      <c r="A2658" s="9" t="str">
        <f>IFERROR(__xludf.DUMMYFUNCTION("""COMPUTED_VALUE"""),"Siguldas novads")</f>
        <v>Siguldas novads</v>
      </c>
      <c r="B2658" s="9" t="str">
        <f>IFERROR(__xludf.DUMMYFUNCTION("""COMPUTED_VALUE"""),"lv-091")</f>
        <v>lv-091</v>
      </c>
      <c r="C2658" s="9" t="str">
        <f>IFERROR(__xludf.DUMMYFUNCTION("GOOGLETRANSLATE($A2658,""en"",""de"")"),"Siguldas Novads")</f>
        <v>Siguldas Novads</v>
      </c>
      <c r="D2658" s="9" t="str">
        <f>IFERROR(__xludf.DUMMYFUNCTION("GOOGLETRANSLATE($A2658,""en"",""fr"")"),"Siguldas Novads")</f>
        <v>Siguldas Novads</v>
      </c>
      <c r="E2658" s="9" t="str">
        <f>IFERROR(__xludf.DUMMYFUNCTION("GOOGLETRANSLATE($A2658,""en"",""es"")"),"Siguldas novadas")</f>
        <v>Siguldas novadas</v>
      </c>
      <c r="F2658" s="9" t="str">
        <f>IFERROR(__xludf.DUMMYFUNCTION("GOOGLETRANSLATE($A2658,""en"",""it"")"),"Siguldas novads")</f>
        <v>Siguldas novads</v>
      </c>
      <c r="G2658" s="9" t="str">
        <f>IFERROR(__xludf.DUMMYFUNCTION("GOOGLETRANSLATE($A2658,""en"",""zh-cn"")"),"西古尔达斯新星")</f>
        <v>西古尔达斯新星</v>
      </c>
      <c r="H2658" s="9" t="str">
        <f>IFERROR(__xludf.DUMMYFUNCTION("GOOGLETRANSLATE($A2658,""en"",""ja"")"),"シグルダス・ノヴァド")</f>
        <v>シグルダス・ノヴァド</v>
      </c>
      <c r="I2658" s="9" t="str">
        <f>IFERROR(__xludf.DUMMYFUNCTION("GOOGLETRANSLATE($A2658,""en"",""ko"")"),"시굴다스 노바드")</f>
        <v>시굴다스 노바드</v>
      </c>
      <c r="J2658" s="9" t="str">
        <f>IFERROR(__xludf.DUMMYFUNCTION("GOOGLETRANSLATE($A2658,""en"",""pt-BR"")"),"Siguldas novads")</f>
        <v>Siguldas novads</v>
      </c>
    </row>
    <row r="2659">
      <c r="A2659" s="9" t="str">
        <f>IFERROR(__xludf.DUMMYFUNCTION("""COMPUTED_VALUE"""),"Līvānu novads")</f>
        <v>Līvānu novads</v>
      </c>
      <c r="B2659" s="9" t="str">
        <f>IFERROR(__xludf.DUMMYFUNCTION("""COMPUTED_VALUE"""),"lv-056")</f>
        <v>lv-056</v>
      </c>
      <c r="C2659" s="9" t="str">
        <f>IFERROR(__xludf.DUMMYFUNCTION("GOOGLETRANSLATE($A2659,""en"",""de"")"),"Līvānu Novads")</f>
        <v>Līvānu Novads</v>
      </c>
      <c r="D2659" s="9" t="str">
        <f>IFERROR(__xludf.DUMMYFUNCTION("GOOGLETRANSLATE($A2659,""en"",""fr"")"),"Novads de Līvānu")</f>
        <v>Novads de Līvānu</v>
      </c>
      <c r="E2659" s="9" t="str">
        <f>IFERROR(__xludf.DUMMYFUNCTION("GOOGLETRANSLATE($A2659,""en"",""es"")"),"Līvānu novads")</f>
        <v>Līvānu novads</v>
      </c>
      <c r="F2659" s="9" t="str">
        <f>IFERROR(__xludf.DUMMYFUNCTION("GOOGLETRANSLATE($A2659,""en"",""it"")"),"Līvānu novads")</f>
        <v>Līvānu novads</v>
      </c>
      <c r="G2659" s="9" t="str">
        <f>IFERROR(__xludf.DUMMYFUNCTION("GOOGLETRANSLATE($A2659,""en"",""zh-cn"")"),"利瓦努新星")</f>
        <v>利瓦努新星</v>
      </c>
      <c r="H2659" s="9" t="str">
        <f>IFERROR(__xludf.DUMMYFUNCTION("GOOGLETRANSLATE($A2659,""en"",""ja"")"),"リヴァーヌ・ノヴァド")</f>
        <v>リヴァーヌ・ノヴァド</v>
      </c>
      <c r="I2659" s="9" t="str">
        <f>IFERROR(__xludf.DUMMYFUNCTION("GOOGLETRANSLATE($A2659,""en"",""ko"")"),"리바누 노바드")</f>
        <v>리바누 노바드</v>
      </c>
      <c r="J2659" s="9" t="str">
        <f>IFERROR(__xludf.DUMMYFUNCTION("GOOGLETRANSLATE($A2659,""en"",""pt-BR"")"),"Novads de Livanu")</f>
        <v>Novads de Livanu</v>
      </c>
    </row>
    <row r="2660">
      <c r="A2660" s="9" t="str">
        <f>IFERROR(__xludf.DUMMYFUNCTION("""COMPUTED_VALUE"""),"Talsu novads")</f>
        <v>Talsu novads</v>
      </c>
      <c r="B2660" s="9" t="str">
        <f>IFERROR(__xludf.DUMMYFUNCTION("""COMPUTED_VALUE"""),"lv-097")</f>
        <v>lv-097</v>
      </c>
      <c r="C2660" s="9" t="str">
        <f>IFERROR(__xludf.DUMMYFUNCTION("GOOGLETRANSLATE($A2660,""en"",""de"")"),"Talsu Novads")</f>
        <v>Talsu Novads</v>
      </c>
      <c r="D2660" s="9" t="str">
        <f>IFERROR(__xludf.DUMMYFUNCTION("GOOGLETRANSLATE($A2660,""en"",""fr"")"),"Talsu novads")</f>
        <v>Talsu novads</v>
      </c>
      <c r="E2660" s="9" t="str">
        <f>IFERROR(__xludf.DUMMYFUNCTION("GOOGLETRANSLATE($A2660,""en"",""es"")"),"Novadas de Talsu")</f>
        <v>Novadas de Talsu</v>
      </c>
      <c r="F2660" s="9" t="str">
        <f>IFERROR(__xludf.DUMMYFUNCTION("GOOGLETRANSLATE($A2660,""en"",""it"")"),"Talsu novad")</f>
        <v>Talsu novad</v>
      </c>
      <c r="G2660" s="9" t="str">
        <f>IFERROR(__xludf.DUMMYFUNCTION("GOOGLETRANSLATE($A2660,""en"",""zh-cn"")"),"塔尔苏新星")</f>
        <v>塔尔苏新星</v>
      </c>
      <c r="H2660" s="9" t="str">
        <f>IFERROR(__xludf.DUMMYFUNCTION("GOOGLETRANSLATE($A2660,""en"",""ja"")"),"タルス・ノヴァド")</f>
        <v>タルス・ノヴァド</v>
      </c>
      <c r="I2660" s="9" t="str">
        <f>IFERROR(__xludf.DUMMYFUNCTION("GOOGLETRANSLATE($A2660,""en"",""ko"")"),"탈수 노바드")</f>
        <v>탈수 노바드</v>
      </c>
      <c r="J2660" s="9" t="str">
        <f>IFERROR(__xludf.DUMMYFUNCTION("GOOGLETRANSLATE($A2660,""en"",""pt-BR"")"),"Novads de Talsu")</f>
        <v>Novads de Talsu</v>
      </c>
    </row>
    <row r="2661">
      <c r="A2661" s="9" t="str">
        <f>IFERROR(__xludf.DUMMYFUNCTION("""COMPUTED_VALUE"""),"Tērvetes novads (Tērvete)")</f>
        <v>Tērvetes novads (Tērvete)</v>
      </c>
      <c r="B2661" s="9" t="str">
        <f>IFERROR(__xludf.DUMMYFUNCTION("""COMPUTED_VALUE"""),"lv-098")</f>
        <v>lv-098</v>
      </c>
      <c r="C2661" s="9" t="str">
        <f>IFERROR(__xludf.DUMMYFUNCTION("GOOGLETRANSLATE($A2661,""en"",""de"")"),"Tērvetes novads (Tērvete)")</f>
        <v>Tērvetes novads (Tērvete)</v>
      </c>
      <c r="D2661" s="9" t="str">
        <f>IFERROR(__xludf.DUMMYFUNCTION("GOOGLETRANSLATE($A2661,""en"",""fr"")"),"Tērvete novads (Tērvete)")</f>
        <v>Tērvete novads (Tērvete)</v>
      </c>
      <c r="E2661" s="9" t="str">
        <f>IFERROR(__xludf.DUMMYFUNCTION("GOOGLETRANSLATE($A2661,""en"",""es"")"),"Tērvetes novads (Tērvete)")</f>
        <v>Tērvetes novads (Tērvete)</v>
      </c>
      <c r="F2661" s="9" t="str">
        <f>IFERROR(__xludf.DUMMYFUNCTION("GOOGLETRANSLATE($A2661,""en"",""it"")"),"Tērvetes novads (Tērvete)")</f>
        <v>Tērvetes novads (Tērvete)</v>
      </c>
      <c r="G2661" s="9" t="str">
        <f>IFERROR(__xludf.DUMMYFUNCTION("GOOGLETRANSLATE($A2661,""en"",""zh-cn"")"),"特尔维特新星 (Tērvete)")</f>
        <v>特尔维特新星 (Tērvete)</v>
      </c>
      <c r="H2661" s="9" t="str">
        <f>IFERROR(__xludf.DUMMYFUNCTION("GOOGLETRANSLATE($A2661,""en"",""ja"")"),"Tērvetes novads (Tērvete)")</f>
        <v>Tērvetes novads (Tērvete)</v>
      </c>
      <c r="I2661" s="9" t="str">
        <f>IFERROR(__xludf.DUMMYFUNCTION("GOOGLETRANSLATE($A2661,""en"",""ko"")"),"Tērvetes novads (Tērvete)")</f>
        <v>Tērvetes novads (Tērvete)</v>
      </c>
      <c r="J2661" s="9" t="str">
        <f>IFERROR(__xludf.DUMMYFUNCTION("GOOGLETRANSLATE($A2661,""en"",""pt-BR"")"),"Tērvetes novads (Tērvete)")</f>
        <v>Tērvetes novads (Tērvete)</v>
      </c>
    </row>
    <row r="2662">
      <c r="A2662" s="9" t="str">
        <f>IFERROR(__xludf.DUMMYFUNCTION("""COMPUTED_VALUE"""),"Krustpils novads (Krustpils)")</f>
        <v>Krustpils novads (Krustpils)</v>
      </c>
      <c r="B2662" s="9" t="str">
        <f>IFERROR(__xludf.DUMMYFUNCTION("""COMPUTED_VALUE"""),"lv-049")</f>
        <v>lv-049</v>
      </c>
      <c r="C2662" s="9" t="str">
        <f>IFERROR(__xludf.DUMMYFUNCTION("GOOGLETRANSLATE($A2662,""en"",""de"")"),"Krustpils novads (Krustpils)")</f>
        <v>Krustpils novads (Krustpils)</v>
      </c>
      <c r="D2662" s="9" t="str">
        <f>IFERROR(__xludf.DUMMYFUNCTION("GOOGLETRANSLATE($A2662,""en"",""fr"")"),"Krustpils novads (Krustpils)")</f>
        <v>Krustpils novads (Krustpils)</v>
      </c>
      <c r="E2662" s="9" t="str">
        <f>IFERROR(__xludf.DUMMYFUNCTION("GOOGLETRANSLATE($A2662,""en"",""es"")"),"Krustpils novads (Krustpils)")</f>
        <v>Krustpils novads (Krustpils)</v>
      </c>
      <c r="F2662" s="9" t="str">
        <f>IFERROR(__xludf.DUMMYFUNCTION("GOOGLETRANSLATE($A2662,""en"",""it"")"),"Krustpils novad (Krustpils)")</f>
        <v>Krustpils novad (Krustpils)</v>
      </c>
      <c r="G2662" s="9" t="str">
        <f>IFERROR(__xludf.DUMMYFUNCTION("GOOGLETRANSLATE($A2662,""en"",""zh-cn"")"),"Krustpils 新星 (Krustpils)")</f>
        <v>Krustpils 新星 (Krustpils)</v>
      </c>
      <c r="H2662" s="9" t="str">
        <f>IFERROR(__xludf.DUMMYFUNCTION("GOOGLETRANSLATE($A2662,""en"",""ja"")"),"クラストピルス ノヴァド (クラストピルス)")</f>
        <v>クラストピルス ノヴァド (クラストピルス)</v>
      </c>
      <c r="I2662" s="9" t="str">
        <f>IFERROR(__xludf.DUMMYFUNCTION("GOOGLETRANSLATE($A2662,""en"",""ko"")"),"크러스트필스 노바드(Krustpils)")</f>
        <v>크러스트필스 노바드(Krustpils)</v>
      </c>
      <c r="J2662" s="9" t="str">
        <f>IFERROR(__xludf.DUMMYFUNCTION("GOOGLETRANSLATE($A2662,""en"",""pt-BR"")"),"Krustpils novads (Krustpils)")</f>
        <v>Krustpils novads (Krustpils)</v>
      </c>
    </row>
    <row r="2663">
      <c r="A2663" s="9" t="str">
        <f>IFERROR(__xludf.DUMMYFUNCTION("""COMPUTED_VALUE"""),"Tukuma novads")</f>
        <v>Tukuma novads</v>
      </c>
      <c r="B2663" s="9" t="str">
        <f>IFERROR(__xludf.DUMMYFUNCTION("""COMPUTED_VALUE"""),"lv-099")</f>
        <v>lv-099</v>
      </c>
      <c r="C2663" s="9" t="str">
        <f>IFERROR(__xludf.DUMMYFUNCTION("GOOGLETRANSLATE($A2663,""en"",""de"")"),"Tukuma Novads")</f>
        <v>Tukuma Novads</v>
      </c>
      <c r="D2663" s="9" t="str">
        <f>IFERROR(__xludf.DUMMYFUNCTION("GOOGLETRANSLATE($A2663,""en"",""fr"")"),"Tukuma Novads")</f>
        <v>Tukuma Novads</v>
      </c>
      <c r="E2663" s="9" t="str">
        <f>IFERROR(__xludf.DUMMYFUNCTION("GOOGLETRANSLATE($A2663,""en"",""es"")"),"Novas de Tukuma")</f>
        <v>Novas de Tukuma</v>
      </c>
      <c r="F2663" s="9" t="str">
        <f>IFERROR(__xludf.DUMMYFUNCTION("GOOGLETRANSLATE($A2663,""en"",""it"")"),"Tukuma novad")</f>
        <v>Tukuma novad</v>
      </c>
      <c r="G2663" s="9" t="str">
        <f>IFERROR(__xludf.DUMMYFUNCTION("GOOGLETRANSLATE($A2663,""en"",""zh-cn"")"),"图库马新星")</f>
        <v>图库马新星</v>
      </c>
      <c r="H2663" s="9" t="str">
        <f>IFERROR(__xludf.DUMMYFUNCTION("GOOGLETRANSLATE($A2663,""en"",""ja"")"),"つくまノヴァド")</f>
        <v>つくまノヴァド</v>
      </c>
      <c r="I2663" s="9" t="str">
        <f>IFERROR(__xludf.DUMMYFUNCTION("GOOGLETRANSLATE($A2663,""en"",""ko"")"),"투쿠마 노바드")</f>
        <v>투쿠마 노바드</v>
      </c>
      <c r="J2663" s="9" t="str">
        <f>IFERROR(__xludf.DUMMYFUNCTION("GOOGLETRANSLATE($A2663,""en"",""pt-BR"")"),"Tukuma novads")</f>
        <v>Tukuma novads</v>
      </c>
    </row>
    <row r="2664">
      <c r="A2664" s="9" t="str">
        <f>IFERROR(__xludf.DUMMYFUNCTION("""COMPUTED_VALUE"""),"Mazsalacas novads (Mazsalaca)")</f>
        <v>Mazsalacas novads (Mazsalaca)</v>
      </c>
      <c r="B2664" s="9" t="str">
        <f>IFERROR(__xludf.DUMMYFUNCTION("""COMPUTED_VALUE"""),"lv-060")</f>
        <v>lv-060</v>
      </c>
      <c r="C2664" s="9" t="str">
        <f>IFERROR(__xludf.DUMMYFUNCTION("GOOGLETRANSLATE($A2664,""en"",""de"")"),"Mazsalacas novads (Mazsalaca)")</f>
        <v>Mazsalacas novads (Mazsalaca)</v>
      </c>
      <c r="D2664" s="9" t="str">
        <f>IFERROR(__xludf.DUMMYFUNCTION("GOOGLETRANSLATE($A2664,""en"",""fr"")"),"Mazsalacas novads (Mazsalaca)")</f>
        <v>Mazsalacas novads (Mazsalaca)</v>
      </c>
      <c r="E2664" s="9" t="str">
        <f>IFERROR(__xludf.DUMMYFUNCTION("GOOGLETRANSLATE($A2664,""en"",""es"")"),"Mazsalacas Novads (Mazsalaca)")</f>
        <v>Mazsalacas Novads (Mazsalaca)</v>
      </c>
      <c r="F2664" s="9" t="str">
        <f>IFERROR(__xludf.DUMMYFUNCTION("GOOGLETRANSLATE($A2664,""en"",""it"")"),"Mazsalacas novads (Mazsalaca)")</f>
        <v>Mazsalacas novads (Mazsalaca)</v>
      </c>
      <c r="G2664" s="9" t="str">
        <f>IFERROR(__xludf.DUMMYFUNCTION("GOOGLETRANSLATE($A2664,""en"",""zh-cn"")"),"马兹萨拉卡斯新星 (Mazsalaca)")</f>
        <v>马兹萨拉卡斯新星 (Mazsalaca)</v>
      </c>
      <c r="H2664" s="9" t="str">
        <f>IFERROR(__xludf.DUMMYFUNCTION("GOOGLETRANSLATE($A2664,""en"",""ja"")"),"マサラカス ノヴァド (マサラカス)")</f>
        <v>マサラカス ノヴァド (マサラカス)</v>
      </c>
      <c r="I2664" s="9" t="str">
        <f>IFERROR(__xludf.DUMMYFUNCTION("GOOGLETRANSLATE($A2664,""en"",""ko"")"),"Mazsalacas novads (Mazsalaca)")</f>
        <v>Mazsalacas novads (Mazsalaca)</v>
      </c>
      <c r="J2664" s="9" t="str">
        <f>IFERROR(__xludf.DUMMYFUNCTION("GOOGLETRANSLATE($A2664,""en"",""pt-BR"")"),"Mazsalacas novads (Mazsalaca)")</f>
        <v>Mazsalacas novads (Mazsalaca)</v>
      </c>
    </row>
    <row r="2665">
      <c r="A2665" s="9" t="str">
        <f>IFERROR(__xludf.DUMMYFUNCTION("""COMPUTED_VALUE"""),"Jaunpiebalgas novads (Jaunpiebalga)")</f>
        <v>Jaunpiebalgas novads (Jaunpiebalga)</v>
      </c>
      <c r="B2665" s="9" t="str">
        <f>IFERROR(__xludf.DUMMYFUNCTION("""COMPUTED_VALUE"""),"lv-039")</f>
        <v>lv-039</v>
      </c>
      <c r="C2665" s="9" t="str">
        <f>IFERROR(__xludf.DUMMYFUNCTION("GOOGLETRANSLATE($A2665,""en"",""de"")"),"Jaunpiebalgas novads (Jaunpiebalga)")</f>
        <v>Jaunpiebalgas novads (Jaunpiebalga)</v>
      </c>
      <c r="D2665" s="9" t="str">
        <f>IFERROR(__xludf.DUMMYFUNCTION("GOOGLETRANSLATE($A2665,""en"",""fr"")"),"Jaunpiebalgas novads (Jaunpiebalga)")</f>
        <v>Jaunpiebalgas novads (Jaunpiebalga)</v>
      </c>
      <c r="E2665" s="9" t="str">
        <f>IFERROR(__xludf.DUMMYFUNCTION("GOOGLETRANSLATE($A2665,""en"",""es"")"),"Jaunpiebalga novads (Jaunpiebalga)")</f>
        <v>Jaunpiebalga novads (Jaunpiebalga)</v>
      </c>
      <c r="F2665" s="9" t="str">
        <f>IFERROR(__xludf.DUMMYFUNCTION("GOOGLETRANSLATE($A2665,""en"",""it"")"),"Jaunpiebalgas novads (Jaunpiebalga)")</f>
        <v>Jaunpiebalgas novads (Jaunpiebalga)</v>
      </c>
      <c r="G2665" s="9" t="str">
        <f>IFERROR(__xludf.DUMMYFUNCTION("GOOGLETRANSLATE($A2665,""en"",""zh-cn"")"),"Jaunpiebalgas 新星 (Jaunpiebalga)")</f>
        <v>Jaunpiebalgas 新星 (Jaunpiebalga)</v>
      </c>
      <c r="H2665" s="9" t="str">
        <f>IFERROR(__xludf.DUMMYFUNCTION("GOOGLETRANSLATE($A2665,""en"",""ja"")"),"ヤウンピバルガス・ノヴァド (ヤウンピバルガ)")</f>
        <v>ヤウンピバルガス・ノヴァド (ヤウンピバルガ)</v>
      </c>
      <c r="I2665" s="9" t="str">
        <f>IFERROR(__xludf.DUMMYFUNCTION("GOOGLETRANSLATE($A2665,""en"",""ko"")"),"Jaunpiebalgas novads (Jaunpiebalga)")</f>
        <v>Jaunpiebalgas novads (Jaunpiebalga)</v>
      </c>
      <c r="J2665" s="9" t="str">
        <f>IFERROR(__xludf.DUMMYFUNCTION("GOOGLETRANSLATE($A2665,""en"",""pt-BR"")"),"Jaunpiebalgas novads (Jaunpiebalga)")</f>
        <v>Jaunpiebalgas novads (Jaunpiebalga)</v>
      </c>
    </row>
    <row r="2666">
      <c r="A2666" s="9" t="str">
        <f>IFERROR(__xludf.DUMMYFUNCTION("""COMPUTED_VALUE"""),"Kuldīgas novads")</f>
        <v>Kuldīgas novads</v>
      </c>
      <c r="B2666" s="9" t="str">
        <f>IFERROR(__xludf.DUMMYFUNCTION("""COMPUTED_VALUE"""),"lv-050")</f>
        <v>lv-050</v>
      </c>
      <c r="C2666" s="9" t="str">
        <f>IFERROR(__xludf.DUMMYFUNCTION("GOOGLETRANSLATE($A2666,""en"",""de"")"),"Kuldīgas Novads")</f>
        <v>Kuldīgas Novads</v>
      </c>
      <c r="D2666" s="9" t="str">
        <f>IFERROR(__xludf.DUMMYFUNCTION("GOOGLETRANSLATE($A2666,""en"",""fr"")"),"Kuldīgas novads")</f>
        <v>Kuldīgas novads</v>
      </c>
      <c r="E2666" s="9" t="str">
        <f>IFERROR(__xludf.DUMMYFUNCTION("GOOGLETRANSLATE($A2666,""en"",""es"")"),"Kuldīgas novads")</f>
        <v>Kuldīgas novads</v>
      </c>
      <c r="F2666" s="9" t="str">
        <f>IFERROR(__xludf.DUMMYFUNCTION("GOOGLETRANSLATE($A2666,""en"",""it"")"),"Kuldīgas novads")</f>
        <v>Kuldīgas novads</v>
      </c>
      <c r="G2666" s="9" t="str">
        <f>IFERROR(__xludf.DUMMYFUNCTION("GOOGLETRANSLATE($A2666,""en"",""zh-cn"")"),"库尔迪加斯新星")</f>
        <v>库尔迪加斯新星</v>
      </c>
      <c r="H2666" s="9" t="str">
        <f>IFERROR(__xludf.DUMMYFUNCTION("GOOGLETRANSLATE($A2666,""en"",""ja"")"),"クルディーガス・ノヴァド")</f>
        <v>クルディーガス・ノヴァド</v>
      </c>
      <c r="I2666" s="9" t="str">
        <f>IFERROR(__xludf.DUMMYFUNCTION("GOOGLETRANSLATE($A2666,""en"",""ko"")"),"쿨디가스 노바드")</f>
        <v>쿨디가스 노바드</v>
      </c>
      <c r="J2666" s="9" t="str">
        <f>IFERROR(__xludf.DUMMYFUNCTION("GOOGLETRANSLATE($A2666,""en"",""pt-BR"")"),"Kuldīgas novads")</f>
        <v>Kuldīgas novads</v>
      </c>
    </row>
    <row r="2667">
      <c r="A2667" s="9" t="str">
        <f>IFERROR(__xludf.DUMMYFUNCTION("""COMPUTED_VALUE"""),"Dobeles novads")</f>
        <v>Dobeles novads</v>
      </c>
      <c r="B2667" s="9" t="str">
        <f>IFERROR(__xludf.DUMMYFUNCTION("""COMPUTED_VALUE"""),"lv-026")</f>
        <v>lv-026</v>
      </c>
      <c r="C2667" s="9" t="str">
        <f>IFERROR(__xludf.DUMMYFUNCTION("GOOGLETRANSLATE($A2667,""en"",""de"")"),"Dobeles novads")</f>
        <v>Dobeles novads</v>
      </c>
      <c r="D2667" s="9" t="str">
        <f>IFERROR(__xludf.DUMMYFUNCTION("GOOGLETRANSLATE($A2667,""en"",""fr"")"),"Dobeles novads")</f>
        <v>Dobeles novads</v>
      </c>
      <c r="E2667" s="9" t="str">
        <f>IFERROR(__xludf.DUMMYFUNCTION("GOOGLETRANSLATE($A2667,""en"",""es"")"),"Dobeles novads")</f>
        <v>Dobeles novads</v>
      </c>
      <c r="F2667" s="9" t="str">
        <f>IFERROR(__xludf.DUMMYFUNCTION("GOOGLETRANSLATE($A2667,""en"",""it"")"),"Dobeles novad")</f>
        <v>Dobeles novad</v>
      </c>
      <c r="G2667" s="9" t="str">
        <f>IFERROR(__xludf.DUMMYFUNCTION("GOOGLETRANSLATE($A2667,""en"",""zh-cn"")"),"多贝莱斯新星")</f>
        <v>多贝莱斯新星</v>
      </c>
      <c r="H2667" s="9" t="str">
        <f>IFERROR(__xludf.DUMMYFUNCTION("GOOGLETRANSLATE($A2667,""en"",""ja"")"),"ドーベレス・ノヴァド")</f>
        <v>ドーベレス・ノヴァド</v>
      </c>
      <c r="I2667" s="9" t="str">
        <f>IFERROR(__xludf.DUMMYFUNCTION("GOOGLETRANSLATE($A2667,""en"",""ko"")"),"도벨레스 노바드")</f>
        <v>도벨레스 노바드</v>
      </c>
      <c r="J2667" s="9" t="str">
        <f>IFERROR(__xludf.DUMMYFUNCTION("GOOGLETRANSLATE($A2667,""en"",""pt-BR"")"),"Dobeles novads")</f>
        <v>Dobeles novads</v>
      </c>
    </row>
    <row r="2668">
      <c r="A2668" s="9" t="str">
        <f>IFERROR(__xludf.DUMMYFUNCTION("""COMPUTED_VALUE"""),"Preiļu novads")</f>
        <v>Preiļu novads</v>
      </c>
      <c r="B2668" s="9" t="str">
        <f>IFERROR(__xludf.DUMMYFUNCTION("""COMPUTED_VALUE"""),"lv-073")</f>
        <v>lv-073</v>
      </c>
      <c r="C2668" s="9" t="str">
        <f>IFERROR(__xludf.DUMMYFUNCTION("GOOGLETRANSLATE($A2668,""en"",""de"")"),"Preiļu novads")</f>
        <v>Preiļu novads</v>
      </c>
      <c r="D2668" s="9" t="str">
        <f>IFERROR(__xludf.DUMMYFUNCTION("GOOGLETRANSLATE($A2668,""en"",""fr"")"),"Preiļu novads")</f>
        <v>Preiļu novads</v>
      </c>
      <c r="E2668" s="9" t="str">
        <f>IFERROR(__xludf.DUMMYFUNCTION("GOOGLETRANSLATE($A2668,""en"",""es"")"),"Preiļu novads")</f>
        <v>Preiļu novads</v>
      </c>
      <c r="F2668" s="9" t="str">
        <f>IFERROR(__xludf.DUMMYFUNCTION("GOOGLETRANSLATE($A2668,""en"",""it"")"),"Preiļu novads")</f>
        <v>Preiļu novads</v>
      </c>
      <c r="G2668" s="9" t="str">
        <f>IFERROR(__xludf.DUMMYFUNCTION("GOOGLETRANSLATE($A2668,""en"",""zh-cn"")"),"普雷尤新星")</f>
        <v>普雷尤新星</v>
      </c>
      <c r="H2668" s="9" t="str">
        <f>IFERROR(__xludf.DUMMYFUNCTION("GOOGLETRANSLATE($A2668,""en"",""ja"")"),"プレイジュ ノヴァド")</f>
        <v>プレイジュ ノヴァド</v>
      </c>
      <c r="I2668" s="9" t="str">
        <f>IFERROR(__xludf.DUMMYFUNCTION("GOOGLETRANSLATE($A2668,""en"",""ko"")"),"프레이유 노바드")</f>
        <v>프레이유 노바드</v>
      </c>
      <c r="J2668" s="9" t="str">
        <f>IFERROR(__xludf.DUMMYFUNCTION("GOOGLETRANSLATE($A2668,""en"",""pt-BR"")"),"Preiļu novads")</f>
        <v>Preiļu novads</v>
      </c>
    </row>
    <row r="2669">
      <c r="A2669" s="9" t="str">
        <f>IFERROR(__xludf.DUMMYFUNCTION("""COMPUTED_VALUE"""),"Viļakas novads (Viļaka)")</f>
        <v>Viļakas novads (Viļaka)</v>
      </c>
      <c r="B2669" s="9" t="str">
        <f>IFERROR(__xludf.DUMMYFUNCTION("""COMPUTED_VALUE"""),"lv-108")</f>
        <v>lv-108</v>
      </c>
      <c r="C2669" s="9" t="str">
        <f>IFERROR(__xludf.DUMMYFUNCTION("GOOGLETRANSLATE($A2669,""en"",""de"")"),"Viļakas novads (Viļaka)")</f>
        <v>Viļakas novads (Viļaka)</v>
      </c>
      <c r="D2669" s="9" t="str">
        <f>IFERROR(__xludf.DUMMYFUNCTION("GOOGLETRANSLATE($A2669,""en"",""fr"")"),"Viļakas novads (Viļaka)")</f>
        <v>Viļakas novads (Viļaka)</v>
      </c>
      <c r="E2669" s="9" t="str">
        <f>IFERROR(__xludf.DUMMYFUNCTION("GOOGLETRANSLATE($A2669,""en"",""es"")"),"Viļakas novads (Viļaka)")</f>
        <v>Viļakas novads (Viļaka)</v>
      </c>
      <c r="F2669" s="9" t="str">
        <f>IFERROR(__xludf.DUMMYFUNCTION("GOOGLETRANSLATE($A2669,""en"",""it"")"),"Viļakas novads (Viļaka)")</f>
        <v>Viļakas novads (Viļaka)</v>
      </c>
      <c r="G2669" s="9" t="str">
        <f>IFERROR(__xludf.DUMMYFUNCTION("GOOGLETRANSLATE($A2669,""en"",""zh-cn"")"),"维扎卡新星 (Viļaka)")</f>
        <v>维扎卡新星 (Viļaka)</v>
      </c>
      <c r="H2669" s="9" t="str">
        <f>IFERROR(__xludf.DUMMYFUNCTION("GOOGLETRANSLATE($A2669,""en"",""ja"")"),"ヴィジャカス ノヴァズ (ヴィジャカ)")</f>
        <v>ヴィジャカス ノヴァズ (ヴィジャカ)</v>
      </c>
      <c r="I2669" s="9" t="str">
        <f>IFERROR(__xludf.DUMMYFUNCTION("GOOGLETRANSLATE($A2669,""en"",""ko"")"),"Viļakas novads (Viļaka)")</f>
        <v>Viļakas novads (Viļaka)</v>
      </c>
      <c r="J2669" s="9" t="str">
        <f>IFERROR(__xludf.DUMMYFUNCTION("GOOGLETRANSLATE($A2669,""en"",""pt-BR"")"),"Viļakas novads (Viļaka)")</f>
        <v>Viļakas novads (Viļaka)</v>
      </c>
    </row>
    <row r="2670">
      <c r="A2670" s="9" t="str">
        <f>IFERROR(__xludf.DUMMYFUNCTION("""COMPUTED_VALUE"""),"Kocēnu novads (Kocēni)")</f>
        <v>Kocēnu novads (Kocēni)</v>
      </c>
      <c r="B2670" s="9" t="str">
        <f>IFERROR(__xludf.DUMMYFUNCTION("""COMPUTED_VALUE"""),"lv-045")</f>
        <v>lv-045</v>
      </c>
      <c r="C2670" s="9" t="str">
        <f>IFERROR(__xludf.DUMMYFUNCTION("GOOGLETRANSLATE($A2670,""en"",""de"")"),"Kocēnu novads (Kocēni)")</f>
        <v>Kocēnu novads (Kocēni)</v>
      </c>
      <c r="D2670" s="9" t="str">
        <f>IFERROR(__xludf.DUMMYFUNCTION("GOOGLETRANSLATE($A2670,""en"",""fr"")"),"Kocēnu novads (Kocēni)")</f>
        <v>Kocēnu novads (Kocēni)</v>
      </c>
      <c r="E2670" s="9" t="str">
        <f>IFERROR(__xludf.DUMMYFUNCTION("GOOGLETRANSLATE($A2670,""en"",""es"")"),"Kocēnu novads (Kocēni)")</f>
        <v>Kocēnu novads (Kocēni)</v>
      </c>
      <c r="F2670" s="9" t="str">
        <f>IFERROR(__xludf.DUMMYFUNCTION("GOOGLETRANSLATE($A2670,""en"",""it"")"),"Kocēnu novads (Kocēni)")</f>
        <v>Kocēnu novads (Kocēni)</v>
      </c>
      <c r="G2670" s="9" t="str">
        <f>IFERROR(__xludf.DUMMYFUNCTION("GOOGLETRANSLATE($A2670,""en"",""zh-cn"")"),"科采努新星 (Kocēni)")</f>
        <v>科采努新星 (Kocēni)</v>
      </c>
      <c r="H2670" s="9" t="str">
        <f>IFERROR(__xludf.DUMMYFUNCTION("GOOGLETRANSLATE($A2670,""en"",""ja"")"),"コチェヌ・ノヴァド (コチェニ)")</f>
        <v>コチェヌ・ノヴァド (コチェニ)</v>
      </c>
      <c r="I2670" s="9" t="str">
        <f>IFERROR(__xludf.DUMMYFUNCTION("GOOGLETRANSLATE($A2670,""en"",""ko"")"),"Kocēnu novads (Kocēni)")</f>
        <v>Kocēnu novads (Kocēni)</v>
      </c>
      <c r="J2670" s="9" t="str">
        <f>IFERROR(__xludf.DUMMYFUNCTION("GOOGLETRANSLATE($A2670,""en"",""pt-BR"")"),"Kocēnu novads (Kocēni)")</f>
        <v>Kocēnu novads (Kocēni)</v>
      </c>
    </row>
    <row r="2671">
      <c r="A2671" s="9" t="str">
        <f>IFERROR(__xludf.DUMMYFUNCTION("""COMPUTED_VALUE"""),"Kokneses novads (Koknese)")</f>
        <v>Kokneses novads (Koknese)</v>
      </c>
      <c r="B2671" s="9" t="str">
        <f>IFERROR(__xludf.DUMMYFUNCTION("""COMPUTED_VALUE"""),"lv-046")</f>
        <v>lv-046</v>
      </c>
      <c r="C2671" s="9" t="str">
        <f>IFERROR(__xludf.DUMMYFUNCTION("GOOGLETRANSLATE($A2671,""en"",""de"")"),"Kokneses novads (Koknese)")</f>
        <v>Kokneses novads (Koknese)</v>
      </c>
      <c r="D2671" s="9" t="str">
        <f>IFERROR(__xludf.DUMMYFUNCTION("GOOGLETRANSLATE($A2671,""en"",""fr"")"),"Koknèse novads (Koknèse)")</f>
        <v>Koknèse novads (Koknèse)</v>
      </c>
      <c r="E2671" s="9" t="str">
        <f>IFERROR(__xludf.DUMMYFUNCTION("GOOGLETRANSLATE($A2671,""en"",""es"")"),"Kokneses novads (Koknese)")</f>
        <v>Kokneses novads (Koknese)</v>
      </c>
      <c r="F2671" s="9" t="str">
        <f>IFERROR(__xludf.DUMMYFUNCTION("GOOGLETRANSLATE($A2671,""en"",""it"")"),"Kokneses novads (Koknese)")</f>
        <v>Kokneses novads (Koknese)</v>
      </c>
      <c r="G2671" s="9" t="str">
        <f>IFERROR(__xludf.DUMMYFUNCTION("GOOGLETRANSLATE($A2671,""en"",""zh-cn"")"),"科克内斯新星 (Koknese)")</f>
        <v>科克内斯新星 (Koknese)</v>
      </c>
      <c r="H2671" s="9" t="str">
        <f>IFERROR(__xludf.DUMMYFUNCTION("GOOGLETRANSLATE($A2671,""en"",""ja"")"),"コクネーゼの新星 (コクネーゼ)")</f>
        <v>コクネーゼの新星 (コクネーゼ)</v>
      </c>
      <c r="I2671" s="9" t="str">
        <f>IFERROR(__xludf.DUMMYFUNCTION("GOOGLETRANSLATE($A2671,""en"",""ko"")"),"코크네세스 노바드(Koknese)")</f>
        <v>코크네세스 노바드(Koknese)</v>
      </c>
      <c r="J2671" s="9" t="str">
        <f>IFERROR(__xludf.DUMMYFUNCTION("GOOGLETRANSLATE($A2671,""en"",""pt-BR"")"),"Kokneses novads (Koknese)")</f>
        <v>Kokneses novads (Koknese)</v>
      </c>
    </row>
    <row r="2672">
      <c r="A2672" s="9" t="str">
        <f>IFERROR(__xludf.DUMMYFUNCTION("""COMPUTED_VALUE"""),"Beverīnas novads (Beverīna)")</f>
        <v>Beverīnas novads (Beverīna)</v>
      </c>
      <c r="B2672" s="9" t="str">
        <f>IFERROR(__xludf.DUMMYFUNCTION("""COMPUTED_VALUE"""),"lv-017")</f>
        <v>lv-017</v>
      </c>
      <c r="C2672" s="9" t="str">
        <f>IFERROR(__xludf.DUMMYFUNCTION("GOOGLETRANSLATE($A2672,""en"",""de"")"),"Beverīnas novads (Beverīna)")</f>
        <v>Beverīnas novads (Beverīna)</v>
      </c>
      <c r="D2672" s="9" t="str">
        <f>IFERROR(__xludf.DUMMYFUNCTION("GOOGLETRANSLATE($A2672,""en"",""fr"")"),"Beverinas novads (Beverina)")</f>
        <v>Beverinas novads (Beverina)</v>
      </c>
      <c r="E2672" s="9" t="str">
        <f>IFERROR(__xludf.DUMMYFUNCTION("GOOGLETRANSLATE($A2672,""en"",""es"")"),"Beverīnas novads (Beverīna)")</f>
        <v>Beverīnas novads (Beverīna)</v>
      </c>
      <c r="F2672" s="9" t="str">
        <f>IFERROR(__xludf.DUMMYFUNCTION("GOOGLETRANSLATE($A2672,""en"",""it"")"),"Beverinas novads (Beverina)")</f>
        <v>Beverinas novads (Beverina)</v>
      </c>
      <c r="G2672" s="9" t="str">
        <f>IFERROR(__xludf.DUMMYFUNCTION("GOOGLETRANSLATE($A2672,""en"",""zh-cn"")"),"贝韦里纳斯诺瓦兹 (Beverīna)")</f>
        <v>贝韦里纳斯诺瓦兹 (Beverīna)</v>
      </c>
      <c r="H2672" s="9" t="str">
        <f>IFERROR(__xludf.DUMMYFUNCTION("GOOGLETRANSLATE($A2672,""en"",""ja"")"),"Beverīnas novads (ベヴェリナ)")</f>
        <v>Beverīnas novads (ベヴェリナ)</v>
      </c>
      <c r="I2672" s="9" t="str">
        <f>IFERROR(__xludf.DUMMYFUNCTION("GOOGLETRANSLATE($A2672,""en"",""ko"")"),"Beverīnas novads (Beverīna)")</f>
        <v>Beverīnas novads (Beverīna)</v>
      </c>
      <c r="J2672" s="9" t="str">
        <f>IFERROR(__xludf.DUMMYFUNCTION("GOOGLETRANSLATE($A2672,""en"",""pt-BR"")"),"Beverīnas novads (Beverīna)")</f>
        <v>Beverīnas novads (Beverīna)</v>
      </c>
    </row>
    <row r="2673">
      <c r="A2673" s="9" t="str">
        <f>IFERROR(__xludf.DUMMYFUNCTION("""COMPUTED_VALUE"""),"Ķeguma novads (Ķegums)")</f>
        <v>Ķeguma novads (Ķegums)</v>
      </c>
      <c r="B2673" s="9" t="str">
        <f>IFERROR(__xludf.DUMMYFUNCTION("""COMPUTED_VALUE"""),"lv-051")</f>
        <v>lv-051</v>
      </c>
      <c r="C2673" s="9" t="str">
        <f>IFERROR(__xludf.DUMMYFUNCTION("GOOGLETRANSLATE($A2673,""en"",""de"")"),"Ķeguma novads (Ķegums)")</f>
        <v>Ķeguma novads (Ķegums)</v>
      </c>
      <c r="D2673" s="9" t="str">
        <f>IFERROR(__xludf.DUMMYFUNCTION("GOOGLETRANSLATE($A2673,""en"",""fr"")"),"Ķeguma novads (Ķegums)")</f>
        <v>Ķeguma novads (Ķegums)</v>
      </c>
      <c r="E2673" s="9" t="str">
        <f>IFERROR(__xludf.DUMMYFUNCTION("GOOGLETRANSLATE($A2673,""en"",""es"")"),"Ķeguma novads (Ķegums)")</f>
        <v>Ķeguma novads (Ķegums)</v>
      </c>
      <c r="F2673" s="9" t="str">
        <f>IFERROR(__xludf.DUMMYFUNCTION("GOOGLETRANSLATE($A2673,""en"",""it"")"),"Ķeguma novads (Ķegums)")</f>
        <v>Ķeguma novads (Ķegums)</v>
      </c>
      <c r="G2673" s="9" t="str">
        <f>IFERROR(__xludf.DUMMYFUNCTION("GOOGLETRANSLATE($A2673,""en"",""zh-cn"")"),"Ķeguma novads (Ķegums)")</f>
        <v>Ķeguma novads (Ķegums)</v>
      </c>
      <c r="H2673" s="9" t="str">
        <f>IFERROR(__xludf.DUMMYFUNCTION("GOOGLETRANSLATE($A2673,""en"",""ja"")"),"Ķeguma novad (エーグム)")</f>
        <v>Ķeguma novad (エーグム)</v>
      </c>
      <c r="I2673" s="9" t="str">
        <f>IFERROR(__xludf.DUMMYFUNCTION("GOOGLETRANSLATE($A2673,""en"",""ko"")"),"Ķeguma novads(Ķegums)")</f>
        <v>Ķeguma novads(Ķegums)</v>
      </c>
      <c r="J2673" s="9" t="str">
        <f>IFERROR(__xludf.DUMMYFUNCTION("GOOGLETRANSLATE($A2673,""en"",""pt-BR"")"),"Ķeguma novads (Ķegums)")</f>
        <v>Ķeguma novads (Ķegums)</v>
      </c>
    </row>
    <row r="2674">
      <c r="A2674" s="9" t="str">
        <f>IFERROR(__xludf.DUMMYFUNCTION("""COMPUTED_VALUE"""),"Saulkrastu novads")</f>
        <v>Saulkrastu novads</v>
      </c>
      <c r="B2674" s="9" t="str">
        <f>IFERROR(__xludf.DUMMYFUNCTION("""COMPUTED_VALUE"""),"lv-089")</f>
        <v>lv-089</v>
      </c>
      <c r="C2674" s="9" t="str">
        <f>IFERROR(__xludf.DUMMYFUNCTION("GOOGLETRANSLATE($A2674,""en"",""de"")"),"Saulkrastu Novads")</f>
        <v>Saulkrastu Novads</v>
      </c>
      <c r="D2674" s="9" t="str">
        <f>IFERROR(__xludf.DUMMYFUNCTION("GOOGLETRANSLATE($A2674,""en"",""fr"")"),"Saulkrastu Novads")</f>
        <v>Saulkrastu Novads</v>
      </c>
      <c r="E2674" s="9" t="str">
        <f>IFERROR(__xludf.DUMMYFUNCTION("GOOGLETRANSLATE($A2674,""en"",""es"")"),"Novads de Saulkrastu")</f>
        <v>Novads de Saulkrastu</v>
      </c>
      <c r="F2674" s="9" t="str">
        <f>IFERROR(__xludf.DUMMYFUNCTION("GOOGLETRANSLATE($A2674,""en"",""it"")"),"Saulkrastu novad")</f>
        <v>Saulkrastu novad</v>
      </c>
      <c r="G2674" s="9" t="str">
        <f>IFERROR(__xludf.DUMMYFUNCTION("GOOGLETRANSLATE($A2674,""en"",""zh-cn"")"),"索尔克拉斯图新星")</f>
        <v>索尔克拉斯图新星</v>
      </c>
      <c r="H2674" s="9" t="str">
        <f>IFERROR(__xludf.DUMMYFUNCTION("GOOGLETRANSLATE($A2674,""en"",""ja"")"),"サウルクラストゥ・ノヴァド")</f>
        <v>サウルクラストゥ・ノヴァド</v>
      </c>
      <c r="I2674" s="9" t="str">
        <f>IFERROR(__xludf.DUMMYFUNCTION("GOOGLETRANSLATE($A2674,""en"",""ko"")"),"사울크라투 노바드")</f>
        <v>사울크라투 노바드</v>
      </c>
      <c r="J2674" s="9" t="str">
        <f>IFERROR(__xludf.DUMMYFUNCTION("GOOGLETRANSLATE($A2674,""en"",""pt-BR"")"),"Saulkrastu novads")</f>
        <v>Saulkrastu novads</v>
      </c>
    </row>
    <row r="2675">
      <c r="A2675" s="9" t="str">
        <f>IFERROR(__xludf.DUMMYFUNCTION("""COMPUTED_VALUE"""),"Madonas novads")</f>
        <v>Madonas novads</v>
      </c>
      <c r="B2675" s="9" t="str">
        <f>IFERROR(__xludf.DUMMYFUNCTION("""COMPUTED_VALUE"""),"lv-059")</f>
        <v>lv-059</v>
      </c>
      <c r="C2675" s="9" t="str">
        <f>IFERROR(__xludf.DUMMYFUNCTION("GOOGLETRANSLATE($A2675,""en"",""de"")"),"Madonas Novads")</f>
        <v>Madonas Novads</v>
      </c>
      <c r="D2675" s="9" t="str">
        <f>IFERROR(__xludf.DUMMYFUNCTION("GOOGLETRANSLATE($A2675,""en"",""fr"")"),"Madonas Novads")</f>
        <v>Madonas Novads</v>
      </c>
      <c r="E2675" s="9" t="str">
        <f>IFERROR(__xludf.DUMMYFUNCTION("GOOGLETRANSLATE($A2675,""en"",""es"")"),"Madonas novadas")</f>
        <v>Madonas novadas</v>
      </c>
      <c r="F2675" s="9" t="str">
        <f>IFERROR(__xludf.DUMMYFUNCTION("GOOGLETRANSLATE($A2675,""en"",""it"")"),"Madonnas novads")</f>
        <v>Madonnas novads</v>
      </c>
      <c r="G2675" s="9" t="str">
        <f>IFERROR(__xludf.DUMMYFUNCTION("GOOGLETRANSLATE($A2675,""en"",""zh-cn"")"),"麦多纳斯新星")</f>
        <v>麦多纳斯新星</v>
      </c>
      <c r="H2675" s="9" t="str">
        <f>IFERROR(__xludf.DUMMYFUNCTION("GOOGLETRANSLATE($A2675,""en"",""ja"")"),"マドナス・ノヴァド")</f>
        <v>マドナス・ノヴァド</v>
      </c>
      <c r="I2675" s="9" t="str">
        <f>IFERROR(__xludf.DUMMYFUNCTION("GOOGLETRANSLATE($A2675,""en"",""ko"")"),"마도나스 노바드")</f>
        <v>마도나스 노바드</v>
      </c>
      <c r="J2675" s="9" t="str">
        <f>IFERROR(__xludf.DUMMYFUNCTION("GOOGLETRANSLATE($A2675,""en"",""pt-BR"")"),"Madonas novads")</f>
        <v>Madonas novads</v>
      </c>
    </row>
    <row r="2676">
      <c r="A2676" s="9" t="str">
        <f>IFERROR(__xludf.DUMMYFUNCTION("""COMPUTED_VALUE"""),"Jūrmala")</f>
        <v>Jūrmala</v>
      </c>
      <c r="B2676" s="9" t="str">
        <f>IFERROR(__xludf.DUMMYFUNCTION("""COMPUTED_VALUE"""),"lv-jur")</f>
        <v>lv-jur</v>
      </c>
      <c r="C2676" s="9" t="str">
        <f>IFERROR(__xludf.DUMMYFUNCTION("GOOGLETRANSLATE($A2676,""en"",""de"")"),"Jūrmala")</f>
        <v>Jūrmala</v>
      </c>
      <c r="D2676" s="9" t="str">
        <f>IFERROR(__xludf.DUMMYFUNCTION("GOOGLETRANSLATE($A2676,""en"",""fr"")"),"Jurmala")</f>
        <v>Jurmala</v>
      </c>
      <c r="E2676" s="9" t="str">
        <f>IFERROR(__xludf.DUMMYFUNCTION("GOOGLETRANSLATE($A2676,""en"",""es"")"),"Jūrmala")</f>
        <v>Jūrmala</v>
      </c>
      <c r="F2676" s="9" t="str">
        <f>IFERROR(__xludf.DUMMYFUNCTION("GOOGLETRANSLATE($A2676,""en"",""it"")"),"Jūrmala")</f>
        <v>Jūrmala</v>
      </c>
      <c r="G2676" s="9" t="str">
        <f>IFERROR(__xludf.DUMMYFUNCTION("GOOGLETRANSLATE($A2676,""en"",""zh-cn"")"),"尤尔马拉")</f>
        <v>尤尔马拉</v>
      </c>
      <c r="H2676" s="9" t="str">
        <f>IFERROR(__xludf.DUMMYFUNCTION("GOOGLETRANSLATE($A2676,""en"",""ja"")"),"ユールマラ")</f>
        <v>ユールマラ</v>
      </c>
      <c r="I2676" s="9" t="str">
        <f>IFERROR(__xludf.DUMMYFUNCTION("GOOGLETRANSLATE($A2676,""en"",""ko"")"),"유르말라")</f>
        <v>유르말라</v>
      </c>
      <c r="J2676" s="9" t="str">
        <f>IFERROR(__xludf.DUMMYFUNCTION("GOOGLETRANSLATE($A2676,""en"",""pt-BR"")"),"Jurmala")</f>
        <v>Jurmala</v>
      </c>
    </row>
    <row r="2677">
      <c r="A2677" s="9" t="str">
        <f>IFERROR(__xludf.DUMMYFUNCTION("""COMPUTED_VALUE"""),"Vārkavas novads (Vārkava)")</f>
        <v>Vārkavas novads (Vārkava)</v>
      </c>
      <c r="B2677" s="9" t="str">
        <f>IFERROR(__xludf.DUMMYFUNCTION("""COMPUTED_VALUE"""),"lv-103")</f>
        <v>lv-103</v>
      </c>
      <c r="C2677" s="9" t="str">
        <f>IFERROR(__xludf.DUMMYFUNCTION("GOOGLETRANSLATE($A2677,""en"",""de"")"),"Vārkavas novads (Vārkava)")</f>
        <v>Vārkavas novads (Vārkava)</v>
      </c>
      <c r="D2677" s="9" t="str">
        <f>IFERROR(__xludf.DUMMYFUNCTION("GOOGLETRANSLATE($A2677,""en"",""fr"")"),"Vārkavas novads (Vārkava)")</f>
        <v>Vārkavas novads (Vārkava)</v>
      </c>
      <c r="E2677" s="9" t="str">
        <f>IFERROR(__xludf.DUMMYFUNCTION("GOOGLETRANSLATE($A2677,""en"",""es"")"),"Vārkavas novads (Vārkava)")</f>
        <v>Vārkavas novads (Vārkava)</v>
      </c>
      <c r="F2677" s="9" t="str">
        <f>IFERROR(__xludf.DUMMYFUNCTION("GOOGLETRANSLATE($A2677,""en"",""it"")"),"Vārkavas novad (Vārkava)")</f>
        <v>Vārkavas novad (Vārkava)</v>
      </c>
      <c r="G2677" s="9" t="str">
        <f>IFERROR(__xludf.DUMMYFUNCTION("GOOGLETRANSLATE($A2677,""en"",""zh-cn"")"),"瓦卡瓦新星 (Vārkava)")</f>
        <v>瓦卡瓦新星 (Vārkava)</v>
      </c>
      <c r="H2677" s="9" t="str">
        <f>IFERROR(__xludf.DUMMYFUNCTION("GOOGLETRANSLATE($A2677,""en"",""ja"")"),"Vārkavas novads (ヴァールカヴァ)")</f>
        <v>Vārkavas novads (ヴァールカヴァ)</v>
      </c>
      <c r="I2677" s="9" t="str">
        <f>IFERROR(__xludf.DUMMYFUNCTION("GOOGLETRANSLATE($A2677,""en"",""ko"")"),"바르카바스 노바드(Vārkava)")</f>
        <v>바르카바스 노바드(Vārkava)</v>
      </c>
      <c r="J2677" s="9" t="str">
        <f>IFERROR(__xludf.DUMMYFUNCTION("GOOGLETRANSLATE($A2677,""en"",""pt-BR"")"),"Vārkavas novads (Vārkava)")</f>
        <v>Vārkavas novads (Vārkava)</v>
      </c>
    </row>
    <row r="2678">
      <c r="A2678" s="9" t="str">
        <f>IFERROR(__xludf.DUMMYFUNCTION("""COMPUTED_VALUE"""),"Aglonas novads (Aglona)")</f>
        <v>Aglonas novads (Aglona)</v>
      </c>
      <c r="B2678" s="9" t="str">
        <f>IFERROR(__xludf.DUMMYFUNCTION("""COMPUTED_VALUE"""),"lv-001")</f>
        <v>lv-001</v>
      </c>
      <c r="C2678" s="9" t="str">
        <f>IFERROR(__xludf.DUMMYFUNCTION("GOOGLETRANSLATE($A2678,""en"",""de"")"),"Aglonas novads (Aglona)")</f>
        <v>Aglonas novads (Aglona)</v>
      </c>
      <c r="D2678" s="9" t="str">
        <f>IFERROR(__xludf.DUMMYFUNCTION("GOOGLETRANSLATE($A2678,""en"",""fr"")"),"Aglonas novads (Aglona)")</f>
        <v>Aglonas novads (Aglona)</v>
      </c>
      <c r="E2678" s="9" t="str">
        <f>IFERROR(__xludf.DUMMYFUNCTION("GOOGLETRANSLATE($A2678,""en"",""es"")"),"Aglonas novads (Aglona)")</f>
        <v>Aglonas novads (Aglona)</v>
      </c>
      <c r="F2678" s="9" t="str">
        <f>IFERROR(__xludf.DUMMYFUNCTION("GOOGLETRANSLATE($A2678,""en"",""it"")"),"Aglonas novad (Aglona)")</f>
        <v>Aglonas novad (Aglona)</v>
      </c>
      <c r="G2678" s="9" t="str">
        <f>IFERROR(__xludf.DUMMYFUNCTION("GOOGLETRANSLATE($A2678,""en"",""zh-cn"")"),"阿格洛纳斯新星 (Aglona)")</f>
        <v>阿格洛纳斯新星 (Aglona)</v>
      </c>
      <c r="H2678" s="9" t="str">
        <f>IFERROR(__xludf.DUMMYFUNCTION("GOOGLETRANSLATE($A2678,""en"",""ja"")"),"アグロナス・ノヴァド (アグロナ)")</f>
        <v>アグロナス・ノヴァド (アグロナ)</v>
      </c>
      <c r="I2678" s="9" t="str">
        <f>IFERROR(__xludf.DUMMYFUNCTION("GOOGLETRANSLATE($A2678,""en"",""ko"")"),"아글로나스 노바드(Aglona)")</f>
        <v>아글로나스 노바드(Aglona)</v>
      </c>
      <c r="J2678" s="9" t="str">
        <f>IFERROR(__xludf.DUMMYFUNCTION("GOOGLETRANSLATE($A2678,""en"",""pt-BR"")"),"Aglonas novads (Aglona)")</f>
        <v>Aglonas novads (Aglona)</v>
      </c>
    </row>
    <row r="2679">
      <c r="A2679" s="9" t="str">
        <f>IFERROR(__xludf.DUMMYFUNCTION("""COMPUTED_VALUE"""),"Ogres novads")</f>
        <v>Ogres novads</v>
      </c>
      <c r="B2679" s="9" t="str">
        <f>IFERROR(__xludf.DUMMYFUNCTION("""COMPUTED_VALUE"""),"lv-067")</f>
        <v>lv-067</v>
      </c>
      <c r="C2679" s="9" t="str">
        <f>IFERROR(__xludf.DUMMYFUNCTION("GOOGLETRANSLATE($A2679,""en"",""de"")"),"Oger Novads")</f>
        <v>Oger Novads</v>
      </c>
      <c r="D2679" s="9" t="str">
        <f>IFERROR(__xludf.DUMMYFUNCTION("GOOGLETRANSLATE($A2679,""en"",""fr"")"),"Ogres Novads")</f>
        <v>Ogres Novads</v>
      </c>
      <c r="E2679" s="9" t="str">
        <f>IFERROR(__xludf.DUMMYFUNCTION("GOOGLETRANSLATE($A2679,""en"",""es"")"),"Ogros novatos")</f>
        <v>Ogros novatos</v>
      </c>
      <c r="F2679" s="9" t="str">
        <f>IFERROR(__xludf.DUMMYFUNCTION("GOOGLETRANSLATE($A2679,""en"",""it"")"),"Novadi degli orchi")</f>
        <v>Novadi degli orchi</v>
      </c>
      <c r="G2679" s="9" t="str">
        <f>IFERROR(__xludf.DUMMYFUNCTION("GOOGLETRANSLATE($A2679,""en"",""zh-cn"")"),"食人魔新星")</f>
        <v>食人魔新星</v>
      </c>
      <c r="H2679" s="9" t="str">
        <f>IFERROR(__xludf.DUMMYFUNCTION("GOOGLETRANSLATE($A2679,""en"",""ja"")"),"オーガの新星")</f>
        <v>オーガの新星</v>
      </c>
      <c r="I2679" s="9" t="str">
        <f>IFERROR(__xludf.DUMMYFUNCTION("GOOGLETRANSLATE($A2679,""en"",""ko"")"),"오우거 노바드")</f>
        <v>오우거 노바드</v>
      </c>
      <c r="J2679" s="9" t="str">
        <f>IFERROR(__xludf.DUMMYFUNCTION("GOOGLETRANSLATE($A2679,""en"",""pt-BR"")"),"Ogros novads")</f>
        <v>Ogros novads</v>
      </c>
    </row>
    <row r="2680">
      <c r="A2680" s="9" t="str">
        <f>IFERROR(__xludf.DUMMYFUNCTION("""COMPUTED_VALUE"""),"Aizkraukles novads")</f>
        <v>Aizkraukles novads</v>
      </c>
      <c r="B2680" s="9" t="str">
        <f>IFERROR(__xludf.DUMMYFUNCTION("""COMPUTED_VALUE"""),"lv-002")</f>
        <v>lv-002</v>
      </c>
      <c r="C2680" s="9" t="str">
        <f>IFERROR(__xludf.DUMMYFUNCTION("GOOGLETRANSLATE($A2680,""en"",""de"")"),"Aizkraukles novads")</f>
        <v>Aizkraukles novads</v>
      </c>
      <c r="D2680" s="9" t="str">
        <f>IFERROR(__xludf.DUMMYFUNCTION("GOOGLETRANSLATE($A2680,""en"",""fr"")"),"Aizkraukles novads")</f>
        <v>Aizkraukles novads</v>
      </c>
      <c r="E2680" s="9" t="str">
        <f>IFERROR(__xludf.DUMMYFUNCTION("GOOGLETRANSLATE($A2680,""en"",""es"")"),"Novads de Aizkraukles")</f>
        <v>Novads de Aizkraukles</v>
      </c>
      <c r="F2680" s="9" t="str">
        <f>IFERROR(__xludf.DUMMYFUNCTION("GOOGLETRANSLATE($A2680,""en"",""it"")"),"Aizkraukles novads")</f>
        <v>Aizkraukles novads</v>
      </c>
      <c r="G2680" s="9" t="str">
        <f>IFERROR(__xludf.DUMMYFUNCTION("GOOGLETRANSLATE($A2680,""en"",""zh-cn"")"),"艾兹克劳克斯新星")</f>
        <v>艾兹克劳克斯新星</v>
      </c>
      <c r="H2680" s="9" t="str">
        <f>IFERROR(__xludf.DUMMYFUNCTION("GOOGLETRANSLATE($A2680,""en"",""ja"")"),"アイツクラウクルの新星")</f>
        <v>アイツクラウクルの新星</v>
      </c>
      <c r="I2680" s="9" t="str">
        <f>IFERROR(__xludf.DUMMYFUNCTION("GOOGLETRANSLATE($A2680,""en"",""ko"")"),"Aizkraukles 노바드")</f>
        <v>Aizkraukles 노바드</v>
      </c>
      <c r="J2680" s="9" t="str">
        <f>IFERROR(__xludf.DUMMYFUNCTION("GOOGLETRANSLATE($A2680,""en"",""pt-BR"")"),"Aizkraukles novads")</f>
        <v>Aizkraukles novads</v>
      </c>
    </row>
    <row r="2681">
      <c r="A2681" s="9" t="str">
        <f>IFERROR(__xludf.DUMMYFUNCTION("""COMPUTED_VALUE"""),"Ilūkstes novads (Ilūkste)")</f>
        <v>Ilūkstes novads (Ilūkste)</v>
      </c>
      <c r="B2681" s="9" t="str">
        <f>IFERROR(__xludf.DUMMYFUNCTION("""COMPUTED_VALUE"""),"lv-036")</f>
        <v>lv-036</v>
      </c>
      <c r="C2681" s="9" t="str">
        <f>IFERROR(__xludf.DUMMYFUNCTION("GOOGLETRANSLATE($A2681,""en"",""de"")"),"Ilūkstes novads (Ilūkste)")</f>
        <v>Ilūkstes novads (Ilūkste)</v>
      </c>
      <c r="D2681" s="9" t="str">
        <f>IFERROR(__xludf.DUMMYFUNCTION("GOOGLETRANSLATE($A2681,""en"",""fr"")"),"Ilūkstes novads (Ilūkste)")</f>
        <v>Ilūkstes novads (Ilūkste)</v>
      </c>
      <c r="E2681" s="9" t="str">
        <f>IFERROR(__xludf.DUMMYFUNCTION("GOOGLETRANSLATE($A2681,""en"",""es"")"),"Ilūkstes novads (Ilūkste)")</f>
        <v>Ilūkstes novads (Ilūkste)</v>
      </c>
      <c r="F2681" s="9" t="str">
        <f>IFERROR(__xludf.DUMMYFUNCTION("GOOGLETRANSLATE($A2681,""en"",""it"")"),"Ilūkstes novads (Ilūkste)")</f>
        <v>Ilūkstes novads (Ilūkste)</v>
      </c>
      <c r="G2681" s="9" t="str">
        <f>IFERROR(__xludf.DUMMYFUNCTION("GOOGLETRANSLATE($A2681,""en"",""zh-cn"")"),"新星 (Ilūkste)")</f>
        <v>新星 (Ilūkste)</v>
      </c>
      <c r="H2681" s="9" t="str">
        <f>IFERROR(__xludf.DUMMYFUNCTION("GOOGLETRANSLATE($A2681,""en"",""ja"")"),"Ilōkstes novad (イルクステ)")</f>
        <v>Ilōkstes novad (イルクステ)</v>
      </c>
      <c r="I2681" s="9" t="str">
        <f>IFERROR(__xludf.DUMMYFUNCTION("GOOGLETRANSLATE($A2681,""en"",""ko"")"),"Ilūkstes novads (Ilūkste)")</f>
        <v>Ilūkstes novads (Ilūkste)</v>
      </c>
      <c r="J2681" s="9" t="str">
        <f>IFERROR(__xludf.DUMMYFUNCTION("GOOGLETRANSLATE($A2681,""en"",""pt-BR"")"),"Ilūkstes novads (Ilūkste)")</f>
        <v>Ilūkstes novads (Ilūkste)</v>
      </c>
    </row>
    <row r="2682">
      <c r="A2682" s="9" t="str">
        <f>IFERROR(__xludf.DUMMYFUNCTION("""COMPUTED_VALUE"""),"Liepāja")</f>
        <v>Liepāja</v>
      </c>
      <c r="B2682" s="9" t="str">
        <f>IFERROR(__xludf.DUMMYFUNCTION("""COMPUTED_VALUE"""),"lv-lpx")</f>
        <v>lv-lpx</v>
      </c>
      <c r="C2682" s="9" t="str">
        <f>IFERROR(__xludf.DUMMYFUNCTION("GOOGLETRANSLATE($A2682,""en"",""de"")"),"Liepāja")</f>
        <v>Liepāja</v>
      </c>
      <c r="D2682" s="9" t="str">
        <f>IFERROR(__xludf.DUMMYFUNCTION("GOOGLETRANSLATE($A2682,""en"",""fr"")"),"Liepaja")</f>
        <v>Liepaja</v>
      </c>
      <c r="E2682" s="9" t="str">
        <f>IFERROR(__xludf.DUMMYFUNCTION("GOOGLETRANSLATE($A2682,""en"",""es"")"),"Liepaja")</f>
        <v>Liepaja</v>
      </c>
      <c r="F2682" s="9" t="str">
        <f>IFERROR(__xludf.DUMMYFUNCTION("GOOGLETRANSLATE($A2682,""en"",""it"")"),"Liepāja")</f>
        <v>Liepāja</v>
      </c>
      <c r="G2682" s="9" t="str">
        <f>IFERROR(__xludf.DUMMYFUNCTION("GOOGLETRANSLATE($A2682,""en"",""zh-cn"")"),"利耶帕亚")</f>
        <v>利耶帕亚</v>
      </c>
      <c r="H2682" s="9" t="str">
        <f>IFERROR(__xludf.DUMMYFUNCTION("GOOGLETRANSLATE($A2682,""en"",""ja"")"),"リエパーヤ")</f>
        <v>リエパーヤ</v>
      </c>
      <c r="I2682" s="9" t="str">
        <f>IFERROR(__xludf.DUMMYFUNCTION("GOOGLETRANSLATE($A2682,""en"",""ko"")"),"리에파자")</f>
        <v>리에파자</v>
      </c>
      <c r="J2682" s="9" t="str">
        <f>IFERROR(__xludf.DUMMYFUNCTION("GOOGLETRANSLATE($A2682,""en"",""pt-BR"")"),"Liepāja")</f>
        <v>Liepāja</v>
      </c>
    </row>
    <row r="2683">
      <c r="A2683" s="9" t="str">
        <f>IFERROR(__xludf.DUMMYFUNCTION("""COMPUTED_VALUE"""),"Dagdas novads (Dagda)")</f>
        <v>Dagdas novads (Dagda)</v>
      </c>
      <c r="B2683" s="9" t="str">
        <f>IFERROR(__xludf.DUMMYFUNCTION("""COMPUTED_VALUE"""),"lv-024")</f>
        <v>lv-024</v>
      </c>
      <c r="C2683" s="9" t="str">
        <f>IFERROR(__xludf.DUMMYFUNCTION("GOOGLETRANSLATE($A2683,""en"",""de"")"),"Dagdas novads (Dagda)")</f>
        <v>Dagdas novads (Dagda)</v>
      </c>
      <c r="D2683" s="9" t="str">
        <f>IFERROR(__xludf.DUMMYFUNCTION("GOOGLETRANSLATE($A2683,""en"",""fr"")"),"Dagdas novads (Dagda)")</f>
        <v>Dagdas novads (Dagda)</v>
      </c>
      <c r="E2683" s="9" t="str">
        <f>IFERROR(__xludf.DUMMYFUNCTION("GOOGLETRANSLATE($A2683,""en"",""es"")"),"Dagdas novads (Dagda)")</f>
        <v>Dagdas novads (Dagda)</v>
      </c>
      <c r="F2683" s="9" t="str">
        <f>IFERROR(__xludf.DUMMYFUNCTION("GOOGLETRANSLATE($A2683,""en"",""it"")"),"Dagdas novads (Dagda)")</f>
        <v>Dagdas novads (Dagda)</v>
      </c>
      <c r="G2683" s="9" t="str">
        <f>IFERROR(__xludf.DUMMYFUNCTION("GOOGLETRANSLATE($A2683,""en"",""zh-cn"")"),"达格达新星 (Dagda)")</f>
        <v>达格达新星 (Dagda)</v>
      </c>
      <c r="H2683" s="9" t="str">
        <f>IFERROR(__xludf.DUMMYFUNCTION("GOOGLETRANSLATE($A2683,""en"",""ja"")"),"ダグダス ノヴァド (ダグダ)")</f>
        <v>ダグダス ノヴァド (ダグダ)</v>
      </c>
      <c r="I2683" s="9" t="str">
        <f>IFERROR(__xludf.DUMMYFUNCTION("GOOGLETRANSLATE($A2683,""en"",""ko"")"),"다그다스 노바드(Dagda)")</f>
        <v>다그다스 노바드(Dagda)</v>
      </c>
      <c r="J2683" s="9" t="str">
        <f>IFERROR(__xludf.DUMMYFUNCTION("GOOGLETRANSLATE($A2683,""en"",""pt-BR"")"),"Dagdas novads (Dagda)")</f>
        <v>Dagdas novads (Dagda)</v>
      </c>
    </row>
    <row r="2684">
      <c r="A2684" s="9" t="str">
        <f>IFERROR(__xludf.DUMMYFUNCTION("""COMPUTED_VALUE"""),"Neretas novads (Nereta)")</f>
        <v>Neretas novads (Nereta)</v>
      </c>
      <c r="B2684" s="9" t="str">
        <f>IFERROR(__xludf.DUMMYFUNCTION("""COMPUTED_VALUE"""),"lv-065")</f>
        <v>lv-065</v>
      </c>
      <c r="C2684" s="9" t="str">
        <f>IFERROR(__xludf.DUMMYFUNCTION("GOOGLETRANSLATE($A2684,""en"",""de"")"),"Neretas novads (Nereta)")</f>
        <v>Neretas novads (Nereta)</v>
      </c>
      <c r="D2684" s="9" t="str">
        <f>IFERROR(__xludf.DUMMYFUNCTION("GOOGLETRANSLATE($A2684,""en"",""fr"")"),"Neretas novads (Nereta)")</f>
        <v>Neretas novads (Nereta)</v>
      </c>
      <c r="E2684" s="9" t="str">
        <f>IFERROR(__xludf.DUMMYFUNCTION("GOOGLETRANSLATE($A2684,""en"",""es"")"),"Neretas novads (Nereta)")</f>
        <v>Neretas novads (Nereta)</v>
      </c>
      <c r="F2684" s="9" t="str">
        <f>IFERROR(__xludf.DUMMYFUNCTION("GOOGLETRANSLATE($A2684,""en"",""it"")"),"Neretas novads (Nereta)")</f>
        <v>Neretas novads (Nereta)</v>
      </c>
      <c r="G2684" s="9" t="str">
        <f>IFERROR(__xludf.DUMMYFUNCTION("GOOGLETRANSLATE($A2684,""en"",""zh-cn"")"),"涅雷塔新星 (Nereta)")</f>
        <v>涅雷塔新星 (Nereta)</v>
      </c>
      <c r="H2684" s="9" t="str">
        <f>IFERROR(__xludf.DUMMYFUNCTION("GOOGLETRANSLATE($A2684,""en"",""ja"")"),"ネレタス ノヴァド (ネレタ)")</f>
        <v>ネレタス ノヴァド (ネレタ)</v>
      </c>
      <c r="I2684" s="9" t="str">
        <f>IFERROR(__xludf.DUMMYFUNCTION("GOOGLETRANSLATE($A2684,""en"",""ko"")"),"네레타스 노바드(Nereta)")</f>
        <v>네레타스 노바드(Nereta)</v>
      </c>
      <c r="J2684" s="9" t="str">
        <f>IFERROR(__xludf.DUMMYFUNCTION("GOOGLETRANSLATE($A2684,""en"",""pt-BR"")"),"Neretas novads (Nereta)")</f>
        <v>Neretas novads (Nereta)</v>
      </c>
    </row>
    <row r="2685">
      <c r="A2685" s="9" t="str">
        <f>IFERROR(__xludf.DUMMYFUNCTION("""COMPUTED_VALUE"""),"Pļaviņu novads (Pļaviņas)")</f>
        <v>Pļaviņu novads (Pļaviņas)</v>
      </c>
      <c r="B2685" s="9" t="str">
        <f>IFERROR(__xludf.DUMMYFUNCTION("""COMPUTED_VALUE"""),"lv-072")</f>
        <v>lv-072</v>
      </c>
      <c r="C2685" s="9" t="str">
        <f>IFERROR(__xludf.DUMMYFUNCTION("GOOGLETRANSLATE($A2685,""en"",""de"")"),"Pļaviņu novads (Pļaviņas)")</f>
        <v>Pļaviņu novads (Pļaviņas)</v>
      </c>
      <c r="D2685" s="9" t="str">
        <f>IFERROR(__xludf.DUMMYFUNCTION("GOOGLETRANSLATE($A2685,""en"",""fr"")"),"Pļaviņu novads (Pļaviņas)")</f>
        <v>Pļaviņu novads (Pļaviņas)</v>
      </c>
      <c r="E2685" s="9" t="str">
        <f>IFERROR(__xludf.DUMMYFUNCTION("GOOGLETRANSLATE($A2685,""en"",""es"")"),"Pļaviņu novads (Pļaviņas)")</f>
        <v>Pļaviņu novads (Pļaviņas)</v>
      </c>
      <c r="F2685" s="9" t="str">
        <f>IFERROR(__xludf.DUMMYFUNCTION("GOOGLETRANSLATE($A2685,""en"",""it"")"),"Pļaviņu novads (Pļaviņas)")</f>
        <v>Pļaviņu novads (Pļaviņas)</v>
      </c>
      <c r="G2685" s="9" t="str">
        <f>IFERROR(__xludf.DUMMYFUNCTION("GOOGLETRANSLATE($A2685,""en"",""zh-cn"")"),"帕拉维努新星 (Pļaviņas)")</f>
        <v>帕拉维努新星 (Pļaviņas)</v>
      </c>
      <c r="H2685" s="9" t="str">
        <f>IFERROR(__xludf.DUMMYFUNCTION("GOOGLETRANSLATE($A2685,""en"",""ja"")"),"Pļaviņu novads (ピアヴィシャス)")</f>
        <v>Pļaviņu novads (ピアヴィシャス)</v>
      </c>
      <c r="I2685" s="9" t="str">
        <f>IFERROR(__xludf.DUMMYFUNCTION("GOOGLETRANSLATE($A2685,""en"",""ko"")"),"Pļaviņu novads(Pļaviņas)")</f>
        <v>Pļaviņu novads(Pļaviņas)</v>
      </c>
      <c r="J2685" s="9" t="str">
        <f>IFERROR(__xludf.DUMMYFUNCTION("GOOGLETRANSLATE($A2685,""en"",""pt-BR"")"),"Pļaviņu novads (Pļaviņas)")</f>
        <v>Pļaviņu novads (Pļaviņas)</v>
      </c>
    </row>
    <row r="2686">
      <c r="A2686" s="9" t="str">
        <f>IFERROR(__xludf.DUMMYFUNCTION("""COMPUTED_VALUE"""),"Sējas novads (Sēja)")</f>
        <v>Sējas novads (Sēja)</v>
      </c>
      <c r="B2686" s="9" t="str">
        <f>IFERROR(__xludf.DUMMYFUNCTION("""COMPUTED_VALUE"""),"lv-090")</f>
        <v>lv-090</v>
      </c>
      <c r="C2686" s="9" t="str">
        <f>IFERROR(__xludf.DUMMYFUNCTION("GOOGLETRANSLATE($A2686,""en"",""de"")"),"Sējas novads (Sēja)")</f>
        <v>Sējas novads (Sēja)</v>
      </c>
      <c r="D2686" s="9" t="str">
        <f>IFERROR(__xludf.DUMMYFUNCTION("GOOGLETRANSLATE($A2686,""en"",""fr"")"),"Sējas novads (Sēja)")</f>
        <v>Sējas novads (Sēja)</v>
      </c>
      <c r="E2686" s="9" t="str">
        <f>IFERROR(__xludf.DUMMYFUNCTION("GOOGLETRANSLATE($A2686,""en"",""es"")"),"Sējas novads (Sēja)")</f>
        <v>Sējas novads (Sēja)</v>
      </c>
      <c r="F2686" s="9" t="str">
        <f>IFERROR(__xludf.DUMMYFUNCTION("GOOGLETRANSLATE($A2686,""en"",""it"")"),"Sējas novads (Sēja)")</f>
        <v>Sējas novads (Sēja)</v>
      </c>
      <c r="G2686" s="9" t="str">
        <f>IFERROR(__xludf.DUMMYFUNCTION("GOOGLETRANSLATE($A2686,""en"",""zh-cn"")"),"Sējas novads (Sēja)")</f>
        <v>Sējas novads (Sēja)</v>
      </c>
      <c r="H2686" s="9" t="str">
        <f>IFERROR(__xludf.DUMMYFUNCTION("GOOGLETRANSLATE($A2686,""en"",""ja"")"),"Sējas novads (セージャ)")</f>
        <v>Sējas novads (セージャ)</v>
      </c>
      <c r="I2686" s="9" t="str">
        <f>IFERROR(__xludf.DUMMYFUNCTION("GOOGLETRANSLATE($A2686,""en"",""ko"")"),"Sējas novads (Sēja)")</f>
        <v>Sējas novads (Sēja)</v>
      </c>
      <c r="J2686" s="9" t="str">
        <f>IFERROR(__xludf.DUMMYFUNCTION("GOOGLETRANSLATE($A2686,""en"",""pt-BR"")"),"Sējas novads (Sēja)")</f>
        <v>Sējas novads (Sēja)</v>
      </c>
    </row>
    <row r="2687">
      <c r="A2687" s="9" t="str">
        <f>IFERROR(__xludf.DUMMYFUNCTION("""COMPUTED_VALUE"""),"Krāslavas novads")</f>
        <v>Krāslavas novads</v>
      </c>
      <c r="B2687" s="9" t="str">
        <f>IFERROR(__xludf.DUMMYFUNCTION("""COMPUTED_VALUE"""),"lv-047")</f>
        <v>lv-047</v>
      </c>
      <c r="C2687" s="9" t="str">
        <f>IFERROR(__xludf.DUMMYFUNCTION("GOOGLETRANSLATE($A2687,""en"",""de"")"),"Krāslavas novads")</f>
        <v>Krāslavas novads</v>
      </c>
      <c r="D2687" s="9" t="str">
        <f>IFERROR(__xludf.DUMMYFUNCTION("GOOGLETRANSLATE($A2687,""en"",""fr"")"),"Krāslavas novads")</f>
        <v>Krāslavas novads</v>
      </c>
      <c r="E2687" s="9" t="str">
        <f>IFERROR(__xludf.DUMMYFUNCTION("GOOGLETRANSLATE($A2687,""en"",""es"")"),"Novads de Krāslavas")</f>
        <v>Novads de Krāslavas</v>
      </c>
      <c r="F2687" s="9" t="str">
        <f>IFERROR(__xludf.DUMMYFUNCTION("GOOGLETRANSLATE($A2687,""en"",""it"")"),"Kraslavas novads")</f>
        <v>Kraslavas novads</v>
      </c>
      <c r="G2687" s="9" t="str">
        <f>IFERROR(__xludf.DUMMYFUNCTION("GOOGLETRANSLATE($A2687,""en"",""zh-cn"")"),"克拉斯拉瓦新星")</f>
        <v>克拉斯拉瓦新星</v>
      </c>
      <c r="H2687" s="9" t="str">
        <f>IFERROR(__xludf.DUMMYFUNCTION("GOOGLETRANSLATE($A2687,""en"",""ja"")"),"クラスラヴァの新星")</f>
        <v>クラスラヴァの新星</v>
      </c>
      <c r="I2687" s="9" t="str">
        <f>IFERROR(__xludf.DUMMYFUNCTION("GOOGLETRANSLATE($A2687,""en"",""ko"")"),"크라슬라바스 노바드")</f>
        <v>크라슬라바스 노바드</v>
      </c>
      <c r="J2687" s="9" t="str">
        <f>IFERROR(__xludf.DUMMYFUNCTION("GOOGLETRANSLATE($A2687,""en"",""pt-BR"")"),"Kraslavas novads")</f>
        <v>Kraslavas novads</v>
      </c>
    </row>
    <row r="2688">
      <c r="A2688" s="9" t="str">
        <f>IFERROR(__xludf.DUMMYFUNCTION("""COMPUTED_VALUE"""),"Salaspils novads")</f>
        <v>Salaspils novads</v>
      </c>
      <c r="B2688" s="9" t="str">
        <f>IFERROR(__xludf.DUMMYFUNCTION("""COMPUTED_VALUE"""),"lv-087")</f>
        <v>lv-087</v>
      </c>
      <c r="C2688" s="9" t="str">
        <f>IFERROR(__xludf.DUMMYFUNCTION("GOOGLETRANSLATE($A2688,""en"",""de"")"),"Salaspils Novads")</f>
        <v>Salaspils Novads</v>
      </c>
      <c r="D2688" s="9" t="str">
        <f>IFERROR(__xludf.DUMMYFUNCTION("GOOGLETRANSLATE($A2688,""en"",""fr"")"),"Salaspils novads")</f>
        <v>Salaspils novads</v>
      </c>
      <c r="E2688" s="9" t="str">
        <f>IFERROR(__xludf.DUMMYFUNCTION("GOOGLETRANSLATE($A2688,""en"",""es"")"),"Salaspils novads")</f>
        <v>Salaspils novads</v>
      </c>
      <c r="F2688" s="9" t="str">
        <f>IFERROR(__xludf.DUMMYFUNCTION("GOOGLETRANSLATE($A2688,""en"",""it"")"),"Salaspils novad")</f>
        <v>Salaspils novad</v>
      </c>
      <c r="G2688" s="9" t="str">
        <f>IFERROR(__xludf.DUMMYFUNCTION("GOOGLETRANSLATE($A2688,""en"",""zh-cn"")"),"萨拉斯皮尔斯新星")</f>
        <v>萨拉斯皮尔斯新星</v>
      </c>
      <c r="H2688" s="9" t="str">
        <f>IFERROR(__xludf.DUMMYFUNCTION("GOOGLETRANSLATE($A2688,""en"",""ja"")"),"サラスピルス・ノヴァド")</f>
        <v>サラスピルス・ノヴァド</v>
      </c>
      <c r="I2688" s="9" t="str">
        <f>IFERROR(__xludf.DUMMYFUNCTION("GOOGLETRANSLATE($A2688,""en"",""ko"")"),"살라스필스 노바드")</f>
        <v>살라스필스 노바드</v>
      </c>
      <c r="J2688" s="9" t="str">
        <f>IFERROR(__xludf.DUMMYFUNCTION("GOOGLETRANSLATE($A2688,""en"",""pt-BR"")"),"Salaspils novads")</f>
        <v>Salaspils novads</v>
      </c>
    </row>
    <row r="2689">
      <c r="A2689" s="9" t="str">
        <f>IFERROR(__xludf.DUMMYFUNCTION("""COMPUTED_VALUE"""),"Durbes novads (Durbe)")</f>
        <v>Durbes novads (Durbe)</v>
      </c>
      <c r="B2689" s="9" t="str">
        <f>IFERROR(__xludf.DUMMYFUNCTION("""COMPUTED_VALUE"""),"lv-028")</f>
        <v>lv-028</v>
      </c>
      <c r="C2689" s="9" t="str">
        <f>IFERROR(__xludf.DUMMYFUNCTION("GOOGLETRANSLATE($A2689,""en"",""de"")"),"Durbes novads (Durbe)")</f>
        <v>Durbes novads (Durbe)</v>
      </c>
      <c r="D2689" s="9" t="str">
        <f>IFERROR(__xludf.DUMMYFUNCTION("GOOGLETRANSLATE($A2689,""en"",""fr"")"),"Durbes novads (Durbé)")</f>
        <v>Durbes novads (Durbé)</v>
      </c>
      <c r="E2689" s="9" t="str">
        <f>IFERROR(__xludf.DUMMYFUNCTION("GOOGLETRANSLATE($A2689,""en"",""es"")"),"Durbes novads (Durbe)")</f>
        <v>Durbes novads (Durbe)</v>
      </c>
      <c r="F2689" s="9" t="str">
        <f>IFERROR(__xludf.DUMMYFUNCTION("GOOGLETRANSLATE($A2689,""en"",""it"")"),"Durbes novad (Durbe)")</f>
        <v>Durbes novad (Durbe)</v>
      </c>
      <c r="G2689" s="9" t="str">
        <f>IFERROR(__xludf.DUMMYFUNCTION("GOOGLETRANSLATE($A2689,""en"",""zh-cn"")"),"杜布新星 (Durbe)")</f>
        <v>杜布新星 (Durbe)</v>
      </c>
      <c r="H2689" s="9" t="str">
        <f>IFERROR(__xludf.DUMMYFUNCTION("GOOGLETRANSLATE($A2689,""en"",""ja"")"),"ダーベス ノヴァド (ダーベ)")</f>
        <v>ダーベス ノヴァド (ダーベ)</v>
      </c>
      <c r="I2689" s="9" t="str">
        <f>IFERROR(__xludf.DUMMYFUNCTION("GOOGLETRANSLATE($A2689,""en"",""ko"")"),"Durbes novads (Durbe)")</f>
        <v>Durbes novads (Durbe)</v>
      </c>
      <c r="J2689" s="9" t="str">
        <f>IFERROR(__xludf.DUMMYFUNCTION("GOOGLETRANSLATE($A2689,""en"",""pt-BR"")"),"Durbes novads (Durbe)")</f>
        <v>Durbes novads (Durbe)</v>
      </c>
    </row>
    <row r="2690">
      <c r="A2690" s="9" t="str">
        <f>IFERROR(__xludf.DUMMYFUNCTION("""COMPUTED_VALUE"""),"Valkas novads")</f>
        <v>Valkas novads</v>
      </c>
      <c r="B2690" s="9" t="str">
        <f>IFERROR(__xludf.DUMMYFUNCTION("""COMPUTED_VALUE"""),"lv-101")</f>
        <v>lv-101</v>
      </c>
      <c r="C2690" s="9" t="str">
        <f>IFERROR(__xludf.DUMMYFUNCTION("GOOGLETRANSLATE($A2690,""en"",""de"")"),"Valkas Novads")</f>
        <v>Valkas Novads</v>
      </c>
      <c r="D2690" s="9" t="str">
        <f>IFERROR(__xludf.DUMMYFUNCTION("GOOGLETRANSLATE($A2690,""en"",""fr"")"),"Valkas Novads")</f>
        <v>Valkas Novads</v>
      </c>
      <c r="E2690" s="9" t="str">
        <f>IFERROR(__xludf.DUMMYFUNCTION("GOOGLETRANSLATE($A2690,""en"",""es"")"),"Valkas Novads")</f>
        <v>Valkas Novads</v>
      </c>
      <c r="F2690" s="9" t="str">
        <f>IFERROR(__xludf.DUMMYFUNCTION("GOOGLETRANSLATE($A2690,""en"",""it"")"),"Valkas novad")</f>
        <v>Valkas novad</v>
      </c>
      <c r="G2690" s="9" t="str">
        <f>IFERROR(__xludf.DUMMYFUNCTION("GOOGLETRANSLATE($A2690,""en"",""zh-cn"")"),"瓦尔卡斯新星")</f>
        <v>瓦尔卡斯新星</v>
      </c>
      <c r="H2690" s="9" t="str">
        <f>IFERROR(__xludf.DUMMYFUNCTION("GOOGLETRANSLATE($A2690,""en"",""ja"")"),"ヴァルカス・ノヴァド")</f>
        <v>ヴァルカス・ノヴァド</v>
      </c>
      <c r="I2690" s="9" t="str">
        <f>IFERROR(__xludf.DUMMYFUNCTION("GOOGLETRANSLATE($A2690,""en"",""ko"")"),"발카스 노바드")</f>
        <v>발카스 노바드</v>
      </c>
      <c r="J2690" s="9" t="str">
        <f>IFERROR(__xludf.DUMMYFUNCTION("GOOGLETRANSLATE($A2690,""en"",""pt-BR"")"),"Valkas novads")</f>
        <v>Valkas novads</v>
      </c>
    </row>
    <row r="2691">
      <c r="A2691" s="9" t="str">
        <f>IFERROR(__xludf.DUMMYFUNCTION("""COMPUTED_VALUE"""),"Ventspils novads")</f>
        <v>Ventspils novads</v>
      </c>
      <c r="B2691" s="9" t="str">
        <f>IFERROR(__xludf.DUMMYFUNCTION("""COMPUTED_VALUE"""),"lv-106")</f>
        <v>lv-106</v>
      </c>
      <c r="C2691" s="9" t="str">
        <f>IFERROR(__xludf.DUMMYFUNCTION("GOOGLETRANSLATE($A2691,""en"",""de"")"),"Ventspils Novads")</f>
        <v>Ventspils Novads</v>
      </c>
      <c r="D2691" s="9" t="str">
        <f>IFERROR(__xludf.DUMMYFUNCTION("GOOGLETRANSLATE($A2691,""en"",""fr"")"),"Ventspils novads")</f>
        <v>Ventspils novads</v>
      </c>
      <c r="E2691" s="9" t="str">
        <f>IFERROR(__xludf.DUMMYFUNCTION("GOOGLETRANSLATE($A2691,""en"",""es"")"),"Novads de Ventspils")</f>
        <v>Novads de Ventspils</v>
      </c>
      <c r="F2691" s="9" t="str">
        <f>IFERROR(__xludf.DUMMYFUNCTION("GOOGLETRANSLATE($A2691,""en"",""it"")"),"Novadi di Ventspils")</f>
        <v>Novadi di Ventspils</v>
      </c>
      <c r="G2691" s="9" t="str">
        <f>IFERROR(__xludf.DUMMYFUNCTION("GOOGLETRANSLATE($A2691,""en"",""zh-cn"")"),"文茨皮尔斯新星")</f>
        <v>文茨皮尔斯新星</v>
      </c>
      <c r="H2691" s="9" t="str">
        <f>IFERROR(__xludf.DUMMYFUNCTION("GOOGLETRANSLATE($A2691,""en"",""ja"")"),"ヴェンツピルスの新星")</f>
        <v>ヴェンツピルスの新星</v>
      </c>
      <c r="I2691" s="9" t="str">
        <f>IFERROR(__xludf.DUMMYFUNCTION("GOOGLETRANSLATE($A2691,""en"",""ko"")"),"벤츠필스 노바드")</f>
        <v>벤츠필스 노바드</v>
      </c>
      <c r="J2691" s="9" t="str">
        <f>IFERROR(__xludf.DUMMYFUNCTION("GOOGLETRANSLATE($A2691,""en"",""pt-BR"")"),"Novads de Ventspils")</f>
        <v>Novads de Ventspils</v>
      </c>
    </row>
    <row r="2692">
      <c r="A2692" s="9" t="str">
        <f>IFERROR(__xludf.DUMMYFUNCTION("""COMPUTED_VALUE"""),"Jēkabpils novads")</f>
        <v>Jēkabpils novads</v>
      </c>
      <c r="B2692" s="9" t="str">
        <f>IFERROR(__xludf.DUMMYFUNCTION("""COMPUTED_VALUE"""),"lv-042")</f>
        <v>lv-042</v>
      </c>
      <c r="C2692" s="9" t="str">
        <f>IFERROR(__xludf.DUMMYFUNCTION("GOOGLETRANSLATE($A2692,""en"",""de"")"),"Jēkabpils novads")</f>
        <v>Jēkabpils novads</v>
      </c>
      <c r="D2692" s="9" t="str">
        <f>IFERROR(__xludf.DUMMYFUNCTION("GOOGLETRANSLATE($A2692,""en"",""fr"")"),"Jēkabpils novads")</f>
        <v>Jēkabpils novads</v>
      </c>
      <c r="E2692" s="9" t="str">
        <f>IFERROR(__xludf.DUMMYFUNCTION("GOOGLETRANSLATE($A2692,""en"",""es"")"),"Jēkabpils novads")</f>
        <v>Jēkabpils novads</v>
      </c>
      <c r="F2692" s="9" t="str">
        <f>IFERROR(__xludf.DUMMYFUNCTION("GOOGLETRANSLATE($A2692,""en"",""it"")"),"Jēkabpils novads")</f>
        <v>Jēkabpils novads</v>
      </c>
      <c r="G2692" s="9" t="str">
        <f>IFERROR(__xludf.DUMMYFUNCTION("GOOGLETRANSLATE($A2692,""en"",""zh-cn"")"),"耶卡皮尔斯新星")</f>
        <v>耶卡皮尔斯新星</v>
      </c>
      <c r="H2692" s="9" t="str">
        <f>IFERROR(__xludf.DUMMYFUNCTION("GOOGLETRANSLATE($A2692,""en"",""ja"")"),"イェカブピルス・ノヴァド")</f>
        <v>イェカブピルス・ノヴァド</v>
      </c>
      <c r="I2692" s="9" t="str">
        <f>IFERROR(__xludf.DUMMYFUNCTION("GOOGLETRANSLATE($A2692,""en"",""ko"")"),"Jēkabbils 노바드")</f>
        <v>Jēkabbils 노바드</v>
      </c>
      <c r="J2692" s="9" t="str">
        <f>IFERROR(__xludf.DUMMYFUNCTION("GOOGLETRANSLATE($A2692,""en"",""pt-BR"")"),"Jēkabpils novads")</f>
        <v>Jēkabpils novads</v>
      </c>
    </row>
    <row r="2693">
      <c r="A2693" s="9" t="str">
        <f>IFERROR(__xludf.DUMMYFUNCTION("""COMPUTED_VALUE"""),"Līgatnes novads (Līgatne)")</f>
        <v>Līgatnes novads (Līgatne)</v>
      </c>
      <c r="B2693" s="9" t="str">
        <f>IFERROR(__xludf.DUMMYFUNCTION("""COMPUTED_VALUE"""),"lv-055")</f>
        <v>lv-055</v>
      </c>
      <c r="C2693" s="9" t="str">
        <f>IFERROR(__xludf.DUMMYFUNCTION("GOOGLETRANSLATE($A2693,""en"",""de"")"),"Līgatnes novads (Līgatne)")</f>
        <v>Līgatnes novads (Līgatne)</v>
      </c>
      <c r="D2693" s="9" t="str">
        <f>IFERROR(__xludf.DUMMYFUNCTION("GOOGLETRANSLATE($A2693,""en"",""fr"")"),"Ligatnes novads (Līgatne)")</f>
        <v>Ligatnes novads (Līgatne)</v>
      </c>
      <c r="E2693" s="9" t="str">
        <f>IFERROR(__xludf.DUMMYFUNCTION("GOOGLETRANSLATE($A2693,""en"",""es"")"),"Līgatnes novads (Līgatne)")</f>
        <v>Līgatnes novads (Līgatne)</v>
      </c>
      <c r="F2693" s="9" t="str">
        <f>IFERROR(__xludf.DUMMYFUNCTION("GOOGLETRANSLATE($A2693,""en"",""it"")"),"Ligatnes novads (Ligatne)")</f>
        <v>Ligatnes novads (Ligatne)</v>
      </c>
      <c r="G2693" s="9" t="str">
        <f>IFERROR(__xludf.DUMMYFUNCTION("GOOGLETRANSLATE($A2693,""en"",""zh-cn"")"),"Līgatnes novads (Līgatne)")</f>
        <v>Līgatnes novads (Līgatne)</v>
      </c>
      <c r="H2693" s="9" t="str">
        <f>IFERROR(__xludf.DUMMYFUNCTION("GOOGLETRANSLATE($A2693,""en"",""ja"")"),"Līgatne novad (リガトネ)")</f>
        <v>Līgatne novad (リガトネ)</v>
      </c>
      <c r="I2693" s="9" t="str">
        <f>IFERROR(__xludf.DUMMYFUNCTION("GOOGLETRANSLATE($A2693,""en"",""ko"")"),"Līgatnes novads (Līgatne)")</f>
        <v>Līgatnes novads (Līgatne)</v>
      </c>
      <c r="J2693" s="9" t="str">
        <f>IFERROR(__xludf.DUMMYFUNCTION("GOOGLETRANSLATE($A2693,""en"",""pt-BR"")"),"Līgatnes novads (Līgatne)")</f>
        <v>Līgatnes novads (Līgatne)</v>
      </c>
    </row>
    <row r="2694">
      <c r="A2694" s="9" t="str">
        <f>IFERROR(__xludf.DUMMYFUNCTION("""COMPUTED_VALUE"""),"Naukšēnu novads (Naukšēni)")</f>
        <v>Naukšēnu novads (Naukšēni)</v>
      </c>
      <c r="B2694" s="9" t="str">
        <f>IFERROR(__xludf.DUMMYFUNCTION("""COMPUTED_VALUE"""),"lv-064")</f>
        <v>lv-064</v>
      </c>
      <c r="C2694" s="9" t="str">
        <f>IFERROR(__xludf.DUMMYFUNCTION("GOOGLETRANSLATE($A2694,""en"",""de"")"),"Naukšēnu novads (Naukšēni)")</f>
        <v>Naukšēnu novads (Naukšēni)</v>
      </c>
      <c r="D2694" s="9" t="str">
        <f>IFERROR(__xludf.DUMMYFUNCTION("GOOGLETRANSLATE($A2694,""en"",""fr"")"),"Naukšēnu novads (Naukšēni)")</f>
        <v>Naukšēnu novads (Naukšēni)</v>
      </c>
      <c r="E2694" s="9" t="str">
        <f>IFERROR(__xludf.DUMMYFUNCTION("GOOGLETRANSLATE($A2694,""en"",""es"")"),"Naukšēnu novads (Naukšēni)")</f>
        <v>Naukšēnu novads (Naukšēni)</v>
      </c>
      <c r="F2694" s="9" t="str">
        <f>IFERROR(__xludf.DUMMYFUNCTION("GOOGLETRANSLATE($A2694,""en"",""it"")"),"Naukšēnu novads (Naukšēni)")</f>
        <v>Naukšēnu novads (Naukšēni)</v>
      </c>
      <c r="G2694" s="9" t="str">
        <f>IFERROR(__xludf.DUMMYFUNCTION("GOOGLETRANSLATE($A2694,""en"",""zh-cn"")"),"瑙克塞努诺瓦兹 (Naukšēni)")</f>
        <v>瑙克塞努诺瓦兹 (Naukšēni)</v>
      </c>
      <c r="H2694" s="9" t="str">
        <f>IFERROR(__xludf.DUMMYFUNCTION("GOOGLETRANSLATE($A2694,""en"",""ja"")"),"Naukšēnu novads (ナウシェニ)")</f>
        <v>Naukšēnu novads (ナウシェニ)</v>
      </c>
      <c r="I2694" s="9" t="str">
        <f>IFERROR(__xludf.DUMMYFUNCTION("GOOGLETRANSLATE($A2694,""en"",""ko"")"),"Naukšēnu novads(Naukšēni)")</f>
        <v>Naukšēnu novads(Naukšēni)</v>
      </c>
      <c r="J2694" s="9" t="str">
        <f>IFERROR(__xludf.DUMMYFUNCTION("GOOGLETRANSLATE($A2694,""en"",""pt-BR"")"),"Naukšēnu novads (Naukšēni)")</f>
        <v>Naukšēnu novads (Naukšēni)</v>
      </c>
    </row>
    <row r="2695">
      <c r="A2695" s="9" t="str">
        <f>IFERROR(__xludf.DUMMYFUNCTION("""COMPUTED_VALUE"""),"Riebiņu novads (Riebiņi)")</f>
        <v>Riebiņu novads (Riebiņi)</v>
      </c>
      <c r="B2695" s="9" t="str">
        <f>IFERROR(__xludf.DUMMYFUNCTION("""COMPUTED_VALUE"""),"lv-078")</f>
        <v>lv-078</v>
      </c>
      <c r="C2695" s="9" t="str">
        <f>IFERROR(__xludf.DUMMYFUNCTION("GOOGLETRANSLATE($A2695,""en"",""de"")"),"Riebiņu novads (Riebiņi)")</f>
        <v>Riebiņu novads (Riebiņi)</v>
      </c>
      <c r="D2695" s="9" t="str">
        <f>IFERROR(__xludf.DUMMYFUNCTION("GOOGLETRANSLATE($A2695,""en"",""fr"")"),"Riebiņu novads (Riebiņi)")</f>
        <v>Riebiņu novads (Riebiņi)</v>
      </c>
      <c r="E2695" s="9" t="str">
        <f>IFERROR(__xludf.DUMMYFUNCTION("GOOGLETRANSLATE($A2695,""en"",""es"")"),"Riebiņu novads (Riebiņi)")</f>
        <v>Riebiņu novads (Riebiņi)</v>
      </c>
      <c r="F2695" s="9" t="str">
        <f>IFERROR(__xludf.DUMMYFUNCTION("GOOGLETRANSLATE($A2695,""en"",""it"")"),"Riebiņu novads (Riebiņi)")</f>
        <v>Riebiņu novads (Riebiņi)</v>
      </c>
      <c r="G2695" s="9" t="str">
        <f>IFERROR(__xludf.DUMMYFUNCTION("GOOGLETRANSLATE($A2695,""en"",""zh-cn"")"),"里比尼新星 (Riebiņi)")</f>
        <v>里比尼新星 (Riebiņi)</v>
      </c>
      <c r="H2695" s="9" t="str">
        <f>IFERROR(__xludf.DUMMYFUNCTION("GOOGLETRANSLATE($A2695,""en"",""ja"")"),"Riebiņu novads (リエビシ)")</f>
        <v>Riebiņu novads (リエビシ)</v>
      </c>
      <c r="I2695" s="9" t="str">
        <f>IFERROR(__xludf.DUMMYFUNCTION("GOOGLETRANSLATE($A2695,""en"",""ko"")"),"Riebiņu novads(Riebiņi)")</f>
        <v>Riebiņu novads(Riebiņi)</v>
      </c>
      <c r="J2695" s="9" t="str">
        <f>IFERROR(__xludf.DUMMYFUNCTION("GOOGLETRANSLATE($A2695,""en"",""pt-BR"")"),"Riebiņu novads (Riebiņi)")</f>
        <v>Riebiņu novads (Riebiņi)</v>
      </c>
    </row>
    <row r="2696">
      <c r="A2696" s="9" t="str">
        <f>IFERROR(__xludf.DUMMYFUNCTION("""COMPUTED_VALUE"""),"Alūksnes novads")</f>
        <v>Alūksnes novads</v>
      </c>
      <c r="B2696" s="9" t="str">
        <f>IFERROR(__xludf.DUMMYFUNCTION("""COMPUTED_VALUE"""),"lv-007")</f>
        <v>lv-007</v>
      </c>
      <c r="C2696" s="9" t="str">
        <f>IFERROR(__xludf.DUMMYFUNCTION("GOOGLETRANSLATE($A2696,""en"",""de"")"),"Alūksnes novads")</f>
        <v>Alūksnes novads</v>
      </c>
      <c r="D2696" s="9" t="str">
        <f>IFERROR(__xludf.DUMMYFUNCTION("GOOGLETRANSLATE($A2696,""en"",""fr"")"),"Alūksnes novads")</f>
        <v>Alūksnes novads</v>
      </c>
      <c r="E2696" s="9" t="str">
        <f>IFERROR(__xludf.DUMMYFUNCTION("GOOGLETRANSLATE($A2696,""en"",""es"")"),"Alūksnes novads")</f>
        <v>Alūksnes novads</v>
      </c>
      <c r="F2696" s="9" t="str">
        <f>IFERROR(__xludf.DUMMYFUNCTION("GOOGLETRANSLATE($A2696,""en"",""it"")"),"Alūksnes novads")</f>
        <v>Alūksnes novads</v>
      </c>
      <c r="G2696" s="9" t="str">
        <f>IFERROR(__xludf.DUMMYFUNCTION("GOOGLETRANSLATE($A2696,""en"",""zh-cn"")"),"阿卢克斯内斯新星")</f>
        <v>阿卢克斯内斯新星</v>
      </c>
      <c r="H2696" s="9" t="str">
        <f>IFERROR(__xludf.DUMMYFUNCTION("GOOGLETRANSLATE($A2696,""en"",""ja"")"),"アルクネスの新星")</f>
        <v>アルクネスの新星</v>
      </c>
      <c r="I2696" s="9" t="str">
        <f>IFERROR(__xludf.DUMMYFUNCTION("GOOGLETRANSLATE($A2696,""en"",""ko"")"),"알룩스네스 노바드")</f>
        <v>알룩스네스 노바드</v>
      </c>
      <c r="J2696" s="9" t="str">
        <f>IFERROR(__xludf.DUMMYFUNCTION("GOOGLETRANSLATE($A2696,""en"",""pt-BR"")"),"Alūksnes novads")</f>
        <v>Alūksnes novads</v>
      </c>
    </row>
    <row r="2697">
      <c r="A2697" s="9" t="str">
        <f>IFERROR(__xludf.DUMMYFUNCTION("""COMPUTED_VALUE"""),"Baldones novads (Baldone)")</f>
        <v>Baldones novads (Baldone)</v>
      </c>
      <c r="B2697" s="9" t="str">
        <f>IFERROR(__xludf.DUMMYFUNCTION("""COMPUTED_VALUE"""),"lv-013")</f>
        <v>lv-013</v>
      </c>
      <c r="C2697" s="9" t="str">
        <f>IFERROR(__xludf.DUMMYFUNCTION("GOOGLETRANSLATE($A2697,""en"",""de"")"),"Baldones novads (Baldone)")</f>
        <v>Baldones novads (Baldone)</v>
      </c>
      <c r="D2697" s="9" t="str">
        <f>IFERROR(__xludf.DUMMYFUNCTION("GOOGLETRANSLATE($A2697,""en"",""fr"")"),"Baldones novads (Baldone)")</f>
        <v>Baldones novads (Baldone)</v>
      </c>
      <c r="E2697" s="9" t="str">
        <f>IFERROR(__xludf.DUMMYFUNCTION("GOOGLETRANSLATE($A2697,""en"",""es"")"),"Baldones novads (Baldone)")</f>
        <v>Baldones novads (Baldone)</v>
      </c>
      <c r="F2697" s="9" t="str">
        <f>IFERROR(__xludf.DUMMYFUNCTION("GOOGLETRANSLATE($A2697,""en"",""it"")"),"Baldones novads (Baldone)")</f>
        <v>Baldones novads (Baldone)</v>
      </c>
      <c r="G2697" s="9" t="str">
        <f>IFERROR(__xludf.DUMMYFUNCTION("GOOGLETRANSLATE($A2697,""en"",""zh-cn"")"),"巴尔多内斯新星 (Baldone)")</f>
        <v>巴尔多内斯新星 (Baldone)</v>
      </c>
      <c r="H2697" s="9" t="str">
        <f>IFERROR(__xludf.DUMMYFUNCTION("GOOGLETRANSLATE($A2697,""en"",""ja"")"),"Baldones novads (バルドネス)")</f>
        <v>Baldones novads (バルドネス)</v>
      </c>
      <c r="I2697" s="9" t="str">
        <f>IFERROR(__xludf.DUMMYFUNCTION("GOOGLETRANSLATE($A2697,""en"",""ko"")"),"Baldones novads (Baldone)")</f>
        <v>Baldones novads (Baldone)</v>
      </c>
      <c r="J2697" s="9" t="str">
        <f>IFERROR(__xludf.DUMMYFUNCTION("GOOGLETRANSLATE($A2697,""en"",""pt-BR"")"),"Baldones novads (Baldone)")</f>
        <v>Baldones novads (Baldone)</v>
      </c>
    </row>
    <row r="2698">
      <c r="A2698" s="9" t="str">
        <f>IFERROR(__xludf.DUMMYFUNCTION("""COMPUTED_VALUE"""),"Krimuldas novads (Krimulda)")</f>
        <v>Krimuldas novads (Krimulda)</v>
      </c>
      <c r="B2698" s="9" t="str">
        <f>IFERROR(__xludf.DUMMYFUNCTION("""COMPUTED_VALUE"""),"lv-048")</f>
        <v>lv-048</v>
      </c>
      <c r="C2698" s="9" t="str">
        <f>IFERROR(__xludf.DUMMYFUNCTION("GOOGLETRANSLATE($A2698,""en"",""de"")"),"Krimuldas novads (Krimulda)")</f>
        <v>Krimuldas novads (Krimulda)</v>
      </c>
      <c r="D2698" s="9" t="str">
        <f>IFERROR(__xludf.DUMMYFUNCTION("GOOGLETRANSLATE($A2698,""en"",""fr"")"),"Krimuldas novads (Krimulda)")</f>
        <v>Krimuldas novads (Krimulda)</v>
      </c>
      <c r="E2698" s="9" t="str">
        <f>IFERROR(__xludf.DUMMYFUNCTION("GOOGLETRANSLATE($A2698,""en"",""es"")"),"Krimuldas novads (Krimulda)")</f>
        <v>Krimuldas novads (Krimulda)</v>
      </c>
      <c r="F2698" s="9" t="str">
        <f>IFERROR(__xludf.DUMMYFUNCTION("GOOGLETRANSLATE($A2698,""en"",""it"")"),"Krimuldas novads (Krimulda)")</f>
        <v>Krimuldas novads (Krimulda)</v>
      </c>
      <c r="G2698" s="9" t="str">
        <f>IFERROR(__xludf.DUMMYFUNCTION("GOOGLETRANSLATE($A2698,""en"",""zh-cn"")"),"克里穆尔达新星 (Krimulda)")</f>
        <v>克里穆尔达新星 (Krimulda)</v>
      </c>
      <c r="H2698" s="9" t="str">
        <f>IFERROR(__xludf.DUMMYFUNCTION("GOOGLETRANSLATE($A2698,""en"",""ja"")"),"クリムルダス ノヴァド (クリムルダ)")</f>
        <v>クリムルダス ノヴァド (クリムルダ)</v>
      </c>
      <c r="I2698" s="9" t="str">
        <f>IFERROR(__xludf.DUMMYFUNCTION("GOOGLETRANSLATE($A2698,""en"",""ko"")"),"크리물다스 노바드(Krimulda)")</f>
        <v>크리물다스 노바드(Krimulda)</v>
      </c>
      <c r="J2698" s="9" t="str">
        <f>IFERROR(__xludf.DUMMYFUNCTION("GOOGLETRANSLATE($A2698,""en"",""pt-BR"")"),"Krimuldas novads (Krimulda)")</f>
        <v>Krimuldas novads (Krimulda)</v>
      </c>
    </row>
    <row r="2699">
      <c r="A2699" s="9" t="str">
        <f>IFERROR(__xludf.DUMMYFUNCTION("""COMPUTED_VALUE"""),"Ciblas novads (Cibla)")</f>
        <v>Ciblas novads (Cibla)</v>
      </c>
      <c r="B2699" s="9" t="str">
        <f>IFERROR(__xludf.DUMMYFUNCTION("""COMPUTED_VALUE"""),"lv-023")</f>
        <v>lv-023</v>
      </c>
      <c r="C2699" s="9" t="str">
        <f>IFERROR(__xludf.DUMMYFUNCTION("GOOGLETRANSLATE($A2699,""en"",""de"")"),"Ciblas novads (Cibla)")</f>
        <v>Ciblas novads (Cibla)</v>
      </c>
      <c r="D2699" s="9" t="str">
        <f>IFERROR(__xludf.DUMMYFUNCTION("GOOGLETRANSLATE($A2699,""en"",""fr"")"),"Ciblas novads (Cibla)")</f>
        <v>Ciblas novads (Cibla)</v>
      </c>
      <c r="E2699" s="9" t="str">
        <f>IFERROR(__xludf.DUMMYFUNCTION("GOOGLETRANSLATE($A2699,""en"",""es"")"),"Ciblas nuevas (Cibla)")</f>
        <v>Ciblas nuevas (Cibla)</v>
      </c>
      <c r="F2699" s="9" t="str">
        <f>IFERROR(__xludf.DUMMYFUNCTION("GOOGLETRANSLATE($A2699,""en"",""it"")"),"Ciblas novads (Cibla)")</f>
        <v>Ciblas novads (Cibla)</v>
      </c>
      <c r="G2699" s="9" t="str">
        <f>IFERROR(__xludf.DUMMYFUNCTION("GOOGLETRANSLATE($A2699,""en"",""zh-cn"")"),"西布拉斯诺瓦兹 (Cibla)")</f>
        <v>西布拉斯诺瓦兹 (Cibla)</v>
      </c>
      <c r="H2699" s="9" t="str">
        <f>IFERROR(__xludf.DUMMYFUNCTION("GOOGLETRANSLATE($A2699,""en"",""ja"")"),"Ciblas novad (シブラ)")</f>
        <v>Ciblas novad (シブラ)</v>
      </c>
      <c r="I2699" s="9" t="str">
        <f>IFERROR(__xludf.DUMMYFUNCTION("GOOGLETRANSLATE($A2699,""en"",""ko"")"),"시블라 노바드(Cibla)")</f>
        <v>시블라 노바드(Cibla)</v>
      </c>
      <c r="J2699" s="9" t="str">
        <f>IFERROR(__xludf.DUMMYFUNCTION("GOOGLETRANSLATE($A2699,""en"",""pt-BR"")"),"Ciblas novads (Cibla)")</f>
        <v>Ciblas novads (Cibla)</v>
      </c>
    </row>
    <row r="2700">
      <c r="A2700" s="9" t="str">
        <f>IFERROR(__xludf.DUMMYFUNCTION("""COMPUTED_VALUE"""),"Jaunpils novads (Jaunpils)")</f>
        <v>Jaunpils novads (Jaunpils)</v>
      </c>
      <c r="B2700" s="9" t="str">
        <f>IFERROR(__xludf.DUMMYFUNCTION("""COMPUTED_VALUE"""),"lv-040")</f>
        <v>lv-040</v>
      </c>
      <c r="C2700" s="9" t="str">
        <f>IFERROR(__xludf.DUMMYFUNCTION("GOOGLETRANSLATE($A2700,""en"",""de"")"),"Jaunpils novads (Jaunpils)")</f>
        <v>Jaunpils novads (Jaunpils)</v>
      </c>
      <c r="D2700" s="9" t="str">
        <f>IFERROR(__xludf.DUMMYFUNCTION("GOOGLETRANSLATE($A2700,""en"",""fr"")"),"Jaunpils novads (Jaunpils)")</f>
        <v>Jaunpils novads (Jaunpils)</v>
      </c>
      <c r="E2700" s="9" t="str">
        <f>IFERROR(__xludf.DUMMYFUNCTION("GOOGLETRANSLATE($A2700,""en"",""es"")"),"Jaunpils novads (Jaunpils)")</f>
        <v>Jaunpils novads (Jaunpils)</v>
      </c>
      <c r="F2700" s="9" t="str">
        <f>IFERROR(__xludf.DUMMYFUNCTION("GOOGLETRANSLATE($A2700,""en"",""it"")"),"Jaunpils novad (Jaunpils)")</f>
        <v>Jaunpils novad (Jaunpils)</v>
      </c>
      <c r="G2700" s="9" t="str">
        <f>IFERROR(__xludf.DUMMYFUNCTION("GOOGLETRANSLATE($A2700,""en"",""zh-cn"")"),"Jaunpils 新星 (Jaunpils)")</f>
        <v>Jaunpils 新星 (Jaunpils)</v>
      </c>
      <c r="H2700" s="9" t="str">
        <f>IFERROR(__xludf.DUMMYFUNCTION("GOOGLETRANSLATE($A2700,""en"",""ja"")"),"ヤウンピルス ノヴァド (ヤウンピルス)")</f>
        <v>ヤウンピルス ノヴァド (ヤウンピルス)</v>
      </c>
      <c r="I2700" s="9" t="str">
        <f>IFERROR(__xludf.DUMMYFUNCTION("GOOGLETRANSLATE($A2700,""en"",""ko"")"),"야운필스 노바드(Jaunpils)")</f>
        <v>야운필스 노바드(Jaunpils)</v>
      </c>
      <c r="J2700" s="9" t="str">
        <f>IFERROR(__xludf.DUMMYFUNCTION("GOOGLETRANSLATE($A2700,""en"",""pt-BR"")"),"Jaunpils novads (Jaunpils)")</f>
        <v>Jaunpils novads (Jaunpils)</v>
      </c>
    </row>
    <row r="2701">
      <c r="A2701" s="9" t="str">
        <f>IFERROR(__xludf.DUMMYFUNCTION("""COMPUTED_VALUE"""),"Amatas novads (Amata)")</f>
        <v>Amatas novads (Amata)</v>
      </c>
      <c r="B2701" s="9" t="str">
        <f>IFERROR(__xludf.DUMMYFUNCTION("""COMPUTED_VALUE"""),"lv-008")</f>
        <v>lv-008</v>
      </c>
      <c r="C2701" s="9" t="str">
        <f>IFERROR(__xludf.DUMMYFUNCTION("GOOGLETRANSLATE($A2701,""en"",""de"")"),"Amatas novads (Amata)")</f>
        <v>Amatas novads (Amata)</v>
      </c>
      <c r="D2701" s="9" t="str">
        <f>IFERROR(__xludf.DUMMYFUNCTION("GOOGLETRANSLATE($A2701,""en"",""fr"")"),"Amatas novads (Amata)")</f>
        <v>Amatas novads (Amata)</v>
      </c>
      <c r="E2701" s="9" t="str">
        <f>IFERROR(__xludf.DUMMYFUNCTION("GOOGLETRANSLATE($A2701,""en"",""es"")"),"Amatas novads (Amata)")</f>
        <v>Amatas novads (Amata)</v>
      </c>
      <c r="F2701" s="9" t="str">
        <f>IFERROR(__xludf.DUMMYFUNCTION("GOOGLETRANSLATE($A2701,""en"",""it"")"),"Amatas novads (Amata)")</f>
        <v>Amatas novads (Amata)</v>
      </c>
      <c r="G2701" s="9" t="str">
        <f>IFERROR(__xludf.DUMMYFUNCTION("GOOGLETRANSLATE($A2701,""en"",""zh-cn"")"),"阿玛塔新星 (Amata)")</f>
        <v>阿玛塔新星 (Amata)</v>
      </c>
      <c r="H2701" s="9" t="str">
        <f>IFERROR(__xludf.DUMMYFUNCTION("GOOGLETRANSLATE($A2701,""en"",""ja"")"),"アマタス ノヴァド (アマタ)")</f>
        <v>アマタス ノヴァド (アマタ)</v>
      </c>
      <c r="I2701" s="9" t="str">
        <f>IFERROR(__xludf.DUMMYFUNCTION("GOOGLETRANSLATE($A2701,""en"",""ko"")"),"아마타스 노바드(Amata)")</f>
        <v>아마타스 노바드(Amata)</v>
      </c>
      <c r="J2701" s="9" t="str">
        <f>IFERROR(__xludf.DUMMYFUNCTION("GOOGLETRANSLATE($A2701,""en"",""pt-BR"")"),"Amatas novads (Amata)")</f>
        <v>Amatas novads (Amata)</v>
      </c>
    </row>
    <row r="2702">
      <c r="A2702" s="9" t="str">
        <f>IFERROR(__xludf.DUMMYFUNCTION("""COMPUTED_VALUE"""),"Bauskas novads")</f>
        <v>Bauskas novads</v>
      </c>
      <c r="B2702" s="9" t="str">
        <f>IFERROR(__xludf.DUMMYFUNCTION("""COMPUTED_VALUE"""),"lv-016")</f>
        <v>lv-016</v>
      </c>
      <c r="C2702" s="9" t="str">
        <f>IFERROR(__xludf.DUMMYFUNCTION("GOOGLETRANSLATE($A2702,""en"",""de"")"),"Bauskas Novads")</f>
        <v>Bauskas Novads</v>
      </c>
      <c r="D2702" s="9" t="str">
        <f>IFERROR(__xludf.DUMMYFUNCTION("GOOGLETRANSLATE($A2702,""en"",""fr"")"),"Bauskas Novads")</f>
        <v>Bauskas Novads</v>
      </c>
      <c r="E2702" s="9" t="str">
        <f>IFERROR(__xludf.DUMMYFUNCTION("GOOGLETRANSLATE($A2702,""en"",""es"")"),"Bauskas novads")</f>
        <v>Bauskas novads</v>
      </c>
      <c r="F2702" s="9" t="str">
        <f>IFERROR(__xludf.DUMMYFUNCTION("GOOGLETRANSLATE($A2702,""en"",""it"")"),"Bauskas novad")</f>
        <v>Bauskas novad</v>
      </c>
      <c r="G2702" s="9" t="str">
        <f>IFERROR(__xludf.DUMMYFUNCTION("GOOGLETRANSLATE($A2702,""en"",""zh-cn"")"),"鲍斯卡斯新星")</f>
        <v>鲍斯卡斯新星</v>
      </c>
      <c r="H2702" s="9" t="str">
        <f>IFERROR(__xludf.DUMMYFUNCTION("GOOGLETRANSLATE($A2702,""en"",""ja"")"),"バウスカスの新星")</f>
        <v>バウスカスの新星</v>
      </c>
      <c r="I2702" s="9" t="str">
        <f>IFERROR(__xludf.DUMMYFUNCTION("GOOGLETRANSLATE($A2702,""en"",""ko"")"),"바우스카스 노바드")</f>
        <v>바우스카스 노바드</v>
      </c>
      <c r="J2702" s="9" t="str">
        <f>IFERROR(__xludf.DUMMYFUNCTION("GOOGLETRANSLATE($A2702,""en"",""pt-BR"")"),"Bauskas novads")</f>
        <v>Bauskas novads</v>
      </c>
    </row>
    <row r="2703">
      <c r="A2703" s="9" t="str">
        <f>IFERROR(__xludf.DUMMYFUNCTION("""COMPUTED_VALUE"""),"Grobiņas novads (Grobiņa)")</f>
        <v>Grobiņas novads (Grobiņa)</v>
      </c>
      <c r="B2703" s="9" t="str">
        <f>IFERROR(__xludf.DUMMYFUNCTION("""COMPUTED_VALUE"""),"lv-032")</f>
        <v>lv-032</v>
      </c>
      <c r="C2703" s="9" t="str">
        <f>IFERROR(__xludf.DUMMYFUNCTION("GOOGLETRANSLATE($A2703,""en"",""de"")"),"Grobiņas novads (Grobiņa)")</f>
        <v>Grobiņas novads (Grobiņa)</v>
      </c>
      <c r="D2703" s="9" t="str">
        <f>IFERROR(__xludf.DUMMYFUNCTION("GOOGLETRANSLATE($A2703,""en"",""fr"")"),"Grobiņas novads (Grobiņa)")</f>
        <v>Grobiņas novads (Grobiņa)</v>
      </c>
      <c r="E2703" s="9" t="str">
        <f>IFERROR(__xludf.DUMMYFUNCTION("GOOGLETRANSLATE($A2703,""en"",""es"")"),"Grobiņas novads (Grobiņa)")</f>
        <v>Grobiņas novads (Grobiņa)</v>
      </c>
      <c r="F2703" s="9" t="str">
        <f>IFERROR(__xludf.DUMMYFUNCTION("GOOGLETRANSLATE($A2703,""en"",""it"")"),"Grobiņas novads (Grobiņa)")</f>
        <v>Grobiņas novads (Grobiņa)</v>
      </c>
      <c r="G2703" s="9" t="str">
        <f>IFERROR(__xludf.DUMMYFUNCTION("GOOGLETRANSLATE($A2703,""en"",""zh-cn"")"),"格罗比纳新星 (Grobiņa)")</f>
        <v>格罗比纳新星 (Grobiņa)</v>
      </c>
      <c r="H2703" s="9" t="str">
        <f>IFERROR(__xludf.DUMMYFUNCTION("GOOGLETRANSLATE($A2703,""en"",""ja"")"),"グロビシャ ノヴァズ (グロビジャ)")</f>
        <v>グロビシャ ノヴァズ (グロビジャ)</v>
      </c>
      <c r="I2703" s="9" t="str">
        <f>IFERROR(__xludf.DUMMYFUNCTION("GOOGLETRANSLATE($A2703,""en"",""ko"")"),"Grobiņas novads (Grobiņa)")</f>
        <v>Grobiņas novads (Grobiņa)</v>
      </c>
      <c r="J2703" s="9" t="str">
        <f>IFERROR(__xludf.DUMMYFUNCTION("GOOGLETRANSLATE($A2703,""en"",""pt-BR"")"),"Grobiņas novads (Grobiņa)")</f>
        <v>Grobiņas novads (Grobiņa)</v>
      </c>
    </row>
    <row r="2704">
      <c r="A2704" s="9" t="str">
        <f>IFERROR(__xludf.DUMMYFUNCTION("""COMPUTED_VALUE"""),"Aizputes novads (Aizpute)")</f>
        <v>Aizputes novads (Aizpute)</v>
      </c>
      <c r="B2704" s="9" t="str">
        <f>IFERROR(__xludf.DUMMYFUNCTION("""COMPUTED_VALUE"""),"lv-003")</f>
        <v>lv-003</v>
      </c>
      <c r="C2704" s="9" t="str">
        <f>IFERROR(__xludf.DUMMYFUNCTION("GOOGLETRANSLATE($A2704,""en"",""de"")"),"Aizputes novads (Aizpute)")</f>
        <v>Aizputes novads (Aizpute)</v>
      </c>
      <c r="D2704" s="9" t="str">
        <f>IFERROR(__xludf.DUMMYFUNCTION("GOOGLETRANSLATE($A2704,""en"",""fr"")"),"Aizputes novads (Aizpute)")</f>
        <v>Aizputes novads (Aizpute)</v>
      </c>
      <c r="E2704" s="9" t="str">
        <f>IFERROR(__xludf.DUMMYFUNCTION("GOOGLETRANSLATE($A2704,""en"",""es"")"),"Aizputes novads (Aizpute)")</f>
        <v>Aizputes novads (Aizpute)</v>
      </c>
      <c r="F2704" s="9" t="str">
        <f>IFERROR(__xludf.DUMMYFUNCTION("GOOGLETRANSLATE($A2704,""en"",""it"")"),"Aizputes novads (Aizpute)")</f>
        <v>Aizputes novads (Aizpute)</v>
      </c>
      <c r="G2704" s="9" t="str">
        <f>IFERROR(__xludf.DUMMYFUNCTION("GOOGLETRANSLATE($A2704,""en"",""zh-cn"")"),"艾兹普特新星 (Aizpute)")</f>
        <v>艾兹普特新星 (Aizpute)</v>
      </c>
      <c r="H2704" s="9" t="str">
        <f>IFERROR(__xludf.DUMMYFUNCTION("GOOGLETRANSLATE($A2704,""en"",""ja"")"),"アイズプテス・ノヴァド (アイズプテ)")</f>
        <v>アイズプテス・ノヴァド (アイズプテ)</v>
      </c>
      <c r="I2704" s="9" t="str">
        <f>IFERROR(__xludf.DUMMYFUNCTION("GOOGLETRANSLATE($A2704,""en"",""ko"")"),"Aizputes novads (Aizpute)")</f>
        <v>Aizputes novads (Aizpute)</v>
      </c>
      <c r="J2704" s="9" t="str">
        <f>IFERROR(__xludf.DUMMYFUNCTION("GOOGLETRANSLATE($A2704,""en"",""pt-BR"")"),"Aizputes novads (Aizpute)")</f>
        <v>Aizputes novads (Aizpute)</v>
      </c>
    </row>
    <row r="2705">
      <c r="A2705" s="9" t="str">
        <f>IFERROR(__xludf.DUMMYFUNCTION("""COMPUTED_VALUE"""),"Mērsraga novads (Mērsrags)")</f>
        <v>Mērsraga novads (Mērsrags)</v>
      </c>
      <c r="B2705" s="9" t="str">
        <f>IFERROR(__xludf.DUMMYFUNCTION("""COMPUTED_VALUE"""),"lv-063")</f>
        <v>lv-063</v>
      </c>
      <c r="C2705" s="9" t="str">
        <f>IFERROR(__xludf.DUMMYFUNCTION("GOOGLETRANSLATE($A2705,""en"",""de"")"),"Mērsraga novads (Mērsrags)")</f>
        <v>Mērsraga novads (Mērsrags)</v>
      </c>
      <c r="D2705" s="9" t="str">
        <f>IFERROR(__xludf.DUMMYFUNCTION("GOOGLETRANSLATE($A2705,""en"",""fr"")"),"Mērsraga novads (Mērsrags)")</f>
        <v>Mērsraga novads (Mērsrags)</v>
      </c>
      <c r="E2705" s="9" t="str">
        <f>IFERROR(__xludf.DUMMYFUNCTION("GOOGLETRANSLATE($A2705,""en"",""es"")"),"Mērsraga novads (Mērsrags)")</f>
        <v>Mērsraga novads (Mērsrags)</v>
      </c>
      <c r="F2705" s="9" t="str">
        <f>IFERROR(__xludf.DUMMYFUNCTION("GOOGLETRANSLATE($A2705,""en"",""it"")"),"Mērsraga novads (Mērsrags)")</f>
        <v>Mērsraga novads (Mērsrags)</v>
      </c>
      <c r="G2705" s="9" t="str">
        <f>IFERROR(__xludf.DUMMYFUNCTION("GOOGLETRANSLATE($A2705,""en"",""zh-cn"")"),"Mērsraga novads (Mērsrags)")</f>
        <v>Mērsraga novads (Mērsrags)</v>
      </c>
      <c r="H2705" s="9" t="str">
        <f>IFERROR(__xludf.DUMMYFUNCTION("GOOGLETRANSLATE($A2705,""en"",""ja"")"),"メルスラガ ノヴァド (メルスラグ)")</f>
        <v>メルスラガ ノヴァド (メルスラグ)</v>
      </c>
      <c r="I2705" s="9" t="str">
        <f>IFERROR(__xludf.DUMMYFUNCTION("GOOGLETRANSLATE($A2705,""en"",""ko"")"),"Mērsrags novads(Mērsrags)")</f>
        <v>Mērsrags novads(Mērsrags)</v>
      </c>
      <c r="J2705" s="9" t="str">
        <f>IFERROR(__xludf.DUMMYFUNCTION("GOOGLETRANSLATE($A2705,""en"",""pt-BR"")"),"Mērsraga novads (Mērsrags)")</f>
        <v>Mērsraga novads (Mērsrags)</v>
      </c>
    </row>
    <row r="2706">
      <c r="A2706" s="9" t="str">
        <f>IFERROR(__xludf.DUMMYFUNCTION("""COMPUTED_VALUE"""),"Babītes novads (Babīte)")</f>
        <v>Babītes novads (Babīte)</v>
      </c>
      <c r="B2706" s="9" t="str">
        <f>IFERROR(__xludf.DUMMYFUNCTION("""COMPUTED_VALUE"""),"lv-012")</f>
        <v>lv-012</v>
      </c>
      <c r="C2706" s="9" t="str">
        <f>IFERROR(__xludf.DUMMYFUNCTION("GOOGLETRANSLATE($A2706,""en"",""de"")"),"Babītes novads (Babīte)")</f>
        <v>Babītes novads (Babīte)</v>
      </c>
      <c r="D2706" s="9" t="str">
        <f>IFERROR(__xludf.DUMMYFUNCTION("GOOGLETRANSLATE($A2706,""en"",""fr"")"),"Babites novads (Babite)")</f>
        <v>Babites novads (Babite)</v>
      </c>
      <c r="E2706" s="9" t="str">
        <f>IFERROR(__xludf.DUMMYFUNCTION("GOOGLETRANSLATE($A2706,""en"",""es"")"),"Babītes novads (Babīte)")</f>
        <v>Babītes novads (Babīte)</v>
      </c>
      <c r="F2706" s="9" t="str">
        <f>IFERROR(__xludf.DUMMYFUNCTION("GOOGLETRANSLATE($A2706,""en"",""it"")"),"Babītes novads (Babite)")</f>
        <v>Babītes novads (Babite)</v>
      </c>
      <c r="G2706" s="9" t="str">
        <f>IFERROR(__xludf.DUMMYFUNCTION("GOOGLETRANSLATE($A2706,""en"",""zh-cn"")"),"新巴比特 (Babīte)")</f>
        <v>新巴比特 (Babīte)</v>
      </c>
      <c r="H2706" s="9" t="str">
        <f>IFERROR(__xludf.DUMMYFUNCTION("GOOGLETRANSLATE($A2706,""en"",""ja"")"),"Babītes novads (バビテ)")</f>
        <v>Babītes novads (バビテ)</v>
      </c>
      <c r="I2706" s="9" t="str">
        <f>IFERROR(__xludf.DUMMYFUNCTION("GOOGLETRANSLATE($A2706,""en"",""ko"")"),"Babītes novads (Babīte)")</f>
        <v>Babītes novads (Babīte)</v>
      </c>
      <c r="J2706" s="9" t="str">
        <f>IFERROR(__xludf.DUMMYFUNCTION("GOOGLETRANSLATE($A2706,""en"",""pt-BR"")"),"Babītes novads (Babīte)")</f>
        <v>Babītes novads (Babīte)</v>
      </c>
    </row>
    <row r="2707">
      <c r="A2707" s="9" t="str">
        <f>IFERROR(__xludf.DUMMYFUNCTION("""COMPUTED_VALUE"""),"Béqaa")</f>
        <v>Béqaa</v>
      </c>
      <c r="B2707" s="9" t="str">
        <f>IFERROR(__xludf.DUMMYFUNCTION("""COMPUTED_VALUE"""),"lb-bi")</f>
        <v>lb-bi</v>
      </c>
      <c r="C2707" s="9" t="str">
        <f>IFERROR(__xludf.DUMMYFUNCTION("GOOGLETRANSLATE($A2707,""en"",""de"")"),"Béqaa")</f>
        <v>Béqaa</v>
      </c>
      <c r="D2707" s="9" t="str">
        <f>IFERROR(__xludf.DUMMYFUNCTION("GOOGLETRANSLATE($A2707,""en"",""fr"")"),"Békaa")</f>
        <v>Békaa</v>
      </c>
      <c r="E2707" s="9" t="str">
        <f>IFERROR(__xludf.DUMMYFUNCTION("GOOGLETRANSLATE($A2707,""en"",""es"")"),"Beqaa")</f>
        <v>Beqaa</v>
      </c>
      <c r="F2707" s="9" t="str">
        <f>IFERROR(__xludf.DUMMYFUNCTION("GOOGLETRANSLATE($A2707,""en"",""it"")"),"Beqaa")</f>
        <v>Beqaa</v>
      </c>
      <c r="G2707" s="9" t="str">
        <f>IFERROR(__xludf.DUMMYFUNCTION("GOOGLETRANSLATE($A2707,""en"",""zh-cn"")"),"贝卡")</f>
        <v>贝卡</v>
      </c>
      <c r="H2707" s="9" t="str">
        <f>IFERROR(__xludf.DUMMYFUNCTION("GOOGLETRANSLATE($A2707,""en"",""ja"")"),"ベカア")</f>
        <v>ベカア</v>
      </c>
      <c r="I2707" s="9" t="str">
        <f>IFERROR(__xludf.DUMMYFUNCTION("GOOGLETRANSLATE($A2707,""en"",""ko"")"),"베카")</f>
        <v>베카</v>
      </c>
      <c r="J2707" s="9" t="str">
        <f>IFERROR(__xludf.DUMMYFUNCTION("GOOGLETRANSLATE($A2707,""en"",""pt-BR"")"),"Beqaa")</f>
        <v>Beqaa</v>
      </c>
    </row>
    <row r="2708">
      <c r="A2708" s="9" t="str">
        <f>IFERROR(__xludf.DUMMYFUNCTION("""COMPUTED_VALUE"""),"Aakkâr")</f>
        <v>Aakkâr</v>
      </c>
      <c r="B2708" s="9" t="str">
        <f>IFERROR(__xludf.DUMMYFUNCTION("""COMPUTED_VALUE"""),"lb-ak")</f>
        <v>lb-ak</v>
      </c>
      <c r="C2708" s="9" t="str">
        <f>IFERROR(__xludf.DUMMYFUNCTION("GOOGLETRANSLATE($A2708,""en"",""de"")"),"Aakkar")</f>
        <v>Aakkar</v>
      </c>
      <c r="D2708" s="9" t="str">
        <f>IFERROR(__xludf.DUMMYFUNCTION("GOOGLETRANSLATE($A2708,""en"",""fr"")"),"Aakkar")</f>
        <v>Aakkar</v>
      </c>
      <c r="E2708" s="9" t="str">
        <f>IFERROR(__xludf.DUMMYFUNCTION("GOOGLETRANSLATE($A2708,""en"",""es"")"),"Aakkâr")</f>
        <v>Aakkâr</v>
      </c>
      <c r="F2708" s="9" t="str">
        <f>IFERROR(__xludf.DUMMYFUNCTION("GOOGLETRANSLATE($A2708,""en"",""it"")"),"Aakkar")</f>
        <v>Aakkar</v>
      </c>
      <c r="G2708" s="9" t="str">
        <f>IFERROR(__xludf.DUMMYFUNCTION("GOOGLETRANSLATE($A2708,""en"",""zh-cn"")"),"阿卡")</f>
        <v>阿卡</v>
      </c>
      <c r="H2708" s="9" t="str">
        <f>IFERROR(__xludf.DUMMYFUNCTION("GOOGLETRANSLATE($A2708,""en"",""ja"")"),"アーカル")</f>
        <v>アーカル</v>
      </c>
      <c r="I2708" s="9" t="str">
        <f>IFERROR(__xludf.DUMMYFUNCTION("GOOGLETRANSLATE($A2708,""en"",""ko"")"),"아카르")</f>
        <v>아카르</v>
      </c>
      <c r="J2708" s="9" t="str">
        <f>IFERROR(__xludf.DUMMYFUNCTION("GOOGLETRANSLATE($A2708,""en"",""pt-BR"")"),"Aakkar")</f>
        <v>Aakkar</v>
      </c>
    </row>
    <row r="2709">
      <c r="A2709" s="9" t="str">
        <f>IFERROR(__xludf.DUMMYFUNCTION("""COMPUTED_VALUE"""),"Liban-Sud")</f>
        <v>Liban-Sud</v>
      </c>
      <c r="B2709" s="9" t="str">
        <f>IFERROR(__xludf.DUMMYFUNCTION("""COMPUTED_VALUE"""),"lb-ja")</f>
        <v>lb-ja</v>
      </c>
      <c r="C2709" s="9" t="str">
        <f>IFERROR(__xludf.DUMMYFUNCTION("GOOGLETRANSLATE($A2709,""en"",""de"")"),"Libanon-Süd")</f>
        <v>Libanon-Süd</v>
      </c>
      <c r="D2709" s="9" t="str">
        <f>IFERROR(__xludf.DUMMYFUNCTION("GOOGLETRANSLATE($A2709,""en"",""fr"")"),"Liban-Sud")</f>
        <v>Liban-Sud</v>
      </c>
      <c r="E2709" s="9" t="str">
        <f>IFERROR(__xludf.DUMMYFUNCTION("GOOGLETRANSLATE($A2709,""en"",""es"")"),"Líbano-Sur")</f>
        <v>Líbano-Sur</v>
      </c>
      <c r="F2709" s="9" t="str">
        <f>IFERROR(__xludf.DUMMYFUNCTION("GOOGLETRANSLATE($A2709,""en"",""it"")"),"Libano-Sud")</f>
        <v>Libano-Sud</v>
      </c>
      <c r="G2709" s="9" t="str">
        <f>IFERROR(__xludf.DUMMYFUNCTION("GOOGLETRANSLATE($A2709,""en"",""zh-cn"")"),"南黎巴嫩")</f>
        <v>南黎巴嫩</v>
      </c>
      <c r="H2709" s="9" t="str">
        <f>IFERROR(__xludf.DUMMYFUNCTION("GOOGLETRANSLATE($A2709,""en"",""ja"")"),"リバン・シュッド")</f>
        <v>リバン・シュッド</v>
      </c>
      <c r="I2709" s="9" t="str">
        <f>IFERROR(__xludf.DUMMYFUNCTION("GOOGLETRANSLATE($A2709,""en"",""ko"")"),"리반-수드")</f>
        <v>리반-수드</v>
      </c>
      <c r="J2709" s="9" t="str">
        <f>IFERROR(__xludf.DUMMYFUNCTION("GOOGLETRANSLATE($A2709,""en"",""pt-BR"")"),"Líbano-Sul")</f>
        <v>Líbano-Sul</v>
      </c>
    </row>
    <row r="2710">
      <c r="A2710" s="9" t="str">
        <f>IFERROR(__xludf.DUMMYFUNCTION("""COMPUTED_VALUE"""),"Beyrouth")</f>
        <v>Beyrouth</v>
      </c>
      <c r="B2710" s="9" t="str">
        <f>IFERROR(__xludf.DUMMYFUNCTION("""COMPUTED_VALUE"""),"lb-ba")</f>
        <v>lb-ba</v>
      </c>
      <c r="C2710" s="9" t="str">
        <f>IFERROR(__xludf.DUMMYFUNCTION("GOOGLETRANSLATE($A2710,""en"",""de"")"),"Beirut")</f>
        <v>Beirut</v>
      </c>
      <c r="D2710" s="9" t="str">
        <f>IFERROR(__xludf.DUMMYFUNCTION("GOOGLETRANSLATE($A2710,""en"",""fr"")"),"Beyrouth")</f>
        <v>Beyrouth</v>
      </c>
      <c r="E2710" s="9" t="str">
        <f>IFERROR(__xludf.DUMMYFUNCTION("GOOGLETRANSLATE($A2710,""en"",""es"")"),"Beirut")</f>
        <v>Beirut</v>
      </c>
      <c r="F2710" s="9" t="str">
        <f>IFERROR(__xludf.DUMMYFUNCTION("GOOGLETRANSLATE($A2710,""en"",""it"")"),"Beirut")</f>
        <v>Beirut</v>
      </c>
      <c r="G2710" s="9" t="str">
        <f>IFERROR(__xludf.DUMMYFUNCTION("GOOGLETRANSLATE($A2710,""en"",""zh-cn"")"),"贝罗斯")</f>
        <v>贝罗斯</v>
      </c>
      <c r="H2710" s="9" t="str">
        <f>IFERROR(__xludf.DUMMYFUNCTION("GOOGLETRANSLATE($A2710,""en"",""ja"")"),"ベイルート")</f>
        <v>ベイルート</v>
      </c>
      <c r="I2710" s="9" t="str">
        <f>IFERROR(__xludf.DUMMYFUNCTION("GOOGLETRANSLATE($A2710,""en"",""ko"")"),"베이루트")</f>
        <v>베이루트</v>
      </c>
      <c r="J2710" s="9" t="str">
        <f>IFERROR(__xludf.DUMMYFUNCTION("GOOGLETRANSLATE($A2710,""en"",""pt-BR"")"),"Beirute")</f>
        <v>Beirute</v>
      </c>
    </row>
    <row r="2711">
      <c r="A2711" s="9" t="str">
        <f>IFERROR(__xludf.DUMMYFUNCTION("""COMPUTED_VALUE"""),"Nabatîyé")</f>
        <v>Nabatîyé</v>
      </c>
      <c r="B2711" s="9" t="str">
        <f>IFERROR(__xludf.DUMMYFUNCTION("""COMPUTED_VALUE"""),"lb-na")</f>
        <v>lb-na</v>
      </c>
      <c r="C2711" s="9" t="str">
        <f>IFERROR(__xludf.DUMMYFUNCTION("GOOGLETRANSLATE($A2711,""en"",""de"")"),"Nabatîyé")</f>
        <v>Nabatîyé</v>
      </c>
      <c r="D2711" s="9" t="str">
        <f>IFERROR(__xludf.DUMMYFUNCTION("GOOGLETRANSLATE($A2711,""en"",""fr"")"),"Nabatiye")</f>
        <v>Nabatiye</v>
      </c>
      <c r="E2711" s="9" t="str">
        <f>IFERROR(__xludf.DUMMYFUNCTION("GOOGLETRANSLATE($A2711,""en"",""es"")"),"Nabatîyé")</f>
        <v>Nabatîyé</v>
      </c>
      <c r="F2711" s="9" t="str">
        <f>IFERROR(__xludf.DUMMYFUNCTION("GOOGLETRANSLATE($A2711,""en"",""it"")"),"Nabatîyé")</f>
        <v>Nabatîyé</v>
      </c>
      <c r="G2711" s="9" t="str">
        <f>IFERROR(__xludf.DUMMYFUNCTION("GOOGLETRANSLATE($A2711,""en"",""zh-cn"")"),"纳巴蒂耶")</f>
        <v>纳巴蒂耶</v>
      </c>
      <c r="H2711" s="9" t="str">
        <f>IFERROR(__xludf.DUMMYFUNCTION("GOOGLETRANSLATE($A2711,""en"",""ja"")"),"ナバティエ")</f>
        <v>ナバティエ</v>
      </c>
      <c r="I2711" s="9" t="str">
        <f>IFERROR(__xludf.DUMMYFUNCTION("GOOGLETRANSLATE($A2711,""en"",""ko"")"),"나바티예")</f>
        <v>나바티예</v>
      </c>
      <c r="J2711" s="9" t="str">
        <f>IFERROR(__xludf.DUMMYFUNCTION("GOOGLETRANSLATE($A2711,""en"",""pt-BR"")"),"Nabatîyé")</f>
        <v>Nabatîyé</v>
      </c>
    </row>
    <row r="2712">
      <c r="A2712" s="9" t="str">
        <f>IFERROR(__xludf.DUMMYFUNCTION("""COMPUTED_VALUE"""),"Liban-Nord")</f>
        <v>Liban-Nord</v>
      </c>
      <c r="B2712" s="9" t="str">
        <f>IFERROR(__xludf.DUMMYFUNCTION("""COMPUTED_VALUE"""),"lb-as")</f>
        <v>lb-as</v>
      </c>
      <c r="C2712" s="9" t="str">
        <f>IFERROR(__xludf.DUMMYFUNCTION("GOOGLETRANSLATE($A2712,""en"",""de"")"),"Liban-Nord")</f>
        <v>Liban-Nord</v>
      </c>
      <c r="D2712" s="9" t="str">
        <f>IFERROR(__xludf.DUMMYFUNCTION("GOOGLETRANSLATE($A2712,""en"",""fr"")"),"Liban-Nord")</f>
        <v>Liban-Nord</v>
      </c>
      <c r="E2712" s="9" t="str">
        <f>IFERROR(__xludf.DUMMYFUNCTION("GOOGLETRANSLATE($A2712,""en"",""es"")"),"Líbano-Norte")</f>
        <v>Líbano-Norte</v>
      </c>
      <c r="F2712" s="9" t="str">
        <f>IFERROR(__xludf.DUMMYFUNCTION("GOOGLETRANSLATE($A2712,""en"",""it"")"),"Libano-Nord")</f>
        <v>Libano-Nord</v>
      </c>
      <c r="G2712" s="9" t="str">
        <f>IFERROR(__xludf.DUMMYFUNCTION("GOOGLETRANSLATE($A2712,""en"",""zh-cn"")"),"北黎巴嫩")</f>
        <v>北黎巴嫩</v>
      </c>
      <c r="H2712" s="9" t="str">
        <f>IFERROR(__xludf.DUMMYFUNCTION("GOOGLETRANSLATE($A2712,""en"",""ja"")"),"リバン・ノルド")</f>
        <v>リバン・ノルド</v>
      </c>
      <c r="I2712" s="9" t="str">
        <f>IFERROR(__xludf.DUMMYFUNCTION("GOOGLETRANSLATE($A2712,""en"",""ko"")"),"리반-노르드")</f>
        <v>리반-노르드</v>
      </c>
      <c r="J2712" s="9" t="str">
        <f>IFERROR(__xludf.DUMMYFUNCTION("GOOGLETRANSLATE($A2712,""en"",""pt-BR"")"),"Líbano-Nord")</f>
        <v>Líbano-Nord</v>
      </c>
    </row>
    <row r="2713">
      <c r="A2713" s="9" t="str">
        <f>IFERROR(__xludf.DUMMYFUNCTION("""COMPUTED_VALUE"""),"Mont-Liban")</f>
        <v>Mont-Liban</v>
      </c>
      <c r="B2713" s="9" t="str">
        <f>IFERROR(__xludf.DUMMYFUNCTION("""COMPUTED_VALUE"""),"lb-jl")</f>
        <v>lb-jl</v>
      </c>
      <c r="C2713" s="9" t="str">
        <f>IFERROR(__xludf.DUMMYFUNCTION("GOOGLETRANSLATE($A2713,""en"",""de"")"),"Mont-Liban")</f>
        <v>Mont-Liban</v>
      </c>
      <c r="D2713" s="9" t="str">
        <f>IFERROR(__xludf.DUMMYFUNCTION("GOOGLETRANSLATE($A2713,""en"",""fr"")"),"Mont-Liban")</f>
        <v>Mont-Liban</v>
      </c>
      <c r="E2713" s="9" t="str">
        <f>IFERROR(__xludf.DUMMYFUNCTION("GOOGLETRANSLATE($A2713,""en"",""es"")"),"Monte Libano")</f>
        <v>Monte Libano</v>
      </c>
      <c r="F2713" s="9" t="str">
        <f>IFERROR(__xludf.DUMMYFUNCTION("GOOGLETRANSLATE($A2713,""en"",""it"")"),"Mont-Libano")</f>
        <v>Mont-Libano</v>
      </c>
      <c r="G2713" s="9" t="str">
        <f>IFERROR(__xludf.DUMMYFUNCTION("GOOGLETRANSLATE($A2713,""en"",""zh-cn"")"),"利班山")</f>
        <v>利班山</v>
      </c>
      <c r="H2713" s="9" t="str">
        <f>IFERROR(__xludf.DUMMYFUNCTION("GOOGLETRANSLATE($A2713,""en"",""ja"")"),"モンリバン")</f>
        <v>モンリバン</v>
      </c>
      <c r="I2713" s="9" t="str">
        <f>IFERROR(__xludf.DUMMYFUNCTION("GOOGLETRANSLATE($A2713,""en"",""ko"")"),"몽리반")</f>
        <v>몽리반</v>
      </c>
      <c r="J2713" s="9" t="str">
        <f>IFERROR(__xludf.DUMMYFUNCTION("GOOGLETRANSLATE($A2713,""en"",""pt-BR"")"),"Mont-Liban")</f>
        <v>Mont-Liban</v>
      </c>
    </row>
    <row r="2714">
      <c r="A2714" s="9" t="str">
        <f>IFERROR(__xludf.DUMMYFUNCTION("""COMPUTED_VALUE"""),"Baalbek-Hermel")</f>
        <v>Baalbek-Hermel</v>
      </c>
      <c r="B2714" s="9" t="str">
        <f>IFERROR(__xludf.DUMMYFUNCTION("""COMPUTED_VALUE"""),"lb-bh")</f>
        <v>lb-bh</v>
      </c>
      <c r="C2714" s="9" t="str">
        <f>IFERROR(__xludf.DUMMYFUNCTION("GOOGLETRANSLATE($A2714,""en"",""de"")"),"Baalbek-Hermel")</f>
        <v>Baalbek-Hermel</v>
      </c>
      <c r="D2714" s="9" t="str">
        <f>IFERROR(__xludf.DUMMYFUNCTION("GOOGLETRANSLATE($A2714,""en"",""fr"")"),"Baalbek-Hermel")</f>
        <v>Baalbek-Hermel</v>
      </c>
      <c r="E2714" s="9" t="str">
        <f>IFERROR(__xludf.DUMMYFUNCTION("GOOGLETRANSLATE($A2714,""en"",""es"")"),"Baalbek-Hermel")</f>
        <v>Baalbek-Hermel</v>
      </c>
      <c r="F2714" s="9" t="str">
        <f>IFERROR(__xludf.DUMMYFUNCTION("GOOGLETRANSLATE($A2714,""en"",""it"")"),"Baalbek-Hermel")</f>
        <v>Baalbek-Hermel</v>
      </c>
      <c r="G2714" s="9" t="str">
        <f>IFERROR(__xludf.DUMMYFUNCTION("GOOGLETRANSLATE($A2714,""en"",""zh-cn"")"),"巴勒贝克-赫尔梅尔")</f>
        <v>巴勒贝克-赫尔梅尔</v>
      </c>
      <c r="H2714" s="9" t="str">
        <f>IFERROR(__xludf.DUMMYFUNCTION("GOOGLETRANSLATE($A2714,""en"",""ja"")"),"バールベック・ヘルメル")</f>
        <v>バールベック・ヘルメル</v>
      </c>
      <c r="I2714" s="9" t="str">
        <f>IFERROR(__xludf.DUMMYFUNCTION("GOOGLETRANSLATE($A2714,""en"",""ko"")"),"바알베크-헤르멜")</f>
        <v>바알베크-헤르멜</v>
      </c>
      <c r="J2714" s="9" t="str">
        <f>IFERROR(__xludf.DUMMYFUNCTION("GOOGLETRANSLATE($A2714,""en"",""pt-BR"")"),"Baalbek-Hermel")</f>
        <v>Baalbek-Hermel</v>
      </c>
    </row>
    <row r="2715">
      <c r="A2715" s="9" t="str">
        <f>IFERROR(__xludf.DUMMYFUNCTION("""COMPUTED_VALUE"""),"Mokhotlong")</f>
        <v>Mokhotlong</v>
      </c>
      <c r="B2715" s="9" t="str">
        <f>IFERROR(__xludf.DUMMYFUNCTION("""COMPUTED_VALUE"""),"ls-j")</f>
        <v>ls-j</v>
      </c>
      <c r="C2715" s="9" t="str">
        <f>IFERROR(__xludf.DUMMYFUNCTION("GOOGLETRANSLATE($A2715,""en"",""de"")"),"Mokhotlong")</f>
        <v>Mokhotlong</v>
      </c>
      <c r="D2715" s="9" t="str">
        <f>IFERROR(__xludf.DUMMYFUNCTION("GOOGLETRANSLATE($A2715,""en"",""fr"")"),"Mokhotlong")</f>
        <v>Mokhotlong</v>
      </c>
      <c r="E2715" s="9" t="str">
        <f>IFERROR(__xludf.DUMMYFUNCTION("GOOGLETRANSLATE($A2715,""en"",""es"")"),"Mokhotlong")</f>
        <v>Mokhotlong</v>
      </c>
      <c r="F2715" s="9" t="str">
        <f>IFERROR(__xludf.DUMMYFUNCTION("GOOGLETRANSLATE($A2715,""en"",""it"")"),"Mokhotlong")</f>
        <v>Mokhotlong</v>
      </c>
      <c r="G2715" s="9" t="str">
        <f>IFERROR(__xludf.DUMMYFUNCTION("GOOGLETRANSLATE($A2715,""en"",""zh-cn"")"),"莫霍特隆")</f>
        <v>莫霍特隆</v>
      </c>
      <c r="H2715" s="9" t="str">
        <f>IFERROR(__xludf.DUMMYFUNCTION("GOOGLETRANSLATE($A2715,""en"",""ja"")"),"モコトロング")</f>
        <v>モコトロング</v>
      </c>
      <c r="I2715" s="9" t="str">
        <f>IFERROR(__xludf.DUMMYFUNCTION("GOOGLETRANSLATE($A2715,""en"",""ko"")"),"모코틀롱")</f>
        <v>모코틀롱</v>
      </c>
      <c r="J2715" s="9" t="str">
        <f>IFERROR(__xludf.DUMMYFUNCTION("GOOGLETRANSLATE($A2715,""en"",""pt-BR"")"),"Mokhotlong")</f>
        <v>Mokhotlong</v>
      </c>
    </row>
    <row r="2716">
      <c r="A2716" s="9" t="str">
        <f>IFERROR(__xludf.DUMMYFUNCTION("""COMPUTED_VALUE"""),"Thaba-Tseka")</f>
        <v>Thaba-Tseka</v>
      </c>
      <c r="B2716" s="9" t="str">
        <f>IFERROR(__xludf.DUMMYFUNCTION("""COMPUTED_VALUE"""),"ls-k")</f>
        <v>ls-k</v>
      </c>
      <c r="C2716" s="9" t="str">
        <f>IFERROR(__xludf.DUMMYFUNCTION("GOOGLETRANSLATE($A2716,""en"",""de"")"),"Thaba-Tseka")</f>
        <v>Thaba-Tseka</v>
      </c>
      <c r="D2716" s="9" t="str">
        <f>IFERROR(__xludf.DUMMYFUNCTION("GOOGLETRANSLATE($A2716,""en"",""fr"")"),"Thaba-Tseka")</f>
        <v>Thaba-Tseka</v>
      </c>
      <c r="E2716" s="9" t="str">
        <f>IFERROR(__xludf.DUMMYFUNCTION("GOOGLETRANSLATE($A2716,""en"",""es"")"),"Thaba-Tseka")</f>
        <v>Thaba-Tseka</v>
      </c>
      <c r="F2716" s="9" t="str">
        <f>IFERROR(__xludf.DUMMYFUNCTION("GOOGLETRANSLATE($A2716,""en"",""it"")"),"Thaba-Tseka")</f>
        <v>Thaba-Tseka</v>
      </c>
      <c r="G2716" s="9" t="str">
        <f>IFERROR(__xludf.DUMMYFUNCTION("GOOGLETRANSLATE($A2716,""en"",""zh-cn"")"),"塔巴-采卡")</f>
        <v>塔巴-采卡</v>
      </c>
      <c r="H2716" s="9" t="str">
        <f>IFERROR(__xludf.DUMMYFUNCTION("GOOGLETRANSLATE($A2716,""en"",""ja"")"),"タバ・ツェカ")</f>
        <v>タバ・ツェカ</v>
      </c>
      <c r="I2716" s="9" t="str">
        <f>IFERROR(__xludf.DUMMYFUNCTION("GOOGLETRANSLATE($A2716,""en"",""ko"")"),"타바체카")</f>
        <v>타바체카</v>
      </c>
      <c r="J2716" s="9" t="str">
        <f>IFERROR(__xludf.DUMMYFUNCTION("GOOGLETRANSLATE($A2716,""en"",""pt-BR"")"),"Thaba-Tseka")</f>
        <v>Thaba-Tseka</v>
      </c>
    </row>
    <row r="2717">
      <c r="A2717" s="9" t="str">
        <f>IFERROR(__xludf.DUMMYFUNCTION("""COMPUTED_VALUE"""),"Qacha's Nek")</f>
        <v>Qacha's Nek</v>
      </c>
      <c r="B2717" s="9" t="str">
        <f>IFERROR(__xludf.DUMMYFUNCTION("""COMPUTED_VALUE"""),"ls-h")</f>
        <v>ls-h</v>
      </c>
      <c r="C2717" s="9" t="str">
        <f>IFERROR(__xludf.DUMMYFUNCTION("GOOGLETRANSLATE($A2717,""en"",""de"")"),"Qachas Nek")</f>
        <v>Qachas Nek</v>
      </c>
      <c r="D2717" s="9" t="str">
        <f>IFERROR(__xludf.DUMMYFUNCTION("GOOGLETRANSLATE($A2717,""en"",""fr"")"),"Nek de Qacha")</f>
        <v>Nek de Qacha</v>
      </c>
      <c r="E2717" s="9" t="str">
        <f>IFERROR(__xludf.DUMMYFUNCTION("GOOGLETRANSLATE($A2717,""en"",""es"")"),"Nek de Qacha")</f>
        <v>Nek de Qacha</v>
      </c>
      <c r="F2717" s="9" t="str">
        <f>IFERROR(__xludf.DUMMYFUNCTION("GOOGLETRANSLATE($A2717,""en"",""it"")"),"Nek di Qacha")</f>
        <v>Nek di Qacha</v>
      </c>
      <c r="G2717" s="9" t="str">
        <f>IFERROR(__xludf.DUMMYFUNCTION("GOOGLETRANSLATE($A2717,""en"",""zh-cn"")"),"卡查的内克")</f>
        <v>卡查的内克</v>
      </c>
      <c r="H2717" s="9" t="str">
        <f>IFERROR(__xludf.DUMMYFUNCTION("GOOGLETRANSLATE($A2717,""en"",""ja"")"),"カチャの首")</f>
        <v>カチャの首</v>
      </c>
      <c r="I2717" s="9" t="str">
        <f>IFERROR(__xludf.DUMMYFUNCTION("GOOGLETRANSLATE($A2717,""en"",""ko"")"),"카차의 넥")</f>
        <v>카차의 넥</v>
      </c>
      <c r="J2717" s="9" t="str">
        <f>IFERROR(__xludf.DUMMYFUNCTION("GOOGLETRANSLATE($A2717,""en"",""pt-BR"")"),"Nek de Qacha")</f>
        <v>Nek de Qacha</v>
      </c>
    </row>
    <row r="2718">
      <c r="A2718" s="9" t="str">
        <f>IFERROR(__xludf.DUMMYFUNCTION("""COMPUTED_VALUE"""),"Butha-Buthe")</f>
        <v>Butha-Buthe</v>
      </c>
      <c r="B2718" s="9" t="str">
        <f>IFERROR(__xludf.DUMMYFUNCTION("""COMPUTED_VALUE"""),"ls-b")</f>
        <v>ls-b</v>
      </c>
      <c r="C2718" s="9" t="str">
        <f>IFERROR(__xludf.DUMMYFUNCTION("GOOGLETRANSLATE($A2718,""en"",""de"")"),"Butha-Buthe")</f>
        <v>Butha-Buthe</v>
      </c>
      <c r="D2718" s="9" t="str">
        <f>IFERROR(__xludf.DUMMYFUNCTION("GOOGLETRANSLATE($A2718,""en"",""fr"")"),"Butha-Buthe")</f>
        <v>Butha-Buthe</v>
      </c>
      <c r="E2718" s="9" t="str">
        <f>IFERROR(__xludf.DUMMYFUNCTION("GOOGLETRANSLATE($A2718,""en"",""es"")"),"Butha-Buthe")</f>
        <v>Butha-Buthe</v>
      </c>
      <c r="F2718" s="9" t="str">
        <f>IFERROR(__xludf.DUMMYFUNCTION("GOOGLETRANSLATE($A2718,""en"",""it"")"),"Butha-Buthe")</f>
        <v>Butha-Buthe</v>
      </c>
      <c r="G2718" s="9" t="str">
        <f>IFERROR(__xludf.DUMMYFUNCTION("GOOGLETRANSLATE($A2718,""en"",""zh-cn"")"),"布塔-布泰")</f>
        <v>布塔-布泰</v>
      </c>
      <c r="H2718" s="9" t="str">
        <f>IFERROR(__xludf.DUMMYFUNCTION("GOOGLETRANSLATE($A2718,""en"",""ja"")"),"ブタ・ブーテ")</f>
        <v>ブタ・ブーテ</v>
      </c>
      <c r="I2718" s="9" t="str">
        <f>IFERROR(__xludf.DUMMYFUNCTION("GOOGLETRANSLATE($A2718,""en"",""ko"")"),"부타부테")</f>
        <v>부타부테</v>
      </c>
      <c r="J2718" s="9" t="str">
        <f>IFERROR(__xludf.DUMMYFUNCTION("GOOGLETRANSLATE($A2718,""en"",""pt-BR"")"),"Butha-Buthe")</f>
        <v>Butha-Buthe</v>
      </c>
    </row>
    <row r="2719">
      <c r="A2719" s="9" t="str">
        <f>IFERROR(__xludf.DUMMYFUNCTION("""COMPUTED_VALUE"""),"Mafeteng")</f>
        <v>Mafeteng</v>
      </c>
      <c r="B2719" s="9" t="str">
        <f>IFERROR(__xludf.DUMMYFUNCTION("""COMPUTED_VALUE"""),"ls-e")</f>
        <v>ls-e</v>
      </c>
      <c r="C2719" s="9" t="str">
        <f>IFERROR(__xludf.DUMMYFUNCTION("GOOGLETRANSLATE($A2719,""en"",""de"")"),"Mafeteng")</f>
        <v>Mafeteng</v>
      </c>
      <c r="D2719" s="9" t="str">
        <f>IFERROR(__xludf.DUMMYFUNCTION("GOOGLETRANSLATE($A2719,""en"",""fr"")"),"Mafeteng")</f>
        <v>Mafeteng</v>
      </c>
      <c r="E2719" s="9" t="str">
        <f>IFERROR(__xludf.DUMMYFUNCTION("GOOGLETRANSLATE($A2719,""en"",""es"")"),"Mafeteng")</f>
        <v>Mafeteng</v>
      </c>
      <c r="F2719" s="9" t="str">
        <f>IFERROR(__xludf.DUMMYFUNCTION("GOOGLETRANSLATE($A2719,""en"",""it"")"),"Mafeteng")</f>
        <v>Mafeteng</v>
      </c>
      <c r="G2719" s="9" t="str">
        <f>IFERROR(__xludf.DUMMYFUNCTION("GOOGLETRANSLATE($A2719,""en"",""zh-cn"")"),"马费滕")</f>
        <v>马费滕</v>
      </c>
      <c r="H2719" s="9" t="str">
        <f>IFERROR(__xludf.DUMMYFUNCTION("GOOGLETRANSLATE($A2719,""en"",""ja"")"),"マフェテン")</f>
        <v>マフェテン</v>
      </c>
      <c r="I2719" s="9" t="str">
        <f>IFERROR(__xludf.DUMMYFUNCTION("GOOGLETRANSLATE($A2719,""en"",""ko"")"),"마페텡")</f>
        <v>마페텡</v>
      </c>
      <c r="J2719" s="9" t="str">
        <f>IFERROR(__xludf.DUMMYFUNCTION("GOOGLETRANSLATE($A2719,""en"",""pt-BR"")"),"Mafeteng")</f>
        <v>Mafeteng</v>
      </c>
    </row>
    <row r="2720">
      <c r="A2720" s="9" t="str">
        <f>IFERROR(__xludf.DUMMYFUNCTION("""COMPUTED_VALUE"""),"Leribe")</f>
        <v>Leribe</v>
      </c>
      <c r="B2720" s="9" t="str">
        <f>IFERROR(__xludf.DUMMYFUNCTION("""COMPUTED_VALUE"""),"ls-c")</f>
        <v>ls-c</v>
      </c>
      <c r="C2720" s="9" t="str">
        <f>IFERROR(__xludf.DUMMYFUNCTION("GOOGLETRANSLATE($A2720,""en"",""de"")"),"Leribe")</f>
        <v>Leribe</v>
      </c>
      <c r="D2720" s="9" t="str">
        <f>IFERROR(__xludf.DUMMYFUNCTION("GOOGLETRANSLATE($A2720,""en"",""fr"")"),"Léribé")</f>
        <v>Léribé</v>
      </c>
      <c r="E2720" s="9" t="str">
        <f>IFERROR(__xludf.DUMMYFUNCTION("GOOGLETRANSLATE($A2720,""en"",""es"")"),"Leribe")</f>
        <v>Leribe</v>
      </c>
      <c r="F2720" s="9" t="str">
        <f>IFERROR(__xludf.DUMMYFUNCTION("GOOGLETRANSLATE($A2720,""en"",""it"")"),"Leribe")</f>
        <v>Leribe</v>
      </c>
      <c r="G2720" s="9" t="str">
        <f>IFERROR(__xludf.DUMMYFUNCTION("GOOGLETRANSLATE($A2720,""en"",""zh-cn"")"),"莱里贝")</f>
        <v>莱里贝</v>
      </c>
      <c r="H2720" s="9" t="str">
        <f>IFERROR(__xludf.DUMMYFUNCTION("GOOGLETRANSLATE($A2720,""en"",""ja"")"),"レリベ")</f>
        <v>レリベ</v>
      </c>
      <c r="I2720" s="9" t="str">
        <f>IFERROR(__xludf.DUMMYFUNCTION("GOOGLETRANSLATE($A2720,""en"",""ko"")"),"레리베")</f>
        <v>레리베</v>
      </c>
      <c r="J2720" s="9" t="str">
        <f>IFERROR(__xludf.DUMMYFUNCTION("GOOGLETRANSLATE($A2720,""en"",""pt-BR"")"),"Leribé")</f>
        <v>Leribé</v>
      </c>
    </row>
    <row r="2721">
      <c r="A2721" s="9" t="str">
        <f>IFERROR(__xludf.DUMMYFUNCTION("""COMPUTED_VALUE"""),"Maseru")</f>
        <v>Maseru</v>
      </c>
      <c r="B2721" s="9" t="str">
        <f>IFERROR(__xludf.DUMMYFUNCTION("""COMPUTED_VALUE"""),"ls-a")</f>
        <v>ls-a</v>
      </c>
      <c r="C2721" s="9" t="str">
        <f>IFERROR(__xludf.DUMMYFUNCTION("GOOGLETRANSLATE($A2721,""en"",""de"")"),"Maseru")</f>
        <v>Maseru</v>
      </c>
      <c r="D2721" s="9" t="str">
        <f>IFERROR(__xludf.DUMMYFUNCTION("GOOGLETRANSLATE($A2721,""en"",""fr"")"),"Maseru")</f>
        <v>Maseru</v>
      </c>
      <c r="E2721" s="9" t="str">
        <f>IFERROR(__xludf.DUMMYFUNCTION("GOOGLETRANSLATE($A2721,""en"",""es"")"),"Maseru")</f>
        <v>Maseru</v>
      </c>
      <c r="F2721" s="9" t="str">
        <f>IFERROR(__xludf.DUMMYFUNCTION("GOOGLETRANSLATE($A2721,""en"",""it"")"),"Maseru")</f>
        <v>Maseru</v>
      </c>
      <c r="G2721" s="9" t="str">
        <f>IFERROR(__xludf.DUMMYFUNCTION("GOOGLETRANSLATE($A2721,""en"",""zh-cn"")"),"马塞卢")</f>
        <v>马塞卢</v>
      </c>
      <c r="H2721" s="9" t="str">
        <f>IFERROR(__xludf.DUMMYFUNCTION("GOOGLETRANSLATE($A2721,""en"",""ja"")"),"マセル")</f>
        <v>マセル</v>
      </c>
      <c r="I2721" s="9" t="str">
        <f>IFERROR(__xludf.DUMMYFUNCTION("GOOGLETRANSLATE($A2721,""en"",""ko"")"),"마세루")</f>
        <v>마세루</v>
      </c>
      <c r="J2721" s="9" t="str">
        <f>IFERROR(__xludf.DUMMYFUNCTION("GOOGLETRANSLATE($A2721,""en"",""pt-BR"")"),"Maseru")</f>
        <v>Maseru</v>
      </c>
    </row>
    <row r="2722">
      <c r="A2722" s="9" t="str">
        <f>IFERROR(__xludf.DUMMYFUNCTION("""COMPUTED_VALUE"""),"Quthing")</f>
        <v>Quthing</v>
      </c>
      <c r="B2722" s="9" t="str">
        <f>IFERROR(__xludf.DUMMYFUNCTION("""COMPUTED_VALUE"""),"ls-g")</f>
        <v>ls-g</v>
      </c>
      <c r="C2722" s="9" t="str">
        <f>IFERROR(__xludf.DUMMYFUNCTION("GOOGLETRANSLATE($A2722,""en"",""de"")"),"Quthing")</f>
        <v>Quthing</v>
      </c>
      <c r="D2722" s="9" t="str">
        <f>IFERROR(__xludf.DUMMYFUNCTION("GOOGLETRANSLATE($A2722,""en"",""fr"")"),"Quchose")</f>
        <v>Quchose</v>
      </c>
      <c r="E2722" s="9" t="str">
        <f>IFERROR(__xludf.DUMMYFUNCTION("GOOGLETRANSLATE($A2722,""en"",""es"")"),"Quthing")</f>
        <v>Quthing</v>
      </c>
      <c r="F2722" s="9" t="str">
        <f>IFERROR(__xludf.DUMMYFUNCTION("GOOGLETRANSLATE($A2722,""en"",""it"")"),"Che cosa")</f>
        <v>Che cosa</v>
      </c>
      <c r="G2722" s="9" t="str">
        <f>IFERROR(__xludf.DUMMYFUNCTION("GOOGLETRANSLATE($A2722,""en"",""zh-cn"")"),"古廷")</f>
        <v>古廷</v>
      </c>
      <c r="H2722" s="9" t="str">
        <f>IFERROR(__xludf.DUMMYFUNCTION("GOOGLETRANSLATE($A2722,""en"",""ja"")"),"クチング")</f>
        <v>クチング</v>
      </c>
      <c r="I2722" s="9" t="str">
        <f>IFERROR(__xludf.DUMMYFUNCTION("GOOGLETRANSLATE($A2722,""en"",""ko"")"),"쿠딩")</f>
        <v>쿠딩</v>
      </c>
      <c r="J2722" s="9" t="str">
        <f>IFERROR(__xludf.DUMMYFUNCTION("GOOGLETRANSLATE($A2722,""en"",""pt-BR"")"),"Quthing")</f>
        <v>Quthing</v>
      </c>
    </row>
    <row r="2723">
      <c r="A2723" s="9" t="str">
        <f>IFERROR(__xludf.DUMMYFUNCTION("""COMPUTED_VALUE"""),"Mohale's Hoek")</f>
        <v>Mohale's Hoek</v>
      </c>
      <c r="B2723" s="9" t="str">
        <f>IFERROR(__xludf.DUMMYFUNCTION("""COMPUTED_VALUE"""),"ls-f")</f>
        <v>ls-f</v>
      </c>
      <c r="C2723" s="9" t="str">
        <f>IFERROR(__xludf.DUMMYFUNCTION("GOOGLETRANSLATE($A2723,""en"",""de"")"),"Mohale's Hoek")</f>
        <v>Mohale's Hoek</v>
      </c>
      <c r="D2723" s="9" t="str">
        <f>IFERROR(__xludf.DUMMYFUNCTION("GOOGLETRANSLATE($A2723,""en"",""fr"")"),"Le Hoek de Mohale")</f>
        <v>Le Hoek de Mohale</v>
      </c>
      <c r="E2723" s="9" t="str">
        <f>IFERROR(__xludf.DUMMYFUNCTION("GOOGLETRANSLATE($A2723,""en"",""es"")"),"Hoek de Mohale")</f>
        <v>Hoek de Mohale</v>
      </c>
      <c r="F2723" s="9" t="str">
        <f>IFERROR(__xludf.DUMMYFUNCTION("GOOGLETRANSLATE($A2723,""en"",""it"")"),"Hoek di Mohale")</f>
        <v>Hoek di Mohale</v>
      </c>
      <c r="G2723" s="9" t="str">
        <f>IFERROR(__xludf.DUMMYFUNCTION("GOOGLETRANSLATE($A2723,""en"",""zh-cn"")"),"莫哈莱角")</f>
        <v>莫哈莱角</v>
      </c>
      <c r="H2723" s="9" t="str">
        <f>IFERROR(__xludf.DUMMYFUNCTION("GOOGLETRANSLATE($A2723,""en"",""ja"")"),"モハレのフック")</f>
        <v>モハレのフック</v>
      </c>
      <c r="I2723" s="9" t="str">
        <f>IFERROR(__xludf.DUMMYFUNCTION("GOOGLETRANSLATE($A2723,""en"",""ko"")"),"모할레의 후크")</f>
        <v>모할레의 후크</v>
      </c>
      <c r="J2723" s="9" t="str">
        <f>IFERROR(__xludf.DUMMYFUNCTION("GOOGLETRANSLATE($A2723,""en"",""pt-BR"")"),"Hoek de Mohale")</f>
        <v>Hoek de Mohale</v>
      </c>
    </row>
    <row r="2724">
      <c r="A2724" s="9" t="str">
        <f>IFERROR(__xludf.DUMMYFUNCTION("""COMPUTED_VALUE"""),"Berea")</f>
        <v>Berea</v>
      </c>
      <c r="B2724" s="9" t="str">
        <f>IFERROR(__xludf.DUMMYFUNCTION("""COMPUTED_VALUE"""),"ls-d")</f>
        <v>ls-d</v>
      </c>
      <c r="C2724" s="9" t="str">
        <f>IFERROR(__xludf.DUMMYFUNCTION("GOOGLETRANSLATE($A2724,""en"",""de"")"),"Berea")</f>
        <v>Berea</v>
      </c>
      <c r="D2724" s="9" t="str">
        <f>IFERROR(__xludf.DUMMYFUNCTION("GOOGLETRANSLATE($A2724,""en"",""fr"")"),"Béréa")</f>
        <v>Béréa</v>
      </c>
      <c r="E2724" s="9" t="str">
        <f>IFERROR(__xludf.DUMMYFUNCTION("GOOGLETRANSLATE($A2724,""en"",""es"")"),"Berea")</f>
        <v>Berea</v>
      </c>
      <c r="F2724" s="9" t="str">
        <f>IFERROR(__xludf.DUMMYFUNCTION("GOOGLETRANSLATE($A2724,""en"",""it"")"),"Berea")</f>
        <v>Berea</v>
      </c>
      <c r="G2724" s="9" t="str">
        <f>IFERROR(__xludf.DUMMYFUNCTION("GOOGLETRANSLATE($A2724,""en"",""zh-cn"")"),"伯里亚")</f>
        <v>伯里亚</v>
      </c>
      <c r="H2724" s="9" t="str">
        <f>IFERROR(__xludf.DUMMYFUNCTION("GOOGLETRANSLATE($A2724,""en"",""ja"")"),"ベレア")</f>
        <v>ベレア</v>
      </c>
      <c r="I2724" s="9" t="str">
        <f>IFERROR(__xludf.DUMMYFUNCTION("GOOGLETRANSLATE($A2724,""en"",""ko"")"),"베레아")</f>
        <v>베레아</v>
      </c>
      <c r="J2724" s="9" t="str">
        <f>IFERROR(__xludf.DUMMYFUNCTION("GOOGLETRANSLATE($A2724,""en"",""pt-BR"")"),"Bereia")</f>
        <v>Bereia</v>
      </c>
    </row>
    <row r="2725">
      <c r="A2725" s="9" t="str">
        <f>IFERROR(__xludf.DUMMYFUNCTION("""COMPUTED_VALUE"""),"Grand Kru")</f>
        <v>Grand Kru</v>
      </c>
      <c r="B2725" s="9" t="str">
        <f>IFERROR(__xludf.DUMMYFUNCTION("""COMPUTED_VALUE"""),"lr-gk")</f>
        <v>lr-gk</v>
      </c>
      <c r="C2725" s="9" t="str">
        <f>IFERROR(__xludf.DUMMYFUNCTION("GOOGLETRANSLATE($A2725,""en"",""de"")"),"Grand Kru")</f>
        <v>Grand Kru</v>
      </c>
      <c r="D2725" s="9" t="str">
        <f>IFERROR(__xludf.DUMMYFUNCTION("GOOGLETRANSLATE($A2725,""en"",""fr"")"),"Grand Kru")</f>
        <v>Grand Kru</v>
      </c>
      <c r="E2725" s="9" t="str">
        <f>IFERROR(__xludf.DUMMYFUNCTION("GOOGLETRANSLATE($A2725,""en"",""es"")"),"Gran Kru")</f>
        <v>Gran Kru</v>
      </c>
      <c r="F2725" s="9" t="str">
        <f>IFERROR(__xludf.DUMMYFUNCTION("GOOGLETRANSLATE($A2725,""en"",""it"")"),"Gran Kru")</f>
        <v>Gran Kru</v>
      </c>
      <c r="G2725" s="9" t="str">
        <f>IFERROR(__xludf.DUMMYFUNCTION("GOOGLETRANSLATE($A2725,""en"",""zh-cn"")"),"格兰德库鲁")</f>
        <v>格兰德库鲁</v>
      </c>
      <c r="H2725" s="9" t="str">
        <f>IFERROR(__xludf.DUMMYFUNCTION("GOOGLETRANSLATE($A2725,""en"",""ja"")"),"グラン・クリュ")</f>
        <v>グラン・クリュ</v>
      </c>
      <c r="I2725" s="9" t="str">
        <f>IFERROR(__xludf.DUMMYFUNCTION("GOOGLETRANSLATE($A2725,""en"",""ko"")"),"그랜드 크루")</f>
        <v>그랜드 크루</v>
      </c>
      <c r="J2725" s="9" t="str">
        <f>IFERROR(__xludf.DUMMYFUNCTION("GOOGLETRANSLATE($A2725,""en"",""pt-BR"")"),"Grande Kru")</f>
        <v>Grande Kru</v>
      </c>
    </row>
    <row r="2726">
      <c r="A2726" s="9" t="str">
        <f>IFERROR(__xludf.DUMMYFUNCTION("""COMPUTED_VALUE"""),"Grand Cape Mount")</f>
        <v>Grand Cape Mount</v>
      </c>
      <c r="B2726" s="9" t="str">
        <f>IFERROR(__xludf.DUMMYFUNCTION("""COMPUTED_VALUE"""),"lr-cm")</f>
        <v>lr-cm</v>
      </c>
      <c r="C2726" s="9" t="str">
        <f>IFERROR(__xludf.DUMMYFUNCTION("GOOGLETRANSLATE($A2726,""en"",""de"")"),"Grand Cape Mount")</f>
        <v>Grand Cape Mount</v>
      </c>
      <c r="D2726" s="9" t="str">
        <f>IFERROR(__xludf.DUMMYFUNCTION("GOOGLETRANSLATE($A2726,""en"",""fr"")"),"Mont Grand Cap")</f>
        <v>Mont Grand Cap</v>
      </c>
      <c r="E2726" s="9" t="str">
        <f>IFERROR(__xludf.DUMMYFUNCTION("GOOGLETRANSLATE($A2726,""en"",""es"")"),"Monte Gran Cabo")</f>
        <v>Monte Gran Cabo</v>
      </c>
      <c r="F2726" s="9" t="str">
        <f>IFERROR(__xludf.DUMMYFUNCTION("GOOGLETRANSLATE($A2726,""en"",""it"")"),"Monte del Capo Grande")</f>
        <v>Monte del Capo Grande</v>
      </c>
      <c r="G2726" s="9" t="str">
        <f>IFERROR(__xludf.DUMMYFUNCTION("GOOGLETRANSLATE($A2726,""en"",""zh-cn"")"),"大角山")</f>
        <v>大角山</v>
      </c>
      <c r="H2726" s="9" t="str">
        <f>IFERROR(__xludf.DUMMYFUNCTION("GOOGLETRANSLATE($A2726,""en"",""ja"")"),"グランド ケープ マウント")</f>
        <v>グランド ケープ マウント</v>
      </c>
      <c r="I2726" s="9" t="str">
        <f>IFERROR(__xludf.DUMMYFUNCTION("GOOGLETRANSLATE($A2726,""en"",""ko"")"),"그랜드 케이프 마운트")</f>
        <v>그랜드 케이프 마운트</v>
      </c>
      <c r="J2726" s="9" t="str">
        <f>IFERROR(__xludf.DUMMYFUNCTION("GOOGLETRANSLATE($A2726,""en"",""pt-BR"")"),"Monte do Grande Cabo")</f>
        <v>Monte do Grande Cabo</v>
      </c>
    </row>
    <row r="2727">
      <c r="A2727" s="9" t="str">
        <f>IFERROR(__xludf.DUMMYFUNCTION("""COMPUTED_VALUE"""),"Sinoe")</f>
        <v>Sinoe</v>
      </c>
      <c r="B2727" s="9" t="str">
        <f>IFERROR(__xludf.DUMMYFUNCTION("""COMPUTED_VALUE"""),"lr-si")</f>
        <v>lr-si</v>
      </c>
      <c r="C2727" s="9" t="str">
        <f>IFERROR(__xludf.DUMMYFUNCTION("GOOGLETRANSLATE($A2727,""en"",""de"")"),"Sinoe")</f>
        <v>Sinoe</v>
      </c>
      <c r="D2727" s="9" t="str">
        <f>IFERROR(__xludf.DUMMYFUNCTION("GOOGLETRANSLATE($A2727,""en"",""fr"")"),"Sinoé")</f>
        <v>Sinoé</v>
      </c>
      <c r="E2727" s="9" t="str">
        <f>IFERROR(__xludf.DUMMYFUNCTION("GOOGLETRANSLATE($A2727,""en"",""es"")"),"sinoe")</f>
        <v>sinoe</v>
      </c>
      <c r="F2727" s="9" t="str">
        <f>IFERROR(__xludf.DUMMYFUNCTION("GOOGLETRANSLATE($A2727,""en"",""it"")"),"Sinoe")</f>
        <v>Sinoe</v>
      </c>
      <c r="G2727" s="9" t="str">
        <f>IFERROR(__xludf.DUMMYFUNCTION("GOOGLETRANSLATE($A2727,""en"",""zh-cn"")"),"西诺埃")</f>
        <v>西诺埃</v>
      </c>
      <c r="H2727" s="9" t="str">
        <f>IFERROR(__xludf.DUMMYFUNCTION("GOOGLETRANSLATE($A2727,""en"",""ja"")"),"シノエ")</f>
        <v>シノエ</v>
      </c>
      <c r="I2727" s="9" t="str">
        <f>IFERROR(__xludf.DUMMYFUNCTION("GOOGLETRANSLATE($A2727,""en"",""ko"")"),"시노에")</f>
        <v>시노에</v>
      </c>
      <c r="J2727" s="9" t="str">
        <f>IFERROR(__xludf.DUMMYFUNCTION("GOOGLETRANSLATE($A2727,""en"",""pt-BR"")"),"Sinoé")</f>
        <v>Sinoé</v>
      </c>
    </row>
    <row r="2728">
      <c r="A2728" s="9" t="str">
        <f>IFERROR(__xludf.DUMMYFUNCTION("""COMPUTED_VALUE"""),"Grand Bassa")</f>
        <v>Grand Bassa</v>
      </c>
      <c r="B2728" s="9" t="str">
        <f>IFERROR(__xludf.DUMMYFUNCTION("""COMPUTED_VALUE"""),"lr-gb")</f>
        <v>lr-gb</v>
      </c>
      <c r="C2728" s="9" t="str">
        <f>IFERROR(__xludf.DUMMYFUNCTION("GOOGLETRANSLATE($A2728,""en"",""de"")"),"Grand Bassa")</f>
        <v>Grand Bassa</v>
      </c>
      <c r="D2728" s="9" t="str">
        <f>IFERROR(__xludf.DUMMYFUNCTION("GOOGLETRANSLATE($A2728,""en"",""fr"")"),"Grand-Basse")</f>
        <v>Grand-Basse</v>
      </c>
      <c r="E2728" s="9" t="str">
        <f>IFERROR(__xludf.DUMMYFUNCTION("GOOGLETRANSLATE($A2728,""en"",""es"")"),"Gran Bassa")</f>
        <v>Gran Bassa</v>
      </c>
      <c r="F2728" s="9" t="str">
        <f>IFERROR(__xludf.DUMMYFUNCTION("GOOGLETRANSLATE($A2728,""en"",""it"")"),"Gran Bassa")</f>
        <v>Gran Bassa</v>
      </c>
      <c r="G2728" s="9" t="str">
        <f>IFERROR(__xludf.DUMMYFUNCTION("GOOGLETRANSLATE($A2728,""en"",""zh-cn"")"),"大巴萨")</f>
        <v>大巴萨</v>
      </c>
      <c r="H2728" s="9" t="str">
        <f>IFERROR(__xludf.DUMMYFUNCTION("GOOGLETRANSLATE($A2728,""en"",""ja"")"),"グランバサ")</f>
        <v>グランバサ</v>
      </c>
      <c r="I2728" s="9" t="str">
        <f>IFERROR(__xludf.DUMMYFUNCTION("GOOGLETRANSLATE($A2728,""en"",""ko"")"),"그랜드 바사")</f>
        <v>그랜드 바사</v>
      </c>
      <c r="J2728" s="9" t="str">
        <f>IFERROR(__xludf.DUMMYFUNCTION("GOOGLETRANSLATE($A2728,""en"",""pt-BR"")"),"Grande Baixo")</f>
        <v>Grande Baixo</v>
      </c>
    </row>
    <row r="2729">
      <c r="A2729" s="9" t="str">
        <f>IFERROR(__xludf.DUMMYFUNCTION("""COMPUTED_VALUE"""),"Bong")</f>
        <v>Bong</v>
      </c>
      <c r="B2729" s="9" t="str">
        <f>IFERROR(__xludf.DUMMYFUNCTION("""COMPUTED_VALUE"""),"lr-bg")</f>
        <v>lr-bg</v>
      </c>
      <c r="C2729" s="9" t="str">
        <f>IFERROR(__xludf.DUMMYFUNCTION("GOOGLETRANSLATE($A2729,""en"",""de"")"),"Bong")</f>
        <v>Bong</v>
      </c>
      <c r="D2729" s="9" t="str">
        <f>IFERROR(__xludf.DUMMYFUNCTION("GOOGLETRANSLATE($A2729,""en"",""fr"")"),"Bang")</f>
        <v>Bang</v>
      </c>
      <c r="E2729" s="9" t="str">
        <f>IFERROR(__xludf.DUMMYFUNCTION("GOOGLETRANSLATE($A2729,""en"",""es"")"),"bong")</f>
        <v>bong</v>
      </c>
      <c r="F2729" s="9" t="str">
        <f>IFERROR(__xludf.DUMMYFUNCTION("GOOGLETRANSLATE($A2729,""en"",""it"")"),"Bong")</f>
        <v>Bong</v>
      </c>
      <c r="G2729" s="9" t="str">
        <f>IFERROR(__xludf.DUMMYFUNCTION("GOOGLETRANSLATE($A2729,""en"",""zh-cn"")"),"奉")</f>
        <v>奉</v>
      </c>
      <c r="H2729" s="9" t="str">
        <f>IFERROR(__xludf.DUMMYFUNCTION("GOOGLETRANSLATE($A2729,""en"",""ja"")"),"ボン")</f>
        <v>ボン</v>
      </c>
      <c r="I2729" s="9" t="str">
        <f>IFERROR(__xludf.DUMMYFUNCTION("GOOGLETRANSLATE($A2729,""en"",""ko"")"),"봉")</f>
        <v>봉</v>
      </c>
      <c r="J2729" s="9" t="str">
        <f>IFERROR(__xludf.DUMMYFUNCTION("GOOGLETRANSLATE($A2729,""en"",""pt-BR"")"),"Bongo")</f>
        <v>Bongo</v>
      </c>
    </row>
    <row r="2730">
      <c r="A2730" s="9" t="str">
        <f>IFERROR(__xludf.DUMMYFUNCTION("""COMPUTED_VALUE"""),"Bomi")</f>
        <v>Bomi</v>
      </c>
      <c r="B2730" s="9" t="str">
        <f>IFERROR(__xludf.DUMMYFUNCTION("""COMPUTED_VALUE"""),"lr-bm")</f>
        <v>lr-bm</v>
      </c>
      <c r="C2730" s="9" t="str">
        <f>IFERROR(__xludf.DUMMYFUNCTION("GOOGLETRANSLATE($A2730,""en"",""de"")"),"Bomi")</f>
        <v>Bomi</v>
      </c>
      <c r="D2730" s="9" t="str">
        <f>IFERROR(__xludf.DUMMYFUNCTION("GOOGLETRANSLATE($A2730,""en"",""fr"")"),"Bomi")</f>
        <v>Bomi</v>
      </c>
      <c r="E2730" s="9" t="str">
        <f>IFERROR(__xludf.DUMMYFUNCTION("GOOGLETRANSLATE($A2730,""en"",""es"")"),"bomi")</f>
        <v>bomi</v>
      </c>
      <c r="F2730" s="9" t="str">
        <f>IFERROR(__xludf.DUMMYFUNCTION("GOOGLETRANSLATE($A2730,""en"",""it"")"),"Bomi")</f>
        <v>Bomi</v>
      </c>
      <c r="G2730" s="9" t="str">
        <f>IFERROR(__xludf.DUMMYFUNCTION("GOOGLETRANSLATE($A2730,""en"",""zh-cn"")"),"波密")</f>
        <v>波密</v>
      </c>
      <c r="H2730" s="9" t="str">
        <f>IFERROR(__xludf.DUMMYFUNCTION("GOOGLETRANSLATE($A2730,""en"",""ja"")"),"ボミ")</f>
        <v>ボミ</v>
      </c>
      <c r="I2730" s="9" t="str">
        <f>IFERROR(__xludf.DUMMYFUNCTION("GOOGLETRANSLATE($A2730,""en"",""ko"")"),"보미")</f>
        <v>보미</v>
      </c>
      <c r="J2730" s="9" t="str">
        <f>IFERROR(__xludf.DUMMYFUNCTION("GOOGLETRANSLATE($A2730,""en"",""pt-BR"")"),"Bomi")</f>
        <v>Bomi</v>
      </c>
    </row>
    <row r="2731">
      <c r="A2731" s="9" t="str">
        <f>IFERROR(__xludf.DUMMYFUNCTION("""COMPUTED_VALUE"""),"Margibi")</f>
        <v>Margibi</v>
      </c>
      <c r="B2731" s="9" t="str">
        <f>IFERROR(__xludf.DUMMYFUNCTION("""COMPUTED_VALUE"""),"lr-mg")</f>
        <v>lr-mg</v>
      </c>
      <c r="C2731" s="9" t="str">
        <f>IFERROR(__xludf.DUMMYFUNCTION("GOOGLETRANSLATE($A2731,""en"",""de"")"),"Margibi")</f>
        <v>Margibi</v>
      </c>
      <c r="D2731" s="9" t="str">
        <f>IFERROR(__xludf.DUMMYFUNCTION("GOOGLETRANSLATE($A2731,""en"",""fr"")"),"Margibi")</f>
        <v>Margibi</v>
      </c>
      <c r="E2731" s="9" t="str">
        <f>IFERROR(__xludf.DUMMYFUNCTION("GOOGLETRANSLATE($A2731,""en"",""es"")"),"Margibi")</f>
        <v>Margibi</v>
      </c>
      <c r="F2731" s="9" t="str">
        <f>IFERROR(__xludf.DUMMYFUNCTION("GOOGLETRANSLATE($A2731,""en"",""it"")"),"Margibi")</f>
        <v>Margibi</v>
      </c>
      <c r="G2731" s="9" t="str">
        <f>IFERROR(__xludf.DUMMYFUNCTION("GOOGLETRANSLATE($A2731,""en"",""zh-cn"")"),"马尔吉比")</f>
        <v>马尔吉比</v>
      </c>
      <c r="H2731" s="9" t="str">
        <f>IFERROR(__xludf.DUMMYFUNCTION("GOOGLETRANSLATE($A2731,""en"",""ja"")"),"マルギビ")</f>
        <v>マルギビ</v>
      </c>
      <c r="I2731" s="9" t="str">
        <f>IFERROR(__xludf.DUMMYFUNCTION("GOOGLETRANSLATE($A2731,""en"",""ko"")"),"마르기비")</f>
        <v>마르기비</v>
      </c>
      <c r="J2731" s="9" t="str">
        <f>IFERROR(__xludf.DUMMYFUNCTION("GOOGLETRANSLATE($A2731,""en"",""pt-BR"")"),"Margibi")</f>
        <v>Margibi</v>
      </c>
    </row>
    <row r="2732">
      <c r="A2732" s="9" t="str">
        <f>IFERROR(__xludf.DUMMYFUNCTION("""COMPUTED_VALUE"""),"River Gee")</f>
        <v>River Gee</v>
      </c>
      <c r="B2732" s="9" t="str">
        <f>IFERROR(__xludf.DUMMYFUNCTION("""COMPUTED_VALUE"""),"lr-rg")</f>
        <v>lr-rg</v>
      </c>
      <c r="C2732" s="9" t="str">
        <f>IFERROR(__xludf.DUMMYFUNCTION("GOOGLETRANSLATE($A2732,""en"",""de"")"),"Fluss Gee")</f>
        <v>Fluss Gee</v>
      </c>
      <c r="D2732" s="9" t="str">
        <f>IFERROR(__xludf.DUMMYFUNCTION("GOOGLETRANSLATE($A2732,""en"",""fr"")"),"Rivière Gee")</f>
        <v>Rivière Gee</v>
      </c>
      <c r="E2732" s="9" t="str">
        <f>IFERROR(__xludf.DUMMYFUNCTION("GOOGLETRANSLATE($A2732,""en"",""es"")"),"Río Gee")</f>
        <v>Río Gee</v>
      </c>
      <c r="F2732" s="9" t="str">
        <f>IFERROR(__xludf.DUMMYFUNCTION("GOOGLETRANSLATE($A2732,""en"",""it"")"),"Fiume Gee")</f>
        <v>Fiume Gee</v>
      </c>
      <c r="G2732" s="9" t="str">
        <f>IFERROR(__xludf.DUMMYFUNCTION("GOOGLETRANSLATE($A2732,""en"",""zh-cn"")"),"吉河")</f>
        <v>吉河</v>
      </c>
      <c r="H2732" s="9" t="str">
        <f>IFERROR(__xludf.DUMMYFUNCTION("GOOGLETRANSLATE($A2732,""en"",""ja"")"),"リバージー")</f>
        <v>リバージー</v>
      </c>
      <c r="I2732" s="9" t="str">
        <f>IFERROR(__xludf.DUMMYFUNCTION("GOOGLETRANSLATE($A2732,""en"",""ko"")"),"리버 지")</f>
        <v>리버 지</v>
      </c>
      <c r="J2732" s="9" t="str">
        <f>IFERROR(__xludf.DUMMYFUNCTION("GOOGLETRANSLATE($A2732,""en"",""pt-BR"")"),"Rio Gee")</f>
        <v>Rio Gee</v>
      </c>
    </row>
    <row r="2733">
      <c r="A2733" s="9" t="str">
        <f>IFERROR(__xludf.DUMMYFUNCTION("""COMPUTED_VALUE"""),"Montserrado")</f>
        <v>Montserrado</v>
      </c>
      <c r="B2733" s="9" t="str">
        <f>IFERROR(__xludf.DUMMYFUNCTION("""COMPUTED_VALUE"""),"lr-mo")</f>
        <v>lr-mo</v>
      </c>
      <c r="C2733" s="9" t="str">
        <f>IFERROR(__xludf.DUMMYFUNCTION("GOOGLETRANSLATE($A2733,""en"",""de"")"),"Montserrado")</f>
        <v>Montserrado</v>
      </c>
      <c r="D2733" s="9" t="str">
        <f>IFERROR(__xludf.DUMMYFUNCTION("GOOGLETRANSLATE($A2733,""en"",""fr"")"),"Montserrado")</f>
        <v>Montserrado</v>
      </c>
      <c r="E2733" s="9" t="str">
        <f>IFERROR(__xludf.DUMMYFUNCTION("GOOGLETRANSLATE($A2733,""en"",""es"")"),"monserrado")</f>
        <v>monserrado</v>
      </c>
      <c r="F2733" s="9" t="str">
        <f>IFERROR(__xludf.DUMMYFUNCTION("GOOGLETRANSLATE($A2733,""en"",""it"")"),"Montserrado")</f>
        <v>Montserrado</v>
      </c>
      <c r="G2733" s="9" t="str">
        <f>IFERROR(__xludf.DUMMYFUNCTION("GOOGLETRANSLATE($A2733,""en"",""zh-cn"")"),"蒙特塞拉多")</f>
        <v>蒙特塞拉多</v>
      </c>
      <c r="H2733" s="9" t="str">
        <f>IFERROR(__xludf.DUMMYFUNCTION("GOOGLETRANSLATE($A2733,""en"",""ja"")"),"モンセラード")</f>
        <v>モンセラード</v>
      </c>
      <c r="I2733" s="9" t="str">
        <f>IFERROR(__xludf.DUMMYFUNCTION("GOOGLETRANSLATE($A2733,""en"",""ko"")"),"몬세라도")</f>
        <v>몬세라도</v>
      </c>
      <c r="J2733" s="9" t="str">
        <f>IFERROR(__xludf.DUMMYFUNCTION("GOOGLETRANSLATE($A2733,""en"",""pt-BR"")"),"Montserrado")</f>
        <v>Montserrado</v>
      </c>
    </row>
    <row r="2734">
      <c r="A2734" s="9" t="str">
        <f>IFERROR(__xludf.DUMMYFUNCTION("""COMPUTED_VALUE"""),"Maryland (LR)")</f>
        <v>Maryland (LR)</v>
      </c>
      <c r="B2734" s="9" t="str">
        <f>IFERROR(__xludf.DUMMYFUNCTION("""COMPUTED_VALUE"""),"lr-my")</f>
        <v>lr-my</v>
      </c>
      <c r="C2734" s="9" t="str">
        <f>IFERROR(__xludf.DUMMYFUNCTION("GOOGLETRANSLATE($A2734,""en"",""de"")"),"Maryland (LR)")</f>
        <v>Maryland (LR)</v>
      </c>
      <c r="D2734" s="9" t="str">
        <f>IFERROR(__xludf.DUMMYFUNCTION("GOOGLETRANSLATE($A2734,""en"",""fr"")"),"Maryland (LR)")</f>
        <v>Maryland (LR)</v>
      </c>
      <c r="E2734" s="9" t="str">
        <f>IFERROR(__xludf.DUMMYFUNCTION("GOOGLETRANSLATE($A2734,""en"",""es"")"),"Maryland (LR)")</f>
        <v>Maryland (LR)</v>
      </c>
      <c r="F2734" s="9" t="str">
        <f>IFERROR(__xludf.DUMMYFUNCTION("GOOGLETRANSLATE($A2734,""en"",""it"")"),"Maryland (LR)")</f>
        <v>Maryland (LR)</v>
      </c>
      <c r="G2734" s="9" t="str">
        <f>IFERROR(__xludf.DUMMYFUNCTION("GOOGLETRANSLATE($A2734,""en"",""zh-cn"")"),"马里兰州 (LR)")</f>
        <v>马里兰州 (LR)</v>
      </c>
      <c r="H2734" s="9" t="str">
        <f>IFERROR(__xludf.DUMMYFUNCTION("GOOGLETRANSLATE($A2734,""en"",""ja"")"),"メリーランド州（LR）")</f>
        <v>メリーランド州（LR）</v>
      </c>
      <c r="I2734" s="9" t="str">
        <f>IFERROR(__xludf.DUMMYFUNCTION("GOOGLETRANSLATE($A2734,""en"",""ko"")"),"메릴랜드(LR)")</f>
        <v>메릴랜드(LR)</v>
      </c>
      <c r="J2734" s="9" t="str">
        <f>IFERROR(__xludf.DUMMYFUNCTION("GOOGLETRANSLATE($A2734,""en"",""pt-BR"")"),"Maryland (LR)")</f>
        <v>Maryland (LR)</v>
      </c>
    </row>
    <row r="2735">
      <c r="A2735" s="9" t="str">
        <f>IFERROR(__xludf.DUMMYFUNCTION("""COMPUTED_VALUE"""),"Grand Gedeh")</f>
        <v>Grand Gedeh</v>
      </c>
      <c r="B2735" s="9" t="str">
        <f>IFERROR(__xludf.DUMMYFUNCTION("""COMPUTED_VALUE"""),"lr-gg")</f>
        <v>lr-gg</v>
      </c>
      <c r="C2735" s="9" t="str">
        <f>IFERROR(__xludf.DUMMYFUNCTION("GOOGLETRANSLATE($A2735,""en"",""de"")"),"Grand Gedeh")</f>
        <v>Grand Gedeh</v>
      </c>
      <c r="D2735" s="9" t="str">
        <f>IFERROR(__xludf.DUMMYFUNCTION("GOOGLETRANSLATE($A2735,""en"",""fr"")"),"Grand Guedeh")</f>
        <v>Grand Guedeh</v>
      </c>
      <c r="E2735" s="9" t="str">
        <f>IFERROR(__xludf.DUMMYFUNCTION("GOOGLETRANSLATE($A2735,""en"",""es"")"),"Gran Gedeh")</f>
        <v>Gran Gedeh</v>
      </c>
      <c r="F2735" s="9" t="str">
        <f>IFERROR(__xludf.DUMMYFUNCTION("GOOGLETRANSLATE($A2735,""en"",""it"")"),"Gran Gedeh")</f>
        <v>Gran Gedeh</v>
      </c>
      <c r="G2735" s="9" t="str">
        <f>IFERROR(__xludf.DUMMYFUNCTION("GOOGLETRANSLATE($A2735,""en"",""zh-cn"")"),"大吉德")</f>
        <v>大吉德</v>
      </c>
      <c r="H2735" s="9" t="str">
        <f>IFERROR(__xludf.DUMMYFUNCTION("GOOGLETRANSLATE($A2735,""en"",""ja"")"),"グランド ゲデ")</f>
        <v>グランド ゲデ</v>
      </c>
      <c r="I2735" s="9" t="str">
        <f>IFERROR(__xludf.DUMMYFUNCTION("GOOGLETRANSLATE($A2735,""en"",""ko"")"),"그랜드게데")</f>
        <v>그랜드게데</v>
      </c>
      <c r="J2735" s="9" t="str">
        <f>IFERROR(__xludf.DUMMYFUNCTION("GOOGLETRANSLATE($A2735,""en"",""pt-BR"")"),"Grande Gedeh")</f>
        <v>Grande Gedeh</v>
      </c>
    </row>
    <row r="2736">
      <c r="A2736" s="9" t="str">
        <f>IFERROR(__xludf.DUMMYFUNCTION("""COMPUTED_VALUE"""),"Nimba")</f>
        <v>Nimba</v>
      </c>
      <c r="B2736" s="9" t="str">
        <f>IFERROR(__xludf.DUMMYFUNCTION("""COMPUTED_VALUE"""),"lr-ni")</f>
        <v>lr-ni</v>
      </c>
      <c r="C2736" s="9" t="str">
        <f>IFERROR(__xludf.DUMMYFUNCTION("GOOGLETRANSLATE($A2736,""en"",""de"")"),"Nimba")</f>
        <v>Nimba</v>
      </c>
      <c r="D2736" s="9" t="str">
        <f>IFERROR(__xludf.DUMMYFUNCTION("GOOGLETRANSLATE($A2736,""en"",""fr"")"),"Nimba")</f>
        <v>Nimba</v>
      </c>
      <c r="E2736" s="9" t="str">
        <f>IFERROR(__xludf.DUMMYFUNCTION("GOOGLETRANSLATE($A2736,""en"",""es"")"),"nimba")</f>
        <v>nimba</v>
      </c>
      <c r="F2736" s="9" t="str">
        <f>IFERROR(__xludf.DUMMYFUNCTION("GOOGLETRANSLATE($A2736,""en"",""it"")"),"Nimba")</f>
        <v>Nimba</v>
      </c>
      <c r="G2736" s="9" t="str">
        <f>IFERROR(__xludf.DUMMYFUNCTION("GOOGLETRANSLATE($A2736,""en"",""zh-cn"")"),"宁巴")</f>
        <v>宁巴</v>
      </c>
      <c r="H2736" s="9" t="str">
        <f>IFERROR(__xludf.DUMMYFUNCTION("GOOGLETRANSLATE($A2736,""en"",""ja"")"),"ニンバ")</f>
        <v>ニンバ</v>
      </c>
      <c r="I2736" s="9" t="str">
        <f>IFERROR(__xludf.DUMMYFUNCTION("GOOGLETRANSLATE($A2736,""en"",""ko"")"),"님바")</f>
        <v>님바</v>
      </c>
      <c r="J2736" s="9" t="str">
        <f>IFERROR(__xludf.DUMMYFUNCTION("GOOGLETRANSLATE($A2736,""en"",""pt-BR"")"),"Nimba")</f>
        <v>Nimba</v>
      </c>
    </row>
    <row r="2737">
      <c r="A2737" s="9" t="str">
        <f>IFERROR(__xludf.DUMMYFUNCTION("""COMPUTED_VALUE"""),"Gbarpolu")</f>
        <v>Gbarpolu</v>
      </c>
      <c r="B2737" s="9" t="str">
        <f>IFERROR(__xludf.DUMMYFUNCTION("""COMPUTED_VALUE"""),"lr-gp")</f>
        <v>lr-gp</v>
      </c>
      <c r="C2737" s="9" t="str">
        <f>IFERROR(__xludf.DUMMYFUNCTION("GOOGLETRANSLATE($A2737,""en"",""de"")"),"Gbarpolu")</f>
        <v>Gbarpolu</v>
      </c>
      <c r="D2737" s="9" t="str">
        <f>IFERROR(__xludf.DUMMYFUNCTION("GOOGLETRANSLATE($A2737,""en"",""fr"")"),"Gbarpolu")</f>
        <v>Gbarpolu</v>
      </c>
      <c r="E2737" s="9" t="str">
        <f>IFERROR(__xludf.DUMMYFUNCTION("GOOGLETRANSLATE($A2737,""en"",""es"")"),"Gbarpolu")</f>
        <v>Gbarpolu</v>
      </c>
      <c r="F2737" s="9" t="str">
        <f>IFERROR(__xludf.DUMMYFUNCTION("GOOGLETRANSLATE($A2737,""en"",""it"")"),"Gbarpolù")</f>
        <v>Gbarpolù</v>
      </c>
      <c r="G2737" s="9" t="str">
        <f>IFERROR(__xludf.DUMMYFUNCTION("GOOGLETRANSLATE($A2737,""en"",""zh-cn"")"),"巴尔波卢")</f>
        <v>巴尔波卢</v>
      </c>
      <c r="H2737" s="9" t="str">
        <f>IFERROR(__xludf.DUMMYFUNCTION("GOOGLETRANSLATE($A2737,""en"",""ja"")"),"グバルポル")</f>
        <v>グバルポル</v>
      </c>
      <c r="I2737" s="9" t="str">
        <f>IFERROR(__xludf.DUMMYFUNCTION("GOOGLETRANSLATE($A2737,""en"",""ko"")"),"그바르폴루")</f>
        <v>그바르폴루</v>
      </c>
      <c r="J2737" s="9" t="str">
        <f>IFERROR(__xludf.DUMMYFUNCTION("GOOGLETRANSLATE($A2737,""en"",""pt-BR"")"),"Gbarpolu")</f>
        <v>Gbarpolu</v>
      </c>
    </row>
    <row r="2738">
      <c r="A2738" s="9" t="str">
        <f>IFERROR(__xludf.DUMMYFUNCTION("""COMPUTED_VALUE"""),"Lofa")</f>
        <v>Lofa</v>
      </c>
      <c r="B2738" s="9" t="str">
        <f>IFERROR(__xludf.DUMMYFUNCTION("""COMPUTED_VALUE"""),"lr-lo")</f>
        <v>lr-lo</v>
      </c>
      <c r="C2738" s="9" t="str">
        <f>IFERROR(__xludf.DUMMYFUNCTION("GOOGLETRANSLATE($A2738,""en"",""de"")"),"Lofa")</f>
        <v>Lofa</v>
      </c>
      <c r="D2738" s="9" t="str">
        <f>IFERROR(__xludf.DUMMYFUNCTION("GOOGLETRANSLATE($A2738,""en"",""fr"")"),"Lofa")</f>
        <v>Lofa</v>
      </c>
      <c r="E2738" s="9" t="str">
        <f>IFERROR(__xludf.DUMMYFUNCTION("GOOGLETRANSLATE($A2738,""en"",""es"")"),"lofa")</f>
        <v>lofa</v>
      </c>
      <c r="F2738" s="9" t="str">
        <f>IFERROR(__xludf.DUMMYFUNCTION("GOOGLETRANSLATE($A2738,""en"",""it"")"),"Lofa")</f>
        <v>Lofa</v>
      </c>
      <c r="G2738" s="9" t="str">
        <f>IFERROR(__xludf.DUMMYFUNCTION("GOOGLETRANSLATE($A2738,""en"",""zh-cn"")"),"洛法")</f>
        <v>洛法</v>
      </c>
      <c r="H2738" s="9" t="str">
        <f>IFERROR(__xludf.DUMMYFUNCTION("GOOGLETRANSLATE($A2738,""en"",""ja"")"),"ロファ")</f>
        <v>ロファ</v>
      </c>
      <c r="I2738" s="9" t="str">
        <f>IFERROR(__xludf.DUMMYFUNCTION("GOOGLETRANSLATE($A2738,""en"",""ko"")"),"로파")</f>
        <v>로파</v>
      </c>
      <c r="J2738" s="9" t="str">
        <f>IFERROR(__xludf.DUMMYFUNCTION("GOOGLETRANSLATE($A2738,""en"",""pt-BR"")"),"Lofa")</f>
        <v>Lofa</v>
      </c>
    </row>
    <row r="2739">
      <c r="A2739" s="9" t="str">
        <f>IFERROR(__xludf.DUMMYFUNCTION("""COMPUTED_VALUE"""),"Rivercess")</f>
        <v>Rivercess</v>
      </c>
      <c r="B2739" s="9" t="str">
        <f>IFERROR(__xludf.DUMMYFUNCTION("""COMPUTED_VALUE"""),"lr-ri")</f>
        <v>lr-ri</v>
      </c>
      <c r="C2739" s="9" t="str">
        <f>IFERROR(__xludf.DUMMYFUNCTION("GOOGLETRANSLATE($A2739,""en"",""de"")"),"Rivercess")</f>
        <v>Rivercess</v>
      </c>
      <c r="D2739" s="9" t="str">
        <f>IFERROR(__xludf.DUMMYFUNCTION("GOOGLETRANSLATE($A2739,""en"",""fr"")"),"Accès à la rivière")</f>
        <v>Accès à la rivière</v>
      </c>
      <c r="E2739" s="9" t="str">
        <f>IFERROR(__xludf.DUMMYFUNCTION("GOOGLETRANSLATE($A2739,""en"",""es"")"),"río")</f>
        <v>río</v>
      </c>
      <c r="F2739" s="9" t="str">
        <f>IFERROR(__xludf.DUMMYFUNCTION("GOOGLETRANSLATE($A2739,""en"",""it"")"),"Rivercess")</f>
        <v>Rivercess</v>
      </c>
      <c r="G2739" s="9" t="str">
        <f>IFERROR(__xludf.DUMMYFUNCTION("GOOGLETRANSLATE($A2739,""en"",""zh-cn"")"),"里弗塞斯")</f>
        <v>里弗塞斯</v>
      </c>
      <c r="H2739" s="9" t="str">
        <f>IFERROR(__xludf.DUMMYFUNCTION("GOOGLETRANSLATE($A2739,""en"",""ja"")"),"リバーセス")</f>
        <v>リバーセス</v>
      </c>
      <c r="I2739" s="9" t="str">
        <f>IFERROR(__xludf.DUMMYFUNCTION("GOOGLETRANSLATE($A2739,""en"",""ko"")"),"리버세스")</f>
        <v>리버세스</v>
      </c>
      <c r="J2739" s="9" t="str">
        <f>IFERROR(__xludf.DUMMYFUNCTION("GOOGLETRANSLATE($A2739,""en"",""pt-BR"")"),"Rio")</f>
        <v>Rio</v>
      </c>
    </row>
    <row r="2740">
      <c r="A2740" s="9" t="str">
        <f>IFERROR(__xludf.DUMMYFUNCTION("""COMPUTED_VALUE"""),"Sabhā")</f>
        <v>Sabhā</v>
      </c>
      <c r="B2740" s="9" t="str">
        <f>IFERROR(__xludf.DUMMYFUNCTION("""COMPUTED_VALUE"""),"ly-sb")</f>
        <v>ly-sb</v>
      </c>
      <c r="C2740" s="9" t="str">
        <f>IFERROR(__xludf.DUMMYFUNCTION("GOOGLETRANSLATE($A2740,""en"",""de"")"),"Sabha")</f>
        <v>Sabha</v>
      </c>
      <c r="D2740" s="9" t="str">
        <f>IFERROR(__xludf.DUMMYFUNCTION("GOOGLETRANSLATE($A2740,""en"",""fr"")"),"Sabha")</f>
        <v>Sabha</v>
      </c>
      <c r="E2740" s="9" t="str">
        <f>IFERROR(__xludf.DUMMYFUNCTION("GOOGLETRANSLATE($A2740,""en"",""es"")"),"sabha")</f>
        <v>sabha</v>
      </c>
      <c r="F2740" s="9" t="str">
        <f>IFERROR(__xludf.DUMMYFUNCTION("GOOGLETRANSLATE($A2740,""en"",""it"")"),"Sabha")</f>
        <v>Sabha</v>
      </c>
      <c r="G2740" s="9" t="str">
        <f>IFERROR(__xludf.DUMMYFUNCTION("GOOGLETRANSLATE($A2740,""en"",""zh-cn"")"),"塞巴哈")</f>
        <v>塞巴哈</v>
      </c>
      <c r="H2740" s="9" t="str">
        <f>IFERROR(__xludf.DUMMYFUNCTION("GOOGLETRANSLATE($A2740,""en"",""ja"")"),"サバ")</f>
        <v>サバ</v>
      </c>
      <c r="I2740" s="9" t="str">
        <f>IFERROR(__xludf.DUMMYFUNCTION("GOOGLETRANSLATE($A2740,""en"",""ko"")"),"사바")</f>
        <v>사바</v>
      </c>
      <c r="J2740" s="9" t="str">
        <f>IFERROR(__xludf.DUMMYFUNCTION("GOOGLETRANSLATE($A2740,""en"",""pt-BR"")"),"Sabha")</f>
        <v>Sabha</v>
      </c>
    </row>
    <row r="2741">
      <c r="A2741" s="9" t="str">
        <f>IFERROR(__xludf.DUMMYFUNCTION("""COMPUTED_VALUE"""),"Al Jifārah")</f>
        <v>Al Jifārah</v>
      </c>
      <c r="B2741" s="9" t="str">
        <f>IFERROR(__xludf.DUMMYFUNCTION("""COMPUTED_VALUE"""),"ly-ji")</f>
        <v>ly-ji</v>
      </c>
      <c r="C2741" s="9" t="str">
        <f>IFERROR(__xludf.DUMMYFUNCTION("GOOGLETRANSLATE($A2741,""en"",""de"")"),"Al Jifārah")</f>
        <v>Al Jifārah</v>
      </c>
      <c r="D2741" s="9" t="str">
        <f>IFERROR(__xludf.DUMMYFUNCTION("GOOGLETRANSLATE($A2741,""en"",""fr"")"),"Al Jifarah")</f>
        <v>Al Jifarah</v>
      </c>
      <c r="E2741" s="9" t="str">
        <f>IFERROR(__xludf.DUMMYFUNCTION("GOOGLETRANSLATE($A2741,""en"",""es"")"),"Al Jifārah")</f>
        <v>Al Jifārah</v>
      </c>
      <c r="F2741" s="9" t="str">
        <f>IFERROR(__xludf.DUMMYFUNCTION("GOOGLETRANSLATE($A2741,""en"",""it"")"),"Al Jifarah")</f>
        <v>Al Jifarah</v>
      </c>
      <c r="G2741" s="9" t="str">
        <f>IFERROR(__xludf.DUMMYFUNCTION("GOOGLETRANSLATE($A2741,""en"",""zh-cn"")"),"吉法拉")</f>
        <v>吉法拉</v>
      </c>
      <c r="H2741" s="9" t="str">
        <f>IFERROR(__xludf.DUMMYFUNCTION("GOOGLETRANSLATE($A2741,""en"",""ja"")"),"アル ジファラ")</f>
        <v>アル ジファラ</v>
      </c>
      <c r="I2741" s="9" t="str">
        <f>IFERROR(__xludf.DUMMYFUNCTION("GOOGLETRANSLATE($A2741,""en"",""ko"")"),"알 지파라")</f>
        <v>알 지파라</v>
      </c>
      <c r="J2741" s="9" t="str">
        <f>IFERROR(__xludf.DUMMYFUNCTION("GOOGLETRANSLATE($A2741,""en"",""pt-BR"")"),"Al Jifarah")</f>
        <v>Al Jifarah</v>
      </c>
    </row>
    <row r="2742">
      <c r="A2742" s="9" t="str">
        <f>IFERROR(__xludf.DUMMYFUNCTION("""COMPUTED_VALUE"""),"Al Buţnān")</f>
        <v>Al Buţnān</v>
      </c>
      <c r="B2742" s="9" t="str">
        <f>IFERROR(__xludf.DUMMYFUNCTION("""COMPUTED_VALUE"""),"ly-bu")</f>
        <v>ly-bu</v>
      </c>
      <c r="C2742" s="9" t="str">
        <f>IFERROR(__xludf.DUMMYFUNCTION("GOOGLETRANSLATE($A2742,""en"",""de"")"),"Al Buţnān")</f>
        <v>Al Buţnān</v>
      </c>
      <c r="D2742" s="9" t="str">
        <f>IFERROR(__xludf.DUMMYFUNCTION("GOOGLETRANSLATE($A2742,""en"",""fr"")"),"Al Butnanan")</f>
        <v>Al Butnanan</v>
      </c>
      <c r="E2742" s="9" t="str">
        <f>IFERROR(__xludf.DUMMYFUNCTION("GOOGLETRANSLATE($A2742,""en"",""es"")"),"Al Buţnān")</f>
        <v>Al Buţnān</v>
      </c>
      <c r="F2742" s="9" t="str">
        <f>IFERROR(__xludf.DUMMYFUNCTION("GOOGLETRANSLATE($A2742,""en"",""it"")"),"Al Butnan")</f>
        <v>Al Butnan</v>
      </c>
      <c r="G2742" s="9" t="str">
        <f>IFERROR(__xludf.DUMMYFUNCTION("GOOGLETRANSLATE($A2742,""en"",""zh-cn"")"),"阿尔布坦南")</f>
        <v>阿尔布坦南</v>
      </c>
      <c r="H2742" s="9" t="str">
        <f>IFERROR(__xludf.DUMMYFUNCTION("GOOGLETRANSLATE($A2742,""en"",""ja"")"),"アル・ブズナン")</f>
        <v>アル・ブズナン</v>
      </c>
      <c r="I2742" s="9" t="str">
        <f>IFERROR(__xludf.DUMMYFUNCTION("GOOGLETRANSLATE($A2742,""en"",""ko"")"),"알 부난")</f>
        <v>알 부난</v>
      </c>
      <c r="J2742" s="9" t="str">
        <f>IFERROR(__xludf.DUMMYFUNCTION("GOOGLETRANSLATE($A2742,""en"",""pt-BR"")"),"Al Butnan")</f>
        <v>Al Butnan</v>
      </c>
    </row>
    <row r="2743">
      <c r="A2743" s="9" t="str">
        <f>IFERROR(__xludf.DUMMYFUNCTION("""COMPUTED_VALUE"""),"Wādī ash Shāţiʾ")</f>
        <v>Wādī ash Shāţiʾ</v>
      </c>
      <c r="B2743" s="9" t="str">
        <f>IFERROR(__xludf.DUMMYFUNCTION("""COMPUTED_VALUE"""),"ly-ws")</f>
        <v>ly-ws</v>
      </c>
      <c r="C2743" s="9" t="str">
        <f>IFERROR(__xludf.DUMMYFUNCTION("GOOGLETRANSLATE($A2743,""en"",""de"")"),"Wādī ash Shāţiʾ")</f>
        <v>Wādī ash Shāţiʾ</v>
      </c>
      <c r="D2743" s="9" t="str">
        <f>IFERROR(__xludf.DUMMYFUNCTION("GOOGLETRANSLATE($A2743,""en"",""fr"")"),"Wādī ash Shāţiʾ")</f>
        <v>Wādī ash Shāţiʾ</v>
      </c>
      <c r="E2743" s="9" t="str">
        <f>IFERROR(__xludf.DUMMYFUNCTION("GOOGLETRANSLATE($A2743,""en"",""es"")"),"Wadī ash Shāţiʾ")</f>
        <v>Wadī ash Shāţiʾ</v>
      </c>
      <c r="F2743" s="9" t="str">
        <f>IFERROR(__xludf.DUMMYFUNCTION("GOOGLETRANSLATE($A2743,""en"",""it"")"),"Wādī ash Shāţiʾ")</f>
        <v>Wādī ash Shāţiʾ</v>
      </c>
      <c r="G2743" s="9" t="str">
        <f>IFERROR(__xludf.DUMMYFUNCTION("GOOGLETRANSLATE($A2743,""en"",""zh-cn"")"),"瓦迪·阿什·沙蒂")</f>
        <v>瓦迪·阿什·沙蒂</v>
      </c>
      <c r="H2743" s="9" t="str">
        <f>IFERROR(__xludf.DUMMYFUNCTION("GOOGLETRANSLATE($A2743,""en"",""ja"")"),"ワディー・アッシュ・シャーシ")</f>
        <v>ワディー・アッシュ・シャーシ</v>
      </c>
      <c r="I2743" s="9" t="str">
        <f>IFERROR(__xludf.DUMMYFUNCTION("GOOGLETRANSLATE($A2743,""en"",""ko"")"),"와디 애시 샤티ʾ")</f>
        <v>와디 애시 샤티ʾ</v>
      </c>
      <c r="J2743" s="9" t="str">
        <f>IFERROR(__xludf.DUMMYFUNCTION("GOOGLETRANSLATE($A2743,""en"",""pt-BR"")"),"Wādī ash Shāţiʾ")</f>
        <v>Wādī ash Shāţiʾ</v>
      </c>
    </row>
    <row r="2744">
      <c r="A2744" s="9" t="str">
        <f>IFERROR(__xludf.DUMMYFUNCTION("""COMPUTED_VALUE"""),"Ţarābulus")</f>
        <v>Ţarābulus</v>
      </c>
      <c r="B2744" s="9" t="str">
        <f>IFERROR(__xludf.DUMMYFUNCTION("""COMPUTED_VALUE"""),"ly-tb")</f>
        <v>ly-tb</v>
      </c>
      <c r="C2744" s="9" t="str">
        <f>IFERROR(__xludf.DUMMYFUNCTION("GOOGLETRANSLATE($A2744,""en"",""de"")"),"Ţarābulus")</f>
        <v>Ţarābulus</v>
      </c>
      <c r="D2744" s="9" t="str">
        <f>IFERROR(__xludf.DUMMYFUNCTION("GOOGLETRANSLATE($A2744,""en"",""fr"")"),"Tarabulus")</f>
        <v>Tarabulus</v>
      </c>
      <c r="E2744" s="9" t="str">
        <f>IFERROR(__xludf.DUMMYFUNCTION("GOOGLETRANSLATE($A2744,""en"",""es"")"),"Tarabulus")</f>
        <v>Tarabulus</v>
      </c>
      <c r="F2744" s="9" t="str">
        <f>IFERROR(__xludf.DUMMYFUNCTION("GOOGLETRANSLATE($A2744,""en"",""it"")"),"Sarabulus")</f>
        <v>Sarabulus</v>
      </c>
      <c r="G2744" s="9" t="str">
        <f>IFERROR(__xludf.DUMMYFUNCTION("GOOGLETRANSLATE($A2744,""en"",""zh-cn"")"),"萨拉布卢斯")</f>
        <v>萨拉布卢斯</v>
      </c>
      <c r="H2744" s="9" t="str">
        <f>IFERROR(__xludf.DUMMYFUNCTION("GOOGLETRANSLATE($A2744,""en"",""ja"")"),"シャラブルス")</f>
        <v>シャラブルス</v>
      </c>
      <c r="I2744" s="9" t="str">
        <f>IFERROR(__xludf.DUMMYFUNCTION("GOOGLETRANSLATE($A2744,""en"",""ko"")"),"아라불루스")</f>
        <v>아라불루스</v>
      </c>
      <c r="J2744" s="9" t="str">
        <f>IFERROR(__xludf.DUMMYFUNCTION("GOOGLETRANSLATE($A2744,""en"",""pt-BR"")"),"Tarabulus")</f>
        <v>Tarabulus</v>
      </c>
    </row>
    <row r="2745">
      <c r="A2745" s="9" t="str">
        <f>IFERROR(__xludf.DUMMYFUNCTION("""COMPUTED_VALUE"""),"Al Kufrah")</f>
        <v>Al Kufrah</v>
      </c>
      <c r="B2745" s="9" t="str">
        <f>IFERROR(__xludf.DUMMYFUNCTION("""COMPUTED_VALUE"""),"ly-kf")</f>
        <v>ly-kf</v>
      </c>
      <c r="C2745" s="9" t="str">
        <f>IFERROR(__xludf.DUMMYFUNCTION("GOOGLETRANSLATE($A2745,""en"",""de"")"),"Al Kufrah")</f>
        <v>Al Kufrah</v>
      </c>
      <c r="D2745" s="9" t="str">
        <f>IFERROR(__xludf.DUMMYFUNCTION("GOOGLETRANSLATE($A2745,""en"",""fr"")"),"Al Kufrah")</f>
        <v>Al Kufrah</v>
      </c>
      <c r="E2745" s="9" t="str">
        <f>IFERROR(__xludf.DUMMYFUNCTION("GOOGLETRANSLATE($A2745,""en"",""es"")"),"Al-Kufrah")</f>
        <v>Al-Kufrah</v>
      </c>
      <c r="F2745" s="9" t="str">
        <f>IFERROR(__xludf.DUMMYFUNCTION("GOOGLETRANSLATE($A2745,""en"",""it"")"),"Al Kufrah")</f>
        <v>Al Kufrah</v>
      </c>
      <c r="G2745" s="9" t="str">
        <f>IFERROR(__xludf.DUMMYFUNCTION("GOOGLETRANSLATE($A2745,""en"",""zh-cn"")"),"阿尔库夫拉")</f>
        <v>阿尔库夫拉</v>
      </c>
      <c r="H2745" s="9" t="str">
        <f>IFERROR(__xludf.DUMMYFUNCTION("GOOGLETRANSLATE($A2745,""en"",""ja"")"),"アル・クフラ")</f>
        <v>アル・クフラ</v>
      </c>
      <c r="I2745" s="9" t="str">
        <f>IFERROR(__xludf.DUMMYFUNCTION("GOOGLETRANSLATE($A2745,""en"",""ko"")"),"알 쿠프라")</f>
        <v>알 쿠프라</v>
      </c>
      <c r="J2745" s="9" t="str">
        <f>IFERROR(__xludf.DUMMYFUNCTION("GOOGLETRANSLATE($A2745,""en"",""pt-BR"")"),"Al Kufrah")</f>
        <v>Al Kufrah</v>
      </c>
    </row>
    <row r="2746">
      <c r="A2746" s="9" t="str">
        <f>IFERROR(__xludf.DUMMYFUNCTION("""COMPUTED_VALUE"""),"Az Zāwiyah")</f>
        <v>Az Zāwiyah</v>
      </c>
      <c r="B2746" s="9" t="str">
        <f>IFERROR(__xludf.DUMMYFUNCTION("""COMPUTED_VALUE"""),"ly-za")</f>
        <v>ly-za</v>
      </c>
      <c r="C2746" s="9" t="str">
        <f>IFERROR(__xludf.DUMMYFUNCTION("GOOGLETRANSLATE($A2746,""en"",""de"")"),"Az Zāwiyah")</f>
        <v>Az Zāwiyah</v>
      </c>
      <c r="D2746" s="9" t="str">
        <f>IFERROR(__xludf.DUMMYFUNCTION("GOOGLETRANSLATE($A2746,""en"",""fr"")"),"Az Zawiyah")</f>
        <v>Az Zawiyah</v>
      </c>
      <c r="E2746" s="9" t="str">
        <f>IFERROR(__xludf.DUMMYFUNCTION("GOOGLETRANSLATE($A2746,""en"",""es"")"),"Az Zāwiyah")</f>
        <v>Az Zāwiyah</v>
      </c>
      <c r="F2746" s="9" t="str">
        <f>IFERROR(__xludf.DUMMYFUNCTION("GOOGLETRANSLATE($A2746,""en"",""it"")"),"Az Zawiyah")</f>
        <v>Az Zawiyah</v>
      </c>
      <c r="G2746" s="9" t="str">
        <f>IFERROR(__xludf.DUMMYFUNCTION("GOOGLETRANSLATE($A2746,""en"",""zh-cn"")"),"阿兹扎维亚")</f>
        <v>阿兹扎维亚</v>
      </c>
      <c r="H2746" s="9" t="str">
        <f>IFERROR(__xludf.DUMMYFUNCTION("GOOGLETRANSLATE($A2746,""en"",""ja"")"),"アズ・ザウィヤ")</f>
        <v>アズ・ザウィヤ</v>
      </c>
      <c r="I2746" s="9" t="str">
        <f>IFERROR(__xludf.DUMMYFUNCTION("GOOGLETRANSLATE($A2746,""en"",""ko"")"),"아즈 자위야")</f>
        <v>아즈 자위야</v>
      </c>
      <c r="J2746" s="9" t="str">
        <f>IFERROR(__xludf.DUMMYFUNCTION("GOOGLETRANSLATE($A2746,""en"",""pt-BR"")"),"Az Zāwiyah")</f>
        <v>Az Zāwiyah</v>
      </c>
    </row>
    <row r="2747">
      <c r="A2747" s="9" t="str">
        <f>IFERROR(__xludf.DUMMYFUNCTION("""COMPUTED_VALUE"""),"An Nuqaţ al Khams")</f>
        <v>An Nuqaţ al Khams</v>
      </c>
      <c r="B2747" s="9" t="str">
        <f>IFERROR(__xludf.DUMMYFUNCTION("""COMPUTED_VALUE"""),"ly-nq")</f>
        <v>ly-nq</v>
      </c>
      <c r="C2747" s="9" t="str">
        <f>IFERROR(__xludf.DUMMYFUNCTION("GOOGLETRANSLATE($A2747,""en"",""de"")"),"An Nuqaţ al Khams")</f>
        <v>An Nuqaţ al Khams</v>
      </c>
      <c r="D2747" s="9" t="str">
        <f>IFERROR(__xludf.DUMMYFUNCTION("GOOGLETRANSLATE($A2747,""en"",""fr"")"),"An Nuqaţ al Khams")</f>
        <v>An Nuqaţ al Khams</v>
      </c>
      <c r="E2747" s="9" t="str">
        <f>IFERROR(__xludf.DUMMYFUNCTION("GOOGLETRANSLATE($A2747,""en"",""es"")"),"An Nuqaţ al Khams")</f>
        <v>An Nuqaţ al Khams</v>
      </c>
      <c r="F2747" s="9" t="str">
        <f>IFERROR(__xludf.DUMMYFUNCTION("GOOGLETRANSLATE($A2747,""en"",""it"")"),"An Nuqaţ al Khams")</f>
        <v>An Nuqaţ al Khams</v>
      </c>
      <c r="G2747" s="9" t="str">
        <f>IFERROR(__xludf.DUMMYFUNCTION("GOOGLETRANSLATE($A2747,""en"",""zh-cn"")"),"安·努卡特·阿尔·坎姆斯")</f>
        <v>安·努卡特·阿尔·坎姆斯</v>
      </c>
      <c r="H2747" s="9" t="str">
        <f>IFERROR(__xludf.DUMMYFUNCTION("GOOGLETRANSLATE($A2747,""en"",""ja"")"),"アン・ヌカシュ・アル・カムス")</f>
        <v>アン・ヌカシュ・アル・カムス</v>
      </c>
      <c r="I2747" s="9" t="str">
        <f>IFERROR(__xludf.DUMMYFUNCTION("GOOGLETRANSLATE($A2747,""en"",""ko"")"),"안 누카트 알 캄스")</f>
        <v>안 누카트 알 캄스</v>
      </c>
      <c r="J2747" s="9" t="str">
        <f>IFERROR(__xludf.DUMMYFUNCTION("GOOGLETRANSLATE($A2747,""en"",""pt-BR"")"),"An Nuqaţ al Khams")</f>
        <v>An Nuqaţ al Khams</v>
      </c>
    </row>
    <row r="2748">
      <c r="A2748" s="9" t="str">
        <f>IFERROR(__xludf.DUMMYFUNCTION("""COMPUTED_VALUE"""),"Mişrātah")</f>
        <v>Mişrātah</v>
      </c>
      <c r="B2748" s="9" t="str">
        <f>IFERROR(__xludf.DUMMYFUNCTION("""COMPUTED_VALUE"""),"ly-mi")</f>
        <v>ly-mi</v>
      </c>
      <c r="C2748" s="9" t="str">
        <f>IFERROR(__xludf.DUMMYFUNCTION("GOOGLETRANSLATE($A2748,""en"",""de"")"),"Mişrātah")</f>
        <v>Mişrātah</v>
      </c>
      <c r="D2748" s="9" t="str">
        <f>IFERROR(__xludf.DUMMYFUNCTION("GOOGLETRANSLATE($A2748,""en"",""fr"")"),"Misratah")</f>
        <v>Misratah</v>
      </c>
      <c r="E2748" s="9" t="str">
        <f>IFERROR(__xludf.DUMMYFUNCTION("GOOGLETRANSLATE($A2748,""en"",""es"")"),"Mişrātah")</f>
        <v>Mişrātah</v>
      </c>
      <c r="F2748" s="9" t="str">
        <f>IFERROR(__xludf.DUMMYFUNCTION("GOOGLETRANSLATE($A2748,""en"",""it"")"),"Mişratah")</f>
        <v>Mişratah</v>
      </c>
      <c r="G2748" s="9" t="str">
        <f>IFERROR(__xludf.DUMMYFUNCTION("GOOGLETRANSLATE($A2748,""en"",""zh-cn"")"),"米什拉塔")</f>
        <v>米什拉塔</v>
      </c>
      <c r="H2748" s="9" t="str">
        <f>IFERROR(__xludf.DUMMYFUNCTION("GOOGLETRANSLATE($A2748,""en"",""ja"")"),"ミスラタ")</f>
        <v>ミスラタ</v>
      </c>
      <c r="I2748" s="9" t="str">
        <f>IFERROR(__xludf.DUMMYFUNCTION("GOOGLETRANSLATE($A2748,""en"",""ko"")"),"미스라타")</f>
        <v>미스라타</v>
      </c>
      <c r="J2748" s="9" t="str">
        <f>IFERROR(__xludf.DUMMYFUNCTION("GOOGLETRANSLATE($A2748,""en"",""pt-BR"")"),"Mişratah")</f>
        <v>Mişratah</v>
      </c>
    </row>
    <row r="2749">
      <c r="A2749" s="9" t="str">
        <f>IFERROR(__xludf.DUMMYFUNCTION("""COMPUTED_VALUE"""),"Darnah")</f>
        <v>Darnah</v>
      </c>
      <c r="B2749" s="9" t="str">
        <f>IFERROR(__xludf.DUMMYFUNCTION("""COMPUTED_VALUE"""),"ly-dr")</f>
        <v>ly-dr</v>
      </c>
      <c r="C2749" s="9" t="str">
        <f>IFERROR(__xludf.DUMMYFUNCTION("GOOGLETRANSLATE($A2749,""en"",""de"")"),"Darna")</f>
        <v>Darna</v>
      </c>
      <c r="D2749" s="9" t="str">
        <f>IFERROR(__xludf.DUMMYFUNCTION("GOOGLETRANSLATE($A2749,""en"",""fr"")"),"Darna")</f>
        <v>Darna</v>
      </c>
      <c r="E2749" s="9" t="str">
        <f>IFERROR(__xludf.DUMMYFUNCTION("GOOGLETRANSLATE($A2749,""en"",""es"")"),"Derna")</f>
        <v>Derna</v>
      </c>
      <c r="F2749" s="9" t="str">
        <f>IFERROR(__xludf.DUMMYFUNCTION("GOOGLETRANSLATE($A2749,""en"",""it"")"),"Cavolo")</f>
        <v>Cavolo</v>
      </c>
      <c r="G2749" s="9" t="str">
        <f>IFERROR(__xludf.DUMMYFUNCTION("GOOGLETRANSLATE($A2749,""en"",""zh-cn"")"),"达尔纳")</f>
        <v>达尔纳</v>
      </c>
      <c r="H2749" s="9" t="str">
        <f>IFERROR(__xludf.DUMMYFUNCTION("GOOGLETRANSLATE($A2749,""en"",""ja"")"),"ダーナ")</f>
        <v>ダーナ</v>
      </c>
      <c r="I2749" s="9" t="str">
        <f>IFERROR(__xludf.DUMMYFUNCTION("GOOGLETRANSLATE($A2749,""en"",""ko"")"),"다르나")</f>
        <v>다르나</v>
      </c>
      <c r="J2749" s="9" t="str">
        <f>IFERROR(__xludf.DUMMYFUNCTION("GOOGLETRANSLATE($A2749,""en"",""pt-BR"")"),"Darnah")</f>
        <v>Darnah</v>
      </c>
    </row>
    <row r="2750">
      <c r="A2750" s="9" t="str">
        <f>IFERROR(__xludf.DUMMYFUNCTION("""COMPUTED_VALUE"""),"Wādī al Ḩayāt")</f>
        <v>Wādī al Ḩayāt</v>
      </c>
      <c r="B2750" s="9" t="str">
        <f>IFERROR(__xludf.DUMMYFUNCTION("""COMPUTED_VALUE"""),"ly-wd")</f>
        <v>ly-wd</v>
      </c>
      <c r="C2750" s="9" t="str">
        <f>IFERROR(__xludf.DUMMYFUNCTION("GOOGLETRANSLATE($A2750,""en"",""de"")"),"Wādī al Ḩayāt")</f>
        <v>Wādī al Ḩayāt</v>
      </c>
      <c r="D2750" s="9" t="str">
        <f>IFERROR(__xludf.DUMMYFUNCTION("GOOGLETRANSLATE($A2750,""en"",""fr"")"),"Wadi al Hayat")</f>
        <v>Wadi al Hayat</v>
      </c>
      <c r="E2750" s="9" t="str">
        <f>IFERROR(__xludf.DUMMYFUNCTION("GOOGLETRANSLATE($A2750,""en"",""es"")"),"Wādī al Ḩayāt")</f>
        <v>Wādī al Ḩayāt</v>
      </c>
      <c r="F2750" s="9" t="str">
        <f>IFERROR(__xludf.DUMMYFUNCTION("GOOGLETRANSLATE($A2750,""en"",""it"")"),"Wādī al Ḩayāt")</f>
        <v>Wādī al Ḩayāt</v>
      </c>
      <c r="G2750" s="9" t="str">
        <f>IFERROR(__xludf.DUMMYFUNCTION("GOOGLETRANSLATE($A2750,""en"",""zh-cn"")"),"瓦迪阿尔哈亚特")</f>
        <v>瓦迪阿尔哈亚特</v>
      </c>
      <c r="H2750" s="9" t="str">
        <f>IFERROR(__xludf.DUMMYFUNCTION("GOOGLETRANSLATE($A2750,""en"",""ja"")"),"ワディー・アル・ハヤット")</f>
        <v>ワディー・アル・ハヤット</v>
      </c>
      <c r="I2750" s="9" t="str">
        <f>IFERROR(__xludf.DUMMYFUNCTION("GOOGLETRANSLATE($A2750,""en"",""ko"")"),"와디 알 하야트")</f>
        <v>와디 알 하야트</v>
      </c>
      <c r="J2750" s="9" t="str">
        <f>IFERROR(__xludf.DUMMYFUNCTION("GOOGLETRANSLATE($A2750,""en"",""pt-BR"")"),"Wādī al Ḩayāt")</f>
        <v>Wādī al Ḩayāt</v>
      </c>
    </row>
    <row r="2751">
      <c r="A2751" s="9" t="str">
        <f>IFERROR(__xludf.DUMMYFUNCTION("""COMPUTED_VALUE"""),"Al Jabal al Gharbī")</f>
        <v>Al Jabal al Gharbī</v>
      </c>
      <c r="B2751" s="9" t="str">
        <f>IFERROR(__xludf.DUMMYFUNCTION("""COMPUTED_VALUE"""),"ly-jg")</f>
        <v>ly-jg</v>
      </c>
      <c r="C2751" s="9" t="str">
        <f>IFERROR(__xludf.DUMMYFUNCTION("GOOGLETRANSLATE($A2751,""en"",""de"")"),"Al Jabal al Gharbī")</f>
        <v>Al Jabal al Gharbī</v>
      </c>
      <c r="D2751" s="9" t="str">
        <f>IFERROR(__xludf.DUMMYFUNCTION("GOOGLETRANSLATE($A2751,""en"",""fr"")"),"Al Jabal al Gharbi")</f>
        <v>Al Jabal al Gharbi</v>
      </c>
      <c r="E2751" s="9" t="str">
        <f>IFERROR(__xludf.DUMMYFUNCTION("GOOGLETRANSLATE($A2751,""en"",""es"")"),"Al Jabal al Gharbī")</f>
        <v>Al Jabal al Gharbī</v>
      </c>
      <c r="F2751" s="9" t="str">
        <f>IFERROR(__xludf.DUMMYFUNCTION("GOOGLETRANSLATE($A2751,""en"",""it"")"),"Al Jabal al Gharbī")</f>
        <v>Al Jabal al Gharbī</v>
      </c>
      <c r="G2751" s="9" t="str">
        <f>IFERROR(__xludf.DUMMYFUNCTION("GOOGLETRANSLATE($A2751,""en"",""zh-cn"")"),"加尔比山")</f>
        <v>加尔比山</v>
      </c>
      <c r="H2751" s="9" t="str">
        <f>IFERROR(__xludf.DUMMYFUNCTION("GOOGLETRANSLATE($A2751,""en"",""ja"")"),"アル ジャバル アル ガルビー")</f>
        <v>アル ジャバル アル ガルビー</v>
      </c>
      <c r="I2751" s="9" t="str">
        <f>IFERROR(__xludf.DUMMYFUNCTION("GOOGLETRANSLATE($A2751,""en"",""ko"")"),"알 자발 알 가르비")</f>
        <v>알 자발 알 가르비</v>
      </c>
      <c r="J2751" s="9" t="str">
        <f>IFERROR(__xludf.DUMMYFUNCTION("GOOGLETRANSLATE($A2751,""en"",""pt-BR"")"),"Al Jabal al Gharbi")</f>
        <v>Al Jabal al Gharbi</v>
      </c>
    </row>
    <row r="2752">
      <c r="A2752" s="9" t="str">
        <f>IFERROR(__xludf.DUMMYFUNCTION("""COMPUTED_VALUE"""),"Al Jabal al Akhḑar")</f>
        <v>Al Jabal al Akhḑar</v>
      </c>
      <c r="B2752" s="9" t="str">
        <f>IFERROR(__xludf.DUMMYFUNCTION("""COMPUTED_VALUE"""),"ly-ja")</f>
        <v>ly-ja</v>
      </c>
      <c r="C2752" s="9" t="str">
        <f>IFERROR(__xludf.DUMMYFUNCTION("GOOGLETRANSLATE($A2752,""en"",""de"")"),"Al Jabal al Akhḑar")</f>
        <v>Al Jabal al Akhḑar</v>
      </c>
      <c r="D2752" s="9" t="str">
        <f>IFERROR(__xludf.DUMMYFUNCTION("GOOGLETRANSLATE($A2752,""en"",""fr"")"),"Al Jabal al Akhdar")</f>
        <v>Al Jabal al Akhdar</v>
      </c>
      <c r="E2752" s="9" t="str">
        <f>IFERROR(__xludf.DUMMYFUNCTION("GOOGLETRANSLATE($A2752,""en"",""es"")"),"Al Jabal al Akhḑar")</f>
        <v>Al Jabal al Akhḑar</v>
      </c>
      <c r="F2752" s="9" t="str">
        <f>IFERROR(__xludf.DUMMYFUNCTION("GOOGLETRANSLATE($A2752,""en"",""it"")"),"Al Jabal al Akhḑar")</f>
        <v>Al Jabal al Akhḑar</v>
      </c>
      <c r="G2752" s="9" t="str">
        <f>IFERROR(__xludf.DUMMYFUNCTION("GOOGLETRANSLATE($A2752,""en"",""zh-cn"")"),"阿赫哈尔山")</f>
        <v>阿赫哈尔山</v>
      </c>
      <c r="H2752" s="9" t="str">
        <f>IFERROR(__xludf.DUMMYFUNCTION("GOOGLETRANSLATE($A2752,""en"",""ja"")"),"アル・ジャバル・アル・アクハール")</f>
        <v>アル・ジャバル・アル・アクハール</v>
      </c>
      <c r="I2752" s="9" t="str">
        <f>IFERROR(__xludf.DUMMYFUNCTION("GOOGLETRANSLATE($A2752,""en"",""ko"")"),"알 자발 알 아크하르")</f>
        <v>알 자발 알 아크하르</v>
      </c>
      <c r="J2752" s="9" t="str">
        <f>IFERROR(__xludf.DUMMYFUNCTION("GOOGLETRANSLATE($A2752,""en"",""pt-BR"")"),"Al Jabal al Akhḑar")</f>
        <v>Al Jabal al Akhḑar</v>
      </c>
    </row>
    <row r="2753">
      <c r="A2753" s="9" t="str">
        <f>IFERROR(__xludf.DUMMYFUNCTION("""COMPUTED_VALUE"""),"Al Jufrah")</f>
        <v>Al Jufrah</v>
      </c>
      <c r="B2753" s="9" t="str">
        <f>IFERROR(__xludf.DUMMYFUNCTION("""COMPUTED_VALUE"""),"ly-ju")</f>
        <v>ly-ju</v>
      </c>
      <c r="C2753" s="9" t="str">
        <f>IFERROR(__xludf.DUMMYFUNCTION("GOOGLETRANSLATE($A2753,""en"",""de"")"),"Al Jufrah")</f>
        <v>Al Jufrah</v>
      </c>
      <c r="D2753" s="9" t="str">
        <f>IFERROR(__xludf.DUMMYFUNCTION("GOOGLETRANSLATE($A2753,""en"",""fr"")"),"Al Jufrah")</f>
        <v>Al Jufrah</v>
      </c>
      <c r="E2753" s="9" t="str">
        <f>IFERROR(__xludf.DUMMYFUNCTION("GOOGLETRANSLATE($A2753,""en"",""es"")"),"Al Jufrah")</f>
        <v>Al Jufrah</v>
      </c>
      <c r="F2753" s="9" t="str">
        <f>IFERROR(__xludf.DUMMYFUNCTION("GOOGLETRANSLATE($A2753,""en"",""it"")"),"Al Jufrah")</f>
        <v>Al Jufrah</v>
      </c>
      <c r="G2753" s="9" t="str">
        <f>IFERROR(__xludf.DUMMYFUNCTION("GOOGLETRANSLATE($A2753,""en"",""zh-cn"")"),"阿尔朱夫拉")</f>
        <v>阿尔朱夫拉</v>
      </c>
      <c r="H2753" s="9" t="str">
        <f>IFERROR(__xludf.DUMMYFUNCTION("GOOGLETRANSLATE($A2753,""en"",""ja"")"),"アル ジュフラ")</f>
        <v>アル ジュフラ</v>
      </c>
      <c r="I2753" s="9" t="str">
        <f>IFERROR(__xludf.DUMMYFUNCTION("GOOGLETRANSLATE($A2753,""en"",""ko"")"),"알 주프라")</f>
        <v>알 주프라</v>
      </c>
      <c r="J2753" s="9" t="str">
        <f>IFERROR(__xludf.DUMMYFUNCTION("GOOGLETRANSLATE($A2753,""en"",""pt-BR"")"),"Al Jufrah")</f>
        <v>Al Jufrah</v>
      </c>
    </row>
    <row r="2754">
      <c r="A2754" s="9" t="str">
        <f>IFERROR(__xludf.DUMMYFUNCTION("""COMPUTED_VALUE"""),"Ghāt")</f>
        <v>Ghāt</v>
      </c>
      <c r="B2754" s="9" t="str">
        <f>IFERROR(__xludf.DUMMYFUNCTION("""COMPUTED_VALUE"""),"ly-gt")</f>
        <v>ly-gt</v>
      </c>
      <c r="C2754" s="9" t="str">
        <f>IFERROR(__xludf.DUMMYFUNCTION("GOOGLETRANSLATE($A2754,""en"",""de"")"),"Ghat")</f>
        <v>Ghat</v>
      </c>
      <c r="D2754" s="9" t="str">
        <f>IFERROR(__xludf.DUMMYFUNCTION("GOOGLETRANSLATE($A2754,""en"",""fr"")"),"Ghat")</f>
        <v>Ghat</v>
      </c>
      <c r="E2754" s="9" t="str">
        <f>IFERROR(__xludf.DUMMYFUNCTION("GOOGLETRANSLATE($A2754,""en"",""es"")"),"Ghat")</f>
        <v>Ghat</v>
      </c>
      <c r="F2754" s="9" t="str">
        <f>IFERROR(__xludf.DUMMYFUNCTION("GOOGLETRANSLATE($A2754,""en"",""it"")"),"Ghāt")</f>
        <v>Ghāt</v>
      </c>
      <c r="G2754" s="9" t="str">
        <f>IFERROR(__xludf.DUMMYFUNCTION("GOOGLETRANSLATE($A2754,""en"",""zh-cn"")"),"加特")</f>
        <v>加特</v>
      </c>
      <c r="H2754" s="9" t="str">
        <f>IFERROR(__xludf.DUMMYFUNCTION("GOOGLETRANSLATE($A2754,""en"",""ja"")"),"ガート")</f>
        <v>ガート</v>
      </c>
      <c r="I2754" s="9" t="str">
        <f>IFERROR(__xludf.DUMMYFUNCTION("GOOGLETRANSLATE($A2754,""en"",""ko"")"),"산길")</f>
        <v>산길</v>
      </c>
      <c r="J2754" s="9" t="str">
        <f>IFERROR(__xludf.DUMMYFUNCTION("GOOGLETRANSLATE($A2754,""en"",""pt-BR"")"),"Ghat")</f>
        <v>Ghat</v>
      </c>
    </row>
    <row r="2755">
      <c r="A2755" s="9" t="str">
        <f>IFERROR(__xludf.DUMMYFUNCTION("""COMPUTED_VALUE"""),"Murzuq")</f>
        <v>Murzuq</v>
      </c>
      <c r="B2755" s="9" t="str">
        <f>IFERROR(__xludf.DUMMYFUNCTION("""COMPUTED_VALUE"""),"ly-mq")</f>
        <v>ly-mq</v>
      </c>
      <c r="C2755" s="9" t="str">
        <f>IFERROR(__xludf.DUMMYFUNCTION("GOOGLETRANSLATE($A2755,""en"",""de"")"),"Murzuq")</f>
        <v>Murzuq</v>
      </c>
      <c r="D2755" s="9" t="str">
        <f>IFERROR(__xludf.DUMMYFUNCTION("GOOGLETRANSLATE($A2755,""en"",""fr"")"),"Murzuq")</f>
        <v>Murzuq</v>
      </c>
      <c r="E2755" s="9" t="str">
        <f>IFERROR(__xludf.DUMMYFUNCTION("GOOGLETRANSLATE($A2755,""en"",""es"")"),"Murzuq")</f>
        <v>Murzuq</v>
      </c>
      <c r="F2755" s="9" t="str">
        <f>IFERROR(__xludf.DUMMYFUNCTION("GOOGLETRANSLATE($A2755,""en"",""it"")"),"Murzuq")</f>
        <v>Murzuq</v>
      </c>
      <c r="G2755" s="9" t="str">
        <f>IFERROR(__xludf.DUMMYFUNCTION("GOOGLETRANSLATE($A2755,""en"",""zh-cn"")"),"穆尔祖克")</f>
        <v>穆尔祖克</v>
      </c>
      <c r="H2755" s="9" t="str">
        <f>IFERROR(__xludf.DUMMYFUNCTION("GOOGLETRANSLATE($A2755,""en"",""ja"")"),"ムルズク")</f>
        <v>ムルズク</v>
      </c>
      <c r="I2755" s="9" t="str">
        <f>IFERROR(__xludf.DUMMYFUNCTION("GOOGLETRANSLATE($A2755,""en"",""ko"")"),"무르주크")</f>
        <v>무르주크</v>
      </c>
      <c r="J2755" s="9" t="str">
        <f>IFERROR(__xludf.DUMMYFUNCTION("GOOGLETRANSLATE($A2755,""en"",""pt-BR"")"),"Murzuq")</f>
        <v>Murzuq</v>
      </c>
    </row>
    <row r="2756">
      <c r="A2756" s="9" t="str">
        <f>IFERROR(__xludf.DUMMYFUNCTION("""COMPUTED_VALUE"""),"Al Wāḩāt")</f>
        <v>Al Wāḩāt</v>
      </c>
      <c r="B2756" s="9" t="str">
        <f>IFERROR(__xludf.DUMMYFUNCTION("""COMPUTED_VALUE"""),"ly-wa")</f>
        <v>ly-wa</v>
      </c>
      <c r="C2756" s="9" t="str">
        <f>IFERROR(__xludf.DUMMYFUNCTION("GOOGLETRANSLATE($A2756,""en"",""de"")"),"Al Wāḩāt")</f>
        <v>Al Wāḩāt</v>
      </c>
      <c r="D2756" s="9" t="str">
        <f>IFERROR(__xludf.DUMMYFUNCTION("GOOGLETRANSLATE($A2756,""en"",""fr"")"),"Al Wāḩāt")</f>
        <v>Al Wāḩāt</v>
      </c>
      <c r="E2756" s="9" t="str">
        <f>IFERROR(__xludf.DUMMYFUNCTION("GOOGLETRANSLATE($A2756,""en"",""es"")"),"Al Wāḩāt")</f>
        <v>Al Wāḩāt</v>
      </c>
      <c r="F2756" s="9" t="str">
        <f>IFERROR(__xludf.DUMMYFUNCTION("GOOGLETRANSLATE($A2756,""en"",""it"")"),"Al Wāḩāt")</f>
        <v>Al Wāḩāt</v>
      </c>
      <c r="G2756" s="9" t="str">
        <f>IFERROR(__xludf.DUMMYFUNCTION("GOOGLETRANSLATE($A2756,""en"",""zh-cn"")"),"阿尔瓦哈特")</f>
        <v>阿尔瓦哈特</v>
      </c>
      <c r="H2756" s="9" t="str">
        <f>IFERROR(__xludf.DUMMYFUNCTION("GOOGLETRANSLATE($A2756,""en"",""ja"")"),"アル ワット")</f>
        <v>アル ワット</v>
      </c>
      <c r="I2756" s="9" t="str">
        <f>IFERROR(__xludf.DUMMYFUNCTION("GOOGLETRANSLATE($A2756,""en"",""ko"")"),"알 와하트")</f>
        <v>알 와하트</v>
      </c>
      <c r="J2756" s="9" t="str">
        <f>IFERROR(__xludf.DUMMYFUNCTION("GOOGLETRANSLATE($A2756,""en"",""pt-BR"")"),"Al Wāḩāt")</f>
        <v>Al Wāḩāt</v>
      </c>
    </row>
    <row r="2757">
      <c r="A2757" s="9" t="str">
        <f>IFERROR(__xludf.DUMMYFUNCTION("""COMPUTED_VALUE"""),"Surt")</f>
        <v>Surt</v>
      </c>
      <c r="B2757" s="9" t="str">
        <f>IFERROR(__xludf.DUMMYFUNCTION("""COMPUTED_VALUE"""),"ly-sr")</f>
        <v>ly-sr</v>
      </c>
      <c r="C2757" s="9" t="str">
        <f>IFERROR(__xludf.DUMMYFUNCTION("GOOGLETRANSLATE($A2757,""en"",""de"")"),"Surt")</f>
        <v>Surt</v>
      </c>
      <c r="D2757" s="9" t="str">
        <f>IFERROR(__xludf.DUMMYFUNCTION("GOOGLETRANSLATE($A2757,""en"",""fr"")"),"Surt")</f>
        <v>Surt</v>
      </c>
      <c r="E2757" s="9" t="str">
        <f>IFERROR(__xludf.DUMMYFUNCTION("GOOGLETRANSLATE($A2757,""en"",""es"")"),"surt")</f>
        <v>surt</v>
      </c>
      <c r="F2757" s="9" t="str">
        <f>IFERROR(__xludf.DUMMYFUNCTION("GOOGLETRANSLATE($A2757,""en"",""it"")"),"Surt")</f>
        <v>Surt</v>
      </c>
      <c r="G2757" s="9" t="str">
        <f>IFERROR(__xludf.DUMMYFUNCTION("GOOGLETRANSLATE($A2757,""en"",""zh-cn"")"),"苏尔特")</f>
        <v>苏尔特</v>
      </c>
      <c r="H2757" s="9" t="str">
        <f>IFERROR(__xludf.DUMMYFUNCTION("GOOGLETRANSLATE($A2757,""en"",""ja"")"),"スルト")</f>
        <v>スルト</v>
      </c>
      <c r="I2757" s="9" t="str">
        <f>IFERROR(__xludf.DUMMYFUNCTION("GOOGLETRANSLATE($A2757,""en"",""ko"")"),"수르트")</f>
        <v>수르트</v>
      </c>
      <c r="J2757" s="9" t="str">
        <f>IFERROR(__xludf.DUMMYFUNCTION("GOOGLETRANSLATE($A2757,""en"",""pt-BR"")"),"Surto")</f>
        <v>Surto</v>
      </c>
    </row>
    <row r="2758">
      <c r="A2758" s="9" t="str">
        <f>IFERROR(__xludf.DUMMYFUNCTION("""COMPUTED_VALUE"""),"Al Marqab")</f>
        <v>Al Marqab</v>
      </c>
      <c r="B2758" s="9" t="str">
        <f>IFERROR(__xludf.DUMMYFUNCTION("""COMPUTED_VALUE"""),"ly-mb")</f>
        <v>ly-mb</v>
      </c>
      <c r="C2758" s="9" t="str">
        <f>IFERROR(__xludf.DUMMYFUNCTION("GOOGLETRANSLATE($A2758,""en"",""de"")"),"Al Marqab")</f>
        <v>Al Marqab</v>
      </c>
      <c r="D2758" s="9" t="str">
        <f>IFERROR(__xludf.DUMMYFUNCTION("GOOGLETRANSLATE($A2758,""en"",""fr"")"),"Al-Marqab")</f>
        <v>Al-Marqab</v>
      </c>
      <c r="E2758" s="9" t="str">
        <f>IFERROR(__xludf.DUMMYFUNCTION("GOOGLETRANSLATE($A2758,""en"",""es"")"),"Al Marqab")</f>
        <v>Al Marqab</v>
      </c>
      <c r="F2758" s="9" t="str">
        <f>IFERROR(__xludf.DUMMYFUNCTION("GOOGLETRANSLATE($A2758,""en"",""it"")"),"Al Marqab")</f>
        <v>Al Marqab</v>
      </c>
      <c r="G2758" s="9" t="str">
        <f>IFERROR(__xludf.DUMMYFUNCTION("GOOGLETRANSLATE($A2758,""en"",""zh-cn"")"),"阿尔马卡布")</f>
        <v>阿尔马卡布</v>
      </c>
      <c r="H2758" s="9" t="str">
        <f>IFERROR(__xludf.DUMMYFUNCTION("GOOGLETRANSLATE($A2758,""en"",""ja"")"),"アル・マルカブ")</f>
        <v>アル・マルカブ</v>
      </c>
      <c r="I2758" s="9" t="str">
        <f>IFERROR(__xludf.DUMMYFUNCTION("GOOGLETRANSLATE($A2758,""en"",""ko"")"),"알 마르카브")</f>
        <v>알 마르카브</v>
      </c>
      <c r="J2758" s="9" t="str">
        <f>IFERROR(__xludf.DUMMYFUNCTION("GOOGLETRANSLATE($A2758,""en"",""pt-BR"")"),"Al Marqab")</f>
        <v>Al Marqab</v>
      </c>
    </row>
    <row r="2759">
      <c r="A2759" s="9" t="str">
        <f>IFERROR(__xludf.DUMMYFUNCTION("""COMPUTED_VALUE"""),"Al Marj")</f>
        <v>Al Marj</v>
      </c>
      <c r="B2759" s="9" t="str">
        <f>IFERROR(__xludf.DUMMYFUNCTION("""COMPUTED_VALUE"""),"ly-mj")</f>
        <v>ly-mj</v>
      </c>
      <c r="C2759" s="9" t="str">
        <f>IFERROR(__xludf.DUMMYFUNCTION("GOOGLETRANSLATE($A2759,""en"",""de"")"),"Al Marj")</f>
        <v>Al Marj</v>
      </c>
      <c r="D2759" s="9" t="str">
        <f>IFERROR(__xludf.DUMMYFUNCTION("GOOGLETRANSLATE($A2759,""en"",""fr"")"),"Al-Marj")</f>
        <v>Al-Marj</v>
      </c>
      <c r="E2759" s="9" t="str">
        <f>IFERROR(__xludf.DUMMYFUNCTION("GOOGLETRANSLATE($A2759,""en"",""es"")"),"Al-Marj")</f>
        <v>Al-Marj</v>
      </c>
      <c r="F2759" s="9" t="str">
        <f>IFERROR(__xludf.DUMMYFUNCTION("GOOGLETRANSLATE($A2759,""en"",""it"")"),"Al Marj")</f>
        <v>Al Marj</v>
      </c>
      <c r="G2759" s="9" t="str">
        <f>IFERROR(__xludf.DUMMYFUNCTION("GOOGLETRANSLATE($A2759,""en"",""zh-cn"")"),"阿尔玛吉")</f>
        <v>阿尔玛吉</v>
      </c>
      <c r="H2759" s="9" t="str">
        <f>IFERROR(__xludf.DUMMYFUNCTION("GOOGLETRANSLATE($A2759,""en"",""ja"")"),"アル・マルジ")</f>
        <v>アル・マルジ</v>
      </c>
      <c r="I2759" s="9" t="str">
        <f>IFERROR(__xludf.DUMMYFUNCTION("GOOGLETRANSLATE($A2759,""en"",""ko"")"),"알 마르지")</f>
        <v>알 마르지</v>
      </c>
      <c r="J2759" s="9" t="str">
        <f>IFERROR(__xludf.DUMMYFUNCTION("GOOGLETRANSLATE($A2759,""en"",""pt-BR"")"),"Al Marj")</f>
        <v>Al Marj</v>
      </c>
    </row>
    <row r="2760">
      <c r="A2760" s="9" t="str">
        <f>IFERROR(__xludf.DUMMYFUNCTION("""COMPUTED_VALUE"""),"Banghāzī")</f>
        <v>Banghāzī</v>
      </c>
      <c r="B2760" s="9" t="str">
        <f>IFERROR(__xludf.DUMMYFUNCTION("""COMPUTED_VALUE"""),"ly-ba")</f>
        <v>ly-ba</v>
      </c>
      <c r="C2760" s="9" t="str">
        <f>IFERROR(__xludf.DUMMYFUNCTION("GOOGLETRANSLATE($A2760,""en"",""de"")"),"Banghāzī")</f>
        <v>Banghāzī</v>
      </c>
      <c r="D2760" s="9" t="str">
        <f>IFERROR(__xludf.DUMMYFUNCTION("GOOGLETRANSLATE($A2760,""en"",""fr"")"),"Banghazi")</f>
        <v>Banghazi</v>
      </c>
      <c r="E2760" s="9" t="str">
        <f>IFERROR(__xludf.DUMMYFUNCTION("GOOGLETRANSLATE($A2760,""en"",""es"")"),"banghazi")</f>
        <v>banghazi</v>
      </c>
      <c r="F2760" s="9" t="str">
        <f>IFERROR(__xludf.DUMMYFUNCTION("GOOGLETRANSLATE($A2760,""en"",""it"")"),"Banghazi")</f>
        <v>Banghazi</v>
      </c>
      <c r="G2760" s="9" t="str">
        <f>IFERROR(__xludf.DUMMYFUNCTION("GOOGLETRANSLATE($A2760,""en"",""zh-cn"")"),"班哈齐")</f>
        <v>班哈齐</v>
      </c>
      <c r="H2760" s="9" t="str">
        <f>IFERROR(__xludf.DUMMYFUNCTION("GOOGLETRANSLATE($A2760,""en"",""ja"")"),"バンガジー")</f>
        <v>バンガジー</v>
      </c>
      <c r="I2760" s="9" t="str">
        <f>IFERROR(__xludf.DUMMYFUNCTION("GOOGLETRANSLATE($A2760,""en"",""ko"")"),"방가지")</f>
        <v>방가지</v>
      </c>
      <c r="J2760" s="9" t="str">
        <f>IFERROR(__xludf.DUMMYFUNCTION("GOOGLETRANSLATE($A2760,""en"",""pt-BR"")"),"Benghazi")</f>
        <v>Benghazi</v>
      </c>
    </row>
    <row r="2761">
      <c r="A2761" s="9" t="str">
        <f>IFERROR(__xludf.DUMMYFUNCTION("""COMPUTED_VALUE"""),"Nālūt")</f>
        <v>Nālūt</v>
      </c>
      <c r="B2761" s="9" t="str">
        <f>IFERROR(__xludf.DUMMYFUNCTION("""COMPUTED_VALUE"""),"ly-nl")</f>
        <v>ly-nl</v>
      </c>
      <c r="C2761" s="9" t="str">
        <f>IFERROR(__xludf.DUMMYFUNCTION("GOOGLETRANSLATE($A2761,""en"",""de"")"),"Nālut")</f>
        <v>Nālut</v>
      </c>
      <c r="D2761" s="9" t="str">
        <f>IFERROR(__xludf.DUMMYFUNCTION("GOOGLETRANSLATE($A2761,""en"",""fr"")"),"Nalout")</f>
        <v>Nalout</v>
      </c>
      <c r="E2761" s="9" t="str">
        <f>IFERROR(__xludf.DUMMYFUNCTION("GOOGLETRANSLATE($A2761,""en"",""es"")"),"Nalut")</f>
        <v>Nalut</v>
      </c>
      <c r="F2761" s="9" t="str">
        <f>IFERROR(__xludf.DUMMYFUNCTION("GOOGLETRANSLATE($A2761,""en"",""it"")"),"Nālūt")</f>
        <v>Nālūt</v>
      </c>
      <c r="G2761" s="9" t="str">
        <f>IFERROR(__xludf.DUMMYFUNCTION("GOOGLETRANSLATE($A2761,""en"",""zh-cn"")"),"纳鲁特")</f>
        <v>纳鲁特</v>
      </c>
      <c r="H2761" s="9" t="str">
        <f>IFERROR(__xludf.DUMMYFUNCTION("GOOGLETRANSLATE($A2761,""en"",""ja"")"),"ナルート")</f>
        <v>ナルート</v>
      </c>
      <c r="I2761" s="9" t="str">
        <f>IFERROR(__xludf.DUMMYFUNCTION("GOOGLETRANSLATE($A2761,""en"",""ko"")"),"날루트")</f>
        <v>날루트</v>
      </c>
      <c r="J2761" s="9" t="str">
        <f>IFERROR(__xludf.DUMMYFUNCTION("GOOGLETRANSLATE($A2761,""en"",""pt-BR"")"),"Nālūt")</f>
        <v>Nālūt</v>
      </c>
    </row>
    <row r="2762">
      <c r="A2762" s="9" t="str">
        <f>IFERROR(__xludf.DUMMYFUNCTION("""COMPUTED_VALUE"""),"Schellenberg")</f>
        <v>Schellenberg</v>
      </c>
      <c r="B2762" s="9" t="str">
        <f>IFERROR(__xludf.DUMMYFUNCTION("""COMPUTED_VALUE"""),"li-08")</f>
        <v>li-08</v>
      </c>
      <c r="C2762" s="9" t="str">
        <f>IFERROR(__xludf.DUMMYFUNCTION("GOOGLETRANSLATE($A2762,""en"",""de"")"),"Schellenberg")</f>
        <v>Schellenberg</v>
      </c>
      <c r="D2762" s="9" t="str">
        <f>IFERROR(__xludf.DUMMYFUNCTION("GOOGLETRANSLATE($A2762,""en"",""fr"")"),"Schellenberg")</f>
        <v>Schellenberg</v>
      </c>
      <c r="E2762" s="9" t="str">
        <f>IFERROR(__xludf.DUMMYFUNCTION("GOOGLETRANSLATE($A2762,""en"",""es"")"),"Schellenberg")</f>
        <v>Schellenberg</v>
      </c>
      <c r="F2762" s="9" t="str">
        <f>IFERROR(__xludf.DUMMYFUNCTION("GOOGLETRANSLATE($A2762,""en"",""it"")"),"Schellenberg")</f>
        <v>Schellenberg</v>
      </c>
      <c r="G2762" s="9" t="str">
        <f>IFERROR(__xludf.DUMMYFUNCTION("GOOGLETRANSLATE($A2762,""en"",""zh-cn"")"),"谢伦伯格")</f>
        <v>谢伦伯格</v>
      </c>
      <c r="H2762" s="9" t="str">
        <f>IFERROR(__xludf.DUMMYFUNCTION("GOOGLETRANSLATE($A2762,""en"",""ja"")"),"シェレンベルク")</f>
        <v>シェレンベルク</v>
      </c>
      <c r="I2762" s="9" t="str">
        <f>IFERROR(__xludf.DUMMYFUNCTION("GOOGLETRANSLATE($A2762,""en"",""ko"")"),"셸렌베르크")</f>
        <v>셸렌베르크</v>
      </c>
      <c r="J2762" s="9" t="str">
        <f>IFERROR(__xludf.DUMMYFUNCTION("GOOGLETRANSLATE($A2762,""en"",""pt-BR"")"),"Schellenberg")</f>
        <v>Schellenberg</v>
      </c>
    </row>
    <row r="2763">
      <c r="A2763" s="9" t="str">
        <f>IFERROR(__xludf.DUMMYFUNCTION("""COMPUTED_VALUE"""),"Gamprin")</f>
        <v>Gamprin</v>
      </c>
      <c r="B2763" s="9" t="str">
        <f>IFERROR(__xludf.DUMMYFUNCTION("""COMPUTED_VALUE"""),"li-03")</f>
        <v>li-03</v>
      </c>
      <c r="C2763" s="9" t="str">
        <f>IFERROR(__xludf.DUMMYFUNCTION("GOOGLETRANSLATE($A2763,""en"",""de"")"),"Gamprin")</f>
        <v>Gamprin</v>
      </c>
      <c r="D2763" s="9" t="str">
        <f>IFERROR(__xludf.DUMMYFUNCTION("GOOGLETRANSLATE($A2763,""en"",""fr"")"),"Gamprin")</f>
        <v>Gamprin</v>
      </c>
      <c r="E2763" s="9" t="str">
        <f>IFERROR(__xludf.DUMMYFUNCTION("GOOGLETRANSLATE($A2763,""en"",""es"")"),"Gamprin")</f>
        <v>Gamprin</v>
      </c>
      <c r="F2763" s="9" t="str">
        <f>IFERROR(__xludf.DUMMYFUNCTION("GOOGLETRANSLATE($A2763,""en"",""it"")"),"Gaprin")</f>
        <v>Gaprin</v>
      </c>
      <c r="G2763" s="9" t="str">
        <f>IFERROR(__xludf.DUMMYFUNCTION("GOOGLETRANSLATE($A2763,""en"",""zh-cn"")"),"甘普林")</f>
        <v>甘普林</v>
      </c>
      <c r="H2763" s="9" t="str">
        <f>IFERROR(__xludf.DUMMYFUNCTION("GOOGLETRANSLATE($A2763,""en"",""ja"")"),"ガンプリン")</f>
        <v>ガンプリン</v>
      </c>
      <c r="I2763" s="9" t="str">
        <f>IFERROR(__xludf.DUMMYFUNCTION("GOOGLETRANSLATE($A2763,""en"",""ko"")"),"감프린")</f>
        <v>감프린</v>
      </c>
      <c r="J2763" s="9" t="str">
        <f>IFERROR(__xludf.DUMMYFUNCTION("GOOGLETRANSLATE($A2763,""en"",""pt-BR"")"),"Gamprin")</f>
        <v>Gamprin</v>
      </c>
    </row>
    <row r="2764">
      <c r="A2764" s="9" t="str">
        <f>IFERROR(__xludf.DUMMYFUNCTION("""COMPUTED_VALUE"""),"Triesenberg")</f>
        <v>Triesenberg</v>
      </c>
      <c r="B2764" s="9" t="str">
        <f>IFERROR(__xludf.DUMMYFUNCTION("""COMPUTED_VALUE"""),"li-10")</f>
        <v>li-10</v>
      </c>
      <c r="C2764" s="9" t="str">
        <f>IFERROR(__xludf.DUMMYFUNCTION("GOOGLETRANSLATE($A2764,""en"",""de"")"),"Triesenberg")</f>
        <v>Triesenberg</v>
      </c>
      <c r="D2764" s="9" t="str">
        <f>IFERROR(__xludf.DUMMYFUNCTION("GOOGLETRANSLATE($A2764,""en"",""fr"")"),"Triesenberg")</f>
        <v>Triesenberg</v>
      </c>
      <c r="E2764" s="9" t="str">
        <f>IFERROR(__xludf.DUMMYFUNCTION("GOOGLETRANSLATE($A2764,""en"",""es"")"),"Triesenberg")</f>
        <v>Triesenberg</v>
      </c>
      <c r="F2764" s="9" t="str">
        <f>IFERROR(__xludf.DUMMYFUNCTION("GOOGLETRANSLATE($A2764,""en"",""it"")"),"Triesenberg")</f>
        <v>Triesenberg</v>
      </c>
      <c r="G2764" s="9" t="str">
        <f>IFERROR(__xludf.DUMMYFUNCTION("GOOGLETRANSLATE($A2764,""en"",""zh-cn"")"),"特里森贝格")</f>
        <v>特里森贝格</v>
      </c>
      <c r="H2764" s="9" t="str">
        <f>IFERROR(__xludf.DUMMYFUNCTION("GOOGLETRANSLATE($A2764,""en"",""ja"")"),"トリーゼンベルク")</f>
        <v>トリーゼンベルク</v>
      </c>
      <c r="I2764" s="9" t="str">
        <f>IFERROR(__xludf.DUMMYFUNCTION("GOOGLETRANSLATE($A2764,""en"",""ko"")"),"트리센베르그")</f>
        <v>트리센베르그</v>
      </c>
      <c r="J2764" s="9" t="str">
        <f>IFERROR(__xludf.DUMMYFUNCTION("GOOGLETRANSLATE($A2764,""en"",""pt-BR"")"),"Triesenberg")</f>
        <v>Triesenberg</v>
      </c>
    </row>
    <row r="2765">
      <c r="A2765" s="9" t="str">
        <f>IFERROR(__xludf.DUMMYFUNCTION("""COMPUTED_VALUE"""),"Mauren")</f>
        <v>Mauren</v>
      </c>
      <c r="B2765" s="9" t="str">
        <f>IFERROR(__xludf.DUMMYFUNCTION("""COMPUTED_VALUE"""),"li-04")</f>
        <v>li-04</v>
      </c>
      <c r="C2765" s="9" t="str">
        <f>IFERROR(__xludf.DUMMYFUNCTION("GOOGLETRANSLATE($A2765,""en"",""de"")"),"Mauren")</f>
        <v>Mauren</v>
      </c>
      <c r="D2765" s="9" t="str">
        <f>IFERROR(__xludf.DUMMYFUNCTION("GOOGLETRANSLATE($A2765,""en"",""fr"")"),"Mauren")</f>
        <v>Mauren</v>
      </c>
      <c r="E2765" s="9" t="str">
        <f>IFERROR(__xludf.DUMMYFUNCTION("GOOGLETRANSLATE($A2765,""en"",""es"")"),"mauren")</f>
        <v>mauren</v>
      </c>
      <c r="F2765" s="9" t="str">
        <f>IFERROR(__xludf.DUMMYFUNCTION("GOOGLETRANSLATE($A2765,""en"",""it"")"),"Mauren")</f>
        <v>Mauren</v>
      </c>
      <c r="G2765" s="9" t="str">
        <f>IFERROR(__xludf.DUMMYFUNCTION("GOOGLETRANSLATE($A2765,""en"",""zh-cn"")"),"莫伦")</f>
        <v>莫伦</v>
      </c>
      <c r="H2765" s="9" t="str">
        <f>IFERROR(__xludf.DUMMYFUNCTION("GOOGLETRANSLATE($A2765,""en"",""ja"")"),"モーレン")</f>
        <v>モーレン</v>
      </c>
      <c r="I2765" s="9" t="str">
        <f>IFERROR(__xludf.DUMMYFUNCTION("GOOGLETRANSLATE($A2765,""en"",""ko"")"),"마우렌")</f>
        <v>마우렌</v>
      </c>
      <c r="J2765" s="9" t="str">
        <f>IFERROR(__xludf.DUMMYFUNCTION("GOOGLETRANSLATE($A2765,""en"",""pt-BR"")"),"Mauren")</f>
        <v>Mauren</v>
      </c>
    </row>
    <row r="2766">
      <c r="A2766" s="9" t="str">
        <f>IFERROR(__xludf.DUMMYFUNCTION("""COMPUTED_VALUE"""),"Eschen")</f>
        <v>Eschen</v>
      </c>
      <c r="B2766" s="9" t="str">
        <f>IFERROR(__xludf.DUMMYFUNCTION("""COMPUTED_VALUE"""),"li-02")</f>
        <v>li-02</v>
      </c>
      <c r="C2766" s="9" t="str">
        <f>IFERROR(__xludf.DUMMYFUNCTION("GOOGLETRANSLATE($A2766,""en"",""de"")"),"Eschen")</f>
        <v>Eschen</v>
      </c>
      <c r="D2766" s="9" t="str">
        <f>IFERROR(__xludf.DUMMYFUNCTION("GOOGLETRANSLATE($A2766,""en"",""fr"")"),"Eschen")</f>
        <v>Eschen</v>
      </c>
      <c r="E2766" s="9" t="str">
        <f>IFERROR(__xludf.DUMMYFUNCTION("GOOGLETRANSLATE($A2766,""en"",""es"")"),"Eschen")</f>
        <v>Eschen</v>
      </c>
      <c r="F2766" s="9" t="str">
        <f>IFERROR(__xludf.DUMMYFUNCTION("GOOGLETRANSLATE($A2766,""en"",""it"")"),"Eschen")</f>
        <v>Eschen</v>
      </c>
      <c r="G2766" s="9" t="str">
        <f>IFERROR(__xludf.DUMMYFUNCTION("GOOGLETRANSLATE($A2766,""en"",""zh-cn"")"),"埃申")</f>
        <v>埃申</v>
      </c>
      <c r="H2766" s="9" t="str">
        <f>IFERROR(__xludf.DUMMYFUNCTION("GOOGLETRANSLATE($A2766,""en"",""ja"")"),"エッシェン")</f>
        <v>エッシェン</v>
      </c>
      <c r="I2766" s="9" t="str">
        <f>IFERROR(__xludf.DUMMYFUNCTION("GOOGLETRANSLATE($A2766,""en"",""ko"")"),"에셴")</f>
        <v>에셴</v>
      </c>
      <c r="J2766" s="9" t="str">
        <f>IFERROR(__xludf.DUMMYFUNCTION("GOOGLETRANSLATE($A2766,""en"",""pt-BR"")"),"Eschen")</f>
        <v>Eschen</v>
      </c>
    </row>
    <row r="2767">
      <c r="A2767" s="9" t="str">
        <f>IFERROR(__xludf.DUMMYFUNCTION("""COMPUTED_VALUE"""),"Schaan")</f>
        <v>Schaan</v>
      </c>
      <c r="B2767" s="9" t="str">
        <f>IFERROR(__xludf.DUMMYFUNCTION("""COMPUTED_VALUE"""),"li-07")</f>
        <v>li-07</v>
      </c>
      <c r="C2767" s="9" t="str">
        <f>IFERROR(__xludf.DUMMYFUNCTION("GOOGLETRANSLATE($A2767,""en"",""de"")"),"Schaan")</f>
        <v>Schaan</v>
      </c>
      <c r="D2767" s="9" t="str">
        <f>IFERROR(__xludf.DUMMYFUNCTION("GOOGLETRANSLATE($A2767,""en"",""fr"")"),"Schaan")</f>
        <v>Schaan</v>
      </c>
      <c r="E2767" s="9" t="str">
        <f>IFERROR(__xludf.DUMMYFUNCTION("GOOGLETRANSLATE($A2767,""en"",""es"")"),"Schaan")</f>
        <v>Schaan</v>
      </c>
      <c r="F2767" s="9" t="str">
        <f>IFERROR(__xludf.DUMMYFUNCTION("GOOGLETRANSLATE($A2767,""en"",""it"")"),"Schaan")</f>
        <v>Schaan</v>
      </c>
      <c r="G2767" s="9" t="str">
        <f>IFERROR(__xludf.DUMMYFUNCTION("GOOGLETRANSLATE($A2767,""en"",""zh-cn"")"),"沙恩")</f>
        <v>沙恩</v>
      </c>
      <c r="H2767" s="9" t="str">
        <f>IFERROR(__xludf.DUMMYFUNCTION("GOOGLETRANSLATE($A2767,""en"",""ja"")"),"シャーン")</f>
        <v>シャーン</v>
      </c>
      <c r="I2767" s="9" t="str">
        <f>IFERROR(__xludf.DUMMYFUNCTION("GOOGLETRANSLATE($A2767,""en"",""ko"")"),"샨")</f>
        <v>샨</v>
      </c>
      <c r="J2767" s="9" t="str">
        <f>IFERROR(__xludf.DUMMYFUNCTION("GOOGLETRANSLATE($A2767,""en"",""pt-BR"")"),"Schaan")</f>
        <v>Schaan</v>
      </c>
    </row>
    <row r="2768">
      <c r="A2768" s="9" t="str">
        <f>IFERROR(__xludf.DUMMYFUNCTION("""COMPUTED_VALUE"""),"Balzers")</f>
        <v>Balzers</v>
      </c>
      <c r="B2768" s="9" t="str">
        <f>IFERROR(__xludf.DUMMYFUNCTION("""COMPUTED_VALUE"""),"li-01")</f>
        <v>li-01</v>
      </c>
      <c r="C2768" s="9" t="str">
        <f>IFERROR(__xludf.DUMMYFUNCTION("GOOGLETRANSLATE($A2768,""en"",""de"")"),"Balzers")</f>
        <v>Balzers</v>
      </c>
      <c r="D2768" s="9" t="str">
        <f>IFERROR(__xludf.DUMMYFUNCTION("GOOGLETRANSLATE($A2768,""en"",""fr"")"),"Balzers")</f>
        <v>Balzers</v>
      </c>
      <c r="E2768" s="9" t="str">
        <f>IFERROR(__xludf.DUMMYFUNCTION("GOOGLETRANSLATE($A2768,""en"",""es"")"),"Balzers")</f>
        <v>Balzers</v>
      </c>
      <c r="F2768" s="9" t="str">
        <f>IFERROR(__xludf.DUMMYFUNCTION("GOOGLETRANSLATE($A2768,""en"",""it"")"),"Balzer")</f>
        <v>Balzer</v>
      </c>
      <c r="G2768" s="9" t="str">
        <f>IFERROR(__xludf.DUMMYFUNCTION("GOOGLETRANSLATE($A2768,""en"",""zh-cn"")"),"巴尔泽斯")</f>
        <v>巴尔泽斯</v>
      </c>
      <c r="H2768" s="9" t="str">
        <f>IFERROR(__xludf.DUMMYFUNCTION("GOOGLETRANSLATE($A2768,""en"",""ja"")"),"バルザース")</f>
        <v>バルザース</v>
      </c>
      <c r="I2768" s="9" t="str">
        <f>IFERROR(__xludf.DUMMYFUNCTION("GOOGLETRANSLATE($A2768,""en"",""ko"")"),"발저스")</f>
        <v>발저스</v>
      </c>
      <c r="J2768" s="9" t="str">
        <f>IFERROR(__xludf.DUMMYFUNCTION("GOOGLETRANSLATE($A2768,""en"",""pt-BR"")"),"Balzers")</f>
        <v>Balzers</v>
      </c>
    </row>
    <row r="2769">
      <c r="A2769" s="9" t="str">
        <f>IFERROR(__xludf.DUMMYFUNCTION("""COMPUTED_VALUE"""),"Ruggell")</f>
        <v>Ruggell</v>
      </c>
      <c r="B2769" s="9" t="str">
        <f>IFERROR(__xludf.DUMMYFUNCTION("""COMPUTED_VALUE"""),"li-06")</f>
        <v>li-06</v>
      </c>
      <c r="C2769" s="9" t="str">
        <f>IFERROR(__xludf.DUMMYFUNCTION("GOOGLETRANSLATE($A2769,""en"",""de"")"),"Ruggell")</f>
        <v>Ruggell</v>
      </c>
      <c r="D2769" s="9" t="str">
        <f>IFERROR(__xludf.DUMMYFUNCTION("GOOGLETRANSLATE($A2769,""en"",""fr"")"),"Ruggel")</f>
        <v>Ruggel</v>
      </c>
      <c r="E2769" s="9" t="str">
        <f>IFERROR(__xludf.DUMMYFUNCTION("GOOGLETRANSLATE($A2769,""en"",""es"")"),"ruggell")</f>
        <v>ruggell</v>
      </c>
      <c r="F2769" s="9" t="str">
        <f>IFERROR(__xludf.DUMMYFUNCTION("GOOGLETRANSLATE($A2769,""en"",""it"")"),"Ruggell")</f>
        <v>Ruggell</v>
      </c>
      <c r="G2769" s="9" t="str">
        <f>IFERROR(__xludf.DUMMYFUNCTION("GOOGLETRANSLATE($A2769,""en"",""zh-cn"")"),"鲁格尔")</f>
        <v>鲁格尔</v>
      </c>
      <c r="H2769" s="9" t="str">
        <f>IFERROR(__xludf.DUMMYFUNCTION("GOOGLETRANSLATE($A2769,""en"",""ja"")"),"ルッゲル")</f>
        <v>ルッゲル</v>
      </c>
      <c r="I2769" s="9" t="str">
        <f>IFERROR(__xludf.DUMMYFUNCTION("GOOGLETRANSLATE($A2769,""en"",""ko"")"),"루겔")</f>
        <v>루겔</v>
      </c>
      <c r="J2769" s="9" t="str">
        <f>IFERROR(__xludf.DUMMYFUNCTION("GOOGLETRANSLATE($A2769,""en"",""pt-BR"")"),"Ruggell")</f>
        <v>Ruggell</v>
      </c>
    </row>
    <row r="2770">
      <c r="A2770" s="9" t="str">
        <f>IFERROR(__xludf.DUMMYFUNCTION("""COMPUTED_VALUE"""),"Planken")</f>
        <v>Planken</v>
      </c>
      <c r="B2770" s="9" t="str">
        <f>IFERROR(__xludf.DUMMYFUNCTION("""COMPUTED_VALUE"""),"li-05")</f>
        <v>li-05</v>
      </c>
      <c r="C2770" s="9" t="str">
        <f>IFERROR(__xludf.DUMMYFUNCTION("GOOGLETRANSLATE($A2770,""en"",""de"")"),"Planken")</f>
        <v>Planken</v>
      </c>
      <c r="D2770" s="9" t="str">
        <f>IFERROR(__xludf.DUMMYFUNCTION("GOOGLETRANSLATE($A2770,""en"",""fr"")"),"Planches")</f>
        <v>Planches</v>
      </c>
      <c r="E2770" s="9" t="str">
        <f>IFERROR(__xludf.DUMMYFUNCTION("GOOGLETRANSLATE($A2770,""en"",""es"")"),"planken")</f>
        <v>planken</v>
      </c>
      <c r="F2770" s="9" t="str">
        <f>IFERROR(__xludf.DUMMYFUNCTION("GOOGLETRANSLATE($A2770,""en"",""it"")"),"Plancia")</f>
        <v>Plancia</v>
      </c>
      <c r="G2770" s="9" t="str">
        <f>IFERROR(__xludf.DUMMYFUNCTION("GOOGLETRANSLATE($A2770,""en"",""zh-cn"")"),"普兰肯")</f>
        <v>普兰肯</v>
      </c>
      <c r="H2770" s="9" t="str">
        <f>IFERROR(__xludf.DUMMYFUNCTION("GOOGLETRANSLATE($A2770,""en"",""ja"")"),"プランケン")</f>
        <v>プランケン</v>
      </c>
      <c r="I2770" s="9" t="str">
        <f>IFERROR(__xludf.DUMMYFUNCTION("GOOGLETRANSLATE($A2770,""en"",""ko"")"),"플랑켄")</f>
        <v>플랑켄</v>
      </c>
      <c r="J2770" s="9" t="str">
        <f>IFERROR(__xludf.DUMMYFUNCTION("GOOGLETRANSLATE($A2770,""en"",""pt-BR"")"),"Planken")</f>
        <v>Planken</v>
      </c>
    </row>
    <row r="2771">
      <c r="A2771" s="9" t="str">
        <f>IFERROR(__xludf.DUMMYFUNCTION("""COMPUTED_VALUE"""),"Triesen")</f>
        <v>Triesen</v>
      </c>
      <c r="B2771" s="9" t="str">
        <f>IFERROR(__xludf.DUMMYFUNCTION("""COMPUTED_VALUE"""),"li-09")</f>
        <v>li-09</v>
      </c>
      <c r="C2771" s="9" t="str">
        <f>IFERROR(__xludf.DUMMYFUNCTION("GOOGLETRANSLATE($A2771,""en"",""de"")"),"Triesen")</f>
        <v>Triesen</v>
      </c>
      <c r="D2771" s="9" t="str">
        <f>IFERROR(__xludf.DUMMYFUNCTION("GOOGLETRANSLATE($A2771,""en"",""fr"")"),"Triesen")</f>
        <v>Triesen</v>
      </c>
      <c r="E2771" s="9" t="str">
        <f>IFERROR(__xludf.DUMMYFUNCTION("GOOGLETRANSLATE($A2771,""en"",""es"")"),"Triesen")</f>
        <v>Triesen</v>
      </c>
      <c r="F2771" s="9" t="str">
        <f>IFERROR(__xludf.DUMMYFUNCTION("GOOGLETRANSLATE($A2771,""en"",""it"")"),"Triesen")</f>
        <v>Triesen</v>
      </c>
      <c r="G2771" s="9" t="str">
        <f>IFERROR(__xludf.DUMMYFUNCTION("GOOGLETRANSLATE($A2771,""en"",""zh-cn"")"),"特里森")</f>
        <v>特里森</v>
      </c>
      <c r="H2771" s="9" t="str">
        <f>IFERROR(__xludf.DUMMYFUNCTION("GOOGLETRANSLATE($A2771,""en"",""ja"")"),"トリーゼン")</f>
        <v>トリーゼン</v>
      </c>
      <c r="I2771" s="9" t="str">
        <f>IFERROR(__xludf.DUMMYFUNCTION("GOOGLETRANSLATE($A2771,""en"",""ko"")"),"트리젠")</f>
        <v>트리젠</v>
      </c>
      <c r="J2771" s="9" t="str">
        <f>IFERROR(__xludf.DUMMYFUNCTION("GOOGLETRANSLATE($A2771,""en"",""pt-BR"")"),"Triesen")</f>
        <v>Triesen</v>
      </c>
    </row>
    <row r="2772">
      <c r="A2772" s="9" t="str">
        <f>IFERROR(__xludf.DUMMYFUNCTION("""COMPUTED_VALUE"""),"Vaduz")</f>
        <v>Vaduz</v>
      </c>
      <c r="B2772" s="9" t="str">
        <f>IFERROR(__xludf.DUMMYFUNCTION("""COMPUTED_VALUE"""),"li-11")</f>
        <v>li-11</v>
      </c>
      <c r="C2772" s="9" t="str">
        <f>IFERROR(__xludf.DUMMYFUNCTION("GOOGLETRANSLATE($A2772,""en"",""de"")"),"Vaduz")</f>
        <v>Vaduz</v>
      </c>
      <c r="D2772" s="9" t="str">
        <f>IFERROR(__xludf.DUMMYFUNCTION("GOOGLETRANSLATE($A2772,""en"",""fr"")"),"Vaduz")</f>
        <v>Vaduz</v>
      </c>
      <c r="E2772" s="9" t="str">
        <f>IFERROR(__xludf.DUMMYFUNCTION("GOOGLETRANSLATE($A2772,""en"",""es"")"),"Vaduz")</f>
        <v>Vaduz</v>
      </c>
      <c r="F2772" s="9" t="str">
        <f>IFERROR(__xludf.DUMMYFUNCTION("GOOGLETRANSLATE($A2772,""en"",""it"")"),"Vaduz")</f>
        <v>Vaduz</v>
      </c>
      <c r="G2772" s="9" t="str">
        <f>IFERROR(__xludf.DUMMYFUNCTION("GOOGLETRANSLATE($A2772,""en"",""zh-cn"")"),"瓦杜兹")</f>
        <v>瓦杜兹</v>
      </c>
      <c r="H2772" s="9" t="str">
        <f>IFERROR(__xludf.DUMMYFUNCTION("GOOGLETRANSLATE($A2772,""en"",""ja"")"),"ファドゥーツ")</f>
        <v>ファドゥーツ</v>
      </c>
      <c r="I2772" s="9" t="str">
        <f>IFERROR(__xludf.DUMMYFUNCTION("GOOGLETRANSLATE($A2772,""en"",""ko"")"),"파두츠")</f>
        <v>파두츠</v>
      </c>
      <c r="J2772" s="9" t="str">
        <f>IFERROR(__xludf.DUMMYFUNCTION("GOOGLETRANSLATE($A2772,""en"",""pt-BR"")"),"Vaduz")</f>
        <v>Vaduz</v>
      </c>
    </row>
    <row r="2773">
      <c r="A2773" s="9" t="str">
        <f>IFERROR(__xludf.DUMMYFUNCTION("""COMPUTED_VALUE"""),"Utena County")</f>
        <v>Utena County</v>
      </c>
      <c r="B2773" s="9" t="str">
        <f>IFERROR(__xludf.DUMMYFUNCTION("""COMPUTED_VALUE"""),"lt-ut")</f>
        <v>lt-ut</v>
      </c>
      <c r="C2773" s="9" t="str">
        <f>IFERROR(__xludf.DUMMYFUNCTION("GOOGLETRANSLATE($A2773,""en"",""de"")"),"Kreis Utena")</f>
        <v>Kreis Utena</v>
      </c>
      <c r="D2773" s="9" t="str">
        <f>IFERROR(__xludf.DUMMYFUNCTION("GOOGLETRANSLATE($A2773,""en"",""fr"")"),"Comté d'Utena")</f>
        <v>Comté d'Utena</v>
      </c>
      <c r="E2773" s="9" t="str">
        <f>IFERROR(__xludf.DUMMYFUNCTION("GOOGLETRANSLATE($A2773,""en"",""es"")"),"Condado de Utena")</f>
        <v>Condado de Utena</v>
      </c>
      <c r="F2773" s="9" t="str">
        <f>IFERROR(__xludf.DUMMYFUNCTION("GOOGLETRANSLATE($A2773,""en"",""it"")"),"Contea di Utena")</f>
        <v>Contea di Utena</v>
      </c>
      <c r="G2773" s="9" t="str">
        <f>IFERROR(__xludf.DUMMYFUNCTION("GOOGLETRANSLATE($A2773,""en"",""zh-cn"")"),"乌田纳县")</f>
        <v>乌田纳县</v>
      </c>
      <c r="H2773" s="9" t="str">
        <f>IFERROR(__xludf.DUMMYFUNCTION("GOOGLETRANSLATE($A2773,""en"",""ja"")"),"ウテナ郡")</f>
        <v>ウテナ郡</v>
      </c>
      <c r="I2773" s="9" t="str">
        <f>IFERROR(__xludf.DUMMYFUNCTION("GOOGLETRANSLATE($A2773,""en"",""ko"")"),"우테나 군")</f>
        <v>우테나 군</v>
      </c>
      <c r="J2773" s="9" t="str">
        <f>IFERROR(__xludf.DUMMYFUNCTION("GOOGLETRANSLATE($A2773,""en"",""pt-BR"")"),"Condado de Utena")</f>
        <v>Condado de Utena</v>
      </c>
    </row>
    <row r="2774">
      <c r="A2774" s="9" t="str">
        <f>IFERROR(__xludf.DUMMYFUNCTION("""COMPUTED_VALUE"""),"Panevėžys County")</f>
        <v>Panevėžys County</v>
      </c>
      <c r="B2774" s="9" t="str">
        <f>IFERROR(__xludf.DUMMYFUNCTION("""COMPUTED_VALUE"""),"lt-pn")</f>
        <v>lt-pn</v>
      </c>
      <c r="C2774" s="9" t="str">
        <f>IFERROR(__xludf.DUMMYFUNCTION("GOOGLETRANSLATE($A2774,""en"",""de"")"),"Kreis Panevėžys")</f>
        <v>Kreis Panevėžys</v>
      </c>
      <c r="D2774" s="9" t="str">
        <f>IFERROR(__xludf.DUMMYFUNCTION("GOOGLETRANSLATE($A2774,""en"",""fr"")"),"Comté de Panevėžys")</f>
        <v>Comté de Panevėžys</v>
      </c>
      <c r="E2774" s="9" t="str">
        <f>IFERROR(__xludf.DUMMYFUNCTION("GOOGLETRANSLATE($A2774,""en"",""es"")"),"Condado de Panevėžys")</f>
        <v>Condado de Panevėžys</v>
      </c>
      <c r="F2774" s="9" t="str">
        <f>IFERROR(__xludf.DUMMYFUNCTION("GOOGLETRANSLATE($A2774,""en"",""it"")"),"Contea di Panevėžys")</f>
        <v>Contea di Panevėžys</v>
      </c>
      <c r="G2774" s="9" t="str">
        <f>IFERROR(__xludf.DUMMYFUNCTION("GOOGLETRANSLATE($A2774,""en"",""zh-cn"")"),"帕内韦日斯县")</f>
        <v>帕内韦日斯县</v>
      </c>
      <c r="H2774" s="9" t="str">
        <f>IFERROR(__xludf.DUMMYFUNCTION("GOOGLETRANSLATE($A2774,""en"",""ja"")"),"パネヴェジース県")</f>
        <v>パネヴェジース県</v>
      </c>
      <c r="I2774" s="9" t="str">
        <f>IFERROR(__xludf.DUMMYFUNCTION("GOOGLETRANSLATE($A2774,""en"",""ko"")"),"파네베지스 카운티")</f>
        <v>파네베지스 카운티</v>
      </c>
      <c r="J2774" s="9" t="str">
        <f>IFERROR(__xludf.DUMMYFUNCTION("GOOGLETRANSLATE($A2774,""en"",""pt-BR"")"),"Condado de Panevėžys")</f>
        <v>Condado de Panevėžys</v>
      </c>
    </row>
    <row r="2775">
      <c r="A2775" s="9" t="str">
        <f>IFERROR(__xludf.DUMMYFUNCTION("""COMPUTED_VALUE"""),"Klaipėda County")</f>
        <v>Klaipėda County</v>
      </c>
      <c r="B2775" s="9" t="str">
        <f>IFERROR(__xludf.DUMMYFUNCTION("""COMPUTED_VALUE"""),"lt-kl")</f>
        <v>lt-kl</v>
      </c>
      <c r="C2775" s="9" t="str">
        <f>IFERROR(__xludf.DUMMYFUNCTION("GOOGLETRANSLATE($A2775,""en"",""de"")"),"Kreis Klaipėda")</f>
        <v>Kreis Klaipėda</v>
      </c>
      <c r="D2775" s="9" t="str">
        <f>IFERROR(__xludf.DUMMYFUNCTION("GOOGLETRANSLATE($A2775,""en"",""fr"")"),"Comté de Klaipėda")</f>
        <v>Comté de Klaipėda</v>
      </c>
      <c r="E2775" s="9" t="str">
        <f>IFERROR(__xludf.DUMMYFUNCTION("GOOGLETRANSLATE($A2775,""en"",""es"")"),"Condado de Klaipėda")</f>
        <v>Condado de Klaipėda</v>
      </c>
      <c r="F2775" s="9" t="str">
        <f>IFERROR(__xludf.DUMMYFUNCTION("GOOGLETRANSLATE($A2775,""en"",""it"")"),"Contea di Klaipėda")</f>
        <v>Contea di Klaipėda</v>
      </c>
      <c r="G2775" s="9" t="str">
        <f>IFERROR(__xludf.DUMMYFUNCTION("GOOGLETRANSLATE($A2775,""en"",""zh-cn"")"),"克莱佩达县")</f>
        <v>克莱佩达县</v>
      </c>
      <c r="H2775" s="9" t="str">
        <f>IFERROR(__xludf.DUMMYFUNCTION("GOOGLETRANSLATE($A2775,""en"",""ja"")"),"クライペダ県")</f>
        <v>クライペダ県</v>
      </c>
      <c r="I2775" s="9" t="str">
        <f>IFERROR(__xludf.DUMMYFUNCTION("GOOGLETRANSLATE($A2775,""en"",""ko"")"),"클라이페다 카운티")</f>
        <v>클라이페다 카운티</v>
      </c>
      <c r="J2775" s="9" t="str">
        <f>IFERROR(__xludf.DUMMYFUNCTION("GOOGLETRANSLATE($A2775,""en"",""pt-BR"")"),"Condado de Klaipeda")</f>
        <v>Condado de Klaipeda</v>
      </c>
    </row>
    <row r="2776">
      <c r="A2776" s="9" t="str">
        <f>IFERROR(__xludf.DUMMYFUNCTION("""COMPUTED_VALUE"""),"Vilnius County")</f>
        <v>Vilnius County</v>
      </c>
      <c r="B2776" s="9" t="str">
        <f>IFERROR(__xludf.DUMMYFUNCTION("""COMPUTED_VALUE"""),"lt-vl")</f>
        <v>lt-vl</v>
      </c>
      <c r="C2776" s="9" t="str">
        <f>IFERROR(__xludf.DUMMYFUNCTION("GOOGLETRANSLATE($A2776,""en"",""de"")"),"Landkreis Vilnius")</f>
        <v>Landkreis Vilnius</v>
      </c>
      <c r="D2776" s="9" t="str">
        <f>IFERROR(__xludf.DUMMYFUNCTION("GOOGLETRANSLATE($A2776,""en"",""fr"")"),"Comté de Vilnius")</f>
        <v>Comté de Vilnius</v>
      </c>
      <c r="E2776" s="9" t="str">
        <f>IFERROR(__xludf.DUMMYFUNCTION("GOOGLETRANSLATE($A2776,""en"",""es"")"),"Condado de Vilna")</f>
        <v>Condado de Vilna</v>
      </c>
      <c r="F2776" s="9" t="str">
        <f>IFERROR(__xludf.DUMMYFUNCTION("GOOGLETRANSLATE($A2776,""en"",""it"")"),"Contea di Vilnius")</f>
        <v>Contea di Vilnius</v>
      </c>
      <c r="G2776" s="9" t="str">
        <f>IFERROR(__xludf.DUMMYFUNCTION("GOOGLETRANSLATE($A2776,""en"",""zh-cn"")"),"维尔纽斯县")</f>
        <v>维尔纽斯县</v>
      </c>
      <c r="H2776" s="9" t="str">
        <f>IFERROR(__xludf.DUMMYFUNCTION("GOOGLETRANSLATE($A2776,""en"",""ja"")"),"ヴィリニュス県")</f>
        <v>ヴィリニュス県</v>
      </c>
      <c r="I2776" s="9" t="str">
        <f>IFERROR(__xludf.DUMMYFUNCTION("GOOGLETRANSLATE($A2776,""en"",""ko"")"),"빌뉴스 카운티")</f>
        <v>빌뉴스 카운티</v>
      </c>
      <c r="J2776" s="9" t="str">
        <f>IFERROR(__xludf.DUMMYFUNCTION("GOOGLETRANSLATE($A2776,""en"",""pt-BR"")"),"Condado de Vilnius")</f>
        <v>Condado de Vilnius</v>
      </c>
    </row>
    <row r="2777">
      <c r="A2777" s="9" t="str">
        <f>IFERROR(__xludf.DUMMYFUNCTION("""COMPUTED_VALUE"""),"Šiauliai County")</f>
        <v>Šiauliai County</v>
      </c>
      <c r="B2777" s="9" t="str">
        <f>IFERROR(__xludf.DUMMYFUNCTION("""COMPUTED_VALUE"""),"lt-sa")</f>
        <v>lt-sa</v>
      </c>
      <c r="C2777" s="9" t="str">
        <f>IFERROR(__xludf.DUMMYFUNCTION("GOOGLETRANSLATE($A2777,""en"",""de"")"),"Kreis Šiauliai")</f>
        <v>Kreis Šiauliai</v>
      </c>
      <c r="D2777" s="9" t="str">
        <f>IFERROR(__xludf.DUMMYFUNCTION("GOOGLETRANSLATE($A2777,""en"",""fr"")"),"Comté de Šiauliai")</f>
        <v>Comté de Šiauliai</v>
      </c>
      <c r="E2777" s="9" t="str">
        <f>IFERROR(__xludf.DUMMYFUNCTION("GOOGLETRANSLATE($A2777,""en"",""es"")"),"Condado de Šiauliai")</f>
        <v>Condado de Šiauliai</v>
      </c>
      <c r="F2777" s="9" t="str">
        <f>IFERROR(__xludf.DUMMYFUNCTION("GOOGLETRANSLATE($A2777,""en"",""it"")"),"Contea di Šiauliai")</f>
        <v>Contea di Šiauliai</v>
      </c>
      <c r="G2777" s="9" t="str">
        <f>IFERROR(__xludf.DUMMYFUNCTION("GOOGLETRANSLATE($A2777,""en"",""zh-cn"")"),"希奥利艾县")</f>
        <v>希奥利艾县</v>
      </c>
      <c r="H2777" s="9" t="str">
        <f>IFERROR(__xludf.DUMMYFUNCTION("GOOGLETRANSLATE($A2777,""en"",""ja"")"),"シャウレイ県")</f>
        <v>シャウレイ県</v>
      </c>
      <c r="I2777" s="9" t="str">
        <f>IFERROR(__xludf.DUMMYFUNCTION("GOOGLETRANSLATE($A2777,""en"",""ko"")"),"샤울리아이 카운티")</f>
        <v>샤울리아이 카운티</v>
      </c>
      <c r="J2777" s="9" t="str">
        <f>IFERROR(__xludf.DUMMYFUNCTION("GOOGLETRANSLATE($A2777,""en"",""pt-BR"")"),"Condado de Šiauliai")</f>
        <v>Condado de Šiauliai</v>
      </c>
    </row>
    <row r="2778">
      <c r="A2778" s="9" t="str">
        <f>IFERROR(__xludf.DUMMYFUNCTION("""COMPUTED_VALUE"""),"Kaišiadorys")</f>
        <v>Kaišiadorys</v>
      </c>
      <c r="B2778" s="9" t="str">
        <f>IFERROR(__xludf.DUMMYFUNCTION("""COMPUTED_VALUE"""),"lt-13")</f>
        <v>lt-13</v>
      </c>
      <c r="C2778" s="9" t="str">
        <f>IFERROR(__xludf.DUMMYFUNCTION("GOOGLETRANSLATE($A2778,""en"",""de"")"),"Kaišiadorys")</f>
        <v>Kaišiadorys</v>
      </c>
      <c r="D2778" s="9" t="str">
        <f>IFERROR(__xludf.DUMMYFUNCTION("GOOGLETRANSLATE($A2778,""en"",""fr"")"),"Kaišiadorys")</f>
        <v>Kaišiadorys</v>
      </c>
      <c r="E2778" s="9" t="str">
        <f>IFERROR(__xludf.DUMMYFUNCTION("GOOGLETRANSLATE($A2778,""en"",""es"")"),"Kaisiadorys")</f>
        <v>Kaisiadorys</v>
      </c>
      <c r="F2778" s="9" t="str">
        <f>IFERROR(__xludf.DUMMYFUNCTION("GOOGLETRANSLATE($A2778,""en"",""it"")"),"Kaišiadorys")</f>
        <v>Kaišiadorys</v>
      </c>
      <c r="G2778" s="9" t="str">
        <f>IFERROR(__xludf.DUMMYFUNCTION("GOOGLETRANSLATE($A2778,""en"",""zh-cn"")"),"凯希亚多里斯")</f>
        <v>凯希亚多里斯</v>
      </c>
      <c r="H2778" s="9" t="str">
        <f>IFERROR(__xludf.DUMMYFUNCTION("GOOGLETRANSLATE($A2778,""en"",""ja"")"),"カイシアドリス")</f>
        <v>カイシアドリス</v>
      </c>
      <c r="I2778" s="9" t="str">
        <f>IFERROR(__xludf.DUMMYFUNCTION("GOOGLETRANSLATE($A2778,""en"",""ko"")"),"카이시아도리스")</f>
        <v>카이시아도리스</v>
      </c>
      <c r="J2778" s="9" t="str">
        <f>IFERROR(__xludf.DUMMYFUNCTION("GOOGLETRANSLATE($A2778,""en"",""pt-BR"")"),"Kaišiadorys")</f>
        <v>Kaišiadorys</v>
      </c>
    </row>
    <row r="2779">
      <c r="A2779" s="9" t="str">
        <f>IFERROR(__xludf.DUMMYFUNCTION("""COMPUTED_VALUE"""),"Joniškis")</f>
        <v>Joniškis</v>
      </c>
      <c r="B2779" s="9" t="str">
        <f>IFERROR(__xludf.DUMMYFUNCTION("""COMPUTED_VALUE"""),"lt-11")</f>
        <v>lt-11</v>
      </c>
      <c r="C2779" s="9" t="str">
        <f>IFERROR(__xludf.DUMMYFUNCTION("GOOGLETRANSLATE($A2779,""en"",""de"")"),"Joniškis")</f>
        <v>Joniškis</v>
      </c>
      <c r="D2779" s="9" t="str">
        <f>IFERROR(__xludf.DUMMYFUNCTION("GOOGLETRANSLATE($A2779,""en"",""fr"")"),"Joniškis")</f>
        <v>Joniškis</v>
      </c>
      <c r="E2779" s="9" t="str">
        <f>IFERROR(__xludf.DUMMYFUNCTION("GOOGLETRANSLATE($A2779,""en"",""es"")"),"joniškis")</f>
        <v>joniškis</v>
      </c>
      <c r="F2779" s="9" t="str">
        <f>IFERROR(__xludf.DUMMYFUNCTION("GOOGLETRANSLATE($A2779,""en"",""it"")"),"Joniškis")</f>
        <v>Joniškis</v>
      </c>
      <c r="G2779" s="9" t="str">
        <f>IFERROR(__xludf.DUMMYFUNCTION("GOOGLETRANSLATE($A2779,""en"",""zh-cn"")"),"约尼斯基斯")</f>
        <v>约尼斯基斯</v>
      </c>
      <c r="H2779" s="9" t="str">
        <f>IFERROR(__xludf.DUMMYFUNCTION("GOOGLETRANSLATE($A2779,""en"",""ja"")"),"ヨニシュキス")</f>
        <v>ヨニシュキス</v>
      </c>
      <c r="I2779" s="9" t="str">
        <f>IFERROR(__xludf.DUMMYFUNCTION("GOOGLETRANSLATE($A2779,""en"",""ko"")"),"요니스키스")</f>
        <v>요니스키스</v>
      </c>
      <c r="J2779" s="9" t="str">
        <f>IFERROR(__xludf.DUMMYFUNCTION("GOOGLETRANSLATE($A2779,""en"",""pt-BR"")"),"Joniškis")</f>
        <v>Joniškis</v>
      </c>
    </row>
    <row r="2780">
      <c r="A2780" s="9" t="str">
        <f>IFERROR(__xludf.DUMMYFUNCTION("""COMPUTED_VALUE"""),"Jurbarkas")</f>
        <v>Jurbarkas</v>
      </c>
      <c r="B2780" s="9" t="str">
        <f>IFERROR(__xludf.DUMMYFUNCTION("""COMPUTED_VALUE"""),"lt-12")</f>
        <v>lt-12</v>
      </c>
      <c r="C2780" s="9" t="str">
        <f>IFERROR(__xludf.DUMMYFUNCTION("GOOGLETRANSLATE($A2780,""en"",""de"")"),"Jurbarkas")</f>
        <v>Jurbarkas</v>
      </c>
      <c r="D2780" s="9" t="str">
        <f>IFERROR(__xludf.DUMMYFUNCTION("GOOGLETRANSLATE($A2780,""en"",""fr"")"),"Jurbarkas")</f>
        <v>Jurbarkas</v>
      </c>
      <c r="E2780" s="9" t="str">
        <f>IFERROR(__xludf.DUMMYFUNCTION("GOOGLETRANSLATE($A2780,""en"",""es"")"),"Jurbarkas")</f>
        <v>Jurbarkas</v>
      </c>
      <c r="F2780" s="9" t="str">
        <f>IFERROR(__xludf.DUMMYFUNCTION("GOOGLETRANSLATE($A2780,""en"",""it"")"),"Jurbarkas")</f>
        <v>Jurbarkas</v>
      </c>
      <c r="G2780" s="9" t="str">
        <f>IFERROR(__xludf.DUMMYFUNCTION("GOOGLETRANSLATE($A2780,""en"",""zh-cn"")"),"尤巴尔卡斯")</f>
        <v>尤巴尔卡斯</v>
      </c>
      <c r="H2780" s="9" t="str">
        <f>IFERROR(__xludf.DUMMYFUNCTION("GOOGLETRANSLATE($A2780,""en"",""ja"")"),"ジュルバルカス")</f>
        <v>ジュルバルカス</v>
      </c>
      <c r="I2780" s="9" t="str">
        <f>IFERROR(__xludf.DUMMYFUNCTION("GOOGLETRANSLATE($A2780,""en"",""ko"")"),"주르바르카스")</f>
        <v>주르바르카스</v>
      </c>
      <c r="J2780" s="9" t="str">
        <f>IFERROR(__xludf.DUMMYFUNCTION("GOOGLETRANSLATE($A2780,""en"",""pt-BR"")"),"Jurbarkas")</f>
        <v>Jurbarkas</v>
      </c>
    </row>
    <row r="2781">
      <c r="A2781" s="9" t="str">
        <f>IFERROR(__xludf.DUMMYFUNCTION("""COMPUTED_VALUE"""),"Kaunas")</f>
        <v>Kaunas</v>
      </c>
      <c r="B2781" s="9" t="str">
        <f>IFERROR(__xludf.DUMMYFUNCTION("""COMPUTED_VALUE"""),"lt-16")</f>
        <v>lt-16</v>
      </c>
      <c r="C2781" s="9" t="str">
        <f>IFERROR(__xludf.DUMMYFUNCTION("GOOGLETRANSLATE($A2781,""en"",""de"")"),"Kaunas")</f>
        <v>Kaunas</v>
      </c>
      <c r="D2781" s="9" t="str">
        <f>IFERROR(__xludf.DUMMYFUNCTION("GOOGLETRANSLATE($A2781,""en"",""fr"")"),"Kaunas")</f>
        <v>Kaunas</v>
      </c>
      <c r="E2781" s="9" t="str">
        <f>IFERROR(__xludf.DUMMYFUNCTION("GOOGLETRANSLATE($A2781,""en"",""es"")"),"Kaunas")</f>
        <v>Kaunas</v>
      </c>
      <c r="F2781" s="9" t="str">
        <f>IFERROR(__xludf.DUMMYFUNCTION("GOOGLETRANSLATE($A2781,""en"",""it"")"),"Kaunas")</f>
        <v>Kaunas</v>
      </c>
      <c r="G2781" s="9" t="str">
        <f>IFERROR(__xludf.DUMMYFUNCTION("GOOGLETRANSLATE($A2781,""en"",""zh-cn"")"),"考纳斯")</f>
        <v>考纳斯</v>
      </c>
      <c r="H2781" s="9" t="str">
        <f>IFERROR(__xludf.DUMMYFUNCTION("GOOGLETRANSLATE($A2781,""en"",""ja"")"),"カウナス")</f>
        <v>カウナス</v>
      </c>
      <c r="I2781" s="9" t="str">
        <f>IFERROR(__xludf.DUMMYFUNCTION("GOOGLETRANSLATE($A2781,""en"",""ko"")"),"카우나스")</f>
        <v>카우나스</v>
      </c>
      <c r="J2781" s="9" t="str">
        <f>IFERROR(__xludf.DUMMYFUNCTION("GOOGLETRANSLATE($A2781,""en"",""pt-BR"")"),"Kaunas")</f>
        <v>Kaunas</v>
      </c>
    </row>
    <row r="2782">
      <c r="A2782" s="9" t="str">
        <f>IFERROR(__xludf.DUMMYFUNCTION("""COMPUTED_VALUE"""),"Kalvarija")</f>
        <v>Kalvarija</v>
      </c>
      <c r="B2782" s="9" t="str">
        <f>IFERROR(__xludf.DUMMYFUNCTION("""COMPUTED_VALUE"""),"lt-14")</f>
        <v>lt-14</v>
      </c>
      <c r="C2782" s="9" t="str">
        <f>IFERROR(__xludf.DUMMYFUNCTION("GOOGLETRANSLATE($A2782,""en"",""de"")"),"Kalvarija")</f>
        <v>Kalvarija</v>
      </c>
      <c r="D2782" s="9" t="str">
        <f>IFERROR(__xludf.DUMMYFUNCTION("GOOGLETRANSLATE($A2782,""en"",""fr"")"),"Kalvarija")</f>
        <v>Kalvarija</v>
      </c>
      <c r="E2782" s="9" t="str">
        <f>IFERROR(__xludf.DUMMYFUNCTION("GOOGLETRANSLATE($A2782,""en"",""es"")"),"Kalvarija")</f>
        <v>Kalvarija</v>
      </c>
      <c r="F2782" s="9" t="str">
        <f>IFERROR(__xludf.DUMMYFUNCTION("GOOGLETRANSLATE($A2782,""en"",""it"")"),"Kalvarija")</f>
        <v>Kalvarija</v>
      </c>
      <c r="G2782" s="9" t="str">
        <f>IFERROR(__xludf.DUMMYFUNCTION("GOOGLETRANSLATE($A2782,""en"",""zh-cn"")"),"卡尔瓦里亚")</f>
        <v>卡尔瓦里亚</v>
      </c>
      <c r="H2782" s="9" t="str">
        <f>IFERROR(__xludf.DUMMYFUNCTION("GOOGLETRANSLATE($A2782,""en"",""ja"")"),"カルヴァリヤ")</f>
        <v>カルヴァリヤ</v>
      </c>
      <c r="I2782" s="9" t="str">
        <f>IFERROR(__xludf.DUMMYFUNCTION("GOOGLETRANSLATE($A2782,""en"",""ko"")"),"칼바리자")</f>
        <v>칼바리자</v>
      </c>
      <c r="J2782" s="9" t="str">
        <f>IFERROR(__xludf.DUMMYFUNCTION("GOOGLETRANSLATE($A2782,""en"",""pt-BR"")"),"Kalvarija")</f>
        <v>Kalvarija</v>
      </c>
    </row>
    <row r="2783">
      <c r="A2783" s="9" t="str">
        <f>IFERROR(__xludf.DUMMYFUNCTION("""COMPUTED_VALUE"""),"Kauno miestas")</f>
        <v>Kauno miestas</v>
      </c>
      <c r="B2783" s="9" t="str">
        <f>IFERROR(__xludf.DUMMYFUNCTION("""COMPUTED_VALUE"""),"lt-15")</f>
        <v>lt-15</v>
      </c>
      <c r="C2783" s="9" t="str">
        <f>IFERROR(__xludf.DUMMYFUNCTION("GOOGLETRANSLATE($A2783,""en"",""de"")"),"Kauno miestas")</f>
        <v>Kauno miestas</v>
      </c>
      <c r="D2783" s="9" t="str">
        <f>IFERROR(__xludf.DUMMYFUNCTION("GOOGLETRANSLATE($A2783,""en"",""fr"")"),"Fêtes à Kauno")</f>
        <v>Fêtes à Kauno</v>
      </c>
      <c r="E2783" s="9" t="str">
        <f>IFERROR(__xludf.DUMMYFUNCTION("GOOGLETRANSLATE($A2783,""en"",""es"")"),"Kauno miestas")</f>
        <v>Kauno miestas</v>
      </c>
      <c r="F2783" s="9" t="str">
        <f>IFERROR(__xludf.DUMMYFUNCTION("GOOGLETRANSLATE($A2783,""en"",""it"")"),"Kauno miestas")</f>
        <v>Kauno miestas</v>
      </c>
      <c r="G2783" s="9" t="str">
        <f>IFERROR(__xludf.DUMMYFUNCTION("GOOGLETRANSLATE($A2783,""en"",""zh-cn"")"),"考诺·米斯塔斯")</f>
        <v>考诺·米斯塔斯</v>
      </c>
      <c r="H2783" s="9" t="str">
        <f>IFERROR(__xludf.DUMMYFUNCTION("GOOGLETRANSLATE($A2783,""en"",""ja"")"),"カウノ・ミエスタ")</f>
        <v>カウノ・ミエスタ</v>
      </c>
      <c r="I2783" s="9" t="str">
        <f>IFERROR(__xludf.DUMMYFUNCTION("GOOGLETRANSLATE($A2783,""en"",""ko"")"),"카우노 미에스타스")</f>
        <v>카우노 미에스타스</v>
      </c>
      <c r="J2783" s="9" t="str">
        <f>IFERROR(__xludf.DUMMYFUNCTION("GOOGLETRANSLATE($A2783,""en"",""pt-BR"")"),"Kauno miestas")</f>
        <v>Kauno miestas</v>
      </c>
    </row>
    <row r="2784">
      <c r="A2784" s="9" t="str">
        <f>IFERROR(__xludf.DUMMYFUNCTION("""COMPUTED_VALUE"""),"Kėdainiai")</f>
        <v>Kėdainiai</v>
      </c>
      <c r="B2784" s="9" t="str">
        <f>IFERROR(__xludf.DUMMYFUNCTION("""COMPUTED_VALUE"""),"lt-18")</f>
        <v>lt-18</v>
      </c>
      <c r="C2784" s="9" t="str">
        <f>IFERROR(__xludf.DUMMYFUNCTION("GOOGLETRANSLATE($A2784,""en"",""de"")"),"Kėdainiai")</f>
        <v>Kėdainiai</v>
      </c>
      <c r="D2784" s="9" t="str">
        <f>IFERROR(__xludf.DUMMYFUNCTION("GOOGLETRANSLATE($A2784,""en"",""fr"")"),"Kėdainiai")</f>
        <v>Kėdainiai</v>
      </c>
      <c r="E2784" s="9" t="str">
        <f>IFERROR(__xludf.DUMMYFUNCTION("GOOGLETRANSLATE($A2784,""en"",""es"")"),"Kėdainiai")</f>
        <v>Kėdainiai</v>
      </c>
      <c r="F2784" s="9" t="str">
        <f>IFERROR(__xludf.DUMMYFUNCTION("GOOGLETRANSLATE($A2784,""en"",""it"")"),"Kėdainiai")</f>
        <v>Kėdainiai</v>
      </c>
      <c r="G2784" s="9" t="str">
        <f>IFERROR(__xludf.DUMMYFUNCTION("GOOGLETRANSLATE($A2784,""en"",""zh-cn"")"),"科代尼艾")</f>
        <v>科代尼艾</v>
      </c>
      <c r="H2784" s="9" t="str">
        <f>IFERROR(__xludf.DUMMYFUNCTION("GOOGLETRANSLATE($A2784,""en"",""ja"")"),"ケダニアイ")</f>
        <v>ケダニアイ</v>
      </c>
      <c r="I2784" s="9" t="str">
        <f>IFERROR(__xludf.DUMMYFUNCTION("GOOGLETRANSLATE($A2784,""en"",""ko"")"),"케다이니아이")</f>
        <v>케다이니아이</v>
      </c>
      <c r="J2784" s="9" t="str">
        <f>IFERROR(__xludf.DUMMYFUNCTION("GOOGLETRANSLATE($A2784,""en"",""pt-BR"")"),"Kėdainiai")</f>
        <v>Kėdainiai</v>
      </c>
    </row>
    <row r="2785">
      <c r="A2785" s="9" t="str">
        <f>IFERROR(__xludf.DUMMYFUNCTION("""COMPUTED_VALUE"""),"Kelmė")</f>
        <v>Kelmė</v>
      </c>
      <c r="B2785" s="9" t="str">
        <f>IFERROR(__xludf.DUMMYFUNCTION("""COMPUTED_VALUE"""),"lt-19")</f>
        <v>lt-19</v>
      </c>
      <c r="C2785" s="9" t="str">
        <f>IFERROR(__xludf.DUMMYFUNCTION("GOOGLETRANSLATE($A2785,""en"",""de"")"),"Kelme")</f>
        <v>Kelme</v>
      </c>
      <c r="D2785" s="9" t="str">
        <f>IFERROR(__xludf.DUMMYFUNCTION("GOOGLETRANSLATE($A2785,""en"",""fr"")"),"Kelmė")</f>
        <v>Kelmė</v>
      </c>
      <c r="E2785" s="9" t="str">
        <f>IFERROR(__xludf.DUMMYFUNCTION("GOOGLETRANSLATE($A2785,""en"",""es"")"),"Kelme")</f>
        <v>Kelme</v>
      </c>
      <c r="F2785" s="9" t="str">
        <f>IFERROR(__xludf.DUMMYFUNCTION("GOOGLETRANSLATE($A2785,""en"",""it"")"),"Kelmì")</f>
        <v>Kelmì</v>
      </c>
      <c r="G2785" s="9" t="str">
        <f>IFERROR(__xludf.DUMMYFUNCTION("GOOGLETRANSLATE($A2785,""en"",""zh-cn"")"),"克尔梅")</f>
        <v>克尔梅</v>
      </c>
      <c r="H2785" s="9" t="str">
        <f>IFERROR(__xludf.DUMMYFUNCTION("GOOGLETRANSLATE($A2785,""en"",""ja"")"),"ケルメ")</f>
        <v>ケルメ</v>
      </c>
      <c r="I2785" s="9" t="str">
        <f>IFERROR(__xludf.DUMMYFUNCTION("GOOGLETRANSLATE($A2785,""en"",""ko"")"),"켈메")</f>
        <v>켈메</v>
      </c>
      <c r="J2785" s="9" t="str">
        <f>IFERROR(__xludf.DUMMYFUNCTION("GOOGLETRANSLATE($A2785,""en"",""pt-BR"")"),"Kelmė")</f>
        <v>Kelmė</v>
      </c>
    </row>
    <row r="2786">
      <c r="A2786" s="9" t="str">
        <f>IFERROR(__xludf.DUMMYFUNCTION("""COMPUTED_VALUE"""),"Kazlų Rūdos")</f>
        <v>Kazlų Rūdos</v>
      </c>
      <c r="B2786" s="9" t="str">
        <f>IFERROR(__xludf.DUMMYFUNCTION("""COMPUTED_VALUE"""),"lt-17")</f>
        <v>lt-17</v>
      </c>
      <c r="C2786" s="9" t="str">
        <f>IFERROR(__xludf.DUMMYFUNCTION("GOOGLETRANSLATE($A2786,""en"",""de"")"),"Kazlų Rūdos")</f>
        <v>Kazlų Rūdos</v>
      </c>
      <c r="D2786" s="9" t="str">
        <f>IFERROR(__xludf.DUMMYFUNCTION("GOOGLETRANSLATE($A2786,""en"",""fr"")"),"Kazlų Rūdos")</f>
        <v>Kazlų Rūdos</v>
      </c>
      <c r="E2786" s="9" t="str">
        <f>IFERROR(__xludf.DUMMYFUNCTION("GOOGLETRANSLATE($A2786,""en"",""es"")"),"Kazlų Rūdos")</f>
        <v>Kazlų Rūdos</v>
      </c>
      <c r="F2786" s="9" t="str">
        <f>IFERROR(__xludf.DUMMYFUNCTION("GOOGLETRANSLATE($A2786,""en"",""it"")"),"Kazlų Rūdos")</f>
        <v>Kazlų Rūdos</v>
      </c>
      <c r="G2786" s="9" t="str">
        <f>IFERROR(__xludf.DUMMYFUNCTION("GOOGLETRANSLATE($A2786,""en"",""zh-cn"")"),"卡兹尔·鲁多斯")</f>
        <v>卡兹尔·鲁多斯</v>
      </c>
      <c r="H2786" s="9" t="str">
        <f>IFERROR(__xludf.DUMMYFUNCTION("GOOGLETRANSLATE($A2786,""en"",""ja"")"),"カズルシュ・ルードス")</f>
        <v>カズルシュ・ルードス</v>
      </c>
      <c r="I2786" s="9" t="str">
        <f>IFERROR(__xludf.DUMMYFUNCTION("GOOGLETRANSLATE($A2786,""en"",""ko"")"),"카즐루 루도스")</f>
        <v>카즐루 루도스</v>
      </c>
      <c r="J2786" s="9" t="str">
        <f>IFERROR(__xludf.DUMMYFUNCTION("GOOGLETRANSLATE($A2786,""en"",""pt-BR"")"),"Kazlų Rūdos")</f>
        <v>Kazlų Rūdos</v>
      </c>
    </row>
    <row r="2787">
      <c r="A2787" s="9" t="str">
        <f>IFERROR(__xludf.DUMMYFUNCTION("""COMPUTED_VALUE"""),"Klaipėda")</f>
        <v>Klaipėda</v>
      </c>
      <c r="B2787" s="9" t="str">
        <f>IFERROR(__xludf.DUMMYFUNCTION("""COMPUTED_VALUE"""),"lt-21")</f>
        <v>lt-21</v>
      </c>
      <c r="C2787" s="9" t="str">
        <f>IFERROR(__xludf.DUMMYFUNCTION("GOOGLETRANSLATE($A2787,""en"",""de"")"),"Klaipeda")</f>
        <v>Klaipeda</v>
      </c>
      <c r="D2787" s="9" t="str">
        <f>IFERROR(__xludf.DUMMYFUNCTION("GOOGLETRANSLATE($A2787,""en"",""fr"")"),"Klaipėda")</f>
        <v>Klaipėda</v>
      </c>
      <c r="E2787" s="9" t="str">
        <f>IFERROR(__xludf.DUMMYFUNCTION("GOOGLETRANSLATE($A2787,""en"",""es"")"),"Klaipėda")</f>
        <v>Klaipėda</v>
      </c>
      <c r="F2787" s="9" t="str">
        <f>IFERROR(__xludf.DUMMYFUNCTION("GOOGLETRANSLATE($A2787,""en"",""it"")"),"Klaipeda")</f>
        <v>Klaipeda</v>
      </c>
      <c r="G2787" s="9" t="str">
        <f>IFERROR(__xludf.DUMMYFUNCTION("GOOGLETRANSLATE($A2787,""en"",""zh-cn"")"),"克莱佩达")</f>
        <v>克莱佩达</v>
      </c>
      <c r="H2787" s="9" t="str">
        <f>IFERROR(__xludf.DUMMYFUNCTION("GOOGLETRANSLATE($A2787,""en"",""ja"")"),"クライペダ")</f>
        <v>クライペダ</v>
      </c>
      <c r="I2787" s="9" t="str">
        <f>IFERROR(__xludf.DUMMYFUNCTION("GOOGLETRANSLATE($A2787,""en"",""ko"")"),"클라이페다")</f>
        <v>클라이페다</v>
      </c>
      <c r="J2787" s="9" t="str">
        <f>IFERROR(__xludf.DUMMYFUNCTION("GOOGLETRANSLATE($A2787,""en"",""pt-BR"")"),"Klaipeda")</f>
        <v>Klaipeda</v>
      </c>
    </row>
    <row r="2788">
      <c r="A2788" s="9" t="str">
        <f>IFERROR(__xludf.DUMMYFUNCTION("""COMPUTED_VALUE"""),"Klaipėdos miestas")</f>
        <v>Klaipėdos miestas</v>
      </c>
      <c r="B2788" s="9" t="str">
        <f>IFERROR(__xludf.DUMMYFUNCTION("""COMPUTED_VALUE"""),"lt-20")</f>
        <v>lt-20</v>
      </c>
      <c r="C2788" s="9" t="str">
        <f>IFERROR(__xludf.DUMMYFUNCTION("GOOGLETRANSLATE($A2788,""en"",""de"")"),"Klaipėdos miestas")</f>
        <v>Klaipėdos miestas</v>
      </c>
      <c r="D2788" s="9" t="str">
        <f>IFERROR(__xludf.DUMMYFUNCTION("GOOGLETRANSLATE($A2788,""en"",""fr"")"),"Fêtes de Klaipėdos")</f>
        <v>Fêtes de Klaipėdos</v>
      </c>
      <c r="E2788" s="9" t="str">
        <f>IFERROR(__xludf.DUMMYFUNCTION("GOOGLETRANSLATE($A2788,""en"",""es"")"),"Klaipėdos miestas")</f>
        <v>Klaipėdos miestas</v>
      </c>
      <c r="F2788" s="9" t="str">
        <f>IFERROR(__xludf.DUMMYFUNCTION("GOOGLETRANSLATE($A2788,""en"",""it"")"),"Klaipėdos miestas")</f>
        <v>Klaipėdos miestas</v>
      </c>
      <c r="G2788" s="9" t="str">
        <f>IFERROR(__xludf.DUMMYFUNCTION("GOOGLETRANSLATE($A2788,""en"",""zh-cn"")"),"克莱佩多斯·米斯塔斯")</f>
        <v>克莱佩多斯·米斯塔斯</v>
      </c>
      <c r="H2788" s="9" t="str">
        <f>IFERROR(__xludf.DUMMYFUNCTION("GOOGLETRANSLATE($A2788,""en"",""ja"")"),"クライペドス ミエスタ")</f>
        <v>クライペドス ミエスタ</v>
      </c>
      <c r="I2788" s="9" t="str">
        <f>IFERROR(__xludf.DUMMYFUNCTION("GOOGLETRANSLATE($A2788,""en"",""ko"")"),"클라이페도스 미에스타스")</f>
        <v>클라이페도스 미에스타스</v>
      </c>
      <c r="J2788" s="9" t="str">
        <f>IFERROR(__xludf.DUMMYFUNCTION("GOOGLETRANSLATE($A2788,""en"",""pt-BR"")"),"Klaipėdos miestas")</f>
        <v>Klaipėdos miestas</v>
      </c>
    </row>
    <row r="2789">
      <c r="A2789" s="9" t="str">
        <f>IFERROR(__xludf.DUMMYFUNCTION("""COMPUTED_VALUE"""),"Alytaus miestas")</f>
        <v>Alytaus miestas</v>
      </c>
      <c r="B2789" s="9" t="str">
        <f>IFERROR(__xludf.DUMMYFUNCTION("""COMPUTED_VALUE"""),"lt-02")</f>
        <v>lt-02</v>
      </c>
      <c r="C2789" s="9" t="str">
        <f>IFERROR(__xludf.DUMMYFUNCTION("GOOGLETRANSLATE($A2789,""en"",""de"")"),"Alytaus miestas")</f>
        <v>Alytaus miestas</v>
      </c>
      <c r="D2789" s="9" t="str">
        <f>IFERROR(__xludf.DUMMYFUNCTION("GOOGLETRANSLATE($A2789,""en"",""fr"")"),"Fêtes d'Alytaus")</f>
        <v>Fêtes d'Alytaus</v>
      </c>
      <c r="E2789" s="9" t="str">
        <f>IFERROR(__xludf.DUMMYFUNCTION("GOOGLETRANSLATE($A2789,""en"",""es"")"),"Alytaus miestas")</f>
        <v>Alytaus miestas</v>
      </c>
      <c r="F2789" s="9" t="str">
        <f>IFERROR(__xludf.DUMMYFUNCTION("GOOGLETRANSLATE($A2789,""en"",""it"")"),"Alytaus miestas")</f>
        <v>Alytaus miestas</v>
      </c>
      <c r="G2789" s="9" t="str">
        <f>IFERROR(__xludf.DUMMYFUNCTION("GOOGLETRANSLATE($A2789,""en"",""zh-cn"")"),"阿利陶斯·米斯塔斯")</f>
        <v>阿利陶斯·米斯塔斯</v>
      </c>
      <c r="H2789" s="9" t="str">
        <f>IFERROR(__xludf.DUMMYFUNCTION("GOOGLETRANSLATE($A2789,""en"",""ja"")"),"アリータウス・ミエスタス")</f>
        <v>アリータウス・ミエスタス</v>
      </c>
      <c r="I2789" s="9" t="str">
        <f>IFERROR(__xludf.DUMMYFUNCTION("GOOGLETRANSLATE($A2789,""en"",""ko"")"),"알리타우스 미에스타스")</f>
        <v>알리타우스 미에스타스</v>
      </c>
      <c r="J2789" s="9" t="str">
        <f>IFERROR(__xludf.DUMMYFUNCTION("GOOGLETRANSLATE($A2789,""en"",""pt-BR"")"),"Alytaus miestas")</f>
        <v>Alytaus miestas</v>
      </c>
    </row>
    <row r="2790">
      <c r="A2790" s="9" t="str">
        <f>IFERROR(__xludf.DUMMYFUNCTION("""COMPUTED_VALUE"""),"Alytus")</f>
        <v>Alytus</v>
      </c>
      <c r="B2790" s="9" t="str">
        <f>IFERROR(__xludf.DUMMYFUNCTION("""COMPUTED_VALUE"""),"lt-03")</f>
        <v>lt-03</v>
      </c>
      <c r="C2790" s="9" t="str">
        <f>IFERROR(__xludf.DUMMYFUNCTION("GOOGLETRANSLATE($A2790,""en"",""de"")"),"Alytus")</f>
        <v>Alytus</v>
      </c>
      <c r="D2790" s="9" t="str">
        <f>IFERROR(__xludf.DUMMYFUNCTION("GOOGLETRANSLATE($A2790,""en"",""fr"")"),"Alytus")</f>
        <v>Alytus</v>
      </c>
      <c r="E2790" s="9" t="str">
        <f>IFERROR(__xludf.DUMMYFUNCTION("GOOGLETRANSLATE($A2790,""en"",""es"")"),"alytus")</f>
        <v>alytus</v>
      </c>
      <c r="F2790" s="9" t="str">
        <f>IFERROR(__xludf.DUMMYFUNCTION("GOOGLETRANSLATE($A2790,""en"",""it"")"),"Alytus")</f>
        <v>Alytus</v>
      </c>
      <c r="G2790" s="9" t="str">
        <f>IFERROR(__xludf.DUMMYFUNCTION("GOOGLETRANSLATE($A2790,""en"",""zh-cn"")"),"阿利图斯")</f>
        <v>阿利图斯</v>
      </c>
      <c r="H2790" s="9" t="str">
        <f>IFERROR(__xludf.DUMMYFUNCTION("GOOGLETRANSLATE($A2790,""en"",""ja"")"),"アリートゥス")</f>
        <v>アリートゥス</v>
      </c>
      <c r="I2790" s="9" t="str">
        <f>IFERROR(__xludf.DUMMYFUNCTION("GOOGLETRANSLATE($A2790,""en"",""ko"")"),"알리토스")</f>
        <v>알리토스</v>
      </c>
      <c r="J2790" s="9" t="str">
        <f>IFERROR(__xludf.DUMMYFUNCTION("GOOGLETRANSLATE($A2790,""en"",""pt-BR"")"),"Alito")</f>
        <v>Alito</v>
      </c>
    </row>
    <row r="2791">
      <c r="A2791" s="9" t="str">
        <f>IFERROR(__xludf.DUMMYFUNCTION("""COMPUTED_VALUE"""),"Akmenė")</f>
        <v>Akmenė</v>
      </c>
      <c r="B2791" s="9" t="str">
        <f>IFERROR(__xludf.DUMMYFUNCTION("""COMPUTED_VALUE"""),"lt-01")</f>
        <v>lt-01</v>
      </c>
      <c r="C2791" s="9" t="str">
        <f>IFERROR(__xludf.DUMMYFUNCTION("GOOGLETRANSLATE($A2791,""en"",""de"")"),"Akmenė")</f>
        <v>Akmenė</v>
      </c>
      <c r="D2791" s="9" t="str">
        <f>IFERROR(__xludf.DUMMYFUNCTION("GOOGLETRANSLATE($A2791,""en"",""fr"")"),"Akmenė")</f>
        <v>Akmenė</v>
      </c>
      <c r="E2791" s="9" t="str">
        <f>IFERROR(__xludf.DUMMYFUNCTION("GOOGLETRANSLATE($A2791,""en"",""es"")"),"Akmenė")</f>
        <v>Akmenė</v>
      </c>
      <c r="F2791" s="9" t="str">
        <f>IFERROR(__xludf.DUMMYFUNCTION("GOOGLETRANSLATE($A2791,""en"",""it"")"),"Akmenė")</f>
        <v>Akmenė</v>
      </c>
      <c r="G2791" s="9" t="str">
        <f>IFERROR(__xludf.DUMMYFUNCTION("GOOGLETRANSLATE($A2791,""en"",""zh-cn"")"),"阿克梅内")</f>
        <v>阿克梅内</v>
      </c>
      <c r="H2791" s="9" t="str">
        <f>IFERROR(__xludf.DUMMYFUNCTION("GOOGLETRANSLATE($A2791,""en"",""ja"")"),"アクメネ")</f>
        <v>アクメネ</v>
      </c>
      <c r="I2791" s="9" t="str">
        <f>IFERROR(__xludf.DUMMYFUNCTION("GOOGLETRANSLATE($A2791,""en"",""ko"")"),"아크메네")</f>
        <v>아크메네</v>
      </c>
      <c r="J2791" s="9" t="str">
        <f>IFERROR(__xludf.DUMMYFUNCTION("GOOGLETRANSLATE($A2791,""en"",""pt-BR"")"),"Akmenė")</f>
        <v>Akmenė</v>
      </c>
    </row>
    <row r="2792">
      <c r="A2792" s="9" t="str">
        <f>IFERROR(__xludf.DUMMYFUNCTION("""COMPUTED_VALUE"""),"Birštonas")</f>
        <v>Birštonas</v>
      </c>
      <c r="B2792" s="9" t="str">
        <f>IFERROR(__xludf.DUMMYFUNCTION("""COMPUTED_VALUE"""),"lt-05")</f>
        <v>lt-05</v>
      </c>
      <c r="C2792" s="9" t="str">
        <f>IFERROR(__xludf.DUMMYFUNCTION("GOOGLETRANSLATE($A2792,""en"",""de"")"),"Birštonas")</f>
        <v>Birštonas</v>
      </c>
      <c r="D2792" s="9" t="str">
        <f>IFERROR(__xludf.DUMMYFUNCTION("GOOGLETRANSLATE($A2792,""en"",""fr"")"),"Birštonas")</f>
        <v>Birštonas</v>
      </c>
      <c r="E2792" s="9" t="str">
        <f>IFERROR(__xludf.DUMMYFUNCTION("GOOGLETRANSLATE($A2792,""en"",""es"")"),"birštonas")</f>
        <v>birštonas</v>
      </c>
      <c r="F2792" s="9" t="str">
        <f>IFERROR(__xludf.DUMMYFUNCTION("GOOGLETRANSLATE($A2792,""en"",""it"")"),"Birštonas")</f>
        <v>Birštonas</v>
      </c>
      <c r="G2792" s="9" t="str">
        <f>IFERROR(__xludf.DUMMYFUNCTION("GOOGLETRANSLATE($A2792,""en"",""zh-cn"")"),"比尔什托纳斯")</f>
        <v>比尔什托纳斯</v>
      </c>
      <c r="H2792" s="9" t="str">
        <f>IFERROR(__xludf.DUMMYFUNCTION("GOOGLETRANSLATE($A2792,""en"",""ja"")"),"ビルシュトナス")</f>
        <v>ビルシュトナス</v>
      </c>
      <c r="I2792" s="9" t="str">
        <f>IFERROR(__xludf.DUMMYFUNCTION("GOOGLETRANSLATE($A2792,""en"",""ko"")"),"비르슈토나스")</f>
        <v>비르슈토나스</v>
      </c>
      <c r="J2792" s="9" t="str">
        <f>IFERROR(__xludf.DUMMYFUNCTION("GOOGLETRANSLATE($A2792,""en"",""pt-BR"")"),"Birstonas")</f>
        <v>Birstonas</v>
      </c>
    </row>
    <row r="2793">
      <c r="A2793" s="9" t="str">
        <f>IFERROR(__xludf.DUMMYFUNCTION("""COMPUTED_VALUE"""),"Anykščiai")</f>
        <v>Anykščiai</v>
      </c>
      <c r="B2793" s="9" t="str">
        <f>IFERROR(__xludf.DUMMYFUNCTION("""COMPUTED_VALUE"""),"lt-04")</f>
        <v>lt-04</v>
      </c>
      <c r="C2793" s="9" t="str">
        <f>IFERROR(__xludf.DUMMYFUNCTION("GOOGLETRANSLATE($A2793,""en"",""de"")"),"Anykščiai")</f>
        <v>Anykščiai</v>
      </c>
      <c r="D2793" s="9" t="str">
        <f>IFERROR(__xludf.DUMMYFUNCTION("GOOGLETRANSLATE($A2793,""en"",""fr"")"),"Anykščiai")</f>
        <v>Anykščiai</v>
      </c>
      <c r="E2793" s="9" t="str">
        <f>IFERROR(__xludf.DUMMYFUNCTION("GOOGLETRANSLATE($A2793,""en"",""es"")"),"Anykščiai")</f>
        <v>Anykščiai</v>
      </c>
      <c r="F2793" s="9" t="str">
        <f>IFERROR(__xludf.DUMMYFUNCTION("GOOGLETRANSLATE($A2793,""en"",""it"")"),"Anykščiai")</f>
        <v>Anykščiai</v>
      </c>
      <c r="G2793" s="9" t="str">
        <f>IFERROR(__xludf.DUMMYFUNCTION("GOOGLETRANSLATE($A2793,""en"",""zh-cn"")"),"阿尼克什恰伊")</f>
        <v>阿尼克什恰伊</v>
      </c>
      <c r="H2793" s="9" t="str">
        <f>IFERROR(__xludf.DUMMYFUNCTION("GOOGLETRANSLATE($A2793,""en"",""ja"")"),"アニクシアイ")</f>
        <v>アニクシアイ</v>
      </c>
      <c r="I2793" s="9" t="str">
        <f>IFERROR(__xludf.DUMMYFUNCTION("GOOGLETRANSLATE($A2793,""en"",""ko"")"),"아니크슈차이")</f>
        <v>아니크슈차이</v>
      </c>
      <c r="J2793" s="9" t="str">
        <f>IFERROR(__xludf.DUMMYFUNCTION("GOOGLETRANSLATE($A2793,""en"",""pt-BR"")"),"Anykščiai")</f>
        <v>Anykščiai</v>
      </c>
    </row>
    <row r="2794">
      <c r="A2794" s="9" t="str">
        <f>IFERROR(__xludf.DUMMYFUNCTION("""COMPUTED_VALUE"""),"Druskininkai")</f>
        <v>Druskininkai</v>
      </c>
      <c r="B2794" s="9" t="str">
        <f>IFERROR(__xludf.DUMMYFUNCTION("""COMPUTED_VALUE"""),"lt-07")</f>
        <v>lt-07</v>
      </c>
      <c r="C2794" s="9" t="str">
        <f>IFERROR(__xludf.DUMMYFUNCTION("GOOGLETRANSLATE($A2794,""en"",""de"")"),"Druskininkai")</f>
        <v>Druskininkai</v>
      </c>
      <c r="D2794" s="9" t="str">
        <f>IFERROR(__xludf.DUMMYFUNCTION("GOOGLETRANSLATE($A2794,""en"",""fr"")"),"Druskininkai")</f>
        <v>Druskininkai</v>
      </c>
      <c r="E2794" s="9" t="str">
        <f>IFERROR(__xludf.DUMMYFUNCTION("GOOGLETRANSLATE($A2794,""en"",""es"")"),"Druskininkai")</f>
        <v>Druskininkai</v>
      </c>
      <c r="F2794" s="9" t="str">
        <f>IFERROR(__xludf.DUMMYFUNCTION("GOOGLETRANSLATE($A2794,""en"",""it"")"),"Druskininkai")</f>
        <v>Druskininkai</v>
      </c>
      <c r="G2794" s="9" t="str">
        <f>IFERROR(__xludf.DUMMYFUNCTION("GOOGLETRANSLATE($A2794,""en"",""zh-cn"")"),"德鲁斯基宁凯")</f>
        <v>德鲁斯基宁凯</v>
      </c>
      <c r="H2794" s="9" t="str">
        <f>IFERROR(__xludf.DUMMYFUNCTION("GOOGLETRANSLATE($A2794,""en"",""ja"")"),"ドルスキニンカイ")</f>
        <v>ドルスキニンカイ</v>
      </c>
      <c r="I2794" s="9" t="str">
        <f>IFERROR(__xludf.DUMMYFUNCTION("GOOGLETRANSLATE($A2794,""en"",""ko"")"),"드루스키닌카이")</f>
        <v>드루스키닌카이</v>
      </c>
      <c r="J2794" s="9" t="str">
        <f>IFERROR(__xludf.DUMMYFUNCTION("GOOGLETRANSLATE($A2794,""en"",""pt-BR"")"),"Druskininkai")</f>
        <v>Druskininkai</v>
      </c>
    </row>
    <row r="2795">
      <c r="A2795" s="9" t="str">
        <f>IFERROR(__xludf.DUMMYFUNCTION("""COMPUTED_VALUE"""),"Elektrėnai")</f>
        <v>Elektrėnai</v>
      </c>
      <c r="B2795" s="9" t="str">
        <f>IFERROR(__xludf.DUMMYFUNCTION("""COMPUTED_VALUE"""),"lt-08")</f>
        <v>lt-08</v>
      </c>
      <c r="C2795" s="9" t="str">
        <f>IFERROR(__xludf.DUMMYFUNCTION("GOOGLETRANSLATE($A2795,""en"",""de"")"),"Elektrėnai")</f>
        <v>Elektrėnai</v>
      </c>
      <c r="D2795" s="9" t="str">
        <f>IFERROR(__xludf.DUMMYFUNCTION("GOOGLETRANSLATE($A2795,""en"",""fr"")"),"Électricité")</f>
        <v>Électricité</v>
      </c>
      <c r="E2795" s="9" t="str">
        <f>IFERROR(__xludf.DUMMYFUNCTION("GOOGLETRANSLATE($A2795,""en"",""es"")"),"Elektrėnai")</f>
        <v>Elektrėnai</v>
      </c>
      <c r="F2795" s="9" t="str">
        <f>IFERROR(__xludf.DUMMYFUNCTION("GOOGLETRANSLATE($A2795,""en"",""it"")"),"Elektrėnai")</f>
        <v>Elektrėnai</v>
      </c>
      <c r="G2795" s="9" t="str">
        <f>IFERROR(__xludf.DUMMYFUNCTION("GOOGLETRANSLATE($A2795,""en"",""zh-cn"")"),"电力公司")</f>
        <v>电力公司</v>
      </c>
      <c r="H2795" s="9" t="str">
        <f>IFERROR(__xludf.DUMMYFUNCTION("GOOGLETRANSLATE($A2795,""en"",""ja"")"),"エレクトレナイ")</f>
        <v>エレクトレナイ</v>
      </c>
      <c r="I2795" s="9" t="str">
        <f>IFERROR(__xludf.DUMMYFUNCTION("GOOGLETRANSLATE($A2795,""en"",""ko"")"),"엘렉트레나이")</f>
        <v>엘렉트레나이</v>
      </c>
      <c r="J2795" s="9" t="str">
        <f>IFERROR(__xludf.DUMMYFUNCTION("GOOGLETRANSLATE($A2795,""en"",""pt-BR"")"),"Elektrėnai")</f>
        <v>Elektrėnai</v>
      </c>
    </row>
    <row r="2796">
      <c r="A2796" s="9" t="str">
        <f>IFERROR(__xludf.DUMMYFUNCTION("""COMPUTED_VALUE"""),"Biržai")</f>
        <v>Biržai</v>
      </c>
      <c r="B2796" s="9" t="str">
        <f>IFERROR(__xludf.DUMMYFUNCTION("""COMPUTED_VALUE"""),"lt-06")</f>
        <v>lt-06</v>
      </c>
      <c r="C2796" s="9" t="str">
        <f>IFERROR(__xludf.DUMMYFUNCTION("GOOGLETRANSLATE($A2796,""en"",""de"")"),"Biržai")</f>
        <v>Biržai</v>
      </c>
      <c r="D2796" s="9" t="str">
        <f>IFERROR(__xludf.DUMMYFUNCTION("GOOGLETRANSLATE($A2796,""en"",""fr"")"),"Biržai")</f>
        <v>Biržai</v>
      </c>
      <c r="E2796" s="9" t="str">
        <f>IFERROR(__xludf.DUMMYFUNCTION("GOOGLETRANSLATE($A2796,""en"",""es"")"),"Biržai")</f>
        <v>Biržai</v>
      </c>
      <c r="F2796" s="9" t="str">
        <f>IFERROR(__xludf.DUMMYFUNCTION("GOOGLETRANSLATE($A2796,""en"",""it"")"),"Birzai")</f>
        <v>Birzai</v>
      </c>
      <c r="G2796" s="9" t="str">
        <f>IFERROR(__xludf.DUMMYFUNCTION("GOOGLETRANSLATE($A2796,""en"",""zh-cn"")"),"比尔扎伊")</f>
        <v>比尔扎伊</v>
      </c>
      <c r="H2796" s="9" t="str">
        <f>IFERROR(__xludf.DUMMYFUNCTION("GOOGLETRANSLATE($A2796,""en"",""ja"")"),"ビルジャイ")</f>
        <v>ビルジャイ</v>
      </c>
      <c r="I2796" s="9" t="str">
        <f>IFERROR(__xludf.DUMMYFUNCTION("GOOGLETRANSLATE($A2796,""en"",""ko"")"),"비르자이")</f>
        <v>비르자이</v>
      </c>
      <c r="J2796" s="9" t="str">
        <f>IFERROR(__xludf.DUMMYFUNCTION("GOOGLETRANSLATE($A2796,""en"",""pt-BR"")"),"Biržai")</f>
        <v>Biržai</v>
      </c>
    </row>
    <row r="2797">
      <c r="A2797" s="9" t="str">
        <f>IFERROR(__xludf.DUMMYFUNCTION("""COMPUTED_VALUE"""),"Jonava")</f>
        <v>Jonava</v>
      </c>
      <c r="B2797" s="9" t="str">
        <f>IFERROR(__xludf.DUMMYFUNCTION("""COMPUTED_VALUE"""),"lt-10")</f>
        <v>lt-10</v>
      </c>
      <c r="C2797" s="9" t="str">
        <f>IFERROR(__xludf.DUMMYFUNCTION("GOOGLETRANSLATE($A2797,""en"",""de"")"),"Jonava")</f>
        <v>Jonava</v>
      </c>
      <c r="D2797" s="9" t="str">
        <f>IFERROR(__xludf.DUMMYFUNCTION("GOOGLETRANSLATE($A2797,""en"",""fr"")"),"Jonava")</f>
        <v>Jonava</v>
      </c>
      <c r="E2797" s="9" t="str">
        <f>IFERROR(__xludf.DUMMYFUNCTION("GOOGLETRANSLATE($A2797,""en"",""es"")"),"Jonava")</f>
        <v>Jonava</v>
      </c>
      <c r="F2797" s="9" t="str">
        <f>IFERROR(__xludf.DUMMYFUNCTION("GOOGLETRANSLATE($A2797,""en"",""it"")"),"Jonava")</f>
        <v>Jonava</v>
      </c>
      <c r="G2797" s="9" t="str">
        <f>IFERROR(__xludf.DUMMYFUNCTION("GOOGLETRANSLATE($A2797,""en"",""zh-cn"")"),"乔纳瓦")</f>
        <v>乔纳瓦</v>
      </c>
      <c r="H2797" s="9" t="str">
        <f>IFERROR(__xludf.DUMMYFUNCTION("GOOGLETRANSLATE($A2797,""en"",""ja"")"),"ジョナバ")</f>
        <v>ジョナバ</v>
      </c>
      <c r="I2797" s="9" t="str">
        <f>IFERROR(__xludf.DUMMYFUNCTION("GOOGLETRANSLATE($A2797,""en"",""ko"")"),"요나바")</f>
        <v>요나바</v>
      </c>
      <c r="J2797" s="9" t="str">
        <f>IFERROR(__xludf.DUMMYFUNCTION("GOOGLETRANSLATE($A2797,""en"",""pt-BR"")"),"Jonava")</f>
        <v>Jonava</v>
      </c>
    </row>
    <row r="2798">
      <c r="A2798" s="9" t="str">
        <f>IFERROR(__xludf.DUMMYFUNCTION("""COMPUTED_VALUE"""),"Ignalina")</f>
        <v>Ignalina</v>
      </c>
      <c r="B2798" s="9" t="str">
        <f>IFERROR(__xludf.DUMMYFUNCTION("""COMPUTED_VALUE"""),"lt-09")</f>
        <v>lt-09</v>
      </c>
      <c r="C2798" s="9" t="str">
        <f>IFERROR(__xludf.DUMMYFUNCTION("GOOGLETRANSLATE($A2798,""en"",""de"")"),"Ignalina")</f>
        <v>Ignalina</v>
      </c>
      <c r="D2798" s="9" t="str">
        <f>IFERROR(__xludf.DUMMYFUNCTION("GOOGLETRANSLATE($A2798,""en"",""fr"")"),"Ignaline")</f>
        <v>Ignaline</v>
      </c>
      <c r="E2798" s="9" t="str">
        <f>IFERROR(__xludf.DUMMYFUNCTION("GOOGLETRANSLATE($A2798,""en"",""es"")"),"ignalina")</f>
        <v>ignalina</v>
      </c>
      <c r="F2798" s="9" t="str">
        <f>IFERROR(__xludf.DUMMYFUNCTION("GOOGLETRANSLATE($A2798,""en"",""it"")"),"Ignalina")</f>
        <v>Ignalina</v>
      </c>
      <c r="G2798" s="9" t="str">
        <f>IFERROR(__xludf.DUMMYFUNCTION("GOOGLETRANSLATE($A2798,""en"",""zh-cn"")"),"伊格纳利纳")</f>
        <v>伊格纳利纳</v>
      </c>
      <c r="H2798" s="9" t="str">
        <f>IFERROR(__xludf.DUMMYFUNCTION("GOOGLETRANSLATE($A2798,""en"",""ja"")"),"イグナリナ")</f>
        <v>イグナリナ</v>
      </c>
      <c r="I2798" s="9" t="str">
        <f>IFERROR(__xludf.DUMMYFUNCTION("GOOGLETRANSLATE($A2798,""en"",""ko"")"),"이그날리나")</f>
        <v>이그날리나</v>
      </c>
      <c r="J2798" s="9" t="str">
        <f>IFERROR(__xludf.DUMMYFUNCTION("GOOGLETRANSLATE($A2798,""en"",""pt-BR"")"),"Ignalina")</f>
        <v>Ignalina</v>
      </c>
    </row>
    <row r="2799">
      <c r="A2799" s="9" t="str">
        <f>IFERROR(__xludf.DUMMYFUNCTION("""COMPUTED_VALUE"""),"Panevėžys")</f>
        <v>Panevėžys</v>
      </c>
      <c r="B2799" s="9" t="str">
        <f>IFERROR(__xludf.DUMMYFUNCTION("""COMPUTED_VALUE"""),"lt-33")</f>
        <v>lt-33</v>
      </c>
      <c r="C2799" s="9" t="str">
        <f>IFERROR(__xludf.DUMMYFUNCTION("GOOGLETRANSLATE($A2799,""en"",""de"")"),"Panevėžys")</f>
        <v>Panevėžys</v>
      </c>
      <c r="D2799" s="9" t="str">
        <f>IFERROR(__xludf.DUMMYFUNCTION("GOOGLETRANSLATE($A2799,""en"",""fr"")"),"Panevėžys")</f>
        <v>Panevėžys</v>
      </c>
      <c r="E2799" s="9" t="str">
        <f>IFERROR(__xludf.DUMMYFUNCTION("GOOGLETRANSLATE($A2799,""en"",""es"")"),"Panevėžys")</f>
        <v>Panevėžys</v>
      </c>
      <c r="F2799" s="9" t="str">
        <f>IFERROR(__xludf.DUMMYFUNCTION("GOOGLETRANSLATE($A2799,""en"",""it"")"),"Panevėžys")</f>
        <v>Panevėžys</v>
      </c>
      <c r="G2799" s="9" t="str">
        <f>IFERROR(__xludf.DUMMYFUNCTION("GOOGLETRANSLATE($A2799,""en"",""zh-cn"")"),"帕内韦日斯")</f>
        <v>帕内韦日斯</v>
      </c>
      <c r="H2799" s="9" t="str">
        <f>IFERROR(__xludf.DUMMYFUNCTION("GOOGLETRANSLATE($A2799,""en"",""ja"")"),"パネヴェジース")</f>
        <v>パネヴェジース</v>
      </c>
      <c r="I2799" s="9" t="str">
        <f>IFERROR(__xludf.DUMMYFUNCTION("GOOGLETRANSLATE($A2799,""en"",""ko"")"),"파네베지스")</f>
        <v>파네베지스</v>
      </c>
      <c r="J2799" s="9" t="str">
        <f>IFERROR(__xludf.DUMMYFUNCTION("GOOGLETRANSLATE($A2799,""en"",""pt-BR"")"),"Panevėžys")</f>
        <v>Panevėžys</v>
      </c>
    </row>
    <row r="2800">
      <c r="A2800" s="9" t="str">
        <f>IFERROR(__xludf.DUMMYFUNCTION("""COMPUTED_VALUE"""),"Pasvalys")</f>
        <v>Pasvalys</v>
      </c>
      <c r="B2800" s="9" t="str">
        <f>IFERROR(__xludf.DUMMYFUNCTION("""COMPUTED_VALUE"""),"lt-34")</f>
        <v>lt-34</v>
      </c>
      <c r="C2800" s="9" t="str">
        <f>IFERROR(__xludf.DUMMYFUNCTION("GOOGLETRANSLATE($A2800,""en"",""de"")"),"Pasvalys")</f>
        <v>Pasvalys</v>
      </c>
      <c r="D2800" s="9" t="str">
        <f>IFERROR(__xludf.DUMMYFUNCTION("GOOGLETRANSLATE($A2800,""en"",""fr"")"),"Pasvalys")</f>
        <v>Pasvalys</v>
      </c>
      <c r="E2800" s="9" t="str">
        <f>IFERROR(__xludf.DUMMYFUNCTION("GOOGLETRANSLATE($A2800,""en"",""es"")"),"Pasvalys")</f>
        <v>Pasvalys</v>
      </c>
      <c r="F2800" s="9" t="str">
        <f>IFERROR(__xludf.DUMMYFUNCTION("GOOGLETRANSLATE($A2800,""en"",""it"")"),"Pasvalys")</f>
        <v>Pasvalys</v>
      </c>
      <c r="G2800" s="9" t="str">
        <f>IFERROR(__xludf.DUMMYFUNCTION("GOOGLETRANSLATE($A2800,""en"",""zh-cn"")"),"帕斯瓦利斯")</f>
        <v>帕斯瓦利斯</v>
      </c>
      <c r="H2800" s="9" t="str">
        <f>IFERROR(__xludf.DUMMYFUNCTION("GOOGLETRANSLATE($A2800,""en"",""ja"")"),"パパスヴァリス")</f>
        <v>パパスヴァリス</v>
      </c>
      <c r="I2800" s="9" t="str">
        <f>IFERROR(__xludf.DUMMYFUNCTION("GOOGLETRANSLATE($A2800,""en"",""ko"")"),"파스발리스")</f>
        <v>파스발리스</v>
      </c>
      <c r="J2800" s="9" t="str">
        <f>IFERROR(__xludf.DUMMYFUNCTION("GOOGLETRANSLATE($A2800,""en"",""pt-BR"")"),"Pasvalys")</f>
        <v>Pasvalys</v>
      </c>
    </row>
    <row r="2801">
      <c r="A2801" s="9" t="str">
        <f>IFERROR(__xludf.DUMMYFUNCTION("""COMPUTED_VALUE"""),"Panevėžio miestas")</f>
        <v>Panevėžio miestas</v>
      </c>
      <c r="B2801" s="9" t="str">
        <f>IFERROR(__xludf.DUMMYFUNCTION("""COMPUTED_VALUE"""),"lt-32")</f>
        <v>lt-32</v>
      </c>
      <c r="C2801" s="9" t="str">
        <f>IFERROR(__xludf.DUMMYFUNCTION("GOOGLETRANSLATE($A2801,""en"",""de"")"),"Panevėžio miestas")</f>
        <v>Panevėžio miestas</v>
      </c>
      <c r="D2801" s="9" t="str">
        <f>IFERROR(__xludf.DUMMYFUNCTION("GOOGLETRANSLATE($A2801,""en"",""fr"")"),"Panevėžio fêtes")</f>
        <v>Panevėžio fêtes</v>
      </c>
      <c r="E2801" s="9" t="str">
        <f>IFERROR(__xludf.DUMMYFUNCTION("GOOGLETRANSLATE($A2801,""en"",""es"")"),"Panevėžio miestas")</f>
        <v>Panevėžio miestas</v>
      </c>
      <c r="F2801" s="9" t="str">
        <f>IFERROR(__xludf.DUMMYFUNCTION("GOOGLETRANSLATE($A2801,""en"",""it"")"),"Panevėžio miestas")</f>
        <v>Panevėžio miestas</v>
      </c>
      <c r="G2801" s="9" t="str">
        <f>IFERROR(__xludf.DUMMYFUNCTION("GOOGLETRANSLATE($A2801,""en"",""zh-cn"")"),"帕内韦齐奥·米斯塔斯")</f>
        <v>帕内韦齐奥·米斯塔斯</v>
      </c>
      <c r="H2801" s="9" t="str">
        <f>IFERROR(__xludf.DUMMYFUNCTION("GOOGLETRANSLATE($A2801,""en"",""ja"")"),"パネヴェジオ・ミエスタス")</f>
        <v>パネヴェジオ・ミエスタス</v>
      </c>
      <c r="I2801" s="9" t="str">
        <f>IFERROR(__xludf.DUMMYFUNCTION("GOOGLETRANSLATE($A2801,""en"",""ko"")"),"파네베지오 미에스타스")</f>
        <v>파네베지오 미에스타스</v>
      </c>
      <c r="J2801" s="9" t="str">
        <f>IFERROR(__xludf.DUMMYFUNCTION("GOOGLETRANSLATE($A2801,""en"",""pt-BR"")"),"Panevėžio miestas")</f>
        <v>Panevėžio miestas</v>
      </c>
    </row>
    <row r="2802">
      <c r="A2802" s="9" t="str">
        <f>IFERROR(__xludf.DUMMYFUNCTION("""COMPUTED_VALUE"""),"Prienai")</f>
        <v>Prienai</v>
      </c>
      <c r="B2802" s="9" t="str">
        <f>IFERROR(__xludf.DUMMYFUNCTION("""COMPUTED_VALUE"""),"lt-36")</f>
        <v>lt-36</v>
      </c>
      <c r="C2802" s="9" t="str">
        <f>IFERROR(__xludf.DUMMYFUNCTION("GOOGLETRANSLATE($A2802,""en"",""de"")"),"Prienai")</f>
        <v>Prienai</v>
      </c>
      <c r="D2802" s="9" t="str">
        <f>IFERROR(__xludf.DUMMYFUNCTION("GOOGLETRANSLATE($A2802,""en"",""fr"")"),"Prienaï")</f>
        <v>Prienaï</v>
      </c>
      <c r="E2802" s="9" t="str">
        <f>IFERROR(__xludf.DUMMYFUNCTION("GOOGLETRANSLATE($A2802,""en"",""es"")"),"Prienai")</f>
        <v>Prienai</v>
      </c>
      <c r="F2802" s="9" t="str">
        <f>IFERROR(__xludf.DUMMYFUNCTION("GOOGLETRANSLATE($A2802,""en"",""it"")"),"Prienai")</f>
        <v>Prienai</v>
      </c>
      <c r="G2802" s="9" t="str">
        <f>IFERROR(__xludf.DUMMYFUNCTION("GOOGLETRANSLATE($A2802,""en"",""zh-cn"")"),"普里奈")</f>
        <v>普里奈</v>
      </c>
      <c r="H2802" s="9" t="str">
        <f>IFERROR(__xludf.DUMMYFUNCTION("GOOGLETRANSLATE($A2802,""en"",""ja"")"),"プリエナイ")</f>
        <v>プリエナイ</v>
      </c>
      <c r="I2802" s="9" t="str">
        <f>IFERROR(__xludf.DUMMYFUNCTION("GOOGLETRANSLATE($A2802,""en"",""ko"")"),"프리에나이")</f>
        <v>프리에나이</v>
      </c>
      <c r="J2802" s="9" t="str">
        <f>IFERROR(__xludf.DUMMYFUNCTION("GOOGLETRANSLATE($A2802,""en"",""pt-BR"")"),"Prienai")</f>
        <v>Prienai</v>
      </c>
    </row>
    <row r="2803">
      <c r="A2803" s="9" t="str">
        <f>IFERROR(__xludf.DUMMYFUNCTION("""COMPUTED_VALUE"""),"Radviliškis")</f>
        <v>Radviliškis</v>
      </c>
      <c r="B2803" s="9" t="str">
        <f>IFERROR(__xludf.DUMMYFUNCTION("""COMPUTED_VALUE"""),"lt-37")</f>
        <v>lt-37</v>
      </c>
      <c r="C2803" s="9" t="str">
        <f>IFERROR(__xludf.DUMMYFUNCTION("GOOGLETRANSLATE($A2803,""en"",""de"")"),"Radviliškis")</f>
        <v>Radviliškis</v>
      </c>
      <c r="D2803" s="9" t="str">
        <f>IFERROR(__xludf.DUMMYFUNCTION("GOOGLETRANSLATE($A2803,""en"",""fr"")"),"Radviliškis")</f>
        <v>Radviliškis</v>
      </c>
      <c r="E2803" s="9" t="str">
        <f>IFERROR(__xludf.DUMMYFUNCTION("GOOGLETRANSLATE($A2803,""en"",""es"")"),"Radviliškis")</f>
        <v>Radviliškis</v>
      </c>
      <c r="F2803" s="9" t="str">
        <f>IFERROR(__xludf.DUMMYFUNCTION("GOOGLETRANSLATE($A2803,""en"",""it"")"),"Radviliškis")</f>
        <v>Radviliškis</v>
      </c>
      <c r="G2803" s="9" t="str">
        <f>IFERROR(__xludf.DUMMYFUNCTION("GOOGLETRANSLATE($A2803,""en"",""zh-cn"")"),"拉德维利斯基斯")</f>
        <v>拉德维利斯基斯</v>
      </c>
      <c r="H2803" s="9" t="str">
        <f>IFERROR(__xludf.DUMMYFUNCTION("GOOGLETRANSLATE($A2803,""en"",""ja"")"),"ラドヴィリスキス")</f>
        <v>ラドヴィリスキス</v>
      </c>
      <c r="I2803" s="9" t="str">
        <f>IFERROR(__xludf.DUMMYFUNCTION("GOOGLETRANSLATE($A2803,""en"",""ko"")"),"라드빌리슈키스")</f>
        <v>라드빌리슈키스</v>
      </c>
      <c r="J2803" s="9" t="str">
        <f>IFERROR(__xludf.DUMMYFUNCTION("GOOGLETRANSLATE($A2803,""en"",""pt-BR"")"),"Radviliškis")</f>
        <v>Radviliškis</v>
      </c>
    </row>
    <row r="2804">
      <c r="A2804" s="9" t="str">
        <f>IFERROR(__xludf.DUMMYFUNCTION("""COMPUTED_VALUE"""),"Plungė")</f>
        <v>Plungė</v>
      </c>
      <c r="B2804" s="9" t="str">
        <f>IFERROR(__xludf.DUMMYFUNCTION("""COMPUTED_VALUE"""),"lt-35")</f>
        <v>lt-35</v>
      </c>
      <c r="C2804" s="9" t="str">
        <f>IFERROR(__xludf.DUMMYFUNCTION("GOOGLETRANSLATE($A2804,""en"",""de"")"),"Stürzen")</f>
        <v>Stürzen</v>
      </c>
      <c r="D2804" s="9" t="str">
        <f>IFERROR(__xludf.DUMMYFUNCTION("GOOGLETRANSLATE($A2804,""en"",""fr"")"),"Plonger")</f>
        <v>Plonger</v>
      </c>
      <c r="E2804" s="9" t="str">
        <f>IFERROR(__xludf.DUMMYFUNCTION("GOOGLETRANSLATE($A2804,""en"",""es"")"),"Inmersión")</f>
        <v>Inmersión</v>
      </c>
      <c r="F2804" s="9" t="str">
        <f>IFERROR(__xludf.DUMMYFUNCTION("GOOGLETRANSLATE($A2804,""en"",""it"")"),"Immergetevi")</f>
        <v>Immergetevi</v>
      </c>
      <c r="G2804" s="9" t="str">
        <f>IFERROR(__xludf.DUMMYFUNCTION("GOOGLETRANSLATE($A2804,""en"",""zh-cn"")"),"暴跌")</f>
        <v>暴跌</v>
      </c>
      <c r="H2804" s="9" t="str">
        <f>IFERROR(__xludf.DUMMYFUNCTION("GOOGLETRANSLATE($A2804,""en"",""ja"")"),"プランゲ")</f>
        <v>プランゲ</v>
      </c>
      <c r="I2804" s="9" t="str">
        <f>IFERROR(__xludf.DUMMYFUNCTION("GOOGLETRANSLATE($A2804,""en"",""ko"")"),"돌진")</f>
        <v>돌진</v>
      </c>
      <c r="J2804" s="9" t="str">
        <f>IFERROR(__xludf.DUMMYFUNCTION("GOOGLETRANSLATE($A2804,""en"",""pt-BR"")"),"Mergulhar")</f>
        <v>Mergulhar</v>
      </c>
    </row>
    <row r="2805">
      <c r="A2805" s="9" t="str">
        <f>IFERROR(__xludf.DUMMYFUNCTION("""COMPUTED_VALUE"""),"Alytus County")</f>
        <v>Alytus County</v>
      </c>
      <c r="B2805" s="9" t="str">
        <f>IFERROR(__xludf.DUMMYFUNCTION("""COMPUTED_VALUE"""),"lt-al")</f>
        <v>lt-al</v>
      </c>
      <c r="C2805" s="9" t="str">
        <f>IFERROR(__xludf.DUMMYFUNCTION("GOOGLETRANSLATE($A2805,""en"",""de"")"),"Kreis Alytus")</f>
        <v>Kreis Alytus</v>
      </c>
      <c r="D2805" s="9" t="str">
        <f>IFERROR(__xludf.DUMMYFUNCTION("GOOGLETRANSLATE($A2805,""en"",""fr"")"),"Comté d'Alytus")</f>
        <v>Comté d'Alytus</v>
      </c>
      <c r="E2805" s="9" t="str">
        <f>IFERROR(__xludf.DUMMYFUNCTION("GOOGLETRANSLATE($A2805,""en"",""es"")"),"Condado de Alytus")</f>
        <v>Condado de Alytus</v>
      </c>
      <c r="F2805" s="9" t="str">
        <f>IFERROR(__xludf.DUMMYFUNCTION("GOOGLETRANSLATE($A2805,""en"",""it"")"),"Contea di Alytus")</f>
        <v>Contea di Alytus</v>
      </c>
      <c r="G2805" s="9" t="str">
        <f>IFERROR(__xludf.DUMMYFUNCTION("GOOGLETRANSLATE($A2805,""en"",""zh-cn"")"),"阿利图斯县")</f>
        <v>阿利图斯县</v>
      </c>
      <c r="H2805" s="9" t="str">
        <f>IFERROR(__xludf.DUMMYFUNCTION("GOOGLETRANSLATE($A2805,""en"",""ja"")"),"アリートゥス郡")</f>
        <v>アリートゥス郡</v>
      </c>
      <c r="I2805" s="9" t="str">
        <f>IFERROR(__xludf.DUMMYFUNCTION("GOOGLETRANSLATE($A2805,""en"",""ko"")"),"알리투스 카운티")</f>
        <v>알리투스 카운티</v>
      </c>
      <c r="J2805" s="9" t="str">
        <f>IFERROR(__xludf.DUMMYFUNCTION("GOOGLETRANSLATE($A2805,""en"",""pt-BR"")"),"Condado de Alytus")</f>
        <v>Condado de Alytus</v>
      </c>
    </row>
    <row r="2806">
      <c r="A2806" s="9" t="str">
        <f>IFERROR(__xludf.DUMMYFUNCTION("""COMPUTED_VALUE"""),"Marijampolė County")</f>
        <v>Marijampolė County</v>
      </c>
      <c r="B2806" s="9" t="str">
        <f>IFERROR(__xludf.DUMMYFUNCTION("""COMPUTED_VALUE"""),"lt-mr")</f>
        <v>lt-mr</v>
      </c>
      <c r="C2806" s="9" t="str">
        <f>IFERROR(__xludf.DUMMYFUNCTION("GOOGLETRANSLATE($A2806,""en"",""de"")"),"Kreis Marijampolė")</f>
        <v>Kreis Marijampolė</v>
      </c>
      <c r="D2806" s="9" t="str">
        <f>IFERROR(__xludf.DUMMYFUNCTION("GOOGLETRANSLATE($A2806,""en"",""fr"")"),"Comté de Marijampolė")</f>
        <v>Comté de Marijampolė</v>
      </c>
      <c r="E2806" s="9" t="str">
        <f>IFERROR(__xludf.DUMMYFUNCTION("GOOGLETRANSLATE($A2806,""en"",""es"")"),"Condado de Marijampolė")</f>
        <v>Condado de Marijampolė</v>
      </c>
      <c r="F2806" s="9" t="str">
        <f>IFERROR(__xludf.DUMMYFUNCTION("GOOGLETRANSLATE($A2806,""en"",""it"")"),"Contea di Marijampolė")</f>
        <v>Contea di Marijampolė</v>
      </c>
      <c r="G2806" s="9" t="str">
        <f>IFERROR(__xludf.DUMMYFUNCTION("GOOGLETRANSLATE($A2806,""en"",""zh-cn"")"),"马里扬泊列县")</f>
        <v>马里扬泊列县</v>
      </c>
      <c r="H2806" s="9" t="str">
        <f>IFERROR(__xludf.DUMMYFUNCTION("GOOGLETRANSLATE($A2806,""en"",""ja"")"),"マリヤンポレ県")</f>
        <v>マリヤンポレ県</v>
      </c>
      <c r="I2806" s="9" t="str">
        <f>IFERROR(__xludf.DUMMYFUNCTION("GOOGLETRANSLATE($A2806,""en"",""ko"")"),"마리얌폴레 카운티")</f>
        <v>마리얌폴레 카운티</v>
      </c>
      <c r="J2806" s="9" t="str">
        <f>IFERROR(__xludf.DUMMYFUNCTION("GOOGLETRANSLATE($A2806,""en"",""pt-BR"")"),"Condado de Marijampolė")</f>
        <v>Condado de Marijampolė</v>
      </c>
    </row>
    <row r="2807">
      <c r="A2807" s="9" t="str">
        <f>IFERROR(__xludf.DUMMYFUNCTION("""COMPUTED_VALUE"""),"Rietavas")</f>
        <v>Rietavas</v>
      </c>
      <c r="B2807" s="9" t="str">
        <f>IFERROR(__xludf.DUMMYFUNCTION("""COMPUTED_VALUE"""),"lt-39")</f>
        <v>lt-39</v>
      </c>
      <c r="C2807" s="9" t="str">
        <f>IFERROR(__xludf.DUMMYFUNCTION("GOOGLETRANSLATE($A2807,""en"",""de"")"),"Rietavas")</f>
        <v>Rietavas</v>
      </c>
      <c r="D2807" s="9" t="str">
        <f>IFERROR(__xludf.DUMMYFUNCTION("GOOGLETRANSLATE($A2807,""en"",""fr"")"),"Rietavas")</f>
        <v>Rietavas</v>
      </c>
      <c r="E2807" s="9" t="str">
        <f>IFERROR(__xludf.DUMMYFUNCTION("GOOGLETRANSLATE($A2807,""en"",""es"")"),"Rietavas")</f>
        <v>Rietavas</v>
      </c>
      <c r="F2807" s="9" t="str">
        <f>IFERROR(__xludf.DUMMYFUNCTION("GOOGLETRANSLATE($A2807,""en"",""it"")"),"Rietavas")</f>
        <v>Rietavas</v>
      </c>
      <c r="G2807" s="9" t="str">
        <f>IFERROR(__xludf.DUMMYFUNCTION("GOOGLETRANSLATE($A2807,""en"",""zh-cn"")"),"列塔瓦斯")</f>
        <v>列塔瓦斯</v>
      </c>
      <c r="H2807" s="9" t="str">
        <f>IFERROR(__xludf.DUMMYFUNCTION("GOOGLETRANSLATE($A2807,""en"",""ja"")"),"リエタヴァ")</f>
        <v>リエタヴァ</v>
      </c>
      <c r="I2807" s="9" t="str">
        <f>IFERROR(__xludf.DUMMYFUNCTION("GOOGLETRANSLATE($A2807,""en"",""ko"")"),"리에타바스")</f>
        <v>리에타바스</v>
      </c>
      <c r="J2807" s="9" t="str">
        <f>IFERROR(__xludf.DUMMYFUNCTION("GOOGLETRANSLATE($A2807,""en"",""pt-BR"")"),"Rietavas")</f>
        <v>Rietavas</v>
      </c>
    </row>
    <row r="2808">
      <c r="A2808" s="9" t="str">
        <f>IFERROR(__xludf.DUMMYFUNCTION("""COMPUTED_VALUE"""),"Raseiniai")</f>
        <v>Raseiniai</v>
      </c>
      <c r="B2808" s="9" t="str">
        <f>IFERROR(__xludf.DUMMYFUNCTION("""COMPUTED_VALUE"""),"lt-38")</f>
        <v>lt-38</v>
      </c>
      <c r="C2808" s="9" t="str">
        <f>IFERROR(__xludf.DUMMYFUNCTION("GOOGLETRANSLATE($A2808,""en"",""de"")"),"Raseiniai")</f>
        <v>Raseiniai</v>
      </c>
      <c r="D2808" s="9" t="str">
        <f>IFERROR(__xludf.DUMMYFUNCTION("GOOGLETRANSLATE($A2808,""en"",""fr"")"),"Raseiniai")</f>
        <v>Raseiniai</v>
      </c>
      <c r="E2808" s="9" t="str">
        <f>IFERROR(__xludf.DUMMYFUNCTION("GOOGLETRANSLATE($A2808,""en"",""es"")"),"Raseiniai")</f>
        <v>Raseiniai</v>
      </c>
      <c r="F2808" s="9" t="str">
        <f>IFERROR(__xludf.DUMMYFUNCTION("GOOGLETRANSLATE($A2808,""en"",""it"")"),"Raseiniai")</f>
        <v>Raseiniai</v>
      </c>
      <c r="G2808" s="9" t="str">
        <f>IFERROR(__xludf.DUMMYFUNCTION("GOOGLETRANSLATE($A2808,""en"",""zh-cn"")"),"拉塞尼艾")</f>
        <v>拉塞尼艾</v>
      </c>
      <c r="H2808" s="9" t="str">
        <f>IFERROR(__xludf.DUMMYFUNCTION("GOOGLETRANSLATE($A2808,""en"",""ja"")"),"ラセイニアイ")</f>
        <v>ラセイニアイ</v>
      </c>
      <c r="I2808" s="9" t="str">
        <f>IFERROR(__xludf.DUMMYFUNCTION("GOOGLETRANSLATE($A2808,""en"",""ko"")"),"라세이니아이")</f>
        <v>라세이니아이</v>
      </c>
      <c r="J2808" s="9" t="str">
        <f>IFERROR(__xludf.DUMMYFUNCTION("GOOGLETRANSLATE($A2808,""en"",""pt-BR"")"),"Raseiniai")</f>
        <v>Raseiniai</v>
      </c>
    </row>
    <row r="2809">
      <c r="A2809" s="9" t="str">
        <f>IFERROR(__xludf.DUMMYFUNCTION("""COMPUTED_VALUE"""),"Šalčininkai")</f>
        <v>Šalčininkai</v>
      </c>
      <c r="B2809" s="9" t="str">
        <f>IFERROR(__xludf.DUMMYFUNCTION("""COMPUTED_VALUE"""),"lt-42")</f>
        <v>lt-42</v>
      </c>
      <c r="C2809" s="9" t="str">
        <f>IFERROR(__xludf.DUMMYFUNCTION("GOOGLETRANSLATE($A2809,""en"",""de"")"),"Šalčininkai")</f>
        <v>Šalčininkai</v>
      </c>
      <c r="D2809" s="9" t="str">
        <f>IFERROR(__xludf.DUMMYFUNCTION("GOOGLETRANSLATE($A2809,""en"",""fr"")"),"Salčininkai")</f>
        <v>Salčininkai</v>
      </c>
      <c r="E2809" s="9" t="str">
        <f>IFERROR(__xludf.DUMMYFUNCTION("GOOGLETRANSLATE($A2809,""en"",""es"")"),"Šalčininkai")</f>
        <v>Šalčininkai</v>
      </c>
      <c r="F2809" s="9" t="str">
        <f>IFERROR(__xludf.DUMMYFUNCTION("GOOGLETRANSLATE($A2809,""en"",""it"")"),"Šalčininkai")</f>
        <v>Šalčininkai</v>
      </c>
      <c r="G2809" s="9" t="str">
        <f>IFERROR(__xludf.DUMMYFUNCTION("GOOGLETRANSLATE($A2809,""en"",""zh-cn"")"),"萨尔奇宁凯")</f>
        <v>萨尔奇宁凯</v>
      </c>
      <c r="H2809" s="9" t="str">
        <f>IFERROR(__xludf.DUMMYFUNCTION("GOOGLETRANSLATE($A2809,""en"",""ja"")"),"シャルチニンカイ")</f>
        <v>シャルチニンカイ</v>
      </c>
      <c r="I2809" s="9" t="str">
        <f>IFERROR(__xludf.DUMMYFUNCTION("GOOGLETRANSLATE($A2809,""en"",""ko"")"),"샬치닌카이")</f>
        <v>샬치닌카이</v>
      </c>
      <c r="J2809" s="9" t="str">
        <f>IFERROR(__xludf.DUMMYFUNCTION("GOOGLETRANSLATE($A2809,""en"",""pt-BR"")"),"Šalčininkai")</f>
        <v>Šalčininkai</v>
      </c>
    </row>
    <row r="2810">
      <c r="A2810" s="9" t="str">
        <f>IFERROR(__xludf.DUMMYFUNCTION("""COMPUTED_VALUE"""),"Rokiškis")</f>
        <v>Rokiškis</v>
      </c>
      <c r="B2810" s="9" t="str">
        <f>IFERROR(__xludf.DUMMYFUNCTION("""COMPUTED_VALUE"""),"lt-40")</f>
        <v>lt-40</v>
      </c>
      <c r="C2810" s="9" t="str">
        <f>IFERROR(__xludf.DUMMYFUNCTION("GOOGLETRANSLATE($A2810,""en"",""de"")"),"Rokiškis")</f>
        <v>Rokiškis</v>
      </c>
      <c r="D2810" s="9" t="str">
        <f>IFERROR(__xludf.DUMMYFUNCTION("GOOGLETRANSLATE($A2810,""en"",""fr"")"),"Rokiškis")</f>
        <v>Rokiškis</v>
      </c>
      <c r="E2810" s="9" t="str">
        <f>IFERROR(__xludf.DUMMYFUNCTION("GOOGLETRANSLATE($A2810,""en"",""es"")"),"Rokiškis")</f>
        <v>Rokiškis</v>
      </c>
      <c r="F2810" s="9" t="str">
        <f>IFERROR(__xludf.DUMMYFUNCTION("GOOGLETRANSLATE($A2810,""en"",""it"")"),"Rokiškis")</f>
        <v>Rokiškis</v>
      </c>
      <c r="G2810" s="9" t="str">
        <f>IFERROR(__xludf.DUMMYFUNCTION("GOOGLETRANSLATE($A2810,""en"",""zh-cn"")"),"罗基什基斯")</f>
        <v>罗基什基斯</v>
      </c>
      <c r="H2810" s="9" t="str">
        <f>IFERROR(__xludf.DUMMYFUNCTION("GOOGLETRANSLATE($A2810,""en"",""ja"")"),"ロキシュキス")</f>
        <v>ロキシュキス</v>
      </c>
      <c r="I2810" s="9" t="str">
        <f>IFERROR(__xludf.DUMMYFUNCTION("GOOGLETRANSLATE($A2810,""en"",""ko"")"),"로키스키스")</f>
        <v>로키스키스</v>
      </c>
      <c r="J2810" s="9" t="str">
        <f>IFERROR(__xludf.DUMMYFUNCTION("GOOGLETRANSLATE($A2810,""en"",""pt-BR"")"),"Rokiškis")</f>
        <v>Rokiškis</v>
      </c>
    </row>
    <row r="2811">
      <c r="A2811" s="9" t="str">
        <f>IFERROR(__xludf.DUMMYFUNCTION("""COMPUTED_VALUE"""),"Šakiai")</f>
        <v>Šakiai</v>
      </c>
      <c r="B2811" s="9" t="str">
        <f>IFERROR(__xludf.DUMMYFUNCTION("""COMPUTED_VALUE"""),"lt-41")</f>
        <v>lt-41</v>
      </c>
      <c r="C2811" s="9" t="str">
        <f>IFERROR(__xludf.DUMMYFUNCTION("GOOGLETRANSLATE($A2811,""en"",""de"")"),"Šakiai")</f>
        <v>Šakiai</v>
      </c>
      <c r="D2811" s="9" t="str">
        <f>IFERROR(__xludf.DUMMYFUNCTION("GOOGLETRANSLATE($A2811,""en"",""fr"")"),"Šakiai")</f>
        <v>Šakiai</v>
      </c>
      <c r="E2811" s="9" t="str">
        <f>IFERROR(__xludf.DUMMYFUNCTION("GOOGLETRANSLATE($A2811,""en"",""es"")"),"Šakiai")</f>
        <v>Šakiai</v>
      </c>
      <c r="F2811" s="9" t="str">
        <f>IFERROR(__xludf.DUMMYFUNCTION("GOOGLETRANSLATE($A2811,""en"",""it"")"),"Šakiai")</f>
        <v>Šakiai</v>
      </c>
      <c r="G2811" s="9" t="str">
        <f>IFERROR(__xludf.DUMMYFUNCTION("GOOGLETRANSLATE($A2811,""en"",""zh-cn"")"),"萨基合")</f>
        <v>萨基合</v>
      </c>
      <c r="H2811" s="9" t="str">
        <f>IFERROR(__xludf.DUMMYFUNCTION("GOOGLETRANSLATE($A2811,""en"",""ja"")"),"シャキアイ")</f>
        <v>シャキアイ</v>
      </c>
      <c r="I2811" s="9" t="str">
        <f>IFERROR(__xludf.DUMMYFUNCTION("GOOGLETRANSLATE($A2811,""en"",""ko"")"),"샤키아이")</f>
        <v>샤키아이</v>
      </c>
      <c r="J2811" s="9" t="str">
        <f>IFERROR(__xludf.DUMMYFUNCTION("GOOGLETRANSLATE($A2811,""en"",""pt-BR"")"),"Šakiai")</f>
        <v>Šakiai</v>
      </c>
    </row>
    <row r="2812">
      <c r="A2812" s="9" t="str">
        <f>IFERROR(__xludf.DUMMYFUNCTION("""COMPUTED_VALUE"""),"Kupiškis")</f>
        <v>Kupiškis</v>
      </c>
      <c r="B2812" s="9" t="str">
        <f>IFERROR(__xludf.DUMMYFUNCTION("""COMPUTED_VALUE"""),"lt-23")</f>
        <v>lt-23</v>
      </c>
      <c r="C2812" s="9" t="str">
        <f>IFERROR(__xludf.DUMMYFUNCTION("GOOGLETRANSLATE($A2812,""en"",""de"")"),"Kupiškis")</f>
        <v>Kupiškis</v>
      </c>
      <c r="D2812" s="9" t="str">
        <f>IFERROR(__xludf.DUMMYFUNCTION("GOOGLETRANSLATE($A2812,""en"",""fr"")"),"Kupiškis")</f>
        <v>Kupiškis</v>
      </c>
      <c r="E2812" s="9" t="str">
        <f>IFERROR(__xludf.DUMMYFUNCTION("GOOGLETRANSLATE($A2812,""en"",""es"")"),"Kupiškis")</f>
        <v>Kupiškis</v>
      </c>
      <c r="F2812" s="9" t="str">
        <f>IFERROR(__xludf.DUMMYFUNCTION("GOOGLETRANSLATE($A2812,""en"",""it"")"),"Kupiškis")</f>
        <v>Kupiškis</v>
      </c>
      <c r="G2812" s="9" t="str">
        <f>IFERROR(__xludf.DUMMYFUNCTION("GOOGLETRANSLATE($A2812,""en"",""zh-cn"")"),"库皮什基斯")</f>
        <v>库皮什基斯</v>
      </c>
      <c r="H2812" s="9" t="str">
        <f>IFERROR(__xludf.DUMMYFUNCTION("GOOGLETRANSLATE($A2812,""en"",""ja"")"),"クピシュキス")</f>
        <v>クピシュキス</v>
      </c>
      <c r="I2812" s="9" t="str">
        <f>IFERROR(__xludf.DUMMYFUNCTION("GOOGLETRANSLATE($A2812,""en"",""ko"")"),"쿠피스키스")</f>
        <v>쿠피스키스</v>
      </c>
      <c r="J2812" s="9" t="str">
        <f>IFERROR(__xludf.DUMMYFUNCTION("GOOGLETRANSLATE($A2812,""en"",""pt-BR"")"),"Kupiškis")</f>
        <v>Kupiškis</v>
      </c>
    </row>
    <row r="2813">
      <c r="A2813" s="9" t="str">
        <f>IFERROR(__xludf.DUMMYFUNCTION("""COMPUTED_VALUE"""),"Kretinga")</f>
        <v>Kretinga</v>
      </c>
      <c r="B2813" s="9" t="str">
        <f>IFERROR(__xludf.DUMMYFUNCTION("""COMPUTED_VALUE"""),"lt-22")</f>
        <v>lt-22</v>
      </c>
      <c r="C2813" s="9" t="str">
        <f>IFERROR(__xludf.DUMMYFUNCTION("GOOGLETRANSLATE($A2813,""en"",""de"")"),"Kretinga")</f>
        <v>Kretinga</v>
      </c>
      <c r="D2813" s="9" t="str">
        <f>IFERROR(__xludf.DUMMYFUNCTION("GOOGLETRANSLATE($A2813,""en"",""fr"")"),"Krétinga")</f>
        <v>Krétinga</v>
      </c>
      <c r="E2813" s="9" t="str">
        <f>IFERROR(__xludf.DUMMYFUNCTION("GOOGLETRANSLATE($A2813,""en"",""es"")"),"Kretinga")</f>
        <v>Kretinga</v>
      </c>
      <c r="F2813" s="9" t="str">
        <f>IFERROR(__xludf.DUMMYFUNCTION("GOOGLETRANSLATE($A2813,""en"",""it"")"),"Kretinga")</f>
        <v>Kretinga</v>
      </c>
      <c r="G2813" s="9" t="str">
        <f>IFERROR(__xludf.DUMMYFUNCTION("GOOGLETRANSLATE($A2813,""en"",""zh-cn"")"),"克雷廷加")</f>
        <v>克雷廷加</v>
      </c>
      <c r="H2813" s="9" t="str">
        <f>IFERROR(__xludf.DUMMYFUNCTION("GOOGLETRANSLATE($A2813,""en"",""ja"")"),"クレティンガ")</f>
        <v>クレティンガ</v>
      </c>
      <c r="I2813" s="9" t="str">
        <f>IFERROR(__xludf.DUMMYFUNCTION("GOOGLETRANSLATE($A2813,""en"",""ko"")"),"크레팅가")</f>
        <v>크레팅가</v>
      </c>
      <c r="J2813" s="9" t="str">
        <f>IFERROR(__xludf.DUMMYFUNCTION("GOOGLETRANSLATE($A2813,""en"",""pt-BR"")"),"Kretinga")</f>
        <v>Kretinga</v>
      </c>
    </row>
    <row r="2814">
      <c r="A2814" s="9" t="str">
        <f>IFERROR(__xludf.DUMMYFUNCTION("""COMPUTED_VALUE"""),"Marijampolė")</f>
        <v>Marijampolė</v>
      </c>
      <c r="B2814" s="9" t="str">
        <f>IFERROR(__xludf.DUMMYFUNCTION("""COMPUTED_VALUE"""),"lt-25")</f>
        <v>lt-25</v>
      </c>
      <c r="C2814" s="9" t="str">
        <f>IFERROR(__xludf.DUMMYFUNCTION("GOOGLETRANSLATE($A2814,""en"",""de"")"),"Marijampolė")</f>
        <v>Marijampolė</v>
      </c>
      <c r="D2814" s="9" t="str">
        <f>IFERROR(__xludf.DUMMYFUNCTION("GOOGLETRANSLATE($A2814,""en"",""fr"")"),"Marijampole")</f>
        <v>Marijampole</v>
      </c>
      <c r="E2814" s="9" t="str">
        <f>IFERROR(__xludf.DUMMYFUNCTION("GOOGLETRANSLATE($A2814,""en"",""es"")"),"Marijampolė")</f>
        <v>Marijampolė</v>
      </c>
      <c r="F2814" s="9" t="str">
        <f>IFERROR(__xludf.DUMMYFUNCTION("GOOGLETRANSLATE($A2814,""en"",""it"")"),"Marijampolė")</f>
        <v>Marijampolė</v>
      </c>
      <c r="G2814" s="9" t="str">
        <f>IFERROR(__xludf.DUMMYFUNCTION("GOOGLETRANSLATE($A2814,""en"",""zh-cn"")"),"马里扬波列")</f>
        <v>马里扬波列</v>
      </c>
      <c r="H2814" s="9" t="str">
        <f>IFERROR(__xludf.DUMMYFUNCTION("GOOGLETRANSLATE($A2814,""en"",""ja"")"),"マリヤンポレ")</f>
        <v>マリヤンポレ</v>
      </c>
      <c r="I2814" s="9" t="str">
        <f>IFERROR(__xludf.DUMMYFUNCTION("GOOGLETRANSLATE($A2814,""en"",""ko"")"),"마리얌폴레")</f>
        <v>마리얌폴레</v>
      </c>
      <c r="J2814" s="9" t="str">
        <f>IFERROR(__xludf.DUMMYFUNCTION("GOOGLETRANSLATE($A2814,""en"",""pt-BR"")"),"Marijampolė")</f>
        <v>Marijampolė</v>
      </c>
    </row>
    <row r="2815">
      <c r="A2815" s="9" t="str">
        <f>IFERROR(__xludf.DUMMYFUNCTION("""COMPUTED_VALUE"""),"Mažeikiai")</f>
        <v>Mažeikiai</v>
      </c>
      <c r="B2815" s="9" t="str">
        <f>IFERROR(__xludf.DUMMYFUNCTION("""COMPUTED_VALUE"""),"lt-26")</f>
        <v>lt-26</v>
      </c>
      <c r="C2815" s="9" t="str">
        <f>IFERROR(__xludf.DUMMYFUNCTION("GOOGLETRANSLATE($A2815,""en"",""de"")"),"Mažeikiai")</f>
        <v>Mažeikiai</v>
      </c>
      <c r="D2815" s="9" t="str">
        <f>IFERROR(__xludf.DUMMYFUNCTION("GOOGLETRANSLATE($A2815,""en"",""fr"")"),"Mazeikiai")</f>
        <v>Mazeikiai</v>
      </c>
      <c r="E2815" s="9" t="str">
        <f>IFERROR(__xludf.DUMMYFUNCTION("GOOGLETRANSLATE($A2815,""en"",""es"")"),"Mažeikiai")</f>
        <v>Mažeikiai</v>
      </c>
      <c r="F2815" s="9" t="str">
        <f>IFERROR(__xludf.DUMMYFUNCTION("GOOGLETRANSLATE($A2815,""en"",""it"")"),"Mažeikiai")</f>
        <v>Mažeikiai</v>
      </c>
      <c r="G2815" s="9" t="str">
        <f>IFERROR(__xludf.DUMMYFUNCTION("GOOGLETRANSLATE($A2815,""en"",""zh-cn"")"),"马热基艾")</f>
        <v>马热基艾</v>
      </c>
      <c r="H2815" s="9" t="str">
        <f>IFERROR(__xludf.DUMMYFUNCTION("GOOGLETRANSLATE($A2815,""en"",""ja"")"),"マゼイキアイ")</f>
        <v>マゼイキアイ</v>
      </c>
      <c r="I2815" s="9" t="str">
        <f>IFERROR(__xludf.DUMMYFUNCTION("GOOGLETRANSLATE($A2815,""en"",""ko"")"),"마제이키아이")</f>
        <v>마제이키아이</v>
      </c>
      <c r="J2815" s="9" t="str">
        <f>IFERROR(__xludf.DUMMYFUNCTION("GOOGLETRANSLATE($A2815,""en"",""pt-BR"")"),"Mažeikiai")</f>
        <v>Mažeikiai</v>
      </c>
    </row>
    <row r="2816">
      <c r="A2816" s="9" t="str">
        <f>IFERROR(__xludf.DUMMYFUNCTION("""COMPUTED_VALUE"""),"Lazdijai")</f>
        <v>Lazdijai</v>
      </c>
      <c r="B2816" s="9" t="str">
        <f>IFERROR(__xludf.DUMMYFUNCTION("""COMPUTED_VALUE"""),"lt-24")</f>
        <v>lt-24</v>
      </c>
      <c r="C2816" s="9" t="str">
        <f>IFERROR(__xludf.DUMMYFUNCTION("GOOGLETRANSLATE($A2816,""en"",""de"")"),"Lazdijai")</f>
        <v>Lazdijai</v>
      </c>
      <c r="D2816" s="9" t="str">
        <f>IFERROR(__xludf.DUMMYFUNCTION("GOOGLETRANSLATE($A2816,""en"",""fr"")"),"Lazdijaï")</f>
        <v>Lazdijaï</v>
      </c>
      <c r="E2816" s="9" t="str">
        <f>IFERROR(__xludf.DUMMYFUNCTION("GOOGLETRANSLATE($A2816,""en"",""es"")"),"Lazdijai")</f>
        <v>Lazdijai</v>
      </c>
      <c r="F2816" s="9" t="str">
        <f>IFERROR(__xludf.DUMMYFUNCTION("GOOGLETRANSLATE($A2816,""en"",""it"")"),"Lazdijai")</f>
        <v>Lazdijai</v>
      </c>
      <c r="G2816" s="9" t="str">
        <f>IFERROR(__xludf.DUMMYFUNCTION("GOOGLETRANSLATE($A2816,""en"",""zh-cn"")"),"拉兹迪贾伊")</f>
        <v>拉兹迪贾伊</v>
      </c>
      <c r="H2816" s="9" t="str">
        <f>IFERROR(__xludf.DUMMYFUNCTION("GOOGLETRANSLATE($A2816,""en"",""ja"")"),"ラズディジャイ")</f>
        <v>ラズディジャイ</v>
      </c>
      <c r="I2816" s="9" t="str">
        <f>IFERROR(__xludf.DUMMYFUNCTION("GOOGLETRANSLATE($A2816,""en"",""ko"")"),"라즈디자이")</f>
        <v>라즈디자이</v>
      </c>
      <c r="J2816" s="9" t="str">
        <f>IFERROR(__xludf.DUMMYFUNCTION("GOOGLETRANSLATE($A2816,""en"",""pt-BR"")"),"Lazdijai")</f>
        <v>Lazdijai</v>
      </c>
    </row>
    <row r="2817">
      <c r="A2817" s="9" t="str">
        <f>IFERROR(__xludf.DUMMYFUNCTION("""COMPUTED_VALUE"""),"Neringa")</f>
        <v>Neringa</v>
      </c>
      <c r="B2817" s="9" t="str">
        <f>IFERROR(__xludf.DUMMYFUNCTION("""COMPUTED_VALUE"""),"lt-28")</f>
        <v>lt-28</v>
      </c>
      <c r="C2817" s="9" t="str">
        <f>IFERROR(__xludf.DUMMYFUNCTION("GOOGLETRANSLATE($A2817,""en"",""de"")"),"Neringa")</f>
        <v>Neringa</v>
      </c>
      <c r="D2817" s="9" t="str">
        <f>IFERROR(__xludf.DUMMYFUNCTION("GOOGLETRANSLATE($A2817,""en"",""fr"")"),"Neringa")</f>
        <v>Neringa</v>
      </c>
      <c r="E2817" s="9" t="str">
        <f>IFERROR(__xludf.DUMMYFUNCTION("GOOGLETRANSLATE($A2817,""en"",""es"")"),"Neringa")</f>
        <v>Neringa</v>
      </c>
      <c r="F2817" s="9" t="str">
        <f>IFERROR(__xludf.DUMMYFUNCTION("GOOGLETRANSLATE($A2817,""en"",""it"")"),"Neringa")</f>
        <v>Neringa</v>
      </c>
      <c r="G2817" s="9" t="str">
        <f>IFERROR(__xludf.DUMMYFUNCTION("GOOGLETRANSLATE($A2817,""en"",""zh-cn"")"),"内林加")</f>
        <v>内林加</v>
      </c>
      <c r="H2817" s="9" t="str">
        <f>IFERROR(__xludf.DUMMYFUNCTION("GOOGLETRANSLATE($A2817,""en"",""ja"")"),"ネリンガ")</f>
        <v>ネリンガ</v>
      </c>
      <c r="I2817" s="9" t="str">
        <f>IFERROR(__xludf.DUMMYFUNCTION("GOOGLETRANSLATE($A2817,""en"",""ko"")"),"네링가")</f>
        <v>네링가</v>
      </c>
      <c r="J2817" s="9" t="str">
        <f>IFERROR(__xludf.DUMMYFUNCTION("GOOGLETRANSLATE($A2817,""en"",""pt-BR"")"),"Neringa")</f>
        <v>Neringa</v>
      </c>
    </row>
    <row r="2818">
      <c r="A2818" s="9" t="str">
        <f>IFERROR(__xludf.DUMMYFUNCTION("""COMPUTED_VALUE"""),"Molėtai")</f>
        <v>Molėtai</v>
      </c>
      <c r="B2818" s="9" t="str">
        <f>IFERROR(__xludf.DUMMYFUNCTION("""COMPUTED_VALUE"""),"lt-27")</f>
        <v>lt-27</v>
      </c>
      <c r="C2818" s="9" t="str">
        <f>IFERROR(__xludf.DUMMYFUNCTION("GOOGLETRANSLATE($A2818,""en"",""de"")"),"Molėtai")</f>
        <v>Molėtai</v>
      </c>
      <c r="D2818" s="9" t="str">
        <f>IFERROR(__xludf.DUMMYFUNCTION("GOOGLETRANSLATE($A2818,""en"",""fr"")"),"Molėtai")</f>
        <v>Molėtai</v>
      </c>
      <c r="E2818" s="9" t="str">
        <f>IFERROR(__xludf.DUMMYFUNCTION("GOOGLETRANSLATE($A2818,""en"",""es"")"),"Molėtai")</f>
        <v>Molėtai</v>
      </c>
      <c r="F2818" s="9" t="str">
        <f>IFERROR(__xludf.DUMMYFUNCTION("GOOGLETRANSLATE($A2818,""en"",""it"")"),"Molìtai")</f>
        <v>Molìtai</v>
      </c>
      <c r="G2818" s="9" t="str">
        <f>IFERROR(__xludf.DUMMYFUNCTION("GOOGLETRANSLATE($A2818,""en"",""zh-cn"")"),"莫莱泰")</f>
        <v>莫莱泰</v>
      </c>
      <c r="H2818" s="9" t="str">
        <f>IFERROR(__xludf.DUMMYFUNCTION("GOOGLETRANSLATE($A2818,""en"",""ja"")"),"モレタイ")</f>
        <v>モレタイ</v>
      </c>
      <c r="I2818" s="9" t="str">
        <f>IFERROR(__xludf.DUMMYFUNCTION("GOOGLETRANSLATE($A2818,""en"",""ko"")"),"몰레타이")</f>
        <v>몰레타이</v>
      </c>
      <c r="J2818" s="9" t="str">
        <f>IFERROR(__xludf.DUMMYFUNCTION("GOOGLETRANSLATE($A2818,""en"",""pt-BR"")"),"Molėtai")</f>
        <v>Molėtai</v>
      </c>
    </row>
    <row r="2819">
      <c r="A2819" s="9" t="str">
        <f>IFERROR(__xludf.DUMMYFUNCTION("""COMPUTED_VALUE"""),"Palangos")</f>
        <v>Palangos</v>
      </c>
      <c r="B2819" s="9" t="str">
        <f>IFERROR(__xludf.DUMMYFUNCTION("""COMPUTED_VALUE"""),"lt-31")</f>
        <v>lt-31</v>
      </c>
      <c r="C2819" s="9" t="str">
        <f>IFERROR(__xludf.DUMMYFUNCTION("GOOGLETRANSLATE($A2819,""en"",""de"")"),"Palangos")</f>
        <v>Palangos</v>
      </c>
      <c r="D2819" s="9" t="str">
        <f>IFERROR(__xludf.DUMMYFUNCTION("GOOGLETRANSLATE($A2819,""en"",""fr"")"),"Palangos")</f>
        <v>Palangos</v>
      </c>
      <c r="E2819" s="9" t="str">
        <f>IFERROR(__xludf.DUMMYFUNCTION("GOOGLETRANSLATE($A2819,""en"",""es"")"),"palangos")</f>
        <v>palangos</v>
      </c>
      <c r="F2819" s="9" t="str">
        <f>IFERROR(__xludf.DUMMYFUNCTION("GOOGLETRANSLATE($A2819,""en"",""it"")"),"Palangos")</f>
        <v>Palangos</v>
      </c>
      <c r="G2819" s="9" t="str">
        <f>IFERROR(__xludf.DUMMYFUNCTION("GOOGLETRANSLATE($A2819,""en"",""zh-cn"")"),"帕兰戈斯")</f>
        <v>帕兰戈斯</v>
      </c>
      <c r="H2819" s="9" t="str">
        <f>IFERROR(__xludf.DUMMYFUNCTION("GOOGLETRANSLATE($A2819,""en"",""ja"")"),"パランゴス")</f>
        <v>パランゴス</v>
      </c>
      <c r="I2819" s="9" t="str">
        <f>IFERROR(__xludf.DUMMYFUNCTION("GOOGLETRANSLATE($A2819,""en"",""ko"")"),"팔랑고스")</f>
        <v>팔랑고스</v>
      </c>
      <c r="J2819" s="9" t="str">
        <f>IFERROR(__xludf.DUMMYFUNCTION("GOOGLETRANSLATE($A2819,""en"",""pt-BR"")"),"Palangos")</f>
        <v>Palangos</v>
      </c>
    </row>
    <row r="2820">
      <c r="A2820" s="9" t="str">
        <f>IFERROR(__xludf.DUMMYFUNCTION("""COMPUTED_VALUE"""),"Pakruojis")</f>
        <v>Pakruojis</v>
      </c>
      <c r="B2820" s="9" t="str">
        <f>IFERROR(__xludf.DUMMYFUNCTION("""COMPUTED_VALUE"""),"lt-30")</f>
        <v>lt-30</v>
      </c>
      <c r="C2820" s="9" t="str">
        <f>IFERROR(__xludf.DUMMYFUNCTION("GOOGLETRANSLATE($A2820,""en"",""de"")"),"Pakruojis")</f>
        <v>Pakruojis</v>
      </c>
      <c r="D2820" s="9" t="str">
        <f>IFERROR(__xludf.DUMMYFUNCTION("GOOGLETRANSLATE($A2820,""en"",""fr"")"),"Pakruojis")</f>
        <v>Pakruojis</v>
      </c>
      <c r="E2820" s="9" t="str">
        <f>IFERROR(__xludf.DUMMYFUNCTION("GOOGLETRANSLATE($A2820,""en"",""es"")"),"pakruojis")</f>
        <v>pakruojis</v>
      </c>
      <c r="F2820" s="9" t="str">
        <f>IFERROR(__xludf.DUMMYFUNCTION("GOOGLETRANSLATE($A2820,""en"",""it"")"),"Pakruojis")</f>
        <v>Pakruojis</v>
      </c>
      <c r="G2820" s="9" t="str">
        <f>IFERROR(__xludf.DUMMYFUNCTION("GOOGLETRANSLATE($A2820,""en"",""zh-cn"")"),"帕克鲁吉斯")</f>
        <v>帕克鲁吉斯</v>
      </c>
      <c r="H2820" s="9" t="str">
        <f>IFERROR(__xludf.DUMMYFUNCTION("GOOGLETRANSLATE($A2820,""en"",""ja"")"),"パクルオジス")</f>
        <v>パクルオジス</v>
      </c>
      <c r="I2820" s="9" t="str">
        <f>IFERROR(__xludf.DUMMYFUNCTION("GOOGLETRANSLATE($A2820,""en"",""ko"")"),"파크루오지스")</f>
        <v>파크루오지스</v>
      </c>
      <c r="J2820" s="9" t="str">
        <f>IFERROR(__xludf.DUMMYFUNCTION("GOOGLETRANSLATE($A2820,""en"",""pt-BR"")"),"Pakruojis")</f>
        <v>Pakruojis</v>
      </c>
    </row>
    <row r="2821">
      <c r="A2821" s="9" t="str">
        <f>IFERROR(__xludf.DUMMYFUNCTION("""COMPUTED_VALUE"""),"Pagėgiai")</f>
        <v>Pagėgiai</v>
      </c>
      <c r="B2821" s="9" t="str">
        <f>IFERROR(__xludf.DUMMYFUNCTION("""COMPUTED_VALUE"""),"lt-29")</f>
        <v>lt-29</v>
      </c>
      <c r="C2821" s="9" t="str">
        <f>IFERROR(__xludf.DUMMYFUNCTION("GOOGLETRANSLATE($A2821,""en"",""de"")"),"Pagėgiai")</f>
        <v>Pagėgiai</v>
      </c>
      <c r="D2821" s="9" t="str">
        <f>IFERROR(__xludf.DUMMYFUNCTION("GOOGLETRANSLATE($A2821,""en"",""fr"")"),"Pages")</f>
        <v>Pages</v>
      </c>
      <c r="E2821" s="9" t="str">
        <f>IFERROR(__xludf.DUMMYFUNCTION("GOOGLETRANSLATE($A2821,""en"",""es"")"),"páginas")</f>
        <v>páginas</v>
      </c>
      <c r="F2821" s="9" t="str">
        <f>IFERROR(__xludf.DUMMYFUNCTION("GOOGLETRANSLATE($A2821,""en"",""it"")"),"Pagėgiai")</f>
        <v>Pagėgiai</v>
      </c>
      <c r="G2821" s="9" t="str">
        <f>IFERROR(__xludf.DUMMYFUNCTION("GOOGLETRANSLATE($A2821,""en"",""zh-cn"")"),"帕吉亚伊")</f>
        <v>帕吉亚伊</v>
      </c>
      <c r="H2821" s="9" t="str">
        <f>IFERROR(__xludf.DUMMYFUNCTION("GOOGLETRANSLATE($A2821,""en"",""ja"")"),"パジェジ")</f>
        <v>パジェジ</v>
      </c>
      <c r="I2821" s="9" t="str">
        <f>IFERROR(__xludf.DUMMYFUNCTION("GOOGLETRANSLATE($A2821,""en"",""ko"")"),"파게기아이")</f>
        <v>파게기아이</v>
      </c>
      <c r="J2821" s="9" t="str">
        <f>IFERROR(__xludf.DUMMYFUNCTION("GOOGLETRANSLATE($A2821,""en"",""pt-BR"")"),"Pagėgiai")</f>
        <v>Pagėgiai</v>
      </c>
    </row>
    <row r="2822">
      <c r="A2822" s="9" t="str">
        <f>IFERROR(__xludf.DUMMYFUNCTION("""COMPUTED_VALUE"""),"Utena")</f>
        <v>Utena</v>
      </c>
      <c r="B2822" s="9" t="str">
        <f>IFERROR(__xludf.DUMMYFUNCTION("""COMPUTED_VALUE"""),"lt-54")</f>
        <v>lt-54</v>
      </c>
      <c r="C2822" s="9" t="str">
        <f>IFERROR(__xludf.DUMMYFUNCTION("GOOGLETRANSLATE($A2822,""en"",""de"")"),"Utena")</f>
        <v>Utena</v>
      </c>
      <c r="D2822" s="9" t="str">
        <f>IFERROR(__xludf.DUMMYFUNCTION("GOOGLETRANSLATE($A2822,""en"",""fr"")"),"Uténa")</f>
        <v>Uténa</v>
      </c>
      <c r="E2822" s="9" t="str">
        <f>IFERROR(__xludf.DUMMYFUNCTION("GOOGLETRANSLATE($A2822,""en"",""es"")"),"utena")</f>
        <v>utena</v>
      </c>
      <c r="F2822" s="9" t="str">
        <f>IFERROR(__xludf.DUMMYFUNCTION("GOOGLETRANSLATE($A2822,""en"",""it"")"),"Utena")</f>
        <v>Utena</v>
      </c>
      <c r="G2822" s="9" t="str">
        <f>IFERROR(__xludf.DUMMYFUNCTION("GOOGLETRANSLATE($A2822,""en"",""zh-cn"")"),"乌田纳")</f>
        <v>乌田纳</v>
      </c>
      <c r="H2822" s="9" t="str">
        <f>IFERROR(__xludf.DUMMYFUNCTION("GOOGLETRANSLATE($A2822,""en"",""ja"")"),"ウテナ")</f>
        <v>ウテナ</v>
      </c>
      <c r="I2822" s="9" t="str">
        <f>IFERROR(__xludf.DUMMYFUNCTION("GOOGLETRANSLATE($A2822,""en"",""ko"")"),"우테나")</f>
        <v>우테나</v>
      </c>
      <c r="J2822" s="9" t="str">
        <f>IFERROR(__xludf.DUMMYFUNCTION("GOOGLETRANSLATE($A2822,""en"",""pt-BR"")"),"Utena")</f>
        <v>Utena</v>
      </c>
    </row>
    <row r="2823">
      <c r="A2823" s="9" t="str">
        <f>IFERROR(__xludf.DUMMYFUNCTION("""COMPUTED_VALUE"""),"Varėna")</f>
        <v>Varėna</v>
      </c>
      <c r="B2823" s="9" t="str">
        <f>IFERROR(__xludf.DUMMYFUNCTION("""COMPUTED_VALUE"""),"lt-55")</f>
        <v>lt-55</v>
      </c>
      <c r="C2823" s="9" t="str">
        <f>IFERROR(__xludf.DUMMYFUNCTION("GOOGLETRANSLATE($A2823,""en"",""de"")"),"Varėna")</f>
        <v>Varėna</v>
      </c>
      <c r="D2823" s="9" t="str">
        <f>IFERROR(__xludf.DUMMYFUNCTION("GOOGLETRANSLATE($A2823,""en"",""fr"")"),"Varėna")</f>
        <v>Varėna</v>
      </c>
      <c r="E2823" s="9" t="str">
        <f>IFERROR(__xludf.DUMMYFUNCTION("GOOGLETRANSLATE($A2823,""en"",""es"")"),"Varėna")</f>
        <v>Varėna</v>
      </c>
      <c r="F2823" s="9" t="str">
        <f>IFERROR(__xludf.DUMMYFUNCTION("GOOGLETRANSLATE($A2823,""en"",""it"")"),"Varëna")</f>
        <v>Varëna</v>
      </c>
      <c r="G2823" s="9" t="str">
        <f>IFERROR(__xludf.DUMMYFUNCTION("GOOGLETRANSLATE($A2823,""en"",""zh-cn"")"),"瓦雷纳")</f>
        <v>瓦雷纳</v>
      </c>
      <c r="H2823" s="9" t="str">
        <f>IFERROR(__xludf.DUMMYFUNCTION("GOOGLETRANSLATE($A2823,""en"",""ja"")"),"ヴァレナ")</f>
        <v>ヴァレナ</v>
      </c>
      <c r="I2823" s="9" t="str">
        <f>IFERROR(__xludf.DUMMYFUNCTION("GOOGLETRANSLATE($A2823,""en"",""ko"")"),"바레나")</f>
        <v>바레나</v>
      </c>
      <c r="J2823" s="9" t="str">
        <f>IFERROR(__xludf.DUMMYFUNCTION("GOOGLETRANSLATE($A2823,""en"",""pt-BR"")"),"Varėna")</f>
        <v>Varėna</v>
      </c>
    </row>
    <row r="2824">
      <c r="A2824" s="9" t="str">
        <f>IFERROR(__xludf.DUMMYFUNCTION("""COMPUTED_VALUE"""),"Ukmergė")</f>
        <v>Ukmergė</v>
      </c>
      <c r="B2824" s="9" t="str">
        <f>IFERROR(__xludf.DUMMYFUNCTION("""COMPUTED_VALUE"""),"lt-53")</f>
        <v>lt-53</v>
      </c>
      <c r="C2824" s="9" t="str">
        <f>IFERROR(__xludf.DUMMYFUNCTION("GOOGLETRANSLATE($A2824,""en"",""de"")"),"Ukmergė")</f>
        <v>Ukmergė</v>
      </c>
      <c r="D2824" s="9" t="str">
        <f>IFERROR(__xludf.DUMMYFUNCTION("GOOGLETRANSLATE($A2824,""en"",""fr"")"),"Ukmergė")</f>
        <v>Ukmergė</v>
      </c>
      <c r="E2824" s="9" t="str">
        <f>IFERROR(__xludf.DUMMYFUNCTION("GOOGLETRANSLATE($A2824,""en"",""es"")"),"Ukmergė")</f>
        <v>Ukmergė</v>
      </c>
      <c r="F2824" s="9" t="str">
        <f>IFERROR(__xludf.DUMMYFUNCTION("GOOGLETRANSLATE($A2824,""en"",""it"")"),"Ukmergė")</f>
        <v>Ukmergė</v>
      </c>
      <c r="G2824" s="9" t="str">
        <f>IFERROR(__xludf.DUMMYFUNCTION("GOOGLETRANSLATE($A2824,""en"",""zh-cn"")"),"乌克梅尔盖")</f>
        <v>乌克梅尔盖</v>
      </c>
      <c r="H2824" s="9" t="str">
        <f>IFERROR(__xludf.DUMMYFUNCTION("GOOGLETRANSLATE($A2824,""en"",""ja"")"),"ウクメルゲ")</f>
        <v>ウクメルゲ</v>
      </c>
      <c r="I2824" s="9" t="str">
        <f>IFERROR(__xludf.DUMMYFUNCTION("GOOGLETRANSLATE($A2824,""en"",""ko"")"),"우크메르게")</f>
        <v>우크메르게</v>
      </c>
      <c r="J2824" s="9" t="str">
        <f>IFERROR(__xludf.DUMMYFUNCTION("GOOGLETRANSLATE($A2824,""en"",""pt-BR"")"),"Reino Unido")</f>
        <v>Reino Unido</v>
      </c>
    </row>
    <row r="2825">
      <c r="A2825" s="9" t="str">
        <f>IFERROR(__xludf.DUMMYFUNCTION("""COMPUTED_VALUE"""),"Vilniaus miestas")</f>
        <v>Vilniaus miestas</v>
      </c>
      <c r="B2825" s="9" t="str">
        <f>IFERROR(__xludf.DUMMYFUNCTION("""COMPUTED_VALUE"""),"lt-57")</f>
        <v>lt-57</v>
      </c>
      <c r="C2825" s="9" t="str">
        <f>IFERROR(__xludf.DUMMYFUNCTION("GOOGLETRANSLATE($A2825,""en"",""de"")"),"Vilniaus Miestas")</f>
        <v>Vilniaus Miestas</v>
      </c>
      <c r="D2825" s="9" t="str">
        <f>IFERROR(__xludf.DUMMYFUNCTION("GOOGLETRANSLATE($A2825,""en"",""fr"")"),"Fêtes à Vilniaus")</f>
        <v>Fêtes à Vilniaus</v>
      </c>
      <c r="E2825" s="9" t="str">
        <f>IFERROR(__xludf.DUMMYFUNCTION("GOOGLETRANSLATE($A2825,""en"",""es"")"),"Vilniaus miestas")</f>
        <v>Vilniaus miestas</v>
      </c>
      <c r="F2825" s="9" t="str">
        <f>IFERROR(__xludf.DUMMYFUNCTION("GOOGLETRANSLATE($A2825,""en"",""it"")"),"Vilniaus miestas")</f>
        <v>Vilniaus miestas</v>
      </c>
      <c r="G2825" s="9" t="str">
        <f>IFERROR(__xludf.DUMMYFUNCTION("GOOGLETRANSLATE($A2825,""en"",""zh-cn"")"),"维尔纽斯密斯塔斯")</f>
        <v>维尔纽斯密斯塔斯</v>
      </c>
      <c r="H2825" s="9" t="str">
        <f>IFERROR(__xludf.DUMMYFUNCTION("GOOGLETRANSLATE($A2825,""en"",""ja"")"),"ビリニュス・ミエスタス")</f>
        <v>ビリニュス・ミエスタス</v>
      </c>
      <c r="I2825" s="9" t="str">
        <f>IFERROR(__xludf.DUMMYFUNCTION("GOOGLETRANSLATE($A2825,""en"",""ko"")"),"빌니아우스 미에스타스")</f>
        <v>빌니아우스 미에스타스</v>
      </c>
      <c r="J2825" s="9" t="str">
        <f>IFERROR(__xludf.DUMMYFUNCTION("GOOGLETRANSLATE($A2825,""en"",""pt-BR"")"),"Miestas de Vilniaus")</f>
        <v>Miestas de Vilniaus</v>
      </c>
    </row>
    <row r="2826">
      <c r="A2826" s="9" t="str">
        <f>IFERROR(__xludf.DUMMYFUNCTION("""COMPUTED_VALUE"""),"Vilkaviškis")</f>
        <v>Vilkaviškis</v>
      </c>
      <c r="B2826" s="9" t="str">
        <f>IFERROR(__xludf.DUMMYFUNCTION("""COMPUTED_VALUE"""),"lt-56")</f>
        <v>lt-56</v>
      </c>
      <c r="C2826" s="9" t="str">
        <f>IFERROR(__xludf.DUMMYFUNCTION("GOOGLETRANSLATE($A2826,""en"",""de"")"),"Vilkaviškis")</f>
        <v>Vilkaviškis</v>
      </c>
      <c r="D2826" s="9" t="str">
        <f>IFERROR(__xludf.DUMMYFUNCTION("GOOGLETRANSLATE($A2826,""en"",""fr"")"),"Vilkaviškis")</f>
        <v>Vilkaviškis</v>
      </c>
      <c r="E2826" s="9" t="str">
        <f>IFERROR(__xludf.DUMMYFUNCTION("GOOGLETRANSLATE($A2826,""en"",""es"")"),"Vilkaviškis")</f>
        <v>Vilkaviškis</v>
      </c>
      <c r="F2826" s="9" t="str">
        <f>IFERROR(__xludf.DUMMYFUNCTION("GOOGLETRANSLATE($A2826,""en"",""it"")"),"Vilkaviškis")</f>
        <v>Vilkaviškis</v>
      </c>
      <c r="G2826" s="9" t="str">
        <f>IFERROR(__xludf.DUMMYFUNCTION("GOOGLETRANSLATE($A2826,""en"",""zh-cn"")"),"维尔卡维斯基斯")</f>
        <v>维尔卡维斯基斯</v>
      </c>
      <c r="H2826" s="9" t="str">
        <f>IFERROR(__xludf.DUMMYFUNCTION("GOOGLETRANSLATE($A2826,""en"",""ja"")"),"ヴィルカビシュキス")</f>
        <v>ヴィルカビシュキス</v>
      </c>
      <c r="I2826" s="9" t="str">
        <f>IFERROR(__xludf.DUMMYFUNCTION("GOOGLETRANSLATE($A2826,""en"",""ko"")"),"빌카비스키스")</f>
        <v>빌카비스키스</v>
      </c>
      <c r="J2826" s="9" t="str">
        <f>IFERROR(__xludf.DUMMYFUNCTION("GOOGLETRANSLATE($A2826,""en"",""pt-BR"")"),"Vilkaviškis")</f>
        <v>Vilkaviškis</v>
      </c>
    </row>
    <row r="2827">
      <c r="A2827" s="9" t="str">
        <f>IFERROR(__xludf.DUMMYFUNCTION("""COMPUTED_VALUE"""),"Zarasai")</f>
        <v>Zarasai</v>
      </c>
      <c r="B2827" s="9" t="str">
        <f>IFERROR(__xludf.DUMMYFUNCTION("""COMPUTED_VALUE"""),"lt-60")</f>
        <v>lt-60</v>
      </c>
      <c r="C2827" s="9" t="str">
        <f>IFERROR(__xludf.DUMMYFUNCTION("GOOGLETRANSLATE($A2827,""en"",""de"")"),"Zarasai")</f>
        <v>Zarasai</v>
      </c>
      <c r="D2827" s="9" t="str">
        <f>IFERROR(__xludf.DUMMYFUNCTION("GOOGLETRANSLATE($A2827,""en"",""fr"")"),"Zarasaï")</f>
        <v>Zarasaï</v>
      </c>
      <c r="E2827" s="9" t="str">
        <f>IFERROR(__xludf.DUMMYFUNCTION("GOOGLETRANSLATE($A2827,""en"",""es"")"),"Zarasai")</f>
        <v>Zarasai</v>
      </c>
      <c r="F2827" s="9" t="str">
        <f>IFERROR(__xludf.DUMMYFUNCTION("GOOGLETRANSLATE($A2827,""en"",""it"")"),"Zarasai")</f>
        <v>Zarasai</v>
      </c>
      <c r="G2827" s="9" t="str">
        <f>IFERROR(__xludf.DUMMYFUNCTION("GOOGLETRANSLATE($A2827,""en"",""zh-cn"")"),"扎拉赛")</f>
        <v>扎拉赛</v>
      </c>
      <c r="H2827" s="9" t="str">
        <f>IFERROR(__xludf.DUMMYFUNCTION("GOOGLETRANSLATE($A2827,""en"",""ja"")"),"ザラサイ")</f>
        <v>ザラサイ</v>
      </c>
      <c r="I2827" s="9" t="str">
        <f>IFERROR(__xludf.DUMMYFUNCTION("GOOGLETRANSLATE($A2827,""en"",""ko"")"),"자라사이")</f>
        <v>자라사이</v>
      </c>
      <c r="J2827" s="9" t="str">
        <f>IFERROR(__xludf.DUMMYFUNCTION("GOOGLETRANSLATE($A2827,""en"",""pt-BR"")"),"Zarasai")</f>
        <v>Zarasai</v>
      </c>
    </row>
    <row r="2828">
      <c r="A2828" s="9" t="str">
        <f>IFERROR(__xludf.DUMMYFUNCTION("""COMPUTED_VALUE"""),"Vilnius")</f>
        <v>Vilnius</v>
      </c>
      <c r="B2828" s="9" t="str">
        <f>IFERROR(__xludf.DUMMYFUNCTION("""COMPUTED_VALUE"""),"lt-58")</f>
        <v>lt-58</v>
      </c>
      <c r="C2828" s="9" t="str">
        <f>IFERROR(__xludf.DUMMYFUNCTION("GOOGLETRANSLATE($A2828,""en"",""de"")"),"Vilnius")</f>
        <v>Vilnius</v>
      </c>
      <c r="D2828" s="9" t="str">
        <f>IFERROR(__xludf.DUMMYFUNCTION("GOOGLETRANSLATE($A2828,""en"",""fr"")"),"Vilnius")</f>
        <v>Vilnius</v>
      </c>
      <c r="E2828" s="9" t="str">
        <f>IFERROR(__xludf.DUMMYFUNCTION("GOOGLETRANSLATE($A2828,""en"",""es"")"),"Vilna")</f>
        <v>Vilna</v>
      </c>
      <c r="F2828" s="9" t="str">
        <f>IFERROR(__xludf.DUMMYFUNCTION("GOOGLETRANSLATE($A2828,""en"",""it"")"),"Vilnius")</f>
        <v>Vilnius</v>
      </c>
      <c r="G2828" s="9" t="str">
        <f>IFERROR(__xludf.DUMMYFUNCTION("GOOGLETRANSLATE($A2828,""en"",""zh-cn"")"),"维尔纽斯")</f>
        <v>维尔纽斯</v>
      </c>
      <c r="H2828" s="9" t="str">
        <f>IFERROR(__xludf.DUMMYFUNCTION("GOOGLETRANSLATE($A2828,""en"",""ja"")"),"ビリニュス")</f>
        <v>ビリニュス</v>
      </c>
      <c r="I2828" s="9" t="str">
        <f>IFERROR(__xludf.DUMMYFUNCTION("GOOGLETRANSLATE($A2828,""en"",""ko"")"),"빌니우스")</f>
        <v>빌니우스</v>
      </c>
      <c r="J2828" s="9" t="str">
        <f>IFERROR(__xludf.DUMMYFUNCTION("GOOGLETRANSLATE($A2828,""en"",""pt-BR"")"),"Vilnius")</f>
        <v>Vilnius</v>
      </c>
    </row>
    <row r="2829">
      <c r="A2829" s="9" t="str">
        <f>IFERROR(__xludf.DUMMYFUNCTION("""COMPUTED_VALUE"""),"Visaginas")</f>
        <v>Visaginas</v>
      </c>
      <c r="B2829" s="9" t="str">
        <f>IFERROR(__xludf.DUMMYFUNCTION("""COMPUTED_VALUE"""),"lt-59")</f>
        <v>lt-59</v>
      </c>
      <c r="C2829" s="9" t="str">
        <f>IFERROR(__xludf.DUMMYFUNCTION("GOOGLETRANSLATE($A2829,""en"",""de"")"),"Visaginas")</f>
        <v>Visaginas</v>
      </c>
      <c r="D2829" s="9" t="str">
        <f>IFERROR(__xludf.DUMMYFUNCTION("GOOGLETRANSLATE($A2829,""en"",""fr"")"),"Visaginas")</f>
        <v>Visaginas</v>
      </c>
      <c r="E2829" s="9" t="str">
        <f>IFERROR(__xludf.DUMMYFUNCTION("GOOGLETRANSLATE($A2829,""en"",""es"")"),"Visaginas")</f>
        <v>Visaginas</v>
      </c>
      <c r="F2829" s="9" t="str">
        <f>IFERROR(__xludf.DUMMYFUNCTION("GOOGLETRANSLATE($A2829,""en"",""it"")"),"Visaginas")</f>
        <v>Visaginas</v>
      </c>
      <c r="G2829" s="9" t="str">
        <f>IFERROR(__xludf.DUMMYFUNCTION("GOOGLETRANSLATE($A2829,""en"",""zh-cn"")"),"维萨吉纳斯")</f>
        <v>维萨吉纳斯</v>
      </c>
      <c r="H2829" s="9" t="str">
        <f>IFERROR(__xludf.DUMMYFUNCTION("GOOGLETRANSLATE($A2829,""en"",""ja"")"),"ヴィサギナス")</f>
        <v>ヴィサギナス</v>
      </c>
      <c r="I2829" s="9" t="str">
        <f>IFERROR(__xludf.DUMMYFUNCTION("GOOGLETRANSLATE($A2829,""en"",""ko"")"),"비사기나스")</f>
        <v>비사기나스</v>
      </c>
      <c r="J2829" s="9" t="str">
        <f>IFERROR(__xludf.DUMMYFUNCTION("GOOGLETRANSLATE($A2829,""en"",""pt-BR"")"),"Visaginas")</f>
        <v>Visaginas</v>
      </c>
    </row>
    <row r="2830">
      <c r="A2830" s="9" t="str">
        <f>IFERROR(__xludf.DUMMYFUNCTION("""COMPUTED_VALUE"""),"Šilalė")</f>
        <v>Šilalė</v>
      </c>
      <c r="B2830" s="9" t="str">
        <f>IFERROR(__xludf.DUMMYFUNCTION("""COMPUTED_VALUE"""),"lt-45")</f>
        <v>lt-45</v>
      </c>
      <c r="C2830" s="9" t="str">
        <f>IFERROR(__xludf.DUMMYFUNCTION("GOOGLETRANSLATE($A2830,""en"",""de"")"),"Silalė")</f>
        <v>Silalė</v>
      </c>
      <c r="D2830" s="9" t="str">
        <f>IFERROR(__xludf.DUMMYFUNCTION("GOOGLETRANSLATE($A2830,""en"",""fr"")"),"Silale")</f>
        <v>Silale</v>
      </c>
      <c r="E2830" s="9" t="str">
        <f>IFERROR(__xludf.DUMMYFUNCTION("GOOGLETRANSLATE($A2830,""en"",""es"")"),"Šilalė")</f>
        <v>Šilalė</v>
      </c>
      <c r="F2830" s="9" t="str">
        <f>IFERROR(__xludf.DUMMYFUNCTION("GOOGLETRANSLATE($A2830,""en"",""it"")"),"Šilalė")</f>
        <v>Šilalė</v>
      </c>
      <c r="G2830" s="9" t="str">
        <f>IFERROR(__xludf.DUMMYFUNCTION("GOOGLETRANSLATE($A2830,""en"",""zh-cn"")"),"西拉雷")</f>
        <v>西拉雷</v>
      </c>
      <c r="H2830" s="9" t="str">
        <f>IFERROR(__xludf.DUMMYFUNCTION("GOOGLETRANSLATE($A2830,""en"",""ja"")"),"シラレ")</f>
        <v>シラレ</v>
      </c>
      <c r="I2830" s="9" t="str">
        <f>IFERROR(__xludf.DUMMYFUNCTION("GOOGLETRANSLATE($A2830,""en"",""ko"")"),"실랄레")</f>
        <v>실랄레</v>
      </c>
      <c r="J2830" s="9" t="str">
        <f>IFERROR(__xludf.DUMMYFUNCTION("GOOGLETRANSLATE($A2830,""en"",""pt-BR"")"),"Šilalė")</f>
        <v>Šilalė</v>
      </c>
    </row>
    <row r="2831">
      <c r="A2831" s="9" t="str">
        <f>IFERROR(__xludf.DUMMYFUNCTION("""COMPUTED_VALUE"""),"Šiaulių miestas")</f>
        <v>Šiaulių miestas</v>
      </c>
      <c r="B2831" s="9" t="str">
        <f>IFERROR(__xludf.DUMMYFUNCTION("""COMPUTED_VALUE"""),"lt-43")</f>
        <v>lt-43</v>
      </c>
      <c r="C2831" s="9" t="str">
        <f>IFERROR(__xludf.DUMMYFUNCTION("GOOGLETRANSLATE($A2831,""en"",""de"")"),"Šiaulių miestas")</f>
        <v>Šiaulių miestas</v>
      </c>
      <c r="D2831" s="9" t="str">
        <f>IFERROR(__xludf.DUMMYFUNCTION("GOOGLETRANSLATE($A2831,""en"",""fr"")"),"Fêtes à Šiaulių")</f>
        <v>Fêtes à Šiaulių</v>
      </c>
      <c r="E2831" s="9" t="str">
        <f>IFERROR(__xludf.DUMMYFUNCTION("GOOGLETRANSLATE($A2831,""en"",""es"")"),"Šiaulių miestas")</f>
        <v>Šiaulių miestas</v>
      </c>
      <c r="F2831" s="9" t="str">
        <f>IFERROR(__xludf.DUMMYFUNCTION("GOOGLETRANSLATE($A2831,""en"",""it"")"),"Šiaulių miestas")</f>
        <v>Šiaulių miestas</v>
      </c>
      <c r="G2831" s="9" t="str">
        <f>IFERROR(__xludf.DUMMYFUNCTION("GOOGLETRANSLATE($A2831,""en"",""zh-cn"")"),"希奥利奇米斯塔斯")</f>
        <v>希奥利奇米斯塔斯</v>
      </c>
      <c r="H2831" s="9" t="str">
        <f>IFERROR(__xludf.DUMMYFUNCTION("GOOGLETRANSLATE($A2831,""en"",""ja"")"),"シャウリウ・ミエスタス")</f>
        <v>シャウリウ・ミエスタス</v>
      </c>
      <c r="I2831" s="9" t="str">
        <f>IFERROR(__xludf.DUMMYFUNCTION("GOOGLETRANSLATE($A2831,""en"",""ko"")"),"샤울리 미에스타스")</f>
        <v>샤울리 미에스타스</v>
      </c>
      <c r="J2831" s="9" t="str">
        <f>IFERROR(__xludf.DUMMYFUNCTION("GOOGLETRANSLATE($A2831,""en"",""pt-BR"")"),"Šiaulių miestas")</f>
        <v>Šiaulių miestas</v>
      </c>
    </row>
    <row r="2832">
      <c r="A2832" s="9" t="str">
        <f>IFERROR(__xludf.DUMMYFUNCTION("""COMPUTED_VALUE"""),"Šiauliai")</f>
        <v>Šiauliai</v>
      </c>
      <c r="B2832" s="9" t="str">
        <f>IFERROR(__xludf.DUMMYFUNCTION("""COMPUTED_VALUE"""),"lt-44")</f>
        <v>lt-44</v>
      </c>
      <c r="C2832" s="9" t="str">
        <f>IFERROR(__xludf.DUMMYFUNCTION("GOOGLETRANSLATE($A2832,""en"",""de"")"),"Šiauliai")</f>
        <v>Šiauliai</v>
      </c>
      <c r="D2832" s="9" t="str">
        <f>IFERROR(__xludf.DUMMYFUNCTION("GOOGLETRANSLATE($A2832,""en"",""fr"")"),"Šiauliai")</f>
        <v>Šiauliai</v>
      </c>
      <c r="E2832" s="9" t="str">
        <f>IFERROR(__xludf.DUMMYFUNCTION("GOOGLETRANSLATE($A2832,""en"",""es"")"),"Šiauliai")</f>
        <v>Šiauliai</v>
      </c>
      <c r="F2832" s="9" t="str">
        <f>IFERROR(__xludf.DUMMYFUNCTION("GOOGLETRANSLATE($A2832,""en"",""it"")"),"Šiauliai")</f>
        <v>Šiauliai</v>
      </c>
      <c r="G2832" s="9" t="str">
        <f>IFERROR(__xludf.DUMMYFUNCTION("GOOGLETRANSLATE($A2832,""en"",""zh-cn"")"),"希奥利艾")</f>
        <v>希奥利艾</v>
      </c>
      <c r="H2832" s="9" t="str">
        <f>IFERROR(__xludf.DUMMYFUNCTION("GOOGLETRANSLATE($A2832,""en"",""ja"")"),"シャウレイ")</f>
        <v>シャウレイ</v>
      </c>
      <c r="I2832" s="9" t="str">
        <f>IFERROR(__xludf.DUMMYFUNCTION("GOOGLETRANSLATE($A2832,""en"",""ko"")"),"샤울리아이")</f>
        <v>샤울리아이</v>
      </c>
      <c r="J2832" s="9" t="str">
        <f>IFERROR(__xludf.DUMMYFUNCTION("GOOGLETRANSLATE($A2832,""en"",""pt-BR"")"),"Šiauliai")</f>
        <v>Šiauliai</v>
      </c>
    </row>
    <row r="2833">
      <c r="A2833" s="9" t="str">
        <f>IFERROR(__xludf.DUMMYFUNCTION("""COMPUTED_VALUE"""),"Šilutė")</f>
        <v>Šilutė</v>
      </c>
      <c r="B2833" s="9" t="str">
        <f>IFERROR(__xludf.DUMMYFUNCTION("""COMPUTED_VALUE"""),"lt-46")</f>
        <v>lt-46</v>
      </c>
      <c r="C2833" s="9" t="str">
        <f>IFERROR(__xludf.DUMMYFUNCTION("GOOGLETRANSLATE($A2833,""en"",""de"")"),"Šilutė")</f>
        <v>Šilutė</v>
      </c>
      <c r="D2833" s="9" t="str">
        <f>IFERROR(__xludf.DUMMYFUNCTION("GOOGLETRANSLATE($A2833,""en"",""fr"")"),"Silutė")</f>
        <v>Silutė</v>
      </c>
      <c r="E2833" s="9" t="str">
        <f>IFERROR(__xludf.DUMMYFUNCTION("GOOGLETRANSLATE($A2833,""en"",""es"")"),"Šilutė")</f>
        <v>Šilutė</v>
      </c>
      <c r="F2833" s="9" t="str">
        <f>IFERROR(__xludf.DUMMYFUNCTION("GOOGLETRANSLATE($A2833,""en"",""it"")"),"Šilutė")</f>
        <v>Šilutė</v>
      </c>
      <c r="G2833" s="9" t="str">
        <f>IFERROR(__xludf.DUMMYFUNCTION("GOOGLETRANSLATE($A2833,""en"",""zh-cn"")"),"斯鲁特")</f>
        <v>斯鲁特</v>
      </c>
      <c r="H2833" s="9" t="str">
        <f>IFERROR(__xludf.DUMMYFUNCTION("GOOGLETRANSLATE($A2833,""en"",""ja"")"),"シルテ")</f>
        <v>シルテ</v>
      </c>
      <c r="I2833" s="9" t="str">
        <f>IFERROR(__xludf.DUMMYFUNCTION("GOOGLETRANSLATE($A2833,""en"",""ko"")"),"실루테")</f>
        <v>실루테</v>
      </c>
      <c r="J2833" s="9" t="str">
        <f>IFERROR(__xludf.DUMMYFUNCTION("GOOGLETRANSLATE($A2833,""en"",""pt-BR"")"),"Šilutė")</f>
        <v>Šilutė</v>
      </c>
    </row>
    <row r="2834">
      <c r="A2834" s="9" t="str">
        <f>IFERROR(__xludf.DUMMYFUNCTION("""COMPUTED_VALUE"""),"Švenčionys")</f>
        <v>Švenčionys</v>
      </c>
      <c r="B2834" s="9" t="str">
        <f>IFERROR(__xludf.DUMMYFUNCTION("""COMPUTED_VALUE"""),"lt-49")</f>
        <v>lt-49</v>
      </c>
      <c r="C2834" s="9" t="str">
        <f>IFERROR(__xludf.DUMMYFUNCTION("GOOGLETRANSLATE($A2834,""en"",""de"")"),"Švenčionys")</f>
        <v>Švenčionys</v>
      </c>
      <c r="D2834" s="9" t="str">
        <f>IFERROR(__xludf.DUMMYFUNCTION("GOOGLETRANSLATE($A2834,""en"",""fr"")"),"Švenčionys")</f>
        <v>Švenčionys</v>
      </c>
      <c r="E2834" s="9" t="str">
        <f>IFERROR(__xludf.DUMMYFUNCTION("GOOGLETRANSLATE($A2834,""en"",""es"")"),"Švenčionys")</f>
        <v>Švenčionys</v>
      </c>
      <c r="F2834" s="9" t="str">
        <f>IFERROR(__xludf.DUMMYFUNCTION("GOOGLETRANSLATE($A2834,""en"",""it"")"),"Švenčionys")</f>
        <v>Švenčionys</v>
      </c>
      <c r="G2834" s="9" t="str">
        <f>IFERROR(__xludf.DUMMYFUNCTION("GOOGLETRANSLATE($A2834,""en"",""zh-cn"")"),"斯文奇奥尼斯")</f>
        <v>斯文奇奥尼斯</v>
      </c>
      <c r="H2834" s="9" t="str">
        <f>IFERROR(__xludf.DUMMYFUNCTION("GOOGLETRANSLATE($A2834,""en"",""ja"")"),"シュベンチオニス")</f>
        <v>シュベンチオニス</v>
      </c>
      <c r="I2834" s="9" t="str">
        <f>IFERROR(__xludf.DUMMYFUNCTION("GOOGLETRANSLATE($A2834,""en"",""ko"")"),"스벤치오니스")</f>
        <v>스벤치오니스</v>
      </c>
      <c r="J2834" s="9" t="str">
        <f>IFERROR(__xludf.DUMMYFUNCTION("GOOGLETRANSLATE($A2834,""en"",""pt-BR"")"),"Švenčionys")</f>
        <v>Švenčionys</v>
      </c>
    </row>
    <row r="2835">
      <c r="A2835" s="9" t="str">
        <f>IFERROR(__xludf.DUMMYFUNCTION("""COMPUTED_VALUE"""),"Širvintos")</f>
        <v>Širvintos</v>
      </c>
      <c r="B2835" s="9" t="str">
        <f>IFERROR(__xludf.DUMMYFUNCTION("""COMPUTED_VALUE"""),"lt-47")</f>
        <v>lt-47</v>
      </c>
      <c r="C2835" s="9" t="str">
        <f>IFERROR(__xludf.DUMMYFUNCTION("GOOGLETRANSLATE($A2835,""en"",""de"")"),"Sirvintos")</f>
        <v>Sirvintos</v>
      </c>
      <c r="D2835" s="9" t="str">
        <f>IFERROR(__xludf.DUMMYFUNCTION("GOOGLETRANSLATE($A2835,""en"",""fr"")"),"Sirvintos")</f>
        <v>Sirvintos</v>
      </c>
      <c r="E2835" s="9" t="str">
        <f>IFERROR(__xludf.DUMMYFUNCTION("GOOGLETRANSLATE($A2835,""en"",""es"")"),"Širvintos")</f>
        <v>Širvintos</v>
      </c>
      <c r="F2835" s="9" t="str">
        <f>IFERROR(__xludf.DUMMYFUNCTION("GOOGLETRANSLATE($A2835,""en"",""it"")"),"Širvintos")</f>
        <v>Širvintos</v>
      </c>
      <c r="G2835" s="9" t="str">
        <f>IFERROR(__xludf.DUMMYFUNCTION("GOOGLETRANSLATE($A2835,""en"",""zh-cn"")"),"希尔文托斯")</f>
        <v>希尔文托斯</v>
      </c>
      <c r="H2835" s="9" t="str">
        <f>IFERROR(__xludf.DUMMYFUNCTION("GOOGLETRANSLATE($A2835,""en"",""ja"")"),"シルビントス")</f>
        <v>シルビントス</v>
      </c>
      <c r="I2835" s="9" t="str">
        <f>IFERROR(__xludf.DUMMYFUNCTION("GOOGLETRANSLATE($A2835,""en"",""ko"")"),"시르빈토스")</f>
        <v>시르빈토스</v>
      </c>
      <c r="J2835" s="9" t="str">
        <f>IFERROR(__xludf.DUMMYFUNCTION("GOOGLETRANSLATE($A2835,""en"",""pt-BR"")"),"Širvintos")</f>
        <v>Širvintos</v>
      </c>
    </row>
    <row r="2836">
      <c r="A2836" s="9" t="str">
        <f>IFERROR(__xludf.DUMMYFUNCTION("""COMPUTED_VALUE"""),"Skuodas")</f>
        <v>Skuodas</v>
      </c>
      <c r="B2836" s="9" t="str">
        <f>IFERROR(__xludf.DUMMYFUNCTION("""COMPUTED_VALUE"""),"lt-48")</f>
        <v>lt-48</v>
      </c>
      <c r="C2836" s="9" t="str">
        <f>IFERROR(__xludf.DUMMYFUNCTION("GOOGLETRANSLATE($A2836,""en"",""de"")"),"Skuodas")</f>
        <v>Skuodas</v>
      </c>
      <c r="D2836" s="9" t="str">
        <f>IFERROR(__xludf.DUMMYFUNCTION("GOOGLETRANSLATE($A2836,""en"",""fr"")"),"Skudos")</f>
        <v>Skudos</v>
      </c>
      <c r="E2836" s="9" t="str">
        <f>IFERROR(__xludf.DUMMYFUNCTION("GOOGLETRANSLATE($A2836,""en"",""es"")"),"Skuodas")</f>
        <v>Skuodas</v>
      </c>
      <c r="F2836" s="9" t="str">
        <f>IFERROR(__xludf.DUMMYFUNCTION("GOOGLETRANSLATE($A2836,""en"",""it"")"),"Skuoda")</f>
        <v>Skuoda</v>
      </c>
      <c r="G2836" s="9" t="str">
        <f>IFERROR(__xludf.DUMMYFUNCTION("GOOGLETRANSLATE($A2836,""en"",""zh-cn"")"),"斯库奥达斯")</f>
        <v>斯库奥达斯</v>
      </c>
      <c r="H2836" s="9" t="str">
        <f>IFERROR(__xludf.DUMMYFUNCTION("GOOGLETRANSLATE($A2836,""en"",""ja"")"),"スクオーダス")</f>
        <v>スクオーダス</v>
      </c>
      <c r="I2836" s="9" t="str">
        <f>IFERROR(__xludf.DUMMYFUNCTION("GOOGLETRANSLATE($A2836,""en"",""ko"")"),"스쿠오다스")</f>
        <v>스쿠오다스</v>
      </c>
      <c r="J2836" s="9" t="str">
        <f>IFERROR(__xludf.DUMMYFUNCTION("GOOGLETRANSLATE($A2836,""en"",""pt-BR"")"),"Skuodas")</f>
        <v>Skuodas</v>
      </c>
    </row>
    <row r="2837">
      <c r="A2837" s="9" t="str">
        <f>IFERROR(__xludf.DUMMYFUNCTION("""COMPUTED_VALUE"""),"Trakai")</f>
        <v>Trakai</v>
      </c>
      <c r="B2837" s="9" t="str">
        <f>IFERROR(__xludf.DUMMYFUNCTION("""COMPUTED_VALUE"""),"lt-52")</f>
        <v>lt-52</v>
      </c>
      <c r="C2837" s="9" t="str">
        <f>IFERROR(__xludf.DUMMYFUNCTION("GOOGLETRANSLATE($A2837,""en"",""de"")"),"Trakai")</f>
        <v>Trakai</v>
      </c>
      <c r="D2837" s="9" t="str">
        <f>IFERROR(__xludf.DUMMYFUNCTION("GOOGLETRANSLATE($A2837,""en"",""fr"")"),"Trakaï")</f>
        <v>Trakaï</v>
      </c>
      <c r="E2837" s="9" t="str">
        <f>IFERROR(__xludf.DUMMYFUNCTION("GOOGLETRANSLATE($A2837,""en"",""es"")"),"Trakai")</f>
        <v>Trakai</v>
      </c>
      <c r="F2837" s="9" t="str">
        <f>IFERROR(__xludf.DUMMYFUNCTION("GOOGLETRANSLATE($A2837,""en"",""it"")"),"Trakai")</f>
        <v>Trakai</v>
      </c>
      <c r="G2837" s="9" t="str">
        <f>IFERROR(__xludf.DUMMYFUNCTION("GOOGLETRANSLATE($A2837,""en"",""zh-cn"")"),"特拉凯")</f>
        <v>特拉凯</v>
      </c>
      <c r="H2837" s="9" t="str">
        <f>IFERROR(__xludf.DUMMYFUNCTION("GOOGLETRANSLATE($A2837,""en"",""ja"")"),"トラカイ")</f>
        <v>トラカイ</v>
      </c>
      <c r="I2837" s="9" t="str">
        <f>IFERROR(__xludf.DUMMYFUNCTION("GOOGLETRANSLATE($A2837,""en"",""ko"")"),"트라카이")</f>
        <v>트라카이</v>
      </c>
      <c r="J2837" s="9" t="str">
        <f>IFERROR(__xludf.DUMMYFUNCTION("GOOGLETRANSLATE($A2837,""en"",""pt-BR"")"),"Trakai")</f>
        <v>Trakai</v>
      </c>
    </row>
    <row r="2838">
      <c r="A2838" s="9" t="str">
        <f>IFERROR(__xludf.DUMMYFUNCTION("""COMPUTED_VALUE"""),"Tauragė")</f>
        <v>Tauragė</v>
      </c>
      <c r="B2838" s="9" t="str">
        <f>IFERROR(__xludf.DUMMYFUNCTION("""COMPUTED_VALUE"""),"lt-50")</f>
        <v>lt-50</v>
      </c>
      <c r="C2838" s="9" t="str">
        <f>IFERROR(__xludf.DUMMYFUNCTION("GOOGLETRANSLATE($A2838,""en"",""de"")"),"Tauragė")</f>
        <v>Tauragė</v>
      </c>
      <c r="D2838" s="9" t="str">
        <f>IFERROR(__xludf.DUMMYFUNCTION("GOOGLETRANSLATE($A2838,""en"",""fr"")"),"Tauragé")</f>
        <v>Tauragé</v>
      </c>
      <c r="E2838" s="9" t="str">
        <f>IFERROR(__xludf.DUMMYFUNCTION("GOOGLETRANSLATE($A2838,""en"",""es"")"),"Tauragė")</f>
        <v>Tauragė</v>
      </c>
      <c r="F2838" s="9" t="str">
        <f>IFERROR(__xludf.DUMMYFUNCTION("GOOGLETRANSLATE($A2838,""en"",""it"")"),"Tauragė")</f>
        <v>Tauragė</v>
      </c>
      <c r="G2838" s="9" t="str">
        <f>IFERROR(__xludf.DUMMYFUNCTION("GOOGLETRANSLATE($A2838,""en"",""zh-cn"")"),"陶拉格")</f>
        <v>陶拉格</v>
      </c>
      <c r="H2838" s="9" t="str">
        <f>IFERROR(__xludf.DUMMYFUNCTION("GOOGLETRANSLATE($A2838,""en"",""ja"")"),"タウラゲ")</f>
        <v>タウラゲ</v>
      </c>
      <c r="I2838" s="9" t="str">
        <f>IFERROR(__xludf.DUMMYFUNCTION("GOOGLETRANSLATE($A2838,""en"",""ko"")"),"타우라게")</f>
        <v>타우라게</v>
      </c>
      <c r="J2838" s="9" t="str">
        <f>IFERROR(__xludf.DUMMYFUNCTION("GOOGLETRANSLATE($A2838,""en"",""pt-BR"")"),"Tauragė")</f>
        <v>Tauragė</v>
      </c>
    </row>
    <row r="2839">
      <c r="A2839" s="9" t="str">
        <f>IFERROR(__xludf.DUMMYFUNCTION("""COMPUTED_VALUE"""),"Telšiai")</f>
        <v>Telšiai</v>
      </c>
      <c r="B2839" s="9" t="str">
        <f>IFERROR(__xludf.DUMMYFUNCTION("""COMPUTED_VALUE"""),"lt-51")</f>
        <v>lt-51</v>
      </c>
      <c r="C2839" s="9" t="str">
        <f>IFERROR(__xludf.DUMMYFUNCTION("GOOGLETRANSLATE($A2839,""en"",""de"")"),"Telšiai")</f>
        <v>Telšiai</v>
      </c>
      <c r="D2839" s="9" t="str">
        <f>IFERROR(__xludf.DUMMYFUNCTION("GOOGLETRANSLATE($A2839,""en"",""fr"")"),"Telšiai")</f>
        <v>Telšiai</v>
      </c>
      <c r="E2839" s="9" t="str">
        <f>IFERROR(__xludf.DUMMYFUNCTION("GOOGLETRANSLATE($A2839,""en"",""es"")"),"Telšiai")</f>
        <v>Telšiai</v>
      </c>
      <c r="F2839" s="9" t="str">
        <f>IFERROR(__xludf.DUMMYFUNCTION("GOOGLETRANSLATE($A2839,""en"",""it"")"),"Telšiai")</f>
        <v>Telšiai</v>
      </c>
      <c r="G2839" s="9" t="str">
        <f>IFERROR(__xludf.DUMMYFUNCTION("GOOGLETRANSLATE($A2839,""en"",""zh-cn"")"),"特尔希艾")</f>
        <v>特尔希艾</v>
      </c>
      <c r="H2839" s="9" t="str">
        <f>IFERROR(__xludf.DUMMYFUNCTION("GOOGLETRANSLATE($A2839,""en"",""ja"")"),"テルシャイ")</f>
        <v>テルシャイ</v>
      </c>
      <c r="I2839" s="9" t="str">
        <f>IFERROR(__xludf.DUMMYFUNCTION("GOOGLETRANSLATE($A2839,""en"",""ko"")"),"텔샤이")</f>
        <v>텔샤이</v>
      </c>
      <c r="J2839" s="9" t="str">
        <f>IFERROR(__xludf.DUMMYFUNCTION("GOOGLETRANSLATE($A2839,""en"",""pt-BR"")"),"Telšiai")</f>
        <v>Telšiai</v>
      </c>
    </row>
    <row r="2840">
      <c r="A2840" s="9" t="str">
        <f>IFERROR(__xludf.DUMMYFUNCTION("""COMPUTED_VALUE"""),"Kaunas County")</f>
        <v>Kaunas County</v>
      </c>
      <c r="B2840" s="9" t="str">
        <f>IFERROR(__xludf.DUMMYFUNCTION("""COMPUTED_VALUE"""),"lt-ku")</f>
        <v>lt-ku</v>
      </c>
      <c r="C2840" s="9" t="str">
        <f>IFERROR(__xludf.DUMMYFUNCTION("GOOGLETRANSLATE($A2840,""en"",""de"")"),"Kreis Kaunas")</f>
        <v>Kreis Kaunas</v>
      </c>
      <c r="D2840" s="9" t="str">
        <f>IFERROR(__xludf.DUMMYFUNCTION("GOOGLETRANSLATE($A2840,""en"",""fr"")"),"Comté de Kaunas")</f>
        <v>Comté de Kaunas</v>
      </c>
      <c r="E2840" s="9" t="str">
        <f>IFERROR(__xludf.DUMMYFUNCTION("GOOGLETRANSLATE($A2840,""en"",""es"")"),"Condado de Kaunas")</f>
        <v>Condado de Kaunas</v>
      </c>
      <c r="F2840" s="9" t="str">
        <f>IFERROR(__xludf.DUMMYFUNCTION("GOOGLETRANSLATE($A2840,""en"",""it"")"),"Contea di Kaunas")</f>
        <v>Contea di Kaunas</v>
      </c>
      <c r="G2840" s="9" t="str">
        <f>IFERROR(__xludf.DUMMYFUNCTION("GOOGLETRANSLATE($A2840,""en"",""zh-cn"")"),"考纳斯县")</f>
        <v>考纳斯县</v>
      </c>
      <c r="H2840" s="9" t="str">
        <f>IFERROR(__xludf.DUMMYFUNCTION("GOOGLETRANSLATE($A2840,""en"",""ja"")"),"カウナス郡")</f>
        <v>カウナス郡</v>
      </c>
      <c r="I2840" s="9" t="str">
        <f>IFERROR(__xludf.DUMMYFUNCTION("GOOGLETRANSLATE($A2840,""en"",""ko"")"),"카우나스 카운티")</f>
        <v>카우나스 카운티</v>
      </c>
      <c r="J2840" s="9" t="str">
        <f>IFERROR(__xludf.DUMMYFUNCTION("GOOGLETRANSLATE($A2840,""en"",""pt-BR"")"),"Condado de Kaunas")</f>
        <v>Condado de Kaunas</v>
      </c>
    </row>
    <row r="2841">
      <c r="A2841" s="9" t="str">
        <f>IFERROR(__xludf.DUMMYFUNCTION("""COMPUTED_VALUE"""),"Telšiai County")</f>
        <v>Telšiai County</v>
      </c>
      <c r="B2841" s="9" t="str">
        <f>IFERROR(__xludf.DUMMYFUNCTION("""COMPUTED_VALUE"""),"lt-te")</f>
        <v>lt-te</v>
      </c>
      <c r="C2841" s="9" t="str">
        <f>IFERROR(__xludf.DUMMYFUNCTION("GOOGLETRANSLATE($A2841,""en"",""de"")"),"Kreis Telšiai")</f>
        <v>Kreis Telšiai</v>
      </c>
      <c r="D2841" s="9" t="str">
        <f>IFERROR(__xludf.DUMMYFUNCTION("GOOGLETRANSLATE($A2841,""en"",""fr"")"),"Comté de Telšiai")</f>
        <v>Comté de Telšiai</v>
      </c>
      <c r="E2841" s="9" t="str">
        <f>IFERROR(__xludf.DUMMYFUNCTION("GOOGLETRANSLATE($A2841,""en"",""es"")"),"Condado de Telšiai")</f>
        <v>Condado de Telšiai</v>
      </c>
      <c r="F2841" s="9" t="str">
        <f>IFERROR(__xludf.DUMMYFUNCTION("GOOGLETRANSLATE($A2841,""en"",""it"")"),"Contea di Telšiai")</f>
        <v>Contea di Telšiai</v>
      </c>
      <c r="G2841" s="9" t="str">
        <f>IFERROR(__xludf.DUMMYFUNCTION("GOOGLETRANSLATE($A2841,""en"",""zh-cn"")"),"特尔希艾县")</f>
        <v>特尔希艾县</v>
      </c>
      <c r="H2841" s="9" t="str">
        <f>IFERROR(__xludf.DUMMYFUNCTION("GOOGLETRANSLATE($A2841,""en"",""ja"")"),"テルシャイ県")</f>
        <v>テルシャイ県</v>
      </c>
      <c r="I2841" s="9" t="str">
        <f>IFERROR(__xludf.DUMMYFUNCTION("GOOGLETRANSLATE($A2841,""en"",""ko"")"),"텔샤이 카운티")</f>
        <v>텔샤이 카운티</v>
      </c>
      <c r="J2841" s="9" t="str">
        <f>IFERROR(__xludf.DUMMYFUNCTION("GOOGLETRANSLATE($A2841,""en"",""pt-BR"")"),"Condado de Telsiai")</f>
        <v>Condado de Telsiai</v>
      </c>
    </row>
    <row r="2842">
      <c r="A2842" s="9" t="str">
        <f>IFERROR(__xludf.DUMMYFUNCTION("""COMPUTED_VALUE"""),"Tauragė County")</f>
        <v>Tauragė County</v>
      </c>
      <c r="B2842" s="9" t="str">
        <f>IFERROR(__xludf.DUMMYFUNCTION("""COMPUTED_VALUE"""),"lt-ta")</f>
        <v>lt-ta</v>
      </c>
      <c r="C2842" s="9" t="str">
        <f>IFERROR(__xludf.DUMMYFUNCTION("GOOGLETRANSLATE($A2842,""en"",""de"")"),"Kreis Tauragė")</f>
        <v>Kreis Tauragė</v>
      </c>
      <c r="D2842" s="9" t="str">
        <f>IFERROR(__xludf.DUMMYFUNCTION("GOOGLETRANSLATE($A2842,""en"",""fr"")"),"Comté de Tauragė")</f>
        <v>Comté de Tauragė</v>
      </c>
      <c r="E2842" s="9" t="str">
        <f>IFERROR(__xludf.DUMMYFUNCTION("GOOGLETRANSLATE($A2842,""en"",""es"")"),"Condado de Tauragė")</f>
        <v>Condado de Tauragė</v>
      </c>
      <c r="F2842" s="9" t="str">
        <f>IFERROR(__xludf.DUMMYFUNCTION("GOOGLETRANSLATE($A2842,""en"",""it"")"),"Contea di Tauragė")</f>
        <v>Contea di Tauragė</v>
      </c>
      <c r="G2842" s="9" t="str">
        <f>IFERROR(__xludf.DUMMYFUNCTION("GOOGLETRANSLATE($A2842,""en"",""zh-cn"")"),"陶拉吉县")</f>
        <v>陶拉吉县</v>
      </c>
      <c r="H2842" s="9" t="str">
        <f>IFERROR(__xludf.DUMMYFUNCTION("GOOGLETRANSLATE($A2842,""en"",""ja"")"),"タウラゲ県")</f>
        <v>タウラゲ県</v>
      </c>
      <c r="I2842" s="9" t="str">
        <f>IFERROR(__xludf.DUMMYFUNCTION("GOOGLETRANSLATE($A2842,""en"",""ko"")"),"타우라게 카운티")</f>
        <v>타우라게 카운티</v>
      </c>
      <c r="J2842" s="9" t="str">
        <f>IFERROR(__xludf.DUMMYFUNCTION("GOOGLETRANSLATE($A2842,""en"",""pt-BR"")"),"Condado de Tauragė")</f>
        <v>Condado de Tauragė</v>
      </c>
    </row>
    <row r="2843">
      <c r="A2843" s="9" t="str">
        <f>IFERROR(__xludf.DUMMYFUNCTION("""COMPUTED_VALUE"""),"Grevenmacher")</f>
        <v>Grevenmacher</v>
      </c>
      <c r="B2843" s="9" t="str">
        <f>IFERROR(__xludf.DUMMYFUNCTION("""COMPUTED_VALUE"""),"lu-g")</f>
        <v>lu-g</v>
      </c>
      <c r="C2843" s="9" t="str">
        <f>IFERROR(__xludf.DUMMYFUNCTION("GOOGLETRANSLATE($A2843,""en"",""de"")"),"Grevenmacher")</f>
        <v>Grevenmacher</v>
      </c>
      <c r="D2843" s="9" t="str">
        <f>IFERROR(__xludf.DUMMYFUNCTION("GOOGLETRANSLATE($A2843,""en"",""fr"")"),"Grevenmacher")</f>
        <v>Grevenmacher</v>
      </c>
      <c r="E2843" s="9" t="str">
        <f>IFERROR(__xludf.DUMMYFUNCTION("GOOGLETRANSLATE($A2843,""en"",""es"")"),"Grevenmacher")</f>
        <v>Grevenmacher</v>
      </c>
      <c r="F2843" s="9" t="str">
        <f>IFERROR(__xludf.DUMMYFUNCTION("GOOGLETRANSLATE($A2843,""en"",""it"")"),"Grevenmacher")</f>
        <v>Grevenmacher</v>
      </c>
      <c r="G2843" s="9" t="str">
        <f>IFERROR(__xludf.DUMMYFUNCTION("GOOGLETRANSLATE($A2843,""en"",""zh-cn"")"),"格雷文马赫")</f>
        <v>格雷文马赫</v>
      </c>
      <c r="H2843" s="9" t="str">
        <f>IFERROR(__xludf.DUMMYFUNCTION("GOOGLETRANSLATE($A2843,""en"",""ja"")"),"グレーヴェンマハ")</f>
        <v>グレーヴェンマハ</v>
      </c>
      <c r="I2843" s="9" t="str">
        <f>IFERROR(__xludf.DUMMYFUNCTION("GOOGLETRANSLATE($A2843,""en"",""ko"")"),"그레벤마허")</f>
        <v>그레벤마허</v>
      </c>
      <c r="J2843" s="9" t="str">
        <f>IFERROR(__xludf.DUMMYFUNCTION("GOOGLETRANSLATE($A2843,""en"",""pt-BR"")"),"Grevenmacher")</f>
        <v>Grevenmacher</v>
      </c>
    </row>
    <row r="2844">
      <c r="A2844" s="9" t="str">
        <f>IFERROR(__xludf.DUMMYFUNCTION("""COMPUTED_VALUE"""),"Luxembourg")</f>
        <v>Luxembourg</v>
      </c>
      <c r="B2844" s="9" t="str">
        <f>IFERROR(__xludf.DUMMYFUNCTION("""COMPUTED_VALUE"""),"lu-l")</f>
        <v>lu-l</v>
      </c>
      <c r="C2844" s="9" t="str">
        <f>IFERROR(__xludf.DUMMYFUNCTION("GOOGLETRANSLATE($A2844,""en"",""de"")"),"Luxemburg")</f>
        <v>Luxemburg</v>
      </c>
      <c r="D2844" s="9" t="str">
        <f>IFERROR(__xludf.DUMMYFUNCTION("GOOGLETRANSLATE($A2844,""en"",""fr"")"),"Luxembourg")</f>
        <v>Luxembourg</v>
      </c>
      <c r="E2844" s="9" t="str">
        <f>IFERROR(__xludf.DUMMYFUNCTION("GOOGLETRANSLATE($A2844,""en"",""es"")"),"Luxemburgo")</f>
        <v>Luxemburgo</v>
      </c>
      <c r="F2844" s="9" t="str">
        <f>IFERROR(__xludf.DUMMYFUNCTION("GOOGLETRANSLATE($A2844,""en"",""it"")"),"Lussemburgo")</f>
        <v>Lussemburgo</v>
      </c>
      <c r="G2844" s="9" t="str">
        <f>IFERROR(__xludf.DUMMYFUNCTION("GOOGLETRANSLATE($A2844,""en"",""zh-cn"")"),"卢森堡")</f>
        <v>卢森堡</v>
      </c>
      <c r="H2844" s="9" t="str">
        <f>IFERROR(__xludf.DUMMYFUNCTION("GOOGLETRANSLATE($A2844,""en"",""ja"")"),"ルクセンブルク")</f>
        <v>ルクセンブルク</v>
      </c>
      <c r="I2844" s="9" t="str">
        <f>IFERROR(__xludf.DUMMYFUNCTION("GOOGLETRANSLATE($A2844,""en"",""ko"")"),"룩셈부르크")</f>
        <v>룩셈부르크</v>
      </c>
      <c r="J2844" s="9" t="str">
        <f>IFERROR(__xludf.DUMMYFUNCTION("GOOGLETRANSLATE($A2844,""en"",""pt-BR"")"),"Luxemburgo")</f>
        <v>Luxemburgo</v>
      </c>
    </row>
    <row r="2845">
      <c r="A2845" s="9" t="str">
        <f>IFERROR(__xludf.DUMMYFUNCTION("""COMPUTED_VALUE"""),"Diekirch")</f>
        <v>Diekirch</v>
      </c>
      <c r="B2845" s="9" t="str">
        <f>IFERROR(__xludf.DUMMYFUNCTION("""COMPUTED_VALUE"""),"lu-d")</f>
        <v>lu-d</v>
      </c>
      <c r="C2845" s="9" t="str">
        <f>IFERROR(__xludf.DUMMYFUNCTION("GOOGLETRANSLATE($A2845,""en"",""de"")"),"Diekirch")</f>
        <v>Diekirch</v>
      </c>
      <c r="D2845" s="9" t="str">
        <f>IFERROR(__xludf.DUMMYFUNCTION("GOOGLETRANSLATE($A2845,""en"",""fr"")"),"Diekirch")</f>
        <v>Diekirch</v>
      </c>
      <c r="E2845" s="9" t="str">
        <f>IFERROR(__xludf.DUMMYFUNCTION("GOOGLETRANSLATE($A2845,""en"",""es"")"),"Diekirch")</f>
        <v>Diekirch</v>
      </c>
      <c r="F2845" s="9" t="str">
        <f>IFERROR(__xludf.DUMMYFUNCTION("GOOGLETRANSLATE($A2845,""en"",""it"")"),"Diekirch")</f>
        <v>Diekirch</v>
      </c>
      <c r="G2845" s="9" t="str">
        <f>IFERROR(__xludf.DUMMYFUNCTION("GOOGLETRANSLATE($A2845,""en"",""zh-cn"")"),"迪基希")</f>
        <v>迪基希</v>
      </c>
      <c r="H2845" s="9" t="str">
        <f>IFERROR(__xludf.DUMMYFUNCTION("GOOGLETRANSLATE($A2845,""en"",""ja"")"),"ディーキルヒ")</f>
        <v>ディーキルヒ</v>
      </c>
      <c r="I2845" s="9" t="str">
        <f>IFERROR(__xludf.DUMMYFUNCTION("GOOGLETRANSLATE($A2845,""en"",""ko"")"),"디키르히")</f>
        <v>디키르히</v>
      </c>
      <c r="J2845" s="9" t="str">
        <f>IFERROR(__xludf.DUMMYFUNCTION("GOOGLETRANSLATE($A2845,""en"",""pt-BR"")"),"Diekirch")</f>
        <v>Diekirch</v>
      </c>
    </row>
    <row r="2846">
      <c r="A2846" s="9" t="str">
        <f>IFERROR(__xludf.DUMMYFUNCTION("""COMPUTED_VALUE"""),"Coloane")</f>
        <v>Coloane</v>
      </c>
      <c r="B2846" s="9" t="str">
        <f>IFERROR(__xludf.DUMMYFUNCTION("""COMPUTED_VALUE"""),"mo-ci")</f>
        <v>mo-ci</v>
      </c>
      <c r="C2846" s="9" t="str">
        <f>IFERROR(__xludf.DUMMYFUNCTION("GOOGLETRANSLATE($A2846,""en"",""de"")"),"Coloane")</f>
        <v>Coloane</v>
      </c>
      <c r="D2846" s="9" t="str">
        <f>IFERROR(__xludf.DUMMYFUNCTION("GOOGLETRANSLATE($A2846,""en"",""fr"")"),"Coloane")</f>
        <v>Coloane</v>
      </c>
      <c r="E2846" s="9" t="str">
        <f>IFERROR(__xludf.DUMMYFUNCTION("GOOGLETRANSLATE($A2846,""en"",""es"")"),"Coloane")</f>
        <v>Coloane</v>
      </c>
      <c r="F2846" s="9" t="str">
        <f>IFERROR(__xludf.DUMMYFUNCTION("GOOGLETRANSLATE($A2846,""en"",""it"")"),"Coloane")</f>
        <v>Coloane</v>
      </c>
      <c r="G2846" s="9" t="str">
        <f>IFERROR(__xludf.DUMMYFUNCTION("GOOGLETRANSLATE($A2846,""en"",""zh-cn"")"),"路环")</f>
        <v>路环</v>
      </c>
      <c r="H2846" s="9" t="str">
        <f>IFERROR(__xludf.DUMMYFUNCTION("GOOGLETRANSLATE($A2846,""en"",""ja"")"),"コロアン")</f>
        <v>コロアン</v>
      </c>
      <c r="I2846" s="9" t="str">
        <f>IFERROR(__xludf.DUMMYFUNCTION("GOOGLETRANSLATE($A2846,""en"",""ko"")"),"콜로안")</f>
        <v>콜로안</v>
      </c>
      <c r="J2846" s="9" t="str">
        <f>IFERROR(__xludf.DUMMYFUNCTION("GOOGLETRANSLATE($A2846,""en"",""pt-BR"")"),"Coloane")</f>
        <v>Coloane</v>
      </c>
    </row>
    <row r="2847">
      <c r="A2847" s="9" t="str">
        <f>IFERROR(__xludf.DUMMYFUNCTION("""COMPUTED_VALUE"""),"Taipa")</f>
        <v>Taipa</v>
      </c>
      <c r="B2847" s="9" t="str">
        <f>IFERROR(__xludf.DUMMYFUNCTION("""COMPUTED_VALUE"""),"mo-tp")</f>
        <v>mo-tp</v>
      </c>
      <c r="C2847" s="9" t="str">
        <f>IFERROR(__xludf.DUMMYFUNCTION("GOOGLETRANSLATE($A2847,""en"",""de"")"),"Taipa")</f>
        <v>Taipa</v>
      </c>
      <c r="D2847" s="9" t="str">
        <f>IFERROR(__xludf.DUMMYFUNCTION("GOOGLETRANSLATE($A2847,""en"",""fr"")"),"Taïpa")</f>
        <v>Taïpa</v>
      </c>
      <c r="E2847" s="9" t="str">
        <f>IFERROR(__xludf.DUMMYFUNCTION("GOOGLETRANSLATE($A2847,""en"",""es"")"),"taipá")</f>
        <v>taipá</v>
      </c>
      <c r="F2847" s="9" t="str">
        <f>IFERROR(__xludf.DUMMYFUNCTION("GOOGLETRANSLATE($A2847,""en"",""it"")"),"Taipa")</f>
        <v>Taipa</v>
      </c>
      <c r="G2847" s="9" t="str">
        <f>IFERROR(__xludf.DUMMYFUNCTION("GOOGLETRANSLATE($A2847,""en"",""zh-cn"")"),"凼仔")</f>
        <v>凼仔</v>
      </c>
      <c r="H2847" s="9" t="str">
        <f>IFERROR(__xludf.DUMMYFUNCTION("GOOGLETRANSLATE($A2847,""en"",""ja"")"),"タイパ")</f>
        <v>タイパ</v>
      </c>
      <c r="I2847" s="9" t="str">
        <f>IFERROR(__xludf.DUMMYFUNCTION("GOOGLETRANSLATE($A2847,""en"",""ko"")"),"타이파")</f>
        <v>타이파</v>
      </c>
      <c r="J2847" s="9" t="str">
        <f>IFERROR(__xludf.DUMMYFUNCTION("GOOGLETRANSLATE($A2847,""en"",""pt-BR"")"),"Taipa")</f>
        <v>Taipa</v>
      </c>
    </row>
    <row r="2848">
      <c r="A2848" s="9" t="str">
        <f>IFERROR(__xludf.DUMMYFUNCTION("""COMPUTED_VALUE"""),"Macao Peninsula")</f>
        <v>Macao Peninsula</v>
      </c>
      <c r="B2848" s="9" t="str">
        <f>IFERROR(__xludf.DUMMYFUNCTION("""COMPUTED_VALUE"""),"mo-mo")</f>
        <v>mo-mo</v>
      </c>
      <c r="C2848" s="9" t="str">
        <f>IFERROR(__xludf.DUMMYFUNCTION("GOOGLETRANSLATE($A2848,""en"",""de"")"),"Macao-Halbinsel")</f>
        <v>Macao-Halbinsel</v>
      </c>
      <c r="D2848" s="9" t="str">
        <f>IFERROR(__xludf.DUMMYFUNCTION("GOOGLETRANSLATE($A2848,""en"",""fr"")"),"Péninsule de Macao")</f>
        <v>Péninsule de Macao</v>
      </c>
      <c r="E2848" s="9" t="str">
        <f>IFERROR(__xludf.DUMMYFUNCTION("GOOGLETRANSLATE($A2848,""en"",""es"")"),"Península de Macao")</f>
        <v>Península de Macao</v>
      </c>
      <c r="F2848" s="9" t="str">
        <f>IFERROR(__xludf.DUMMYFUNCTION("GOOGLETRANSLATE($A2848,""en"",""it"")"),"Penisola di Macao")</f>
        <v>Penisola di Macao</v>
      </c>
      <c r="G2848" s="9" t="str">
        <f>IFERROR(__xludf.DUMMYFUNCTION("GOOGLETRANSLATE($A2848,""en"",""zh-cn"")"),"澳门半岛")</f>
        <v>澳门半岛</v>
      </c>
      <c r="H2848" s="9" t="str">
        <f>IFERROR(__xludf.DUMMYFUNCTION("GOOGLETRANSLATE($A2848,""en"",""ja"")"),"マカオ半島")</f>
        <v>マカオ半島</v>
      </c>
      <c r="I2848" s="9" t="str">
        <f>IFERROR(__xludf.DUMMYFUNCTION("GOOGLETRANSLATE($A2848,""en"",""ko"")"),"마카오 반도")</f>
        <v>마카오 반도</v>
      </c>
      <c r="J2848" s="9" t="str">
        <f>IFERROR(__xludf.DUMMYFUNCTION("GOOGLETRANSLATE($A2848,""en"",""pt-BR"")"),"Península de Macau")</f>
        <v>Península de Macau</v>
      </c>
    </row>
    <row r="2849">
      <c r="A2849" s="9" t="str">
        <f>IFERROR(__xludf.DUMMYFUNCTION("""COMPUTED_VALUE"""),"Toamasina")</f>
        <v>Toamasina</v>
      </c>
      <c r="B2849" s="9" t="str">
        <f>IFERROR(__xludf.DUMMYFUNCTION("""COMPUTED_VALUE"""),"mg-a")</f>
        <v>mg-a</v>
      </c>
      <c r="C2849" s="9" t="str">
        <f>IFERROR(__xludf.DUMMYFUNCTION("GOOGLETRANSLATE($A2849,""en"",""de"")"),"Toamasina")</f>
        <v>Toamasina</v>
      </c>
      <c r="D2849" s="9" t="str">
        <f>IFERROR(__xludf.DUMMYFUNCTION("GOOGLETRANSLATE($A2849,""en"",""fr"")"),"Toamasina")</f>
        <v>Toamasina</v>
      </c>
      <c r="E2849" s="9" t="str">
        <f>IFERROR(__xludf.DUMMYFUNCTION("GOOGLETRANSLATE($A2849,""en"",""es"")"),"toamasina")</f>
        <v>toamasina</v>
      </c>
      <c r="F2849" s="9" t="str">
        <f>IFERROR(__xludf.DUMMYFUNCTION("GOOGLETRANSLATE($A2849,""en"",""it"")"),"Toamasina")</f>
        <v>Toamasina</v>
      </c>
      <c r="G2849" s="9" t="str">
        <f>IFERROR(__xludf.DUMMYFUNCTION("GOOGLETRANSLATE($A2849,""en"",""zh-cn"")"),"图阿马西纳")</f>
        <v>图阿马西纳</v>
      </c>
      <c r="H2849" s="9" t="str">
        <f>IFERROR(__xludf.DUMMYFUNCTION("GOOGLETRANSLATE($A2849,""en"",""ja"")"),"トアマシナ")</f>
        <v>トアマシナ</v>
      </c>
      <c r="I2849" s="9" t="str">
        <f>IFERROR(__xludf.DUMMYFUNCTION("GOOGLETRANSLATE($A2849,""en"",""ko"")"),"토아마시나")</f>
        <v>토아마시나</v>
      </c>
      <c r="J2849" s="9" t="str">
        <f>IFERROR(__xludf.DUMMYFUNCTION("GOOGLETRANSLATE($A2849,""en"",""pt-BR"")"),"Toamasina")</f>
        <v>Toamasina</v>
      </c>
    </row>
    <row r="2850">
      <c r="A2850" s="9" t="str">
        <f>IFERROR(__xludf.DUMMYFUNCTION("""COMPUTED_VALUE"""),"Antsiranana")</f>
        <v>Antsiranana</v>
      </c>
      <c r="B2850" s="9" t="str">
        <f>IFERROR(__xludf.DUMMYFUNCTION("""COMPUTED_VALUE"""),"mg-d")</f>
        <v>mg-d</v>
      </c>
      <c r="C2850" s="9" t="str">
        <f>IFERROR(__xludf.DUMMYFUNCTION("GOOGLETRANSLATE($A2850,""en"",""de"")"),"Antsiranana")</f>
        <v>Antsiranana</v>
      </c>
      <c r="D2850" s="9" t="str">
        <f>IFERROR(__xludf.DUMMYFUNCTION("GOOGLETRANSLATE($A2850,""en"",""fr"")"),"Antsiranana")</f>
        <v>Antsiranana</v>
      </c>
      <c r="E2850" s="9" t="str">
        <f>IFERROR(__xludf.DUMMYFUNCTION("GOOGLETRANSLATE($A2850,""en"",""es"")"),"Antsiranana")</f>
        <v>Antsiranana</v>
      </c>
      <c r="F2850" s="9" t="str">
        <f>IFERROR(__xludf.DUMMYFUNCTION("GOOGLETRANSLATE($A2850,""en"",""it"")"),"Antsiranana")</f>
        <v>Antsiranana</v>
      </c>
      <c r="G2850" s="9" t="str">
        <f>IFERROR(__xludf.DUMMYFUNCTION("GOOGLETRANSLATE($A2850,""en"",""zh-cn"")"),"安齐拉纳纳")</f>
        <v>安齐拉纳纳</v>
      </c>
      <c r="H2850" s="9" t="str">
        <f>IFERROR(__xludf.DUMMYFUNCTION("GOOGLETRANSLATE($A2850,""en"",""ja"")"),"アンツィラナナ")</f>
        <v>アンツィラナナ</v>
      </c>
      <c r="I2850" s="9" t="str">
        <f>IFERROR(__xludf.DUMMYFUNCTION("GOOGLETRANSLATE($A2850,""en"",""ko"")"),"안트시라나나")</f>
        <v>안트시라나나</v>
      </c>
      <c r="J2850" s="9" t="str">
        <f>IFERROR(__xludf.DUMMYFUNCTION("GOOGLETRANSLATE($A2850,""en"",""pt-BR"")"),"Antsiranana")</f>
        <v>Antsiranana</v>
      </c>
    </row>
    <row r="2851">
      <c r="A2851" s="9" t="str">
        <f>IFERROR(__xludf.DUMMYFUNCTION("""COMPUTED_VALUE"""),"Toliara")</f>
        <v>Toliara</v>
      </c>
      <c r="B2851" s="9" t="str">
        <f>IFERROR(__xludf.DUMMYFUNCTION("""COMPUTED_VALUE"""),"mg-u")</f>
        <v>mg-u</v>
      </c>
      <c r="C2851" s="9" t="str">
        <f>IFERROR(__xludf.DUMMYFUNCTION("GOOGLETRANSLATE($A2851,""en"",""de"")"),"Toliara")</f>
        <v>Toliara</v>
      </c>
      <c r="D2851" s="9" t="str">
        <f>IFERROR(__xludf.DUMMYFUNCTION("GOOGLETRANSLATE($A2851,""en"",""fr"")"),"Tuléar")</f>
        <v>Tuléar</v>
      </c>
      <c r="E2851" s="9" t="str">
        <f>IFERROR(__xludf.DUMMYFUNCTION("GOOGLETRANSLATE($A2851,""en"",""es"")"),"toliara")</f>
        <v>toliara</v>
      </c>
      <c r="F2851" s="9" t="str">
        <f>IFERROR(__xludf.DUMMYFUNCTION("GOOGLETRANSLATE($A2851,""en"",""it"")"),"Toliara")</f>
        <v>Toliara</v>
      </c>
      <c r="G2851" s="9" t="str">
        <f>IFERROR(__xludf.DUMMYFUNCTION("GOOGLETRANSLATE($A2851,""en"",""zh-cn"")"),"图利亚拉")</f>
        <v>图利亚拉</v>
      </c>
      <c r="H2851" s="9" t="str">
        <f>IFERROR(__xludf.DUMMYFUNCTION("GOOGLETRANSLATE($A2851,""en"",""ja"")"),"トゥリアラ")</f>
        <v>トゥリアラ</v>
      </c>
      <c r="I2851" s="9" t="str">
        <f>IFERROR(__xludf.DUMMYFUNCTION("GOOGLETRANSLATE($A2851,""en"",""ko"")"),"톨리아라")</f>
        <v>톨리아라</v>
      </c>
      <c r="J2851" s="9" t="str">
        <f>IFERROR(__xludf.DUMMYFUNCTION("GOOGLETRANSLATE($A2851,""en"",""pt-BR"")"),"Toliara")</f>
        <v>Toliara</v>
      </c>
    </row>
    <row r="2852">
      <c r="A2852" s="9" t="str">
        <f>IFERROR(__xludf.DUMMYFUNCTION("""COMPUTED_VALUE"""),"Fianarantsoa")</f>
        <v>Fianarantsoa</v>
      </c>
      <c r="B2852" s="9" t="str">
        <f>IFERROR(__xludf.DUMMYFUNCTION("""COMPUTED_VALUE"""),"mg-f")</f>
        <v>mg-f</v>
      </c>
      <c r="C2852" s="9" t="str">
        <f>IFERROR(__xludf.DUMMYFUNCTION("GOOGLETRANSLATE($A2852,""en"",""de"")"),"Fianarantsoa")</f>
        <v>Fianarantsoa</v>
      </c>
      <c r="D2852" s="9" t="str">
        <f>IFERROR(__xludf.DUMMYFUNCTION("GOOGLETRANSLATE($A2852,""en"",""fr"")"),"Fianarantsoa")</f>
        <v>Fianarantsoa</v>
      </c>
      <c r="E2852" s="9" t="str">
        <f>IFERROR(__xludf.DUMMYFUNCTION("GOOGLETRANSLATE($A2852,""en"",""es"")"),"Fianarantsoa")</f>
        <v>Fianarantsoa</v>
      </c>
      <c r="F2852" s="9" t="str">
        <f>IFERROR(__xludf.DUMMYFUNCTION("GOOGLETRANSLATE($A2852,""en"",""it"")"),"Fianarantsoa")</f>
        <v>Fianarantsoa</v>
      </c>
      <c r="G2852" s="9" t="str">
        <f>IFERROR(__xludf.DUMMYFUNCTION("GOOGLETRANSLATE($A2852,""en"",""zh-cn"")"),"菲亚纳兰楚阿")</f>
        <v>菲亚纳兰楚阿</v>
      </c>
      <c r="H2852" s="9" t="str">
        <f>IFERROR(__xludf.DUMMYFUNCTION("GOOGLETRANSLATE($A2852,""en"",""ja"")"),"フィアナランツォア")</f>
        <v>フィアナランツォア</v>
      </c>
      <c r="I2852" s="9" t="str">
        <f>IFERROR(__xludf.DUMMYFUNCTION("GOOGLETRANSLATE($A2852,""en"",""ko"")"),"피아나란초아")</f>
        <v>피아나란초아</v>
      </c>
      <c r="J2852" s="9" t="str">
        <f>IFERROR(__xludf.DUMMYFUNCTION("GOOGLETRANSLATE($A2852,""en"",""pt-BR"")"),"Fianarantsoa")</f>
        <v>Fianarantsoa</v>
      </c>
    </row>
    <row r="2853">
      <c r="A2853" s="9" t="str">
        <f>IFERROR(__xludf.DUMMYFUNCTION("""COMPUTED_VALUE"""),"Mahajanga")</f>
        <v>Mahajanga</v>
      </c>
      <c r="B2853" s="9" t="str">
        <f>IFERROR(__xludf.DUMMYFUNCTION("""COMPUTED_VALUE"""),"mg-m")</f>
        <v>mg-m</v>
      </c>
      <c r="C2853" s="9" t="str">
        <f>IFERROR(__xludf.DUMMYFUNCTION("GOOGLETRANSLATE($A2853,""en"",""de"")"),"Mahajanga")</f>
        <v>Mahajanga</v>
      </c>
      <c r="D2853" s="9" t="str">
        <f>IFERROR(__xludf.DUMMYFUNCTION("GOOGLETRANSLATE($A2853,""en"",""fr"")"),"Majunga")</f>
        <v>Majunga</v>
      </c>
      <c r="E2853" s="9" t="str">
        <f>IFERROR(__xludf.DUMMYFUNCTION("GOOGLETRANSLATE($A2853,""en"",""es"")"),"Mahajanga")</f>
        <v>Mahajanga</v>
      </c>
      <c r="F2853" s="9" t="str">
        <f>IFERROR(__xludf.DUMMYFUNCTION("GOOGLETRANSLATE($A2853,""en"",""it"")"),"Mahajanga")</f>
        <v>Mahajanga</v>
      </c>
      <c r="G2853" s="9" t="str">
        <f>IFERROR(__xludf.DUMMYFUNCTION("GOOGLETRANSLATE($A2853,""en"",""zh-cn"")"),"马哈赞加")</f>
        <v>马哈赞加</v>
      </c>
      <c r="H2853" s="9" t="str">
        <f>IFERROR(__xludf.DUMMYFUNCTION("GOOGLETRANSLATE($A2853,""en"",""ja"")"),"マハジャンガ")</f>
        <v>マハジャンガ</v>
      </c>
      <c r="I2853" s="9" t="str">
        <f>IFERROR(__xludf.DUMMYFUNCTION("GOOGLETRANSLATE($A2853,""en"",""ko"")"),"마하장가")</f>
        <v>마하장가</v>
      </c>
      <c r="J2853" s="9" t="str">
        <f>IFERROR(__xludf.DUMMYFUNCTION("GOOGLETRANSLATE($A2853,""en"",""pt-BR"")"),"Mahajanga")</f>
        <v>Mahajanga</v>
      </c>
    </row>
    <row r="2854">
      <c r="A2854" s="9" t="str">
        <f>IFERROR(__xludf.DUMMYFUNCTION("""COMPUTED_VALUE"""),"Antananarivo")</f>
        <v>Antananarivo</v>
      </c>
      <c r="B2854" s="9" t="str">
        <f>IFERROR(__xludf.DUMMYFUNCTION("""COMPUTED_VALUE"""),"mg-t")</f>
        <v>mg-t</v>
      </c>
      <c r="C2854" s="9" t="str">
        <f>IFERROR(__xludf.DUMMYFUNCTION("GOOGLETRANSLATE($A2854,""en"",""de"")"),"Antananarivo")</f>
        <v>Antananarivo</v>
      </c>
      <c r="D2854" s="9" t="str">
        <f>IFERROR(__xludf.DUMMYFUNCTION("GOOGLETRANSLATE($A2854,""en"",""fr"")"),"Antananarivo")</f>
        <v>Antananarivo</v>
      </c>
      <c r="E2854" s="9" t="str">
        <f>IFERROR(__xludf.DUMMYFUNCTION("GOOGLETRANSLATE($A2854,""en"",""es"")"),"Antananarivo")</f>
        <v>Antananarivo</v>
      </c>
      <c r="F2854" s="9" t="str">
        <f>IFERROR(__xludf.DUMMYFUNCTION("GOOGLETRANSLATE($A2854,""en"",""it"")"),"Antananarivo")</f>
        <v>Antananarivo</v>
      </c>
      <c r="G2854" s="9" t="str">
        <f>IFERROR(__xludf.DUMMYFUNCTION("GOOGLETRANSLATE($A2854,""en"",""zh-cn"")"),"塔那那利佛")</f>
        <v>塔那那利佛</v>
      </c>
      <c r="H2854" s="9" t="str">
        <f>IFERROR(__xludf.DUMMYFUNCTION("GOOGLETRANSLATE($A2854,""en"",""ja"")"),"アンタナナリボ")</f>
        <v>アンタナナリボ</v>
      </c>
      <c r="I2854" s="9" t="str">
        <f>IFERROR(__xludf.DUMMYFUNCTION("GOOGLETRANSLATE($A2854,""en"",""ko"")"),"안타나나리보")</f>
        <v>안타나나리보</v>
      </c>
      <c r="J2854" s="9" t="str">
        <f>IFERROR(__xludf.DUMMYFUNCTION("GOOGLETRANSLATE($A2854,""en"",""pt-BR"")"),"Antananarivo")</f>
        <v>Antananarivo</v>
      </c>
    </row>
    <row r="2855">
      <c r="A2855" s="9" t="str">
        <f>IFERROR(__xludf.DUMMYFUNCTION("""COMPUTED_VALUE"""),"Kasungu")</f>
        <v>Kasungu</v>
      </c>
      <c r="B2855" s="9" t="str">
        <f>IFERROR(__xludf.DUMMYFUNCTION("""COMPUTED_VALUE"""),"mw-ks")</f>
        <v>mw-ks</v>
      </c>
      <c r="C2855" s="9" t="str">
        <f>IFERROR(__xludf.DUMMYFUNCTION("GOOGLETRANSLATE($A2855,""en"",""de"")"),"Kasungu")</f>
        <v>Kasungu</v>
      </c>
      <c r="D2855" s="9" t="str">
        <f>IFERROR(__xludf.DUMMYFUNCTION("GOOGLETRANSLATE($A2855,""en"",""fr"")"),"Kasungu")</f>
        <v>Kasungu</v>
      </c>
      <c r="E2855" s="9" t="str">
        <f>IFERROR(__xludf.DUMMYFUNCTION("GOOGLETRANSLATE($A2855,""en"",""es"")"),"Kasungu")</f>
        <v>Kasungu</v>
      </c>
      <c r="F2855" s="9" t="str">
        <f>IFERROR(__xludf.DUMMYFUNCTION("GOOGLETRANSLATE($A2855,""en"",""it"")"),"Kasungu")</f>
        <v>Kasungu</v>
      </c>
      <c r="G2855" s="9" t="str">
        <f>IFERROR(__xludf.DUMMYFUNCTION("GOOGLETRANSLATE($A2855,""en"",""zh-cn"")"),"卡松古")</f>
        <v>卡松古</v>
      </c>
      <c r="H2855" s="9" t="str">
        <f>IFERROR(__xludf.DUMMYFUNCTION("GOOGLETRANSLATE($A2855,""en"",""ja"")"),"カスング")</f>
        <v>カスング</v>
      </c>
      <c r="I2855" s="9" t="str">
        <f>IFERROR(__xludf.DUMMYFUNCTION("GOOGLETRANSLATE($A2855,""en"",""ko"")"),"카숭구")</f>
        <v>카숭구</v>
      </c>
      <c r="J2855" s="9" t="str">
        <f>IFERROR(__xludf.DUMMYFUNCTION("GOOGLETRANSLATE($A2855,""en"",""pt-BR"")"),"Kasungu")</f>
        <v>Kasungu</v>
      </c>
    </row>
    <row r="2856">
      <c r="A2856" s="9" t="str">
        <f>IFERROR(__xludf.DUMMYFUNCTION("""COMPUTED_VALUE"""),"Chitipa")</f>
        <v>Chitipa</v>
      </c>
      <c r="B2856" s="9" t="str">
        <f>IFERROR(__xludf.DUMMYFUNCTION("""COMPUTED_VALUE"""),"mw-ct")</f>
        <v>mw-ct</v>
      </c>
      <c r="C2856" s="9" t="str">
        <f>IFERROR(__xludf.DUMMYFUNCTION("GOOGLETRANSLATE($A2856,""en"",""de"")"),"Chitipa")</f>
        <v>Chitipa</v>
      </c>
      <c r="D2856" s="9" t="str">
        <f>IFERROR(__xludf.DUMMYFUNCTION("GOOGLETRANSLATE($A2856,""en"",""fr"")"),"Chitipa")</f>
        <v>Chitipa</v>
      </c>
      <c r="E2856" s="9" t="str">
        <f>IFERROR(__xludf.DUMMYFUNCTION("GOOGLETRANSLATE($A2856,""en"",""es"")"),"chitipa")</f>
        <v>chitipa</v>
      </c>
      <c r="F2856" s="9" t="str">
        <f>IFERROR(__xludf.DUMMYFUNCTION("GOOGLETRANSLATE($A2856,""en"",""it"")"),"Chitipa")</f>
        <v>Chitipa</v>
      </c>
      <c r="G2856" s="9" t="str">
        <f>IFERROR(__xludf.DUMMYFUNCTION("GOOGLETRANSLATE($A2856,""en"",""zh-cn"")"),"奇蒂帕")</f>
        <v>奇蒂帕</v>
      </c>
      <c r="H2856" s="9" t="str">
        <f>IFERROR(__xludf.DUMMYFUNCTION("GOOGLETRANSLATE($A2856,""en"",""ja"")"),"チティパ")</f>
        <v>チティパ</v>
      </c>
      <c r="I2856" s="9" t="str">
        <f>IFERROR(__xludf.DUMMYFUNCTION("GOOGLETRANSLATE($A2856,""en"",""ko"")"),"치티파")</f>
        <v>치티파</v>
      </c>
      <c r="J2856" s="9" t="str">
        <f>IFERROR(__xludf.DUMMYFUNCTION("GOOGLETRANSLATE($A2856,""en"",""pt-BR"")"),"Chitipa")</f>
        <v>Chitipa</v>
      </c>
    </row>
    <row r="2857">
      <c r="A2857" s="9" t="str">
        <f>IFERROR(__xludf.DUMMYFUNCTION("""COMPUTED_VALUE"""),"Salima")</f>
        <v>Salima</v>
      </c>
      <c r="B2857" s="9" t="str">
        <f>IFERROR(__xludf.DUMMYFUNCTION("""COMPUTED_VALUE"""),"mw-sa")</f>
        <v>mw-sa</v>
      </c>
      <c r="C2857" s="9" t="str">
        <f>IFERROR(__xludf.DUMMYFUNCTION("GOOGLETRANSLATE($A2857,""en"",""de"")"),"Salima")</f>
        <v>Salima</v>
      </c>
      <c r="D2857" s="9" t="str">
        <f>IFERROR(__xludf.DUMMYFUNCTION("GOOGLETRANSLATE($A2857,""en"",""fr"")"),"Salima")</f>
        <v>Salima</v>
      </c>
      <c r="E2857" s="9" t="str">
        <f>IFERROR(__xludf.DUMMYFUNCTION("GOOGLETRANSLATE($A2857,""en"",""es"")"),"Salima")</f>
        <v>Salima</v>
      </c>
      <c r="F2857" s="9" t="str">
        <f>IFERROR(__xludf.DUMMYFUNCTION("GOOGLETRANSLATE($A2857,""en"",""it"")"),"Salima")</f>
        <v>Salima</v>
      </c>
      <c r="G2857" s="9" t="str">
        <f>IFERROR(__xludf.DUMMYFUNCTION("GOOGLETRANSLATE($A2857,""en"",""zh-cn"")"),"萨利马")</f>
        <v>萨利马</v>
      </c>
      <c r="H2857" s="9" t="str">
        <f>IFERROR(__xludf.DUMMYFUNCTION("GOOGLETRANSLATE($A2857,""en"",""ja"")"),"サリマ")</f>
        <v>サリマ</v>
      </c>
      <c r="I2857" s="9" t="str">
        <f>IFERROR(__xludf.DUMMYFUNCTION("GOOGLETRANSLATE($A2857,""en"",""ko"")"),"살리마")</f>
        <v>살리마</v>
      </c>
      <c r="J2857" s="9" t="str">
        <f>IFERROR(__xludf.DUMMYFUNCTION("GOOGLETRANSLATE($A2857,""en"",""pt-BR"")"),"Salima")</f>
        <v>Salima</v>
      </c>
    </row>
    <row r="2858">
      <c r="A2858" s="9" t="str">
        <f>IFERROR(__xludf.DUMMYFUNCTION("""COMPUTED_VALUE"""),"Machinga")</f>
        <v>Machinga</v>
      </c>
      <c r="B2858" s="9" t="str">
        <f>IFERROR(__xludf.DUMMYFUNCTION("""COMPUTED_VALUE"""),"mw-mh")</f>
        <v>mw-mh</v>
      </c>
      <c r="C2858" s="9" t="str">
        <f>IFERROR(__xludf.DUMMYFUNCTION("GOOGLETRANSLATE($A2858,""en"",""de"")"),"Machinga")</f>
        <v>Machinga</v>
      </c>
      <c r="D2858" s="9" t="str">
        <f>IFERROR(__xludf.DUMMYFUNCTION("GOOGLETRANSLATE($A2858,""en"",""fr"")"),"Machinga")</f>
        <v>Machinga</v>
      </c>
      <c r="E2858" s="9" t="str">
        <f>IFERROR(__xludf.DUMMYFUNCTION("GOOGLETRANSLATE($A2858,""en"",""es"")"),"machinga")</f>
        <v>machinga</v>
      </c>
      <c r="F2858" s="9" t="str">
        <f>IFERROR(__xludf.DUMMYFUNCTION("GOOGLETRANSLATE($A2858,""en"",""it"")"),"Machinga")</f>
        <v>Machinga</v>
      </c>
      <c r="G2858" s="9" t="str">
        <f>IFERROR(__xludf.DUMMYFUNCTION("GOOGLETRANSLATE($A2858,""en"",""zh-cn"")"),"马钦加")</f>
        <v>马钦加</v>
      </c>
      <c r="H2858" s="9" t="str">
        <f>IFERROR(__xludf.DUMMYFUNCTION("GOOGLETRANSLATE($A2858,""en"",""ja"")"),"マチンガ")</f>
        <v>マチンガ</v>
      </c>
      <c r="I2858" s="9" t="str">
        <f>IFERROR(__xludf.DUMMYFUNCTION("GOOGLETRANSLATE($A2858,""en"",""ko"")"),"마칭가")</f>
        <v>마칭가</v>
      </c>
      <c r="J2858" s="9" t="str">
        <f>IFERROR(__xludf.DUMMYFUNCTION("GOOGLETRANSLATE($A2858,""en"",""pt-BR"")"),"Machinga")</f>
        <v>Machinga</v>
      </c>
    </row>
    <row r="2859">
      <c r="A2859" s="9" t="str">
        <f>IFERROR(__xludf.DUMMYFUNCTION("""COMPUTED_VALUE"""),"Chiradzulu")</f>
        <v>Chiradzulu</v>
      </c>
      <c r="B2859" s="9" t="str">
        <f>IFERROR(__xludf.DUMMYFUNCTION("""COMPUTED_VALUE"""),"mw-cr")</f>
        <v>mw-cr</v>
      </c>
      <c r="C2859" s="9" t="str">
        <f>IFERROR(__xludf.DUMMYFUNCTION("GOOGLETRANSLATE($A2859,""en"",""de"")"),"Chiradzulu")</f>
        <v>Chiradzulu</v>
      </c>
      <c r="D2859" s="9" t="str">
        <f>IFERROR(__xludf.DUMMYFUNCTION("GOOGLETRANSLATE($A2859,""en"",""fr"")"),"Chiradzulu")</f>
        <v>Chiradzulu</v>
      </c>
      <c r="E2859" s="9" t="str">
        <f>IFERROR(__xludf.DUMMYFUNCTION("GOOGLETRANSLATE($A2859,""en"",""es"")"),"Chiradzulu")</f>
        <v>Chiradzulu</v>
      </c>
      <c r="F2859" s="9" t="str">
        <f>IFERROR(__xludf.DUMMYFUNCTION("GOOGLETRANSLATE($A2859,""en"",""it"")"),"Chiradzulu")</f>
        <v>Chiradzulu</v>
      </c>
      <c r="G2859" s="9" t="str">
        <f>IFERROR(__xludf.DUMMYFUNCTION("GOOGLETRANSLATE($A2859,""en"",""zh-cn"")"),"奇拉祖鲁")</f>
        <v>奇拉祖鲁</v>
      </c>
      <c r="H2859" s="9" t="str">
        <f>IFERROR(__xludf.DUMMYFUNCTION("GOOGLETRANSLATE($A2859,""en"",""ja"")"),"チラズル")</f>
        <v>チラズル</v>
      </c>
      <c r="I2859" s="9" t="str">
        <f>IFERROR(__xludf.DUMMYFUNCTION("GOOGLETRANSLATE($A2859,""en"",""ko"")"),"치라줄루")</f>
        <v>치라줄루</v>
      </c>
      <c r="J2859" s="9" t="str">
        <f>IFERROR(__xludf.DUMMYFUNCTION("GOOGLETRANSLATE($A2859,""en"",""pt-BR"")"),"Chiradzulu")</f>
        <v>Chiradzulu</v>
      </c>
    </row>
    <row r="2860">
      <c r="A2860" s="9" t="str">
        <f>IFERROR(__xludf.DUMMYFUNCTION("""COMPUTED_VALUE"""),"Balaka")</f>
        <v>Balaka</v>
      </c>
      <c r="B2860" s="9" t="str">
        <f>IFERROR(__xludf.DUMMYFUNCTION("""COMPUTED_VALUE"""),"mw-ba")</f>
        <v>mw-ba</v>
      </c>
      <c r="C2860" s="9" t="str">
        <f>IFERROR(__xludf.DUMMYFUNCTION("GOOGLETRANSLATE($A2860,""en"",""de"")"),"Balaka")</f>
        <v>Balaka</v>
      </c>
      <c r="D2860" s="9" t="str">
        <f>IFERROR(__xludf.DUMMYFUNCTION("GOOGLETRANSLATE($A2860,""en"",""fr"")"),"Balaka")</f>
        <v>Balaka</v>
      </c>
      <c r="E2860" s="9" t="str">
        <f>IFERROR(__xludf.DUMMYFUNCTION("GOOGLETRANSLATE($A2860,""en"",""es"")"),"Balaka")</f>
        <v>Balaka</v>
      </c>
      <c r="F2860" s="9" t="str">
        <f>IFERROR(__xludf.DUMMYFUNCTION("GOOGLETRANSLATE($A2860,""en"",""it"")"),"Balaka")</f>
        <v>Balaka</v>
      </c>
      <c r="G2860" s="9" t="str">
        <f>IFERROR(__xludf.DUMMYFUNCTION("GOOGLETRANSLATE($A2860,""en"",""zh-cn"")"),"巴拉卡")</f>
        <v>巴拉卡</v>
      </c>
      <c r="H2860" s="9" t="str">
        <f>IFERROR(__xludf.DUMMYFUNCTION("GOOGLETRANSLATE($A2860,""en"",""ja"")"),"バラカ")</f>
        <v>バラカ</v>
      </c>
      <c r="I2860" s="9" t="str">
        <f>IFERROR(__xludf.DUMMYFUNCTION("GOOGLETRANSLATE($A2860,""en"",""ko"")"),"발라카")</f>
        <v>발라카</v>
      </c>
      <c r="J2860" s="9" t="str">
        <f>IFERROR(__xludf.DUMMYFUNCTION("GOOGLETRANSLATE($A2860,""en"",""pt-BR"")"),"Balaka")</f>
        <v>Balaka</v>
      </c>
    </row>
    <row r="2861">
      <c r="A2861" s="9" t="str">
        <f>IFERROR(__xludf.DUMMYFUNCTION("""COMPUTED_VALUE"""),"Lilongwe")</f>
        <v>Lilongwe</v>
      </c>
      <c r="B2861" s="9" t="str">
        <f>IFERROR(__xludf.DUMMYFUNCTION("""COMPUTED_VALUE"""),"mw-li")</f>
        <v>mw-li</v>
      </c>
      <c r="C2861" s="9" t="str">
        <f>IFERROR(__xludf.DUMMYFUNCTION("GOOGLETRANSLATE($A2861,""en"",""de"")"),"Lilongwe")</f>
        <v>Lilongwe</v>
      </c>
      <c r="D2861" s="9" t="str">
        <f>IFERROR(__xludf.DUMMYFUNCTION("GOOGLETRANSLATE($A2861,""en"",""fr"")"),"Lilongwe")</f>
        <v>Lilongwe</v>
      </c>
      <c r="E2861" s="9" t="str">
        <f>IFERROR(__xludf.DUMMYFUNCTION("GOOGLETRANSLATE($A2861,""en"",""es"")"),"Lilongüe")</f>
        <v>Lilongüe</v>
      </c>
      <c r="F2861" s="9" t="str">
        <f>IFERROR(__xludf.DUMMYFUNCTION("GOOGLETRANSLATE($A2861,""en"",""it"")"),"Lilongwe")</f>
        <v>Lilongwe</v>
      </c>
      <c r="G2861" s="9" t="str">
        <f>IFERROR(__xludf.DUMMYFUNCTION("GOOGLETRANSLATE($A2861,""en"",""zh-cn"")"),"利隆圭")</f>
        <v>利隆圭</v>
      </c>
      <c r="H2861" s="9" t="str">
        <f>IFERROR(__xludf.DUMMYFUNCTION("GOOGLETRANSLATE($A2861,""en"",""ja"")"),"リロングウェ")</f>
        <v>リロングウェ</v>
      </c>
      <c r="I2861" s="9" t="str">
        <f>IFERROR(__xludf.DUMMYFUNCTION("GOOGLETRANSLATE($A2861,""en"",""ko"")"),"릴롱웨")</f>
        <v>릴롱웨</v>
      </c>
      <c r="J2861" s="9" t="str">
        <f>IFERROR(__xludf.DUMMYFUNCTION("GOOGLETRANSLATE($A2861,""en"",""pt-BR"")"),"Lilongwe")</f>
        <v>Lilongwe</v>
      </c>
    </row>
    <row r="2862">
      <c r="A2862" s="9" t="str">
        <f>IFERROR(__xludf.DUMMYFUNCTION("""COMPUTED_VALUE"""),"Chapakati")</f>
        <v>Chapakati</v>
      </c>
      <c r="B2862" s="9" t="str">
        <f>IFERROR(__xludf.DUMMYFUNCTION("""COMPUTED_VALUE"""),"mw-c")</f>
        <v>mw-c</v>
      </c>
      <c r="C2862" s="9" t="str">
        <f>IFERROR(__xludf.DUMMYFUNCTION("GOOGLETRANSLATE($A2862,""en"",""de"")"),"Chapakati")</f>
        <v>Chapakati</v>
      </c>
      <c r="D2862" s="9" t="str">
        <f>IFERROR(__xludf.DUMMYFUNCTION("GOOGLETRANSLATE($A2862,""en"",""fr"")"),"Chapakati")</f>
        <v>Chapakati</v>
      </c>
      <c r="E2862" s="9" t="str">
        <f>IFERROR(__xludf.DUMMYFUNCTION("GOOGLETRANSLATE($A2862,""en"",""es"")"),"chapakati")</f>
        <v>chapakati</v>
      </c>
      <c r="F2862" s="9" t="str">
        <f>IFERROR(__xludf.DUMMYFUNCTION("GOOGLETRANSLATE($A2862,""en"",""it"")"),"Chapakati")</f>
        <v>Chapakati</v>
      </c>
      <c r="G2862" s="9" t="str">
        <f>IFERROR(__xludf.DUMMYFUNCTION("GOOGLETRANSLATE($A2862,""en"",""zh-cn"")"),"恰帕卡蒂")</f>
        <v>恰帕卡蒂</v>
      </c>
      <c r="H2862" s="9" t="str">
        <f>IFERROR(__xludf.DUMMYFUNCTION("GOOGLETRANSLATE($A2862,""en"",""ja"")"),"チャパカティ")</f>
        <v>チャパカティ</v>
      </c>
      <c r="I2862" s="9" t="str">
        <f>IFERROR(__xludf.DUMMYFUNCTION("GOOGLETRANSLATE($A2862,""en"",""ko"")"),"차파카티")</f>
        <v>차파카티</v>
      </c>
      <c r="J2862" s="9" t="str">
        <f>IFERROR(__xludf.DUMMYFUNCTION("GOOGLETRANSLATE($A2862,""en"",""pt-BR"")"),"Chapakati")</f>
        <v>Chapakati</v>
      </c>
    </row>
    <row r="2863">
      <c r="A2863" s="9" t="str">
        <f>IFERROR(__xludf.DUMMYFUNCTION("""COMPUTED_VALUE"""),"Likoma")</f>
        <v>Likoma</v>
      </c>
      <c r="B2863" s="9" t="str">
        <f>IFERROR(__xludf.DUMMYFUNCTION("""COMPUTED_VALUE"""),"mw-lk")</f>
        <v>mw-lk</v>
      </c>
      <c r="C2863" s="9" t="str">
        <f>IFERROR(__xludf.DUMMYFUNCTION("GOOGLETRANSLATE($A2863,""en"",""de"")"),"Likoma")</f>
        <v>Likoma</v>
      </c>
      <c r="D2863" s="9" t="str">
        <f>IFERROR(__xludf.DUMMYFUNCTION("GOOGLETRANSLATE($A2863,""en"",""fr"")"),"Likoma")</f>
        <v>Likoma</v>
      </c>
      <c r="E2863" s="9" t="str">
        <f>IFERROR(__xludf.DUMMYFUNCTION("GOOGLETRANSLATE($A2863,""en"",""es"")"),"Likoma")</f>
        <v>Likoma</v>
      </c>
      <c r="F2863" s="9" t="str">
        <f>IFERROR(__xludf.DUMMYFUNCTION("GOOGLETRANSLATE($A2863,""en"",""it"")"),"Likoma")</f>
        <v>Likoma</v>
      </c>
      <c r="G2863" s="9" t="str">
        <f>IFERROR(__xludf.DUMMYFUNCTION("GOOGLETRANSLATE($A2863,""en"",""zh-cn"")"),"利科马")</f>
        <v>利科马</v>
      </c>
      <c r="H2863" s="9" t="str">
        <f>IFERROR(__xludf.DUMMYFUNCTION("GOOGLETRANSLATE($A2863,""en"",""ja"")"),"リコマ")</f>
        <v>リコマ</v>
      </c>
      <c r="I2863" s="9" t="str">
        <f>IFERROR(__xludf.DUMMYFUNCTION("GOOGLETRANSLATE($A2863,""en"",""ko"")"),"리코마")</f>
        <v>리코마</v>
      </c>
      <c r="J2863" s="9" t="str">
        <f>IFERROR(__xludf.DUMMYFUNCTION("GOOGLETRANSLATE($A2863,""en"",""pt-BR"")"),"Likoma")</f>
        <v>Likoma</v>
      </c>
    </row>
    <row r="2864">
      <c r="A2864" s="9" t="str">
        <f>IFERROR(__xludf.DUMMYFUNCTION("""COMPUTED_VALUE"""),"Chakumpoto")</f>
        <v>Chakumpoto</v>
      </c>
      <c r="B2864" s="9" t="str">
        <f>IFERROR(__xludf.DUMMYFUNCTION("""COMPUTED_VALUE"""),"mw-n")</f>
        <v>mw-n</v>
      </c>
      <c r="C2864" s="9" t="str">
        <f>IFERROR(__xludf.DUMMYFUNCTION("GOOGLETRANSLATE($A2864,""en"",""de"")"),"Chakumpoto")</f>
        <v>Chakumpoto</v>
      </c>
      <c r="D2864" s="9" t="str">
        <f>IFERROR(__xludf.DUMMYFUNCTION("GOOGLETRANSLATE($A2864,""en"",""fr"")"),"Chakumpoto")</f>
        <v>Chakumpoto</v>
      </c>
      <c r="E2864" s="9" t="str">
        <f>IFERROR(__xludf.DUMMYFUNCTION("GOOGLETRANSLATE($A2864,""en"",""es"")"),"Chakumpoto")</f>
        <v>Chakumpoto</v>
      </c>
      <c r="F2864" s="9" t="str">
        <f>IFERROR(__xludf.DUMMYFUNCTION("GOOGLETRANSLATE($A2864,""en"",""it"")"),"Chakumpoto")</f>
        <v>Chakumpoto</v>
      </c>
      <c r="G2864" s="9" t="str">
        <f>IFERROR(__xludf.DUMMYFUNCTION("GOOGLETRANSLATE($A2864,""en"",""zh-cn"")"),"查昆波托")</f>
        <v>查昆波托</v>
      </c>
      <c r="H2864" s="9" t="str">
        <f>IFERROR(__xludf.DUMMYFUNCTION("GOOGLETRANSLATE($A2864,""en"",""ja"")"),"チャクムポト")</f>
        <v>チャクムポト</v>
      </c>
      <c r="I2864" s="9" t="str">
        <f>IFERROR(__xludf.DUMMYFUNCTION("GOOGLETRANSLATE($A2864,""en"",""ko"")"),"차쿰포토")</f>
        <v>차쿰포토</v>
      </c>
      <c r="J2864" s="9" t="str">
        <f>IFERROR(__xludf.DUMMYFUNCTION("GOOGLETRANSLATE($A2864,""en"",""pt-BR"")"),"Chakumpoto")</f>
        <v>Chakumpoto</v>
      </c>
    </row>
    <row r="2865">
      <c r="A2865" s="9" t="str">
        <f>IFERROR(__xludf.DUMMYFUNCTION("""COMPUTED_VALUE"""),"Ntchisi")</f>
        <v>Ntchisi</v>
      </c>
      <c r="B2865" s="9" t="str">
        <f>IFERROR(__xludf.DUMMYFUNCTION("""COMPUTED_VALUE"""),"mw-ni")</f>
        <v>mw-ni</v>
      </c>
      <c r="C2865" s="9" t="str">
        <f>IFERROR(__xludf.DUMMYFUNCTION("GOOGLETRANSLATE($A2865,""en"",""de"")"),"Ntchisi")</f>
        <v>Ntchisi</v>
      </c>
      <c r="D2865" s="9" t="str">
        <f>IFERROR(__xludf.DUMMYFUNCTION("GOOGLETRANSLATE($A2865,""en"",""fr"")"),"Ntchisi")</f>
        <v>Ntchisi</v>
      </c>
      <c r="E2865" s="9" t="str">
        <f>IFERROR(__xludf.DUMMYFUNCTION("GOOGLETRANSLATE($A2865,""en"",""es"")"),"Ntchisi")</f>
        <v>Ntchisi</v>
      </c>
      <c r="F2865" s="9" t="str">
        <f>IFERROR(__xludf.DUMMYFUNCTION("GOOGLETRANSLATE($A2865,""en"",""it"")"),"Ntchisi")</f>
        <v>Ntchisi</v>
      </c>
      <c r="G2865" s="9" t="str">
        <f>IFERROR(__xludf.DUMMYFUNCTION("GOOGLETRANSLATE($A2865,""en"",""zh-cn"")"),"恩奇西")</f>
        <v>恩奇西</v>
      </c>
      <c r="H2865" s="9" t="str">
        <f>IFERROR(__xludf.DUMMYFUNCTION("GOOGLETRANSLATE($A2865,""en"",""ja"")"),"ンチシ")</f>
        <v>ンチシ</v>
      </c>
      <c r="I2865" s="9" t="str">
        <f>IFERROR(__xludf.DUMMYFUNCTION("GOOGLETRANSLATE($A2865,""en"",""ko"")"),"은치시")</f>
        <v>은치시</v>
      </c>
      <c r="J2865" s="9" t="str">
        <f>IFERROR(__xludf.DUMMYFUNCTION("GOOGLETRANSLATE($A2865,""en"",""pt-BR"")"),"Ntchisi")</f>
        <v>Ntchisi</v>
      </c>
    </row>
    <row r="2866">
      <c r="A2866" s="9" t="str">
        <f>IFERROR(__xludf.DUMMYFUNCTION("""COMPUTED_VALUE"""),"Dowa")</f>
        <v>Dowa</v>
      </c>
      <c r="B2866" s="9" t="str">
        <f>IFERROR(__xludf.DUMMYFUNCTION("""COMPUTED_VALUE"""),"mw-do")</f>
        <v>mw-do</v>
      </c>
      <c r="C2866" s="9" t="str">
        <f>IFERROR(__xludf.DUMMYFUNCTION("GOOGLETRANSLATE($A2866,""en"",""de"")"),"Dowa")</f>
        <v>Dowa</v>
      </c>
      <c r="D2866" s="9" t="str">
        <f>IFERROR(__xludf.DUMMYFUNCTION("GOOGLETRANSLATE($A2866,""en"",""fr"")"),"Dowa")</f>
        <v>Dowa</v>
      </c>
      <c r="E2866" s="9" t="str">
        <f>IFERROR(__xludf.DUMMYFUNCTION("GOOGLETRANSLATE($A2866,""en"",""es"")"),"dowa")</f>
        <v>dowa</v>
      </c>
      <c r="F2866" s="9" t="str">
        <f>IFERROR(__xludf.DUMMYFUNCTION("GOOGLETRANSLATE($A2866,""en"",""it"")"),"Dowa")</f>
        <v>Dowa</v>
      </c>
      <c r="G2866" s="9" t="str">
        <f>IFERROR(__xludf.DUMMYFUNCTION("GOOGLETRANSLATE($A2866,""en"",""zh-cn"")"),"同和")</f>
        <v>同和</v>
      </c>
      <c r="H2866" s="9" t="str">
        <f>IFERROR(__xludf.DUMMYFUNCTION("GOOGLETRANSLATE($A2866,""en"",""ja"")"),"同和")</f>
        <v>同和</v>
      </c>
      <c r="I2866" s="9" t="str">
        <f>IFERROR(__xludf.DUMMYFUNCTION("GOOGLETRANSLATE($A2866,""en"",""ko"")"),"도와")</f>
        <v>도와</v>
      </c>
      <c r="J2866" s="9" t="str">
        <f>IFERROR(__xludf.DUMMYFUNCTION("GOOGLETRANSLATE($A2866,""en"",""pt-BR"")"),"Dowa")</f>
        <v>Dowa</v>
      </c>
    </row>
    <row r="2867">
      <c r="A2867" s="9" t="str">
        <f>IFERROR(__xludf.DUMMYFUNCTION("""COMPUTED_VALUE"""),"Neno")</f>
        <v>Neno</v>
      </c>
      <c r="B2867" s="9" t="str">
        <f>IFERROR(__xludf.DUMMYFUNCTION("""COMPUTED_VALUE"""),"mw-ne")</f>
        <v>mw-ne</v>
      </c>
      <c r="C2867" s="9" t="str">
        <f>IFERROR(__xludf.DUMMYFUNCTION("GOOGLETRANSLATE($A2867,""en"",""de"")"),"Neno")</f>
        <v>Neno</v>
      </c>
      <c r="D2867" s="9" t="str">
        <f>IFERROR(__xludf.DUMMYFUNCTION("GOOGLETRANSLATE($A2867,""en"",""fr"")"),"Néno")</f>
        <v>Néno</v>
      </c>
      <c r="E2867" s="9" t="str">
        <f>IFERROR(__xludf.DUMMYFUNCTION("GOOGLETRANSLATE($A2867,""en"",""es"")"),"neno")</f>
        <v>neno</v>
      </c>
      <c r="F2867" s="9" t="str">
        <f>IFERROR(__xludf.DUMMYFUNCTION("GOOGLETRANSLATE($A2867,""en"",""it"")"),"Neno")</f>
        <v>Neno</v>
      </c>
      <c r="G2867" s="9" t="str">
        <f>IFERROR(__xludf.DUMMYFUNCTION("GOOGLETRANSLATE($A2867,""en"",""zh-cn"")"),"内诺")</f>
        <v>内诺</v>
      </c>
      <c r="H2867" s="9" t="str">
        <f>IFERROR(__xludf.DUMMYFUNCTION("GOOGLETRANSLATE($A2867,""en"",""ja"")"),"ネノ")</f>
        <v>ネノ</v>
      </c>
      <c r="I2867" s="9" t="str">
        <f>IFERROR(__xludf.DUMMYFUNCTION("GOOGLETRANSLATE($A2867,""en"",""ko"")"),"네노")</f>
        <v>네노</v>
      </c>
      <c r="J2867" s="9" t="str">
        <f>IFERROR(__xludf.DUMMYFUNCTION("GOOGLETRANSLATE($A2867,""en"",""pt-BR"")"),"Neno")</f>
        <v>Neno</v>
      </c>
    </row>
    <row r="2868">
      <c r="A2868" s="9" t="str">
        <f>IFERROR(__xludf.DUMMYFUNCTION("""COMPUTED_VALUE"""),"Mangochi")</f>
        <v>Mangochi</v>
      </c>
      <c r="B2868" s="9" t="str">
        <f>IFERROR(__xludf.DUMMYFUNCTION("""COMPUTED_VALUE"""),"mw-mg")</f>
        <v>mw-mg</v>
      </c>
      <c r="C2868" s="9" t="str">
        <f>IFERROR(__xludf.DUMMYFUNCTION("GOOGLETRANSLATE($A2868,""en"",""de"")"),"Mangochi")</f>
        <v>Mangochi</v>
      </c>
      <c r="D2868" s="9" t="str">
        <f>IFERROR(__xludf.DUMMYFUNCTION("GOOGLETRANSLATE($A2868,""en"",""fr"")"),"Mangochi")</f>
        <v>Mangochi</v>
      </c>
      <c r="E2868" s="9" t="str">
        <f>IFERROR(__xludf.DUMMYFUNCTION("GOOGLETRANSLATE($A2868,""en"",""es"")"),"Mangochi")</f>
        <v>Mangochi</v>
      </c>
      <c r="F2868" s="9" t="str">
        <f>IFERROR(__xludf.DUMMYFUNCTION("GOOGLETRANSLATE($A2868,""en"",""it"")"),"Mangochi")</f>
        <v>Mangochi</v>
      </c>
      <c r="G2868" s="9" t="str">
        <f>IFERROR(__xludf.DUMMYFUNCTION("GOOGLETRANSLATE($A2868,""en"",""zh-cn"")"),"曼戈切")</f>
        <v>曼戈切</v>
      </c>
      <c r="H2868" s="9" t="str">
        <f>IFERROR(__xludf.DUMMYFUNCTION("GOOGLETRANSLATE($A2868,""en"",""ja"")"),"マンゴチ")</f>
        <v>マンゴチ</v>
      </c>
      <c r="I2868" s="9" t="str">
        <f>IFERROR(__xludf.DUMMYFUNCTION("GOOGLETRANSLATE($A2868,""en"",""ko"")"),"망고치")</f>
        <v>망고치</v>
      </c>
      <c r="J2868" s="9" t="str">
        <f>IFERROR(__xludf.DUMMYFUNCTION("GOOGLETRANSLATE($A2868,""en"",""pt-BR"")"),"Mangachi")</f>
        <v>Mangachi</v>
      </c>
    </row>
    <row r="2869">
      <c r="A2869" s="9" t="str">
        <f>IFERROR(__xludf.DUMMYFUNCTION("""COMPUTED_VALUE"""),"Karonga")</f>
        <v>Karonga</v>
      </c>
      <c r="B2869" s="9" t="str">
        <f>IFERROR(__xludf.DUMMYFUNCTION("""COMPUTED_VALUE"""),"mw-kr")</f>
        <v>mw-kr</v>
      </c>
      <c r="C2869" s="9" t="str">
        <f>IFERROR(__xludf.DUMMYFUNCTION("GOOGLETRANSLATE($A2869,""en"",""de"")"),"Karonga")</f>
        <v>Karonga</v>
      </c>
      <c r="D2869" s="9" t="str">
        <f>IFERROR(__xludf.DUMMYFUNCTION("GOOGLETRANSLATE($A2869,""en"",""fr"")"),"Karonga")</f>
        <v>Karonga</v>
      </c>
      <c r="E2869" s="9" t="str">
        <f>IFERROR(__xludf.DUMMYFUNCTION("GOOGLETRANSLATE($A2869,""en"",""es"")"),"Karonga")</f>
        <v>Karonga</v>
      </c>
      <c r="F2869" s="9" t="str">
        <f>IFERROR(__xludf.DUMMYFUNCTION("GOOGLETRANSLATE($A2869,""en"",""it"")"),"Karonga")</f>
        <v>Karonga</v>
      </c>
      <c r="G2869" s="9" t="str">
        <f>IFERROR(__xludf.DUMMYFUNCTION("GOOGLETRANSLATE($A2869,""en"",""zh-cn"")"),"卡龙加")</f>
        <v>卡龙加</v>
      </c>
      <c r="H2869" s="9" t="str">
        <f>IFERROR(__xludf.DUMMYFUNCTION("GOOGLETRANSLATE($A2869,""en"",""ja"")"),"カロンガ")</f>
        <v>カロンガ</v>
      </c>
      <c r="I2869" s="9" t="str">
        <f>IFERROR(__xludf.DUMMYFUNCTION("GOOGLETRANSLATE($A2869,""en"",""ko"")"),"카롱가")</f>
        <v>카롱가</v>
      </c>
      <c r="J2869" s="9" t="str">
        <f>IFERROR(__xludf.DUMMYFUNCTION("GOOGLETRANSLATE($A2869,""en"",""pt-BR"")"),"Karonga")</f>
        <v>Karonga</v>
      </c>
    </row>
    <row r="2870">
      <c r="A2870" s="9" t="str">
        <f>IFERROR(__xludf.DUMMYFUNCTION("""COMPUTED_VALUE"""),"Mwanza (MW)")</f>
        <v>Mwanza (MW)</v>
      </c>
      <c r="B2870" s="9" t="str">
        <f>IFERROR(__xludf.DUMMYFUNCTION("""COMPUTED_VALUE"""),"mw-mw")</f>
        <v>mw-mw</v>
      </c>
      <c r="C2870" s="9" t="str">
        <f>IFERROR(__xludf.DUMMYFUNCTION("GOOGLETRANSLATE($A2870,""en"",""de"")"),"Mwanza (MW)")</f>
        <v>Mwanza (MW)</v>
      </c>
      <c r="D2870" s="9" t="str">
        <f>IFERROR(__xludf.DUMMYFUNCTION("GOOGLETRANSLATE($A2870,""en"",""fr"")"),"Mwanza (MW)")</f>
        <v>Mwanza (MW)</v>
      </c>
      <c r="E2870" s="9" t="str">
        <f>IFERROR(__xludf.DUMMYFUNCTION("GOOGLETRANSLATE($A2870,""en"",""es"")"),"Mwanza (MW)")</f>
        <v>Mwanza (MW)</v>
      </c>
      <c r="F2870" s="9" t="str">
        <f>IFERROR(__xludf.DUMMYFUNCTION("GOOGLETRANSLATE($A2870,""en"",""it"")"),"Mwanza (MW)")</f>
        <v>Mwanza (MW)</v>
      </c>
      <c r="G2870" s="9" t="str">
        <f>IFERROR(__xludf.DUMMYFUNCTION("GOOGLETRANSLATE($A2870,""en"",""zh-cn"")"),"姆万扎 (MW)")</f>
        <v>姆万扎 (MW)</v>
      </c>
      <c r="H2870" s="9" t="str">
        <f>IFERROR(__xludf.DUMMYFUNCTION("GOOGLETRANSLATE($A2870,""en"",""ja"")"),"ムワンザ (MW)")</f>
        <v>ムワンザ (MW)</v>
      </c>
      <c r="I2870" s="9" t="str">
        <f>IFERROR(__xludf.DUMMYFUNCTION("GOOGLETRANSLATE($A2870,""en"",""ko"")"),"므완자(MW)")</f>
        <v>므완자(MW)</v>
      </c>
      <c r="J2870" s="9" t="str">
        <f>IFERROR(__xludf.DUMMYFUNCTION("GOOGLETRANSLATE($A2870,""en"",""pt-BR"")"),"Muanza (MW)")</f>
        <v>Muanza (MW)</v>
      </c>
    </row>
    <row r="2871">
      <c r="A2871" s="9" t="str">
        <f>IFERROR(__xludf.DUMMYFUNCTION("""COMPUTED_VALUE"""),"Nkhata Bay")</f>
        <v>Nkhata Bay</v>
      </c>
      <c r="B2871" s="9" t="str">
        <f>IFERROR(__xludf.DUMMYFUNCTION("""COMPUTED_VALUE"""),"mw-nb")</f>
        <v>mw-nb</v>
      </c>
      <c r="C2871" s="9" t="str">
        <f>IFERROR(__xludf.DUMMYFUNCTION("GOOGLETRANSLATE($A2871,""en"",""de"")"),"Nkhata-Bucht")</f>
        <v>Nkhata-Bucht</v>
      </c>
      <c r="D2871" s="9" t="str">
        <f>IFERROR(__xludf.DUMMYFUNCTION("GOOGLETRANSLATE($A2871,""en"",""fr"")"),"Baie de Nkhata")</f>
        <v>Baie de Nkhata</v>
      </c>
      <c r="E2871" s="9" t="str">
        <f>IFERROR(__xludf.DUMMYFUNCTION("GOOGLETRANSLATE($A2871,""en"",""es"")"),"Bahía de Nkhata")</f>
        <v>Bahía de Nkhata</v>
      </c>
      <c r="F2871" s="9" t="str">
        <f>IFERROR(__xludf.DUMMYFUNCTION("GOOGLETRANSLATE($A2871,""en"",""it"")"),"Baia di Nkhata")</f>
        <v>Baia di Nkhata</v>
      </c>
      <c r="G2871" s="9" t="str">
        <f>IFERROR(__xludf.DUMMYFUNCTION("GOOGLETRANSLATE($A2871,""en"",""zh-cn"")"),"恩卡塔湾")</f>
        <v>恩卡塔湾</v>
      </c>
      <c r="H2871" s="9" t="str">
        <f>IFERROR(__xludf.DUMMYFUNCTION("GOOGLETRANSLATE($A2871,""en"",""ja"")"),"ンクタ湾")</f>
        <v>ンクタ湾</v>
      </c>
      <c r="I2871" s="9" t="str">
        <f>IFERROR(__xludf.DUMMYFUNCTION("GOOGLETRANSLATE($A2871,""en"",""ko"")"),"은카타 베이")</f>
        <v>은카타 베이</v>
      </c>
      <c r="J2871" s="9" t="str">
        <f>IFERROR(__xludf.DUMMYFUNCTION("GOOGLETRANSLATE($A2871,""en"",""pt-BR"")"),"Baía de Nkhata")</f>
        <v>Baía de Nkhata</v>
      </c>
    </row>
    <row r="2872">
      <c r="A2872" s="9" t="str">
        <f>IFERROR(__xludf.DUMMYFUNCTION("""COMPUTED_VALUE"""),"Mulanje")</f>
        <v>Mulanje</v>
      </c>
      <c r="B2872" s="9" t="str">
        <f>IFERROR(__xludf.DUMMYFUNCTION("""COMPUTED_VALUE"""),"mw-mu")</f>
        <v>mw-mu</v>
      </c>
      <c r="C2872" s="9" t="str">
        <f>IFERROR(__xludf.DUMMYFUNCTION("GOOGLETRANSLATE($A2872,""en"",""de"")"),"Mulanje")</f>
        <v>Mulanje</v>
      </c>
      <c r="D2872" s="9" t="str">
        <f>IFERROR(__xludf.DUMMYFUNCTION("GOOGLETRANSLATE($A2872,""en"",""fr"")"),"Mulanje")</f>
        <v>Mulanje</v>
      </c>
      <c r="E2872" s="9" t="str">
        <f>IFERROR(__xludf.DUMMYFUNCTION("GOOGLETRANSLATE($A2872,""en"",""es"")"),"Mulanje")</f>
        <v>Mulanje</v>
      </c>
      <c r="F2872" s="9" t="str">
        <f>IFERROR(__xludf.DUMMYFUNCTION("GOOGLETRANSLATE($A2872,""en"",""it"")"),"Mulanje")</f>
        <v>Mulanje</v>
      </c>
      <c r="G2872" s="9" t="str">
        <f>IFERROR(__xludf.DUMMYFUNCTION("GOOGLETRANSLATE($A2872,""en"",""zh-cn"")"),"穆兰杰")</f>
        <v>穆兰杰</v>
      </c>
      <c r="H2872" s="9" t="str">
        <f>IFERROR(__xludf.DUMMYFUNCTION("GOOGLETRANSLATE($A2872,""en"",""ja"")"),"ムランジェ")</f>
        <v>ムランジェ</v>
      </c>
      <c r="I2872" s="9" t="str">
        <f>IFERROR(__xludf.DUMMYFUNCTION("GOOGLETRANSLATE($A2872,""en"",""ko"")"),"물란제")</f>
        <v>물란제</v>
      </c>
      <c r="J2872" s="9" t="str">
        <f>IFERROR(__xludf.DUMMYFUNCTION("GOOGLETRANSLATE($A2872,""en"",""pt-BR"")"),"Mulanje")</f>
        <v>Mulanje</v>
      </c>
    </row>
    <row r="2873">
      <c r="A2873" s="9" t="str">
        <f>IFERROR(__xludf.DUMMYFUNCTION("""COMPUTED_VALUE"""),"Phalombe")</f>
        <v>Phalombe</v>
      </c>
      <c r="B2873" s="9" t="str">
        <f>IFERROR(__xludf.DUMMYFUNCTION("""COMPUTED_VALUE"""),"mw-ph")</f>
        <v>mw-ph</v>
      </c>
      <c r="C2873" s="9" t="str">
        <f>IFERROR(__xludf.DUMMYFUNCTION("GOOGLETRANSLATE($A2873,""en"",""de"")"),"Phalombe")</f>
        <v>Phalombe</v>
      </c>
      <c r="D2873" s="9" t="str">
        <f>IFERROR(__xludf.DUMMYFUNCTION("GOOGLETRANSLATE($A2873,""en"",""fr"")"),"Phalombe")</f>
        <v>Phalombe</v>
      </c>
      <c r="E2873" s="9" t="str">
        <f>IFERROR(__xludf.DUMMYFUNCTION("GOOGLETRANSLATE($A2873,""en"",""es"")"),"falombe")</f>
        <v>falombe</v>
      </c>
      <c r="F2873" s="9" t="str">
        <f>IFERROR(__xludf.DUMMYFUNCTION("GOOGLETRANSLATE($A2873,""en"",""it"")"),"Phalombe")</f>
        <v>Phalombe</v>
      </c>
      <c r="G2873" s="9" t="str">
        <f>IFERROR(__xludf.DUMMYFUNCTION("GOOGLETRANSLATE($A2873,""en"",""zh-cn"")"),"法隆贝")</f>
        <v>法隆贝</v>
      </c>
      <c r="H2873" s="9" t="str">
        <f>IFERROR(__xludf.DUMMYFUNCTION("GOOGLETRANSLATE($A2873,""en"",""ja"")"),"ファロンベ")</f>
        <v>ファロンベ</v>
      </c>
      <c r="I2873" s="9" t="str">
        <f>IFERROR(__xludf.DUMMYFUNCTION("GOOGLETRANSLATE($A2873,""en"",""ko"")"),"팔롬베")</f>
        <v>팔롬베</v>
      </c>
      <c r="J2873" s="9" t="str">
        <f>IFERROR(__xludf.DUMMYFUNCTION("GOOGLETRANSLATE($A2873,""en"",""pt-BR"")"),"Falombe")</f>
        <v>Falombe</v>
      </c>
    </row>
    <row r="2874">
      <c r="A2874" s="9" t="str">
        <f>IFERROR(__xludf.DUMMYFUNCTION("""COMPUTED_VALUE"""),"Chikwawa")</f>
        <v>Chikwawa</v>
      </c>
      <c r="B2874" s="9" t="str">
        <f>IFERROR(__xludf.DUMMYFUNCTION("""COMPUTED_VALUE"""),"mw-ck")</f>
        <v>mw-ck</v>
      </c>
      <c r="C2874" s="9" t="str">
        <f>IFERROR(__xludf.DUMMYFUNCTION("GOOGLETRANSLATE($A2874,""en"",""de"")"),"Chikwawa")</f>
        <v>Chikwawa</v>
      </c>
      <c r="D2874" s="9" t="str">
        <f>IFERROR(__xludf.DUMMYFUNCTION("GOOGLETRANSLATE($A2874,""en"",""fr"")"),"Chikwawa")</f>
        <v>Chikwawa</v>
      </c>
      <c r="E2874" s="9" t="str">
        <f>IFERROR(__xludf.DUMMYFUNCTION("GOOGLETRANSLATE($A2874,""en"",""es"")"),"Chikwawa")</f>
        <v>Chikwawa</v>
      </c>
      <c r="F2874" s="9" t="str">
        <f>IFERROR(__xludf.DUMMYFUNCTION("GOOGLETRANSLATE($A2874,""en"",""it"")"),"Chikwawa")</f>
        <v>Chikwawa</v>
      </c>
      <c r="G2874" s="9" t="str">
        <f>IFERROR(__xludf.DUMMYFUNCTION("GOOGLETRANSLATE($A2874,""en"",""zh-cn"")"),"奇夸瓦")</f>
        <v>奇夸瓦</v>
      </c>
      <c r="H2874" s="9" t="str">
        <f>IFERROR(__xludf.DUMMYFUNCTION("GOOGLETRANSLATE($A2874,""en"",""ja"")"),"ちくわわ")</f>
        <v>ちくわわ</v>
      </c>
      <c r="I2874" s="9" t="str">
        <f>IFERROR(__xludf.DUMMYFUNCTION("GOOGLETRANSLATE($A2874,""en"",""ko"")"),"치콰와")</f>
        <v>치콰와</v>
      </c>
      <c r="J2874" s="9" t="str">
        <f>IFERROR(__xludf.DUMMYFUNCTION("GOOGLETRANSLATE($A2874,""en"",""pt-BR"")"),"Chikwawa")</f>
        <v>Chikwawa</v>
      </c>
    </row>
    <row r="2875">
      <c r="A2875" s="9" t="str">
        <f>IFERROR(__xludf.DUMMYFUNCTION("""COMPUTED_VALUE"""),"Blantyre")</f>
        <v>Blantyre</v>
      </c>
      <c r="B2875" s="9" t="str">
        <f>IFERROR(__xludf.DUMMYFUNCTION("""COMPUTED_VALUE"""),"mw-bl")</f>
        <v>mw-bl</v>
      </c>
      <c r="C2875" s="9" t="str">
        <f>IFERROR(__xludf.DUMMYFUNCTION("GOOGLETRANSLATE($A2875,""en"",""de"")"),"Blantyre")</f>
        <v>Blantyre</v>
      </c>
      <c r="D2875" s="9" t="str">
        <f>IFERROR(__xludf.DUMMYFUNCTION("GOOGLETRANSLATE($A2875,""en"",""fr"")"),"Blantyre")</f>
        <v>Blantyre</v>
      </c>
      <c r="E2875" s="9" t="str">
        <f>IFERROR(__xludf.DUMMYFUNCTION("GOOGLETRANSLATE($A2875,""en"",""es"")"),"Blantyre")</f>
        <v>Blantyre</v>
      </c>
      <c r="F2875" s="9" t="str">
        <f>IFERROR(__xludf.DUMMYFUNCTION("GOOGLETRANSLATE($A2875,""en"",""it"")"),"Blantyre")</f>
        <v>Blantyre</v>
      </c>
      <c r="G2875" s="9" t="str">
        <f>IFERROR(__xludf.DUMMYFUNCTION("GOOGLETRANSLATE($A2875,""en"",""zh-cn"")"),"布兰太尔")</f>
        <v>布兰太尔</v>
      </c>
      <c r="H2875" s="9" t="str">
        <f>IFERROR(__xludf.DUMMYFUNCTION("GOOGLETRANSLATE($A2875,""en"",""ja"")"),"ブランタイヤ")</f>
        <v>ブランタイヤ</v>
      </c>
      <c r="I2875" s="9" t="str">
        <f>IFERROR(__xludf.DUMMYFUNCTION("GOOGLETRANSLATE($A2875,""en"",""ko"")"),"블랜타이어")</f>
        <v>블랜타이어</v>
      </c>
      <c r="J2875" s="9" t="str">
        <f>IFERROR(__xludf.DUMMYFUNCTION("GOOGLETRANSLATE($A2875,""en"",""pt-BR"")"),"Blantyre")</f>
        <v>Blantyre</v>
      </c>
    </row>
    <row r="2876">
      <c r="A2876" s="9" t="str">
        <f>IFERROR(__xludf.DUMMYFUNCTION("""COMPUTED_VALUE"""),"Mzimba")</f>
        <v>Mzimba</v>
      </c>
      <c r="B2876" s="9" t="str">
        <f>IFERROR(__xludf.DUMMYFUNCTION("""COMPUTED_VALUE"""),"mw-mz")</f>
        <v>mw-mz</v>
      </c>
      <c r="C2876" s="9" t="str">
        <f>IFERROR(__xludf.DUMMYFUNCTION("GOOGLETRANSLATE($A2876,""en"",""de"")"),"Mzimba")</f>
        <v>Mzimba</v>
      </c>
      <c r="D2876" s="9" t="str">
        <f>IFERROR(__xludf.DUMMYFUNCTION("GOOGLETRANSLATE($A2876,""en"",""fr"")"),"Mzimba")</f>
        <v>Mzimba</v>
      </c>
      <c r="E2876" s="9" t="str">
        <f>IFERROR(__xludf.DUMMYFUNCTION("GOOGLETRANSLATE($A2876,""en"",""es"")"),"Mzimba")</f>
        <v>Mzimba</v>
      </c>
      <c r="F2876" s="9" t="str">
        <f>IFERROR(__xludf.DUMMYFUNCTION("GOOGLETRANSLATE($A2876,""en"",""it"")"),"Mzimba")</f>
        <v>Mzimba</v>
      </c>
      <c r="G2876" s="9" t="str">
        <f>IFERROR(__xludf.DUMMYFUNCTION("GOOGLETRANSLATE($A2876,""en"",""zh-cn"")"),"姆津巴")</f>
        <v>姆津巴</v>
      </c>
      <c r="H2876" s="9" t="str">
        <f>IFERROR(__xludf.DUMMYFUNCTION("GOOGLETRANSLATE($A2876,""en"",""ja"")"),"ムジンバ")</f>
        <v>ムジンバ</v>
      </c>
      <c r="I2876" s="9" t="str">
        <f>IFERROR(__xludf.DUMMYFUNCTION("GOOGLETRANSLATE($A2876,""en"",""ko"")"),"음짐바")</f>
        <v>음짐바</v>
      </c>
      <c r="J2876" s="9" t="str">
        <f>IFERROR(__xludf.DUMMYFUNCTION("GOOGLETRANSLATE($A2876,""en"",""pt-BR"")"),"Mzimba")</f>
        <v>Mzimba</v>
      </c>
    </row>
    <row r="2877">
      <c r="A2877" s="9" t="str">
        <f>IFERROR(__xludf.DUMMYFUNCTION("""COMPUTED_VALUE"""),"Thyolo")</f>
        <v>Thyolo</v>
      </c>
      <c r="B2877" s="9" t="str">
        <f>IFERROR(__xludf.DUMMYFUNCTION("""COMPUTED_VALUE"""),"mw-th")</f>
        <v>mw-th</v>
      </c>
      <c r="C2877" s="9" t="str">
        <f>IFERROR(__xludf.DUMMYFUNCTION("GOOGLETRANSLATE($A2877,""en"",""de"")"),"Thyolo")</f>
        <v>Thyolo</v>
      </c>
      <c r="D2877" s="9" t="str">
        <f>IFERROR(__xludf.DUMMYFUNCTION("GOOGLETRANSLATE($A2877,""en"",""fr"")"),"Thyolo")</f>
        <v>Thyolo</v>
      </c>
      <c r="E2877" s="9" t="str">
        <f>IFERROR(__xludf.DUMMYFUNCTION("GOOGLETRANSLATE($A2877,""en"",""es"")"),"tiolo")</f>
        <v>tiolo</v>
      </c>
      <c r="F2877" s="9" t="str">
        <f>IFERROR(__xludf.DUMMYFUNCTION("GOOGLETRANSLATE($A2877,""en"",""it"")"),"Tiolo")</f>
        <v>Tiolo</v>
      </c>
      <c r="G2877" s="9" t="str">
        <f>IFERROR(__xludf.DUMMYFUNCTION("GOOGLETRANSLATE($A2877,""en"",""zh-cn"")"),"乔洛")</f>
        <v>乔洛</v>
      </c>
      <c r="H2877" s="9" t="str">
        <f>IFERROR(__xludf.DUMMYFUNCTION("GOOGLETRANSLATE($A2877,""en"",""ja"")"),"チョロ")</f>
        <v>チョロ</v>
      </c>
      <c r="I2877" s="9" t="str">
        <f>IFERROR(__xludf.DUMMYFUNCTION("GOOGLETRANSLATE($A2877,""en"",""ko"")"),"티올로")</f>
        <v>티올로</v>
      </c>
      <c r="J2877" s="9" t="str">
        <f>IFERROR(__xludf.DUMMYFUNCTION("GOOGLETRANSLATE($A2877,""en"",""pt-BR"")"),"Tiolo")</f>
        <v>Tiolo</v>
      </c>
    </row>
    <row r="2878">
      <c r="A2878" s="9" t="str">
        <f>IFERROR(__xludf.DUMMYFUNCTION("""COMPUTED_VALUE"""),"Nsanje")</f>
        <v>Nsanje</v>
      </c>
      <c r="B2878" s="9" t="str">
        <f>IFERROR(__xludf.DUMMYFUNCTION("""COMPUTED_VALUE"""),"mw-ns")</f>
        <v>mw-ns</v>
      </c>
      <c r="C2878" s="9" t="str">
        <f>IFERROR(__xludf.DUMMYFUNCTION("GOOGLETRANSLATE($A2878,""en"",""de"")"),"Nsanje")</f>
        <v>Nsanje</v>
      </c>
      <c r="D2878" s="9" t="str">
        <f>IFERROR(__xludf.DUMMYFUNCTION("GOOGLETRANSLATE($A2878,""en"",""fr"")"),"Nsanje")</f>
        <v>Nsanje</v>
      </c>
      <c r="E2878" s="9" t="str">
        <f>IFERROR(__xludf.DUMMYFUNCTION("GOOGLETRANSLATE($A2878,""en"",""es"")"),"Nsanje")</f>
        <v>Nsanje</v>
      </c>
      <c r="F2878" s="9" t="str">
        <f>IFERROR(__xludf.DUMMYFUNCTION("GOOGLETRANSLATE($A2878,""en"",""it"")"),"Nsanje")</f>
        <v>Nsanje</v>
      </c>
      <c r="G2878" s="9" t="str">
        <f>IFERROR(__xludf.DUMMYFUNCTION("GOOGLETRANSLATE($A2878,""en"",""zh-cn"")"),"恩桑杰")</f>
        <v>恩桑杰</v>
      </c>
      <c r="H2878" s="9" t="str">
        <f>IFERROR(__xludf.DUMMYFUNCTION("GOOGLETRANSLATE($A2878,""en"",""ja"")"),"ンサンジェ")</f>
        <v>ンサンジェ</v>
      </c>
      <c r="I2878" s="9" t="str">
        <f>IFERROR(__xludf.DUMMYFUNCTION("GOOGLETRANSLATE($A2878,""en"",""ko"")"),"은산제")</f>
        <v>은산제</v>
      </c>
      <c r="J2878" s="9" t="str">
        <f>IFERROR(__xludf.DUMMYFUNCTION("GOOGLETRANSLATE($A2878,""en"",""pt-BR"")"),"Nsanje")</f>
        <v>Nsanje</v>
      </c>
    </row>
    <row r="2879">
      <c r="A2879" s="9" t="str">
        <f>IFERROR(__xludf.DUMMYFUNCTION("""COMPUTED_VALUE"""),"Zomba")</f>
        <v>Zomba</v>
      </c>
      <c r="B2879" s="9" t="str">
        <f>IFERROR(__xludf.DUMMYFUNCTION("""COMPUTED_VALUE"""),"mw-zo")</f>
        <v>mw-zo</v>
      </c>
      <c r="C2879" s="9" t="str">
        <f>IFERROR(__xludf.DUMMYFUNCTION("GOOGLETRANSLATE($A2879,""en"",""de"")"),"Zomba")</f>
        <v>Zomba</v>
      </c>
      <c r="D2879" s="9" t="str">
        <f>IFERROR(__xludf.DUMMYFUNCTION("GOOGLETRANSLATE($A2879,""en"",""fr"")"),"Zomba")</f>
        <v>Zomba</v>
      </c>
      <c r="E2879" s="9" t="str">
        <f>IFERROR(__xludf.DUMMYFUNCTION("GOOGLETRANSLATE($A2879,""en"",""es"")"),"Zomba")</f>
        <v>Zomba</v>
      </c>
      <c r="F2879" s="9" t="str">
        <f>IFERROR(__xludf.DUMMYFUNCTION("GOOGLETRANSLATE($A2879,""en"",""it"")"),"Zomba")</f>
        <v>Zomba</v>
      </c>
      <c r="G2879" s="9" t="str">
        <f>IFERROR(__xludf.DUMMYFUNCTION("GOOGLETRANSLATE($A2879,""en"",""zh-cn"")"),"松巴")</f>
        <v>松巴</v>
      </c>
      <c r="H2879" s="9" t="str">
        <f>IFERROR(__xludf.DUMMYFUNCTION("GOOGLETRANSLATE($A2879,""en"",""ja"")"),"ゾンバ")</f>
        <v>ゾンバ</v>
      </c>
      <c r="I2879" s="9" t="str">
        <f>IFERROR(__xludf.DUMMYFUNCTION("GOOGLETRANSLATE($A2879,""en"",""ko"")"),"좀바")</f>
        <v>좀바</v>
      </c>
      <c r="J2879" s="9" t="str">
        <f>IFERROR(__xludf.DUMMYFUNCTION("GOOGLETRANSLATE($A2879,""en"",""pt-BR"")"),"Zomba")</f>
        <v>Zomba</v>
      </c>
    </row>
    <row r="2880">
      <c r="A2880" s="9" t="str">
        <f>IFERROR(__xludf.DUMMYFUNCTION("""COMPUTED_VALUE"""),"Dedza")</f>
        <v>Dedza</v>
      </c>
      <c r="B2880" s="9" t="str">
        <f>IFERROR(__xludf.DUMMYFUNCTION("""COMPUTED_VALUE"""),"mw-de")</f>
        <v>mw-de</v>
      </c>
      <c r="C2880" s="9" t="str">
        <f>IFERROR(__xludf.DUMMYFUNCTION("GOOGLETRANSLATE($A2880,""en"",""de"")"),"Dedza")</f>
        <v>Dedza</v>
      </c>
      <c r="D2880" s="9" t="str">
        <f>IFERROR(__xludf.DUMMYFUNCTION("GOOGLETRANSLATE($A2880,""en"",""fr"")"),"Dedza")</f>
        <v>Dedza</v>
      </c>
      <c r="E2880" s="9" t="str">
        <f>IFERROR(__xludf.DUMMYFUNCTION("GOOGLETRANSLATE($A2880,""en"",""es"")"),"dedza")</f>
        <v>dedza</v>
      </c>
      <c r="F2880" s="9" t="str">
        <f>IFERROR(__xludf.DUMMYFUNCTION("GOOGLETRANSLATE($A2880,""en"",""it"")"),"Dedza")</f>
        <v>Dedza</v>
      </c>
      <c r="G2880" s="9" t="str">
        <f>IFERROR(__xludf.DUMMYFUNCTION("GOOGLETRANSLATE($A2880,""en"",""zh-cn"")"),"代扎")</f>
        <v>代扎</v>
      </c>
      <c r="H2880" s="9" t="str">
        <f>IFERROR(__xludf.DUMMYFUNCTION("GOOGLETRANSLATE($A2880,""en"",""ja"")"),"デッザ")</f>
        <v>デッザ</v>
      </c>
      <c r="I2880" s="9" t="str">
        <f>IFERROR(__xludf.DUMMYFUNCTION("GOOGLETRANSLATE($A2880,""en"",""ko"")"),"데자")</f>
        <v>데자</v>
      </c>
      <c r="J2880" s="9" t="str">
        <f>IFERROR(__xludf.DUMMYFUNCTION("GOOGLETRANSLATE($A2880,""en"",""pt-BR"")"),"Dedza")</f>
        <v>Dedza</v>
      </c>
    </row>
    <row r="2881">
      <c r="A2881" s="9" t="str">
        <f>IFERROR(__xludf.DUMMYFUNCTION("""COMPUTED_VALUE"""),"Nkhotakota")</f>
        <v>Nkhotakota</v>
      </c>
      <c r="B2881" s="9" t="str">
        <f>IFERROR(__xludf.DUMMYFUNCTION("""COMPUTED_VALUE"""),"mw-nk")</f>
        <v>mw-nk</v>
      </c>
      <c r="C2881" s="9" t="str">
        <f>IFERROR(__xludf.DUMMYFUNCTION("GOOGLETRANSLATE($A2881,""en"",""de"")"),"Nkhotakota")</f>
        <v>Nkhotakota</v>
      </c>
      <c r="D2881" s="9" t="str">
        <f>IFERROR(__xludf.DUMMYFUNCTION("GOOGLETRANSLATE($A2881,""en"",""fr"")"),"Nkhotakota")</f>
        <v>Nkhotakota</v>
      </c>
      <c r="E2881" s="9" t="str">
        <f>IFERROR(__xludf.DUMMYFUNCTION("GOOGLETRANSLATE($A2881,""en"",""es"")"),"Nkhotakota")</f>
        <v>Nkhotakota</v>
      </c>
      <c r="F2881" s="9" t="str">
        <f>IFERROR(__xludf.DUMMYFUNCTION("GOOGLETRANSLATE($A2881,""en"",""it"")"),"Nkhotakota")</f>
        <v>Nkhotakota</v>
      </c>
      <c r="G2881" s="9" t="str">
        <f>IFERROR(__xludf.DUMMYFUNCTION("GOOGLETRANSLATE($A2881,""en"",""zh-cn"")"),"恩科塔科塔")</f>
        <v>恩科塔科塔</v>
      </c>
      <c r="H2881" s="9" t="str">
        <f>IFERROR(__xludf.DUMMYFUNCTION("GOOGLETRANSLATE($A2881,""en"",""ja"")"),"ンクタコタ")</f>
        <v>ンクタコタ</v>
      </c>
      <c r="I2881" s="9" t="str">
        <f>IFERROR(__xludf.DUMMYFUNCTION("GOOGLETRANSLATE($A2881,""en"",""ko"")"),"은코타코타")</f>
        <v>은코타코타</v>
      </c>
      <c r="J2881" s="9" t="str">
        <f>IFERROR(__xludf.DUMMYFUNCTION("GOOGLETRANSLATE($A2881,""en"",""pt-BR"")"),"Nkhotakota")</f>
        <v>Nkhotakota</v>
      </c>
    </row>
    <row r="2882">
      <c r="A2882" s="9" t="str">
        <f>IFERROR(__xludf.DUMMYFUNCTION("""COMPUTED_VALUE"""),"Rumphi")</f>
        <v>Rumphi</v>
      </c>
      <c r="B2882" s="9" t="str">
        <f>IFERROR(__xludf.DUMMYFUNCTION("""COMPUTED_VALUE"""),"mw-ru")</f>
        <v>mw-ru</v>
      </c>
      <c r="C2882" s="9" t="str">
        <f>IFERROR(__xludf.DUMMYFUNCTION("GOOGLETRANSLATE($A2882,""en"",""de"")"),"Rumphi")</f>
        <v>Rumphi</v>
      </c>
      <c r="D2882" s="9" t="str">
        <f>IFERROR(__xludf.DUMMYFUNCTION("GOOGLETRANSLATE($A2882,""en"",""fr"")"),"Rumphi")</f>
        <v>Rumphi</v>
      </c>
      <c r="E2882" s="9" t="str">
        <f>IFERROR(__xludf.DUMMYFUNCTION("GOOGLETRANSLATE($A2882,""en"",""es"")"),"Rumphi")</f>
        <v>Rumphi</v>
      </c>
      <c r="F2882" s="9" t="str">
        <f>IFERROR(__xludf.DUMMYFUNCTION("GOOGLETRANSLATE($A2882,""en"",""it"")"),"Rumphi")</f>
        <v>Rumphi</v>
      </c>
      <c r="G2882" s="9" t="str">
        <f>IFERROR(__xludf.DUMMYFUNCTION("GOOGLETRANSLATE($A2882,""en"",""zh-cn"")"),"伦菲")</f>
        <v>伦菲</v>
      </c>
      <c r="H2882" s="9" t="str">
        <f>IFERROR(__xludf.DUMMYFUNCTION("GOOGLETRANSLATE($A2882,""en"",""ja"")"),"ルンピ")</f>
        <v>ルンピ</v>
      </c>
      <c r="I2882" s="9" t="str">
        <f>IFERROR(__xludf.DUMMYFUNCTION("GOOGLETRANSLATE($A2882,""en"",""ko"")"),"룸피")</f>
        <v>룸피</v>
      </c>
      <c r="J2882" s="9" t="str">
        <f>IFERROR(__xludf.DUMMYFUNCTION("GOOGLETRANSLATE($A2882,""en"",""pt-BR"")"),"Ruphi")</f>
        <v>Ruphi</v>
      </c>
    </row>
    <row r="2883">
      <c r="A2883" s="9" t="str">
        <f>IFERROR(__xludf.DUMMYFUNCTION("""COMPUTED_VALUE"""),"Ntcheu")</f>
        <v>Ntcheu</v>
      </c>
      <c r="B2883" s="9" t="str">
        <f>IFERROR(__xludf.DUMMYFUNCTION("""COMPUTED_VALUE"""),"mw-nu")</f>
        <v>mw-nu</v>
      </c>
      <c r="C2883" s="9" t="str">
        <f>IFERROR(__xludf.DUMMYFUNCTION("GOOGLETRANSLATE($A2883,""en"",""de"")"),"Ntcheu")</f>
        <v>Ntcheu</v>
      </c>
      <c r="D2883" s="9" t="str">
        <f>IFERROR(__xludf.DUMMYFUNCTION("GOOGLETRANSLATE($A2883,""en"",""fr"")"),"Ntcheu")</f>
        <v>Ntcheu</v>
      </c>
      <c r="E2883" s="9" t="str">
        <f>IFERROR(__xludf.DUMMYFUNCTION("GOOGLETRANSLATE($A2883,""en"",""es"")"),"Ntcheu")</f>
        <v>Ntcheu</v>
      </c>
      <c r="F2883" s="9" t="str">
        <f>IFERROR(__xludf.DUMMYFUNCTION("GOOGLETRANSLATE($A2883,""en"",""it"")"),"Ntcheu")</f>
        <v>Ntcheu</v>
      </c>
      <c r="G2883" s="9" t="str">
        <f>IFERROR(__xludf.DUMMYFUNCTION("GOOGLETRANSLATE($A2883,""en"",""zh-cn"")"),"恩切乌")</f>
        <v>恩切乌</v>
      </c>
      <c r="H2883" s="9" t="str">
        <f>IFERROR(__xludf.DUMMYFUNCTION("GOOGLETRANSLATE($A2883,""en"",""ja"")"),"ンチェウ")</f>
        <v>ンチェウ</v>
      </c>
      <c r="I2883" s="9" t="str">
        <f>IFERROR(__xludf.DUMMYFUNCTION("GOOGLETRANSLATE($A2883,""en"",""ko"")"),"은체우")</f>
        <v>은체우</v>
      </c>
      <c r="J2883" s="9" t="str">
        <f>IFERROR(__xludf.DUMMYFUNCTION("GOOGLETRANSLATE($A2883,""en"",""pt-BR"")"),"Ntcheu")</f>
        <v>Ntcheu</v>
      </c>
    </row>
    <row r="2884">
      <c r="A2884" s="9" t="str">
        <f>IFERROR(__xludf.DUMMYFUNCTION("""COMPUTED_VALUE"""),"Mchinji")</f>
        <v>Mchinji</v>
      </c>
      <c r="B2884" s="9" t="str">
        <f>IFERROR(__xludf.DUMMYFUNCTION("""COMPUTED_VALUE"""),"mw-mc")</f>
        <v>mw-mc</v>
      </c>
      <c r="C2884" s="9" t="str">
        <f>IFERROR(__xludf.DUMMYFUNCTION("GOOGLETRANSLATE($A2884,""en"",""de"")"),"Mchinji")</f>
        <v>Mchinji</v>
      </c>
      <c r="D2884" s="9" t="str">
        <f>IFERROR(__xludf.DUMMYFUNCTION("GOOGLETRANSLATE($A2884,""en"",""fr"")"),"Mchinji")</f>
        <v>Mchinji</v>
      </c>
      <c r="E2884" s="9" t="str">
        <f>IFERROR(__xludf.DUMMYFUNCTION("GOOGLETRANSLATE($A2884,""en"",""es"")"),"Mchinji")</f>
        <v>Mchinji</v>
      </c>
      <c r="F2884" s="9" t="str">
        <f>IFERROR(__xludf.DUMMYFUNCTION("GOOGLETRANSLATE($A2884,""en"",""it"")"),"Mchinji")</f>
        <v>Mchinji</v>
      </c>
      <c r="G2884" s="9" t="str">
        <f>IFERROR(__xludf.DUMMYFUNCTION("GOOGLETRANSLATE($A2884,""en"",""zh-cn"")"),"姆钦吉")</f>
        <v>姆钦吉</v>
      </c>
      <c r="H2884" s="9" t="str">
        <f>IFERROR(__xludf.DUMMYFUNCTION("GOOGLETRANSLATE($A2884,""en"",""ja"")"),"ムチンジ")</f>
        <v>ムチンジ</v>
      </c>
      <c r="I2884" s="9" t="str">
        <f>IFERROR(__xludf.DUMMYFUNCTION("GOOGLETRANSLATE($A2884,""en"",""ko"")"),"음친지")</f>
        <v>음친지</v>
      </c>
      <c r="J2884" s="9" t="str">
        <f>IFERROR(__xludf.DUMMYFUNCTION("GOOGLETRANSLATE($A2884,""en"",""pt-BR"")"),"Mchinji")</f>
        <v>Mchinji</v>
      </c>
    </row>
    <row r="2885">
      <c r="A2885" s="9" t="str">
        <f>IFERROR(__xludf.DUMMYFUNCTION("""COMPUTED_VALUE"""),"Chakumwera")</f>
        <v>Chakumwera</v>
      </c>
      <c r="B2885" s="9" t="str">
        <f>IFERROR(__xludf.DUMMYFUNCTION("""COMPUTED_VALUE"""),"mw-s")</f>
        <v>mw-s</v>
      </c>
      <c r="C2885" s="9" t="str">
        <f>IFERROR(__xludf.DUMMYFUNCTION("GOOGLETRANSLATE($A2885,""en"",""de"")"),"Chakumwera")</f>
        <v>Chakumwera</v>
      </c>
      <c r="D2885" s="9" t="str">
        <f>IFERROR(__xludf.DUMMYFUNCTION("GOOGLETRANSLATE($A2885,""en"",""fr"")"),"Chakumwera")</f>
        <v>Chakumwera</v>
      </c>
      <c r="E2885" s="9" t="str">
        <f>IFERROR(__xludf.DUMMYFUNCTION("GOOGLETRANSLATE($A2885,""en"",""es"")"),"Chakumwera")</f>
        <v>Chakumwera</v>
      </c>
      <c r="F2885" s="9" t="str">
        <f>IFERROR(__xludf.DUMMYFUNCTION("GOOGLETRANSLATE($A2885,""en"",""it"")"),"Chakumwera")</f>
        <v>Chakumwera</v>
      </c>
      <c r="G2885" s="9" t="str">
        <f>IFERROR(__xludf.DUMMYFUNCTION("GOOGLETRANSLATE($A2885,""en"",""zh-cn"")"),"查库姆韦拉")</f>
        <v>查库姆韦拉</v>
      </c>
      <c r="H2885" s="9" t="str">
        <f>IFERROR(__xludf.DUMMYFUNCTION("GOOGLETRANSLATE($A2885,""en"",""ja"")"),"チャクムウェラ")</f>
        <v>チャクムウェラ</v>
      </c>
      <c r="I2885" s="9" t="str">
        <f>IFERROR(__xludf.DUMMYFUNCTION("GOOGLETRANSLATE($A2885,""en"",""ko"")"),"차쿰웨라")</f>
        <v>차쿰웨라</v>
      </c>
      <c r="J2885" s="9" t="str">
        <f>IFERROR(__xludf.DUMMYFUNCTION("GOOGLETRANSLATE($A2885,""en"",""pt-BR"")"),"Chakumwera")</f>
        <v>Chakumwera</v>
      </c>
    </row>
    <row r="2886">
      <c r="A2886" s="9" t="str">
        <f>IFERROR(__xludf.DUMMYFUNCTION("""COMPUTED_VALUE"""),"Pahang")</f>
        <v>Pahang</v>
      </c>
      <c r="B2886" s="9" t="str">
        <f>IFERROR(__xludf.DUMMYFUNCTION("""COMPUTED_VALUE"""),"my-06")</f>
        <v>my-06</v>
      </c>
      <c r="C2886" s="9" t="str">
        <f>IFERROR(__xludf.DUMMYFUNCTION("GOOGLETRANSLATE($A2886,""en"",""de"")"),"Pahang")</f>
        <v>Pahang</v>
      </c>
      <c r="D2886" s="9" t="str">
        <f>IFERROR(__xludf.DUMMYFUNCTION("GOOGLETRANSLATE($A2886,""en"",""fr"")"),"Pahang")</f>
        <v>Pahang</v>
      </c>
      <c r="E2886" s="9" t="str">
        <f>IFERROR(__xludf.DUMMYFUNCTION("GOOGLETRANSLATE($A2886,""en"",""es"")"),"pahang")</f>
        <v>pahang</v>
      </c>
      <c r="F2886" s="9" t="str">
        <f>IFERROR(__xludf.DUMMYFUNCTION("GOOGLETRANSLATE($A2886,""en"",""it"")"),"Pahang")</f>
        <v>Pahang</v>
      </c>
      <c r="G2886" s="9" t="str">
        <f>IFERROR(__xludf.DUMMYFUNCTION("GOOGLETRANSLATE($A2886,""en"",""zh-cn"")"),"彭亨州")</f>
        <v>彭亨州</v>
      </c>
      <c r="H2886" s="9" t="str">
        <f>IFERROR(__xludf.DUMMYFUNCTION("GOOGLETRANSLATE($A2886,""en"",""ja"")"),"パハン州")</f>
        <v>パハン州</v>
      </c>
      <c r="I2886" s="9" t="str">
        <f>IFERROR(__xludf.DUMMYFUNCTION("GOOGLETRANSLATE($A2886,""en"",""ko"")"),"파항")</f>
        <v>파항</v>
      </c>
      <c r="J2886" s="9" t="str">
        <f>IFERROR(__xludf.DUMMYFUNCTION("GOOGLETRANSLATE($A2886,""en"",""pt-BR"")"),"Pahang")</f>
        <v>Pahang</v>
      </c>
    </row>
    <row r="2887">
      <c r="A2887" s="9" t="str">
        <f>IFERROR(__xludf.DUMMYFUNCTION("""COMPUTED_VALUE"""),"Johor")</f>
        <v>Johor</v>
      </c>
      <c r="B2887" s="9" t="str">
        <f>IFERROR(__xludf.DUMMYFUNCTION("""COMPUTED_VALUE"""),"my-01")</f>
        <v>my-01</v>
      </c>
      <c r="C2887" s="9" t="str">
        <f>IFERROR(__xludf.DUMMYFUNCTION("GOOGLETRANSLATE($A2887,""en"",""de"")"),"Johor")</f>
        <v>Johor</v>
      </c>
      <c r="D2887" s="9" t="str">
        <f>IFERROR(__xludf.DUMMYFUNCTION("GOOGLETRANSLATE($A2887,""en"",""fr"")"),"Johor")</f>
        <v>Johor</v>
      </c>
      <c r="E2887" s="9" t="str">
        <f>IFERROR(__xludf.DUMMYFUNCTION("GOOGLETRANSLATE($A2887,""en"",""es"")"),"Johor")</f>
        <v>Johor</v>
      </c>
      <c r="F2887" s="9" t="str">
        <f>IFERROR(__xludf.DUMMYFUNCTION("GOOGLETRANSLATE($A2887,""en"",""it"")"),"Johor")</f>
        <v>Johor</v>
      </c>
      <c r="G2887" s="9" t="str">
        <f>IFERROR(__xludf.DUMMYFUNCTION("GOOGLETRANSLATE($A2887,""en"",""zh-cn"")"),"柔佛州")</f>
        <v>柔佛州</v>
      </c>
      <c r="H2887" s="9" t="str">
        <f>IFERROR(__xludf.DUMMYFUNCTION("GOOGLETRANSLATE($A2887,""en"",""ja"")"),"ジョホール州")</f>
        <v>ジョホール州</v>
      </c>
      <c r="I2887" s="9" t="str">
        <f>IFERROR(__xludf.DUMMYFUNCTION("GOOGLETRANSLATE($A2887,""en"",""ko"")"),"조호르")</f>
        <v>조호르</v>
      </c>
      <c r="J2887" s="9" t="str">
        <f>IFERROR(__xludf.DUMMYFUNCTION("GOOGLETRANSLATE($A2887,""en"",""pt-BR"")"),"Johor")</f>
        <v>Johor</v>
      </c>
    </row>
    <row r="2888">
      <c r="A2888" s="9" t="str">
        <f>IFERROR(__xludf.DUMMYFUNCTION("""COMPUTED_VALUE"""),"Sarawak")</f>
        <v>Sarawak</v>
      </c>
      <c r="B2888" s="9" t="str">
        <f>IFERROR(__xludf.DUMMYFUNCTION("""COMPUTED_VALUE"""),"my-13")</f>
        <v>my-13</v>
      </c>
      <c r="C2888" s="9" t="str">
        <f>IFERROR(__xludf.DUMMYFUNCTION("GOOGLETRANSLATE($A2888,""en"",""de"")"),"Sarawak")</f>
        <v>Sarawak</v>
      </c>
      <c r="D2888" s="9" t="str">
        <f>IFERROR(__xludf.DUMMYFUNCTION("GOOGLETRANSLATE($A2888,""en"",""fr"")"),"Sarawak")</f>
        <v>Sarawak</v>
      </c>
      <c r="E2888" s="9" t="str">
        <f>IFERROR(__xludf.DUMMYFUNCTION("GOOGLETRANSLATE($A2888,""en"",""es"")"),"Sarawak")</f>
        <v>Sarawak</v>
      </c>
      <c r="F2888" s="9" t="str">
        <f>IFERROR(__xludf.DUMMYFUNCTION("GOOGLETRANSLATE($A2888,""en"",""it"")"),"Sarawak")</f>
        <v>Sarawak</v>
      </c>
      <c r="G2888" s="9" t="str">
        <f>IFERROR(__xludf.DUMMYFUNCTION("GOOGLETRANSLATE($A2888,""en"",""zh-cn"")"),"砂拉越")</f>
        <v>砂拉越</v>
      </c>
      <c r="H2888" s="9" t="str">
        <f>IFERROR(__xludf.DUMMYFUNCTION("GOOGLETRANSLATE($A2888,""en"",""ja"")"),"サラワク州")</f>
        <v>サラワク州</v>
      </c>
      <c r="I2888" s="9" t="str">
        <f>IFERROR(__xludf.DUMMYFUNCTION("GOOGLETRANSLATE($A2888,""en"",""ko"")"),"사라왁")</f>
        <v>사라왁</v>
      </c>
      <c r="J2888" s="9" t="str">
        <f>IFERROR(__xludf.DUMMYFUNCTION("GOOGLETRANSLATE($A2888,""en"",""pt-BR"")"),"Sarawak")</f>
        <v>Sarawak</v>
      </c>
    </row>
    <row r="2889">
      <c r="A2889" s="9" t="str">
        <f>IFERROR(__xludf.DUMMYFUNCTION("""COMPUTED_VALUE"""),"Negeri Sembilan")</f>
        <v>Negeri Sembilan</v>
      </c>
      <c r="B2889" s="9" t="str">
        <f>IFERROR(__xludf.DUMMYFUNCTION("""COMPUTED_VALUE"""),"my-05")</f>
        <v>my-05</v>
      </c>
      <c r="C2889" s="9" t="str">
        <f>IFERROR(__xludf.DUMMYFUNCTION("GOOGLETRANSLATE($A2889,""en"",""de"")"),"Negeri Sembilan")</f>
        <v>Negeri Sembilan</v>
      </c>
      <c r="D2889" s="9" t="str">
        <f>IFERROR(__xludf.DUMMYFUNCTION("GOOGLETRANSLATE($A2889,""en"",""fr"")"),"Negeri Sembilan")</f>
        <v>Negeri Sembilan</v>
      </c>
      <c r="E2889" s="9" t="str">
        <f>IFERROR(__xludf.DUMMYFUNCTION("GOOGLETRANSLATE($A2889,""en"",""es"")"),"Negeri Sembilan")</f>
        <v>Negeri Sembilan</v>
      </c>
      <c r="F2889" s="9" t="str">
        <f>IFERROR(__xludf.DUMMYFUNCTION("GOOGLETRANSLATE($A2889,""en"",""it"")"),"Negeri Sembilan")</f>
        <v>Negeri Sembilan</v>
      </c>
      <c r="G2889" s="9" t="str">
        <f>IFERROR(__xludf.DUMMYFUNCTION("GOOGLETRANSLATE($A2889,""en"",""zh-cn"")"),"森美兰州")</f>
        <v>森美兰州</v>
      </c>
      <c r="H2889" s="9" t="str">
        <f>IFERROR(__xludf.DUMMYFUNCTION("GOOGLETRANSLATE($A2889,""en"",""ja"")"),"ヌグリ・スンビラン")</f>
        <v>ヌグリ・スンビラン</v>
      </c>
      <c r="I2889" s="9" t="str">
        <f>IFERROR(__xludf.DUMMYFUNCTION("GOOGLETRANSLATE($A2889,""en"",""ko"")"),"네게리 셈빌란")</f>
        <v>네게리 셈빌란</v>
      </c>
      <c r="J2889" s="9" t="str">
        <f>IFERROR(__xludf.DUMMYFUNCTION("GOOGLETRANSLATE($A2889,""en"",""pt-BR"")"),"Negeri Sembilan")</f>
        <v>Negeri Sembilan</v>
      </c>
    </row>
    <row r="2890">
      <c r="A2890" s="9" t="str">
        <f>IFERROR(__xludf.DUMMYFUNCTION("""COMPUTED_VALUE"""),"Perlis")</f>
        <v>Perlis</v>
      </c>
      <c r="B2890" s="9" t="str">
        <f>IFERROR(__xludf.DUMMYFUNCTION("""COMPUTED_VALUE"""),"my-09")</f>
        <v>my-09</v>
      </c>
      <c r="C2890" s="9" t="str">
        <f>IFERROR(__xludf.DUMMYFUNCTION("GOOGLETRANSLATE($A2890,""en"",""de"")"),"Perlis")</f>
        <v>Perlis</v>
      </c>
      <c r="D2890" s="9" t="str">
        <f>IFERROR(__xludf.DUMMYFUNCTION("GOOGLETRANSLATE($A2890,""en"",""fr"")"),"Perlis")</f>
        <v>Perlis</v>
      </c>
      <c r="E2890" s="9" t="str">
        <f>IFERROR(__xludf.DUMMYFUNCTION("GOOGLETRANSLATE($A2890,""en"",""es"")"),"Perlis")</f>
        <v>Perlis</v>
      </c>
      <c r="F2890" s="9" t="str">
        <f>IFERROR(__xludf.DUMMYFUNCTION("GOOGLETRANSLATE($A2890,""en"",""it"")"),"Perlis")</f>
        <v>Perlis</v>
      </c>
      <c r="G2890" s="9" t="str">
        <f>IFERROR(__xludf.DUMMYFUNCTION("GOOGLETRANSLATE($A2890,""en"",""zh-cn"")"),"玻璃市")</f>
        <v>玻璃市</v>
      </c>
      <c r="H2890" s="9" t="str">
        <f>IFERROR(__xludf.DUMMYFUNCTION("GOOGLETRANSLATE($A2890,""en"",""ja"")"),"ペルリス")</f>
        <v>ペルリス</v>
      </c>
      <c r="I2890" s="9" t="str">
        <f>IFERROR(__xludf.DUMMYFUNCTION("GOOGLETRANSLATE($A2890,""en"",""ko"")"),"페를리스")</f>
        <v>페를리스</v>
      </c>
      <c r="J2890" s="9" t="str">
        <f>IFERROR(__xludf.DUMMYFUNCTION("GOOGLETRANSLATE($A2890,""en"",""pt-BR"")"),"Perlis")</f>
        <v>Perlis</v>
      </c>
    </row>
    <row r="2891">
      <c r="A2891" s="9" t="str">
        <f>IFERROR(__xludf.DUMMYFUNCTION("""COMPUTED_VALUE"""),"Terengganu")</f>
        <v>Terengganu</v>
      </c>
      <c r="B2891" s="9" t="str">
        <f>IFERROR(__xludf.DUMMYFUNCTION("""COMPUTED_VALUE"""),"my-11")</f>
        <v>my-11</v>
      </c>
      <c r="C2891" s="9" t="str">
        <f>IFERROR(__xludf.DUMMYFUNCTION("GOOGLETRANSLATE($A2891,""en"",""de"")"),"Terengganu")</f>
        <v>Terengganu</v>
      </c>
      <c r="D2891" s="9" t="str">
        <f>IFERROR(__xludf.DUMMYFUNCTION("GOOGLETRANSLATE($A2891,""en"",""fr"")"),"Terengganu")</f>
        <v>Terengganu</v>
      </c>
      <c r="E2891" s="9" t="str">
        <f>IFERROR(__xludf.DUMMYFUNCTION("GOOGLETRANSLATE($A2891,""en"",""es"")"),"terengganu")</f>
        <v>terengganu</v>
      </c>
      <c r="F2891" s="9" t="str">
        <f>IFERROR(__xludf.DUMMYFUNCTION("GOOGLETRANSLATE($A2891,""en"",""it"")"),"Terengganu")</f>
        <v>Terengganu</v>
      </c>
      <c r="G2891" s="9" t="str">
        <f>IFERROR(__xludf.DUMMYFUNCTION("GOOGLETRANSLATE($A2891,""en"",""zh-cn"")"),"登嘉楼州")</f>
        <v>登嘉楼州</v>
      </c>
      <c r="H2891" s="9" t="str">
        <f>IFERROR(__xludf.DUMMYFUNCTION("GOOGLETRANSLATE($A2891,""en"",""ja"")"),"トレンガヌ州")</f>
        <v>トレンガヌ州</v>
      </c>
      <c r="I2891" s="9" t="str">
        <f>IFERROR(__xludf.DUMMYFUNCTION("GOOGLETRANSLATE($A2891,""en"",""ko"")"),"테렝가누")</f>
        <v>테렝가누</v>
      </c>
      <c r="J2891" s="9" t="str">
        <f>IFERROR(__xludf.DUMMYFUNCTION("GOOGLETRANSLATE($A2891,""en"",""pt-BR"")"),"Terengganu")</f>
        <v>Terengganu</v>
      </c>
    </row>
    <row r="2892">
      <c r="A2892" s="9" t="str">
        <f>IFERROR(__xludf.DUMMYFUNCTION("""COMPUTED_VALUE"""),"Kedah")</f>
        <v>Kedah</v>
      </c>
      <c r="B2892" s="9" t="str">
        <f>IFERROR(__xludf.DUMMYFUNCTION("""COMPUTED_VALUE"""),"my-02")</f>
        <v>my-02</v>
      </c>
      <c r="C2892" s="9" t="str">
        <f>IFERROR(__xludf.DUMMYFUNCTION("GOOGLETRANSLATE($A2892,""en"",""de"")"),"Kedah")</f>
        <v>Kedah</v>
      </c>
      <c r="D2892" s="9" t="str">
        <f>IFERROR(__xludf.DUMMYFUNCTION("GOOGLETRANSLATE($A2892,""en"",""fr"")"),"Kéda")</f>
        <v>Kéda</v>
      </c>
      <c r="E2892" s="9" t="str">
        <f>IFERROR(__xludf.DUMMYFUNCTION("GOOGLETRANSLATE($A2892,""en"",""es"")"),"kedah")</f>
        <v>kedah</v>
      </c>
      <c r="F2892" s="9" t="str">
        <f>IFERROR(__xludf.DUMMYFUNCTION("GOOGLETRANSLATE($A2892,""en"",""it"")"),"Kedah")</f>
        <v>Kedah</v>
      </c>
      <c r="G2892" s="9" t="str">
        <f>IFERROR(__xludf.DUMMYFUNCTION("GOOGLETRANSLATE($A2892,""en"",""zh-cn"")"),"吉打州")</f>
        <v>吉打州</v>
      </c>
      <c r="H2892" s="9" t="str">
        <f>IFERROR(__xludf.DUMMYFUNCTION("GOOGLETRANSLATE($A2892,""en"",""ja"")"),"ケダ州")</f>
        <v>ケダ州</v>
      </c>
      <c r="I2892" s="9" t="str">
        <f>IFERROR(__xludf.DUMMYFUNCTION("GOOGLETRANSLATE($A2892,""en"",""ko"")"),"케다")</f>
        <v>케다</v>
      </c>
      <c r="J2892" s="9" t="str">
        <f>IFERROR(__xludf.DUMMYFUNCTION("GOOGLETRANSLATE($A2892,""en"",""pt-BR"")"),"Quedá")</f>
        <v>Quedá</v>
      </c>
    </row>
    <row r="2893">
      <c r="A2893" s="9" t="str">
        <f>IFERROR(__xludf.DUMMYFUNCTION("""COMPUTED_VALUE"""),"Selangor")</f>
        <v>Selangor</v>
      </c>
      <c r="B2893" s="9" t="str">
        <f>IFERROR(__xludf.DUMMYFUNCTION("""COMPUTED_VALUE"""),"my-10")</f>
        <v>my-10</v>
      </c>
      <c r="C2893" s="9" t="str">
        <f>IFERROR(__xludf.DUMMYFUNCTION("GOOGLETRANSLATE($A2893,""en"",""de"")"),"Selangor")</f>
        <v>Selangor</v>
      </c>
      <c r="D2893" s="9" t="str">
        <f>IFERROR(__xludf.DUMMYFUNCTION("GOOGLETRANSLATE($A2893,""en"",""fr"")"),"Selangor")</f>
        <v>Selangor</v>
      </c>
      <c r="E2893" s="9" t="str">
        <f>IFERROR(__xludf.DUMMYFUNCTION("GOOGLETRANSLATE($A2893,""en"",""es"")"),"Selangor")</f>
        <v>Selangor</v>
      </c>
      <c r="F2893" s="9" t="str">
        <f>IFERROR(__xludf.DUMMYFUNCTION("GOOGLETRANSLATE($A2893,""en"",""it"")"),"Selangor")</f>
        <v>Selangor</v>
      </c>
      <c r="G2893" s="9" t="str">
        <f>IFERROR(__xludf.DUMMYFUNCTION("GOOGLETRANSLATE($A2893,""en"",""zh-cn"")"),"雪兰莪州")</f>
        <v>雪兰莪州</v>
      </c>
      <c r="H2893" s="9" t="str">
        <f>IFERROR(__xludf.DUMMYFUNCTION("GOOGLETRANSLATE($A2893,""en"",""ja"")"),"セランゴール")</f>
        <v>セランゴール</v>
      </c>
      <c r="I2893" s="9" t="str">
        <f>IFERROR(__xludf.DUMMYFUNCTION("GOOGLETRANSLATE($A2893,""en"",""ko"")"),"셀랑고르")</f>
        <v>셀랑고르</v>
      </c>
      <c r="J2893" s="9" t="str">
        <f>IFERROR(__xludf.DUMMYFUNCTION("GOOGLETRANSLATE($A2893,""en"",""pt-BR"")"),"Selangor")</f>
        <v>Selangor</v>
      </c>
    </row>
    <row r="2894">
      <c r="A2894" s="9" t="str">
        <f>IFERROR(__xludf.DUMMYFUNCTION("""COMPUTED_VALUE"""),"Wilayah Persekutuan Labuan")</f>
        <v>Wilayah Persekutuan Labuan</v>
      </c>
      <c r="B2894" s="9" t="str">
        <f>IFERROR(__xludf.DUMMYFUNCTION("""COMPUTED_VALUE"""),"my-15")</f>
        <v>my-15</v>
      </c>
      <c r="C2894" s="9" t="str">
        <f>IFERROR(__xludf.DUMMYFUNCTION("GOOGLETRANSLATE($A2894,""en"",""de"")"),"Wilayah Persekutuan Labuan")</f>
        <v>Wilayah Persekutuan Labuan</v>
      </c>
      <c r="D2894" s="9" t="str">
        <f>IFERROR(__xludf.DUMMYFUNCTION("GOOGLETRANSLATE($A2894,""en"",""fr"")"),"Wilayah Persekutuan Labuan")</f>
        <v>Wilayah Persekutuan Labuan</v>
      </c>
      <c r="E2894" s="9" t="str">
        <f>IFERROR(__xludf.DUMMYFUNCTION("GOOGLETRANSLATE($A2894,""en"",""es"")"),"Wilayah Persekutuan Labuan")</f>
        <v>Wilayah Persekutuan Labuan</v>
      </c>
      <c r="F2894" s="9" t="str">
        <f>IFERROR(__xludf.DUMMYFUNCTION("GOOGLETRANSLATE($A2894,""en"",""it"")"),"Wilayah Persekutuan Labuan")</f>
        <v>Wilayah Persekutuan Labuan</v>
      </c>
      <c r="G2894" s="9" t="str">
        <f>IFERROR(__xludf.DUMMYFUNCTION("GOOGLETRANSLATE($A2894,""en"",""zh-cn"")"),"纳闽联邦直辖区")</f>
        <v>纳闽联邦直辖区</v>
      </c>
      <c r="H2894" s="9" t="str">
        <f>IFERROR(__xludf.DUMMYFUNCTION("GOOGLETRANSLATE($A2894,""en"",""ja"")"),"ウィラヤ・ペルセクトゥアン・ラブアン")</f>
        <v>ウィラヤ・ペルセクトゥアン・ラブアン</v>
      </c>
      <c r="I2894" s="9" t="str">
        <f>IFERROR(__xludf.DUMMYFUNCTION("GOOGLETRANSLATE($A2894,""en"",""ko"")"),"윌라야 페르세쿠투안 라부안")</f>
        <v>윌라야 페르세쿠투안 라부안</v>
      </c>
      <c r="J2894" s="9" t="str">
        <f>IFERROR(__xludf.DUMMYFUNCTION("GOOGLETRANSLATE($A2894,""en"",""pt-BR"")"),"Wilayah Persekutuan Labuan")</f>
        <v>Wilayah Persekutuan Labuan</v>
      </c>
    </row>
    <row r="2895">
      <c r="A2895" s="9" t="str">
        <f>IFERROR(__xludf.DUMMYFUNCTION("""COMPUTED_VALUE"""),"Pulau Pinang")</f>
        <v>Pulau Pinang</v>
      </c>
      <c r="B2895" s="9" t="str">
        <f>IFERROR(__xludf.DUMMYFUNCTION("""COMPUTED_VALUE"""),"my-07")</f>
        <v>my-07</v>
      </c>
      <c r="C2895" s="9" t="str">
        <f>IFERROR(__xludf.DUMMYFUNCTION("GOOGLETRANSLATE($A2895,""en"",""de"")"),"Pulau Pinang")</f>
        <v>Pulau Pinang</v>
      </c>
      <c r="D2895" s="9" t="str">
        <f>IFERROR(__xludf.DUMMYFUNCTION("GOOGLETRANSLATE($A2895,""en"",""fr"")"),"Pulau Pinang")</f>
        <v>Pulau Pinang</v>
      </c>
      <c r="E2895" s="9" t="str">
        <f>IFERROR(__xludf.DUMMYFUNCTION("GOOGLETRANSLATE($A2895,""en"",""es"")"),"Pulau Pinang")</f>
        <v>Pulau Pinang</v>
      </c>
      <c r="F2895" s="9" t="str">
        <f>IFERROR(__xludf.DUMMYFUNCTION("GOOGLETRANSLATE($A2895,""en"",""it"")"),"Pulau Pinang")</f>
        <v>Pulau Pinang</v>
      </c>
      <c r="G2895" s="9" t="str">
        <f>IFERROR(__xludf.DUMMYFUNCTION("GOOGLETRANSLATE($A2895,""en"",""zh-cn"")"),"槟城")</f>
        <v>槟城</v>
      </c>
      <c r="H2895" s="9" t="str">
        <f>IFERROR(__xludf.DUMMYFUNCTION("GOOGLETRANSLATE($A2895,""en"",""ja"")"),"ピナン島")</f>
        <v>ピナン島</v>
      </c>
      <c r="I2895" s="9" t="str">
        <f>IFERROR(__xludf.DUMMYFUNCTION("GOOGLETRANSLATE($A2895,""en"",""ko"")"),"풀라우 피낭")</f>
        <v>풀라우 피낭</v>
      </c>
      <c r="J2895" s="9" t="str">
        <f>IFERROR(__xludf.DUMMYFUNCTION("GOOGLETRANSLATE($A2895,""en"",""pt-BR"")"),"Pulau Pinang")</f>
        <v>Pulau Pinang</v>
      </c>
    </row>
    <row r="2896">
      <c r="A2896" s="9" t="str">
        <f>IFERROR(__xludf.DUMMYFUNCTION("""COMPUTED_VALUE"""),"Melaka")</f>
        <v>Melaka</v>
      </c>
      <c r="B2896" s="9" t="str">
        <f>IFERROR(__xludf.DUMMYFUNCTION("""COMPUTED_VALUE"""),"my-04")</f>
        <v>my-04</v>
      </c>
      <c r="C2896" s="9" t="str">
        <f>IFERROR(__xludf.DUMMYFUNCTION("GOOGLETRANSLATE($A2896,""en"",""de"")"),"Melaka")</f>
        <v>Melaka</v>
      </c>
      <c r="D2896" s="9" t="str">
        <f>IFERROR(__xludf.DUMMYFUNCTION("GOOGLETRANSLATE($A2896,""en"",""fr"")"),"Malacca")</f>
        <v>Malacca</v>
      </c>
      <c r="E2896" s="9" t="str">
        <f>IFERROR(__xludf.DUMMYFUNCTION("GOOGLETRANSLATE($A2896,""en"",""es"")"),"Melaka")</f>
        <v>Melaka</v>
      </c>
      <c r="F2896" s="9" t="str">
        <f>IFERROR(__xludf.DUMMYFUNCTION("GOOGLETRANSLATE($A2896,""en"",""it"")"),"Malacca")</f>
        <v>Malacca</v>
      </c>
      <c r="G2896" s="9" t="str">
        <f>IFERROR(__xludf.DUMMYFUNCTION("GOOGLETRANSLATE($A2896,""en"",""zh-cn"")"),"马六甲")</f>
        <v>马六甲</v>
      </c>
      <c r="H2896" s="9" t="str">
        <f>IFERROR(__xludf.DUMMYFUNCTION("GOOGLETRANSLATE($A2896,""en"",""ja"")"),"マラッカ")</f>
        <v>マラッカ</v>
      </c>
      <c r="I2896" s="9" t="str">
        <f>IFERROR(__xludf.DUMMYFUNCTION("GOOGLETRANSLATE($A2896,""en"",""ko"")"),"멜라카")</f>
        <v>멜라카</v>
      </c>
      <c r="J2896" s="9" t="str">
        <f>IFERROR(__xludf.DUMMYFUNCTION("GOOGLETRANSLATE($A2896,""en"",""pt-BR"")"),"Malaca")</f>
        <v>Malaca</v>
      </c>
    </row>
    <row r="2897">
      <c r="A2897" s="9" t="str">
        <f>IFERROR(__xludf.DUMMYFUNCTION("""COMPUTED_VALUE"""),"Wilayah Persekutuan Kuala Lumpur")</f>
        <v>Wilayah Persekutuan Kuala Lumpur</v>
      </c>
      <c r="B2897" s="9" t="str">
        <f>IFERROR(__xludf.DUMMYFUNCTION("""COMPUTED_VALUE"""),"my-14")</f>
        <v>my-14</v>
      </c>
      <c r="C2897" s="9" t="str">
        <f>IFERROR(__xludf.DUMMYFUNCTION("GOOGLETRANSLATE($A2897,""en"",""de"")"),"Wilayah Persekutuan Kuala Lumpur")</f>
        <v>Wilayah Persekutuan Kuala Lumpur</v>
      </c>
      <c r="D2897" s="9" t="str">
        <f>IFERROR(__xludf.DUMMYFUNCTION("GOOGLETRANSLATE($A2897,""en"",""fr"")"),"Wilayah Persekutuan Kuala Lumpur")</f>
        <v>Wilayah Persekutuan Kuala Lumpur</v>
      </c>
      <c r="E2897" s="9" t="str">
        <f>IFERROR(__xludf.DUMMYFUNCTION("GOOGLETRANSLATE($A2897,""en"",""es"")"),"Wilayah Persekutuan Kuala Lumpur")</f>
        <v>Wilayah Persekutuan Kuala Lumpur</v>
      </c>
      <c r="F2897" s="9" t="str">
        <f>IFERROR(__xludf.DUMMYFUNCTION("GOOGLETRANSLATE($A2897,""en"",""it"")"),"Wilayah Persekutuan Kuala Lumpur")</f>
        <v>Wilayah Persekutuan Kuala Lumpur</v>
      </c>
      <c r="G2897" s="9" t="str">
        <f>IFERROR(__xludf.DUMMYFUNCTION("GOOGLETRANSLATE($A2897,""en"",""zh-cn"")"),"吉隆坡联邦直辖区")</f>
        <v>吉隆坡联邦直辖区</v>
      </c>
      <c r="H2897" s="9" t="str">
        <f>IFERROR(__xludf.DUMMYFUNCTION("GOOGLETRANSLATE($A2897,""en"",""ja"")"),"ウィラヤ ペルセクトゥアン クアラルンプール")</f>
        <v>ウィラヤ ペルセクトゥアン クアラルンプール</v>
      </c>
      <c r="I2897" s="9" t="str">
        <f>IFERROR(__xludf.DUMMYFUNCTION("GOOGLETRANSLATE($A2897,""en"",""ko"")"),"윌라야 페르세쿠투안 쿠알라룸푸르")</f>
        <v>윌라야 페르세쿠투안 쿠알라룸푸르</v>
      </c>
      <c r="J2897" s="9" t="str">
        <f>IFERROR(__xludf.DUMMYFUNCTION("GOOGLETRANSLATE($A2897,""en"",""pt-BR"")"),"Wilayah Persekutuan Kuala Lumpur")</f>
        <v>Wilayah Persekutuan Kuala Lumpur</v>
      </c>
    </row>
    <row r="2898">
      <c r="A2898" s="9" t="str">
        <f>IFERROR(__xludf.DUMMYFUNCTION("""COMPUTED_VALUE"""),"Perak")</f>
        <v>Perak</v>
      </c>
      <c r="B2898" s="9" t="str">
        <f>IFERROR(__xludf.DUMMYFUNCTION("""COMPUTED_VALUE"""),"my-08")</f>
        <v>my-08</v>
      </c>
      <c r="C2898" s="9" t="str">
        <f>IFERROR(__xludf.DUMMYFUNCTION("GOOGLETRANSLATE($A2898,""en"",""de"")"),"Perak")</f>
        <v>Perak</v>
      </c>
      <c r="D2898" s="9" t="str">
        <f>IFERROR(__xludf.DUMMYFUNCTION("GOOGLETRANSLATE($A2898,""en"",""fr"")"),"Perak")</f>
        <v>Perak</v>
      </c>
      <c r="E2898" s="9" t="str">
        <f>IFERROR(__xludf.DUMMYFUNCTION("GOOGLETRANSLATE($A2898,""en"",""es"")"),"Perak")</f>
        <v>Perak</v>
      </c>
      <c r="F2898" s="9" t="str">
        <f>IFERROR(__xludf.DUMMYFUNCTION("GOOGLETRANSLATE($A2898,""en"",""it"")"),"Perak")</f>
        <v>Perak</v>
      </c>
      <c r="G2898" s="9" t="str">
        <f>IFERROR(__xludf.DUMMYFUNCTION("GOOGLETRANSLATE($A2898,""en"",""zh-cn"")"),"霹雳州")</f>
        <v>霹雳州</v>
      </c>
      <c r="H2898" s="9" t="str">
        <f>IFERROR(__xludf.DUMMYFUNCTION("GOOGLETRANSLATE($A2898,""en"",""ja"")"),"ペラ州")</f>
        <v>ペラ州</v>
      </c>
      <c r="I2898" s="9" t="str">
        <f>IFERROR(__xludf.DUMMYFUNCTION("GOOGLETRANSLATE($A2898,""en"",""ko"")"),"페락")</f>
        <v>페락</v>
      </c>
      <c r="J2898" s="9" t="str">
        <f>IFERROR(__xludf.DUMMYFUNCTION("GOOGLETRANSLATE($A2898,""en"",""pt-BR"")"),"Perak")</f>
        <v>Perak</v>
      </c>
    </row>
    <row r="2899">
      <c r="A2899" s="9" t="str">
        <f>IFERROR(__xludf.DUMMYFUNCTION("""COMPUTED_VALUE"""),"Wilayah Persekutuan Putrajaya")</f>
        <v>Wilayah Persekutuan Putrajaya</v>
      </c>
      <c r="B2899" s="9" t="str">
        <f>IFERROR(__xludf.DUMMYFUNCTION("""COMPUTED_VALUE"""),"my-16")</f>
        <v>my-16</v>
      </c>
      <c r="C2899" s="9" t="str">
        <f>IFERROR(__xludf.DUMMYFUNCTION("GOOGLETRANSLATE($A2899,""en"",""de"")"),"Wilayah Persekutuan Putrajaya")</f>
        <v>Wilayah Persekutuan Putrajaya</v>
      </c>
      <c r="D2899" s="9" t="str">
        <f>IFERROR(__xludf.DUMMYFUNCTION("GOOGLETRANSLATE($A2899,""en"",""fr"")"),"Wilayah Persekutuan Putrajaya")</f>
        <v>Wilayah Persekutuan Putrajaya</v>
      </c>
      <c r="E2899" s="9" t="str">
        <f>IFERROR(__xludf.DUMMYFUNCTION("GOOGLETRANSLATE($A2899,""en"",""es"")"),"Wilayah Persekutuan Putrajaya")</f>
        <v>Wilayah Persekutuan Putrajaya</v>
      </c>
      <c r="F2899" s="9" t="str">
        <f>IFERROR(__xludf.DUMMYFUNCTION("GOOGLETRANSLATE($A2899,""en"",""it"")"),"Wilayah Persekutuan Putrajaya")</f>
        <v>Wilayah Persekutuan Putrajaya</v>
      </c>
      <c r="G2899" s="9" t="str">
        <f>IFERROR(__xludf.DUMMYFUNCTION("GOOGLETRANSLATE($A2899,""en"",""zh-cn"")"),"布城联邦直辖区")</f>
        <v>布城联邦直辖区</v>
      </c>
      <c r="H2899" s="9" t="str">
        <f>IFERROR(__xludf.DUMMYFUNCTION("GOOGLETRANSLATE($A2899,""en"",""ja"")"),"ウィラヤ・ペルセクトゥアン・プトラジャヤ")</f>
        <v>ウィラヤ・ペルセクトゥアン・プトラジャヤ</v>
      </c>
      <c r="I2899" s="9" t="str">
        <f>IFERROR(__xludf.DUMMYFUNCTION("GOOGLETRANSLATE($A2899,""en"",""ko"")"),"윌라야 페르세쿠투안 푸트라자야")</f>
        <v>윌라야 페르세쿠투안 푸트라자야</v>
      </c>
      <c r="J2899" s="9" t="str">
        <f>IFERROR(__xludf.DUMMYFUNCTION("GOOGLETRANSLATE($A2899,""en"",""pt-BR"")"),"Wilayah Persekutuan Putrajaya")</f>
        <v>Wilayah Persekutuan Putrajaya</v>
      </c>
    </row>
    <row r="2900">
      <c r="A2900" s="9" t="str">
        <f>IFERROR(__xludf.DUMMYFUNCTION("""COMPUTED_VALUE"""),"Kelantan")</f>
        <v>Kelantan</v>
      </c>
      <c r="B2900" s="9" t="str">
        <f>IFERROR(__xludf.DUMMYFUNCTION("""COMPUTED_VALUE"""),"my-03")</f>
        <v>my-03</v>
      </c>
      <c r="C2900" s="9" t="str">
        <f>IFERROR(__xludf.DUMMYFUNCTION("GOOGLETRANSLATE($A2900,""en"",""de"")"),"Kelantan")</f>
        <v>Kelantan</v>
      </c>
      <c r="D2900" s="9" t="str">
        <f>IFERROR(__xludf.DUMMYFUNCTION("GOOGLETRANSLATE($A2900,""en"",""fr"")"),"Kelantan")</f>
        <v>Kelantan</v>
      </c>
      <c r="E2900" s="9" t="str">
        <f>IFERROR(__xludf.DUMMYFUNCTION("GOOGLETRANSLATE($A2900,""en"",""es"")"),"Kelantán")</f>
        <v>Kelantán</v>
      </c>
      <c r="F2900" s="9" t="str">
        <f>IFERROR(__xludf.DUMMYFUNCTION("GOOGLETRANSLATE($A2900,""en"",""it"")"),"Kelantan")</f>
        <v>Kelantan</v>
      </c>
      <c r="G2900" s="9" t="str">
        <f>IFERROR(__xludf.DUMMYFUNCTION("GOOGLETRANSLATE($A2900,""en"",""zh-cn"")"),"吉兰丹州")</f>
        <v>吉兰丹州</v>
      </c>
      <c r="H2900" s="9" t="str">
        <f>IFERROR(__xludf.DUMMYFUNCTION("GOOGLETRANSLATE($A2900,""en"",""ja"")"),"クランタン州")</f>
        <v>クランタン州</v>
      </c>
      <c r="I2900" s="9" t="str">
        <f>IFERROR(__xludf.DUMMYFUNCTION("GOOGLETRANSLATE($A2900,""en"",""ko"")"),"켈란탄")</f>
        <v>켈란탄</v>
      </c>
      <c r="J2900" s="9" t="str">
        <f>IFERROR(__xludf.DUMMYFUNCTION("GOOGLETRANSLATE($A2900,""en"",""pt-BR"")"),"Kelantan")</f>
        <v>Kelantan</v>
      </c>
    </row>
    <row r="2901">
      <c r="A2901" s="9" t="str">
        <f>IFERROR(__xludf.DUMMYFUNCTION("""COMPUTED_VALUE"""),"Sabah")</f>
        <v>Sabah</v>
      </c>
      <c r="B2901" s="9" t="str">
        <f>IFERROR(__xludf.DUMMYFUNCTION("""COMPUTED_VALUE"""),"my-12")</f>
        <v>my-12</v>
      </c>
      <c r="C2901" s="9" t="str">
        <f>IFERROR(__xludf.DUMMYFUNCTION("GOOGLETRANSLATE($A2901,""en"",""de"")"),"Sabah")</f>
        <v>Sabah</v>
      </c>
      <c r="D2901" s="9" t="str">
        <f>IFERROR(__xludf.DUMMYFUNCTION("GOOGLETRANSLATE($A2901,""en"",""fr"")"),"Sabah")</f>
        <v>Sabah</v>
      </c>
      <c r="E2901" s="9" t="str">
        <f>IFERROR(__xludf.DUMMYFUNCTION("GOOGLETRANSLATE($A2901,""en"",""es"")"),"sabá")</f>
        <v>sabá</v>
      </c>
      <c r="F2901" s="9" t="str">
        <f>IFERROR(__xludf.DUMMYFUNCTION("GOOGLETRANSLATE($A2901,""en"",""it"")"),"Sabah")</f>
        <v>Sabah</v>
      </c>
      <c r="G2901" s="9" t="str">
        <f>IFERROR(__xludf.DUMMYFUNCTION("GOOGLETRANSLATE($A2901,""en"",""zh-cn"")"),"沙巴")</f>
        <v>沙巴</v>
      </c>
      <c r="H2901" s="9" t="str">
        <f>IFERROR(__xludf.DUMMYFUNCTION("GOOGLETRANSLATE($A2901,""en"",""ja"")"),"サバ州")</f>
        <v>サバ州</v>
      </c>
      <c r="I2901" s="9" t="str">
        <f>IFERROR(__xludf.DUMMYFUNCTION("GOOGLETRANSLATE($A2901,""en"",""ko"")"),"사바")</f>
        <v>사바</v>
      </c>
      <c r="J2901" s="9" t="str">
        <f>IFERROR(__xludf.DUMMYFUNCTION("GOOGLETRANSLATE($A2901,""en"",""pt-BR"")"),"Sabá")</f>
        <v>Sabá</v>
      </c>
    </row>
    <row r="2902">
      <c r="A2902" s="9" t="str">
        <f>IFERROR(__xludf.DUMMYFUNCTION("""COMPUTED_VALUE"""),"Haa Dhaalu")</f>
        <v>Haa Dhaalu</v>
      </c>
      <c r="B2902" s="9" t="str">
        <f>IFERROR(__xludf.DUMMYFUNCTION("""COMPUTED_VALUE"""),"mv-23")</f>
        <v>mv-23</v>
      </c>
      <c r="C2902" s="9" t="str">
        <f>IFERROR(__xludf.DUMMYFUNCTION("GOOGLETRANSLATE($A2902,""en"",""de"")"),"Haa Dhaalu")</f>
        <v>Haa Dhaalu</v>
      </c>
      <c r="D2902" s="9" t="str">
        <f>IFERROR(__xludf.DUMMYFUNCTION("GOOGLETRANSLATE($A2902,""en"",""fr"")"),"Haa Dhaalu")</f>
        <v>Haa Dhaalu</v>
      </c>
      <c r="E2902" s="9" t="str">
        <f>IFERROR(__xludf.DUMMYFUNCTION("GOOGLETRANSLATE($A2902,""en"",""es"")"),"Haa Dhaalu")</f>
        <v>Haa Dhaalu</v>
      </c>
      <c r="F2902" s="9" t="str">
        <f>IFERROR(__xludf.DUMMYFUNCTION("GOOGLETRANSLATE($A2902,""en"",""it"")"),"Haa Dhaalu")</f>
        <v>Haa Dhaalu</v>
      </c>
      <c r="G2902" s="9" t="str">
        <f>IFERROR(__xludf.DUMMYFUNCTION("GOOGLETRANSLATE($A2902,""en"",""zh-cn"")"),"哈达鲁")</f>
        <v>哈达鲁</v>
      </c>
      <c r="H2902" s="9" t="str">
        <f>IFERROR(__xludf.DUMMYFUNCTION("GOOGLETRANSLATE($A2902,""en"",""ja"")"),"ハー・ダール")</f>
        <v>ハー・ダール</v>
      </c>
      <c r="I2902" s="9" t="str">
        <f>IFERROR(__xludf.DUMMYFUNCTION("GOOGLETRANSLATE($A2902,""en"",""ko"")"),"하달루")</f>
        <v>하달루</v>
      </c>
      <c r="J2902" s="9" t="str">
        <f>IFERROR(__xludf.DUMMYFUNCTION("GOOGLETRANSLATE($A2902,""en"",""pt-BR"")"),"Haa Dhaalu")</f>
        <v>Haa Dhaalu</v>
      </c>
    </row>
    <row r="2903">
      <c r="A2903" s="9" t="str">
        <f>IFERROR(__xludf.DUMMYFUNCTION("""COMPUTED_VALUE"""),"Kaafu")</f>
        <v>Kaafu</v>
      </c>
      <c r="B2903" s="9" t="str">
        <f>IFERROR(__xludf.DUMMYFUNCTION("""COMPUTED_VALUE"""),"mv-26")</f>
        <v>mv-26</v>
      </c>
      <c r="C2903" s="9" t="str">
        <f>IFERROR(__xludf.DUMMYFUNCTION("GOOGLETRANSLATE($A2903,""en"",""de"")"),"Kaafu")</f>
        <v>Kaafu</v>
      </c>
      <c r="D2903" s="9" t="str">
        <f>IFERROR(__xludf.DUMMYFUNCTION("GOOGLETRANSLATE($A2903,""en"",""fr"")"),"Kaafu")</f>
        <v>Kaafu</v>
      </c>
      <c r="E2903" s="9" t="str">
        <f>IFERROR(__xludf.DUMMYFUNCTION("GOOGLETRANSLATE($A2903,""en"",""es"")"),"Kaafu")</f>
        <v>Kaafu</v>
      </c>
      <c r="F2903" s="9" t="str">
        <f>IFERROR(__xludf.DUMMYFUNCTION("GOOGLETRANSLATE($A2903,""en"",""it"")"),"Kaafu")</f>
        <v>Kaafu</v>
      </c>
      <c r="G2903" s="9" t="str">
        <f>IFERROR(__xludf.DUMMYFUNCTION("GOOGLETRANSLATE($A2903,""en"",""zh-cn"")"),"卡夫")</f>
        <v>卡夫</v>
      </c>
      <c r="H2903" s="9" t="str">
        <f>IFERROR(__xludf.DUMMYFUNCTION("GOOGLETRANSLATE($A2903,""en"",""ja"")"),"カーフ")</f>
        <v>カーフ</v>
      </c>
      <c r="I2903" s="9" t="str">
        <f>IFERROR(__xludf.DUMMYFUNCTION("GOOGLETRANSLATE($A2903,""en"",""ko"")"),"카푸")</f>
        <v>카푸</v>
      </c>
      <c r="J2903" s="9" t="str">
        <f>IFERROR(__xludf.DUMMYFUNCTION("GOOGLETRANSLATE($A2903,""en"",""pt-BR"")"),"Kaafu")</f>
        <v>Kaafu</v>
      </c>
    </row>
    <row r="2904">
      <c r="A2904" s="9" t="str">
        <f>IFERROR(__xludf.DUMMYFUNCTION("""COMPUTED_VALUE"""),"Addu City")</f>
        <v>Addu City</v>
      </c>
      <c r="B2904" s="9" t="str">
        <f>IFERROR(__xludf.DUMMYFUNCTION("""COMPUTED_VALUE"""),"mv-01")</f>
        <v>mv-01</v>
      </c>
      <c r="C2904" s="9" t="str">
        <f>IFERROR(__xludf.DUMMYFUNCTION("GOOGLETRANSLATE($A2904,""en"",""de"")"),"Addu-Stadt")</f>
        <v>Addu-Stadt</v>
      </c>
      <c r="D2904" s="9" t="str">
        <f>IFERROR(__xludf.DUMMYFUNCTION("GOOGLETRANSLATE($A2904,""en"",""fr"")"),"Ville d'Addu")</f>
        <v>Ville d'Addu</v>
      </c>
      <c r="E2904" s="9" t="str">
        <f>IFERROR(__xludf.DUMMYFUNCTION("GOOGLETRANSLATE($A2904,""en"",""es"")"),"Ciudad de Addu")</f>
        <v>Ciudad de Addu</v>
      </c>
      <c r="F2904" s="9" t="str">
        <f>IFERROR(__xludf.DUMMYFUNCTION("GOOGLETRANSLATE($A2904,""en"",""it"")"),"Città di Addu")</f>
        <v>Città di Addu</v>
      </c>
      <c r="G2904" s="9" t="str">
        <f>IFERROR(__xludf.DUMMYFUNCTION("GOOGLETRANSLATE($A2904,""en"",""zh-cn"")"),"阿杜市")</f>
        <v>阿杜市</v>
      </c>
      <c r="H2904" s="9" t="str">
        <f>IFERROR(__xludf.DUMMYFUNCTION("GOOGLETRANSLATE($A2904,""en"",""ja"")"),"アドゥ市")</f>
        <v>アドゥ市</v>
      </c>
      <c r="I2904" s="9" t="str">
        <f>IFERROR(__xludf.DUMMYFUNCTION("GOOGLETRANSLATE($A2904,""en"",""ko"")"),"아두시티")</f>
        <v>아두시티</v>
      </c>
      <c r="J2904" s="9" t="str">
        <f>IFERROR(__xludf.DUMMYFUNCTION("GOOGLETRANSLATE($A2904,""en"",""pt-BR"")"),"Cidade de Addu")</f>
        <v>Cidade de Addu</v>
      </c>
    </row>
    <row r="2905">
      <c r="A2905" s="9" t="str">
        <f>IFERROR(__xludf.DUMMYFUNCTION("""COMPUTED_VALUE"""),"Laamu")</f>
        <v>Laamu</v>
      </c>
      <c r="B2905" s="9" t="str">
        <f>IFERROR(__xludf.DUMMYFUNCTION("""COMPUTED_VALUE"""),"mv-05")</f>
        <v>mv-05</v>
      </c>
      <c r="C2905" s="9" t="str">
        <f>IFERROR(__xludf.DUMMYFUNCTION("GOOGLETRANSLATE($A2905,""en"",""de"")"),"Laamu")</f>
        <v>Laamu</v>
      </c>
      <c r="D2905" s="9" t="str">
        <f>IFERROR(__xludf.DUMMYFUNCTION("GOOGLETRANSLATE($A2905,""en"",""fr"")"),"Laamu")</f>
        <v>Laamu</v>
      </c>
      <c r="E2905" s="9" t="str">
        <f>IFERROR(__xludf.DUMMYFUNCTION("GOOGLETRANSLATE($A2905,""en"",""es"")"),"Laamu")</f>
        <v>Laamu</v>
      </c>
      <c r="F2905" s="9" t="str">
        <f>IFERROR(__xludf.DUMMYFUNCTION("GOOGLETRANSLATE($A2905,""en"",""it"")"),"Laamu")</f>
        <v>Laamu</v>
      </c>
      <c r="G2905" s="9" t="str">
        <f>IFERROR(__xludf.DUMMYFUNCTION("GOOGLETRANSLATE($A2905,""en"",""zh-cn"")"),"拉姆")</f>
        <v>拉姆</v>
      </c>
      <c r="H2905" s="9" t="str">
        <f>IFERROR(__xludf.DUMMYFUNCTION("GOOGLETRANSLATE($A2905,""en"",""ja"")"),"ラーム")</f>
        <v>ラーム</v>
      </c>
      <c r="I2905" s="9" t="str">
        <f>IFERROR(__xludf.DUMMYFUNCTION("GOOGLETRANSLATE($A2905,""en"",""ko"")"),"라아무")</f>
        <v>라아무</v>
      </c>
      <c r="J2905" s="9" t="str">
        <f>IFERROR(__xludf.DUMMYFUNCTION("GOOGLETRANSLATE($A2905,""en"",""pt-BR"")"),"Laamu")</f>
        <v>Laamu</v>
      </c>
    </row>
    <row r="2906">
      <c r="A2906" s="9" t="str">
        <f>IFERROR(__xludf.DUMMYFUNCTION("""COMPUTED_VALUE"""),"Gnaviyani")</f>
        <v>Gnaviyani</v>
      </c>
      <c r="B2906" s="9" t="str">
        <f>IFERROR(__xludf.DUMMYFUNCTION("""COMPUTED_VALUE"""),"mv-29")</f>
        <v>mv-29</v>
      </c>
      <c r="C2906" s="9" t="str">
        <f>IFERROR(__xludf.DUMMYFUNCTION("GOOGLETRANSLATE($A2906,""en"",""de"")"),"Gnaviyani")</f>
        <v>Gnaviyani</v>
      </c>
      <c r="D2906" s="9" t="str">
        <f>IFERROR(__xludf.DUMMYFUNCTION("GOOGLETRANSLATE($A2906,""en"",""fr"")"),"Gnaviyani")</f>
        <v>Gnaviyani</v>
      </c>
      <c r="E2906" s="9" t="str">
        <f>IFERROR(__xludf.DUMMYFUNCTION("GOOGLETRANSLATE($A2906,""en"",""es"")"),"Gnaviyani")</f>
        <v>Gnaviyani</v>
      </c>
      <c r="F2906" s="9" t="str">
        <f>IFERROR(__xludf.DUMMYFUNCTION("GOOGLETRANSLATE($A2906,""en"",""it"")"),"Gnaviyani")</f>
        <v>Gnaviyani</v>
      </c>
      <c r="G2906" s="9" t="str">
        <f>IFERROR(__xludf.DUMMYFUNCTION("GOOGLETRANSLATE($A2906,""en"",""zh-cn"")"),"格纳维亚尼")</f>
        <v>格纳维亚尼</v>
      </c>
      <c r="H2906" s="9" t="str">
        <f>IFERROR(__xludf.DUMMYFUNCTION("GOOGLETRANSLATE($A2906,""en"",""ja"")"),"グナヴィヤニ")</f>
        <v>グナヴィヤニ</v>
      </c>
      <c r="I2906" s="9" t="str">
        <f>IFERROR(__xludf.DUMMYFUNCTION("GOOGLETRANSLATE($A2906,""en"",""ko"")"),"그나비야니")</f>
        <v>그나비야니</v>
      </c>
      <c r="J2906" s="9" t="str">
        <f>IFERROR(__xludf.DUMMYFUNCTION("GOOGLETRANSLATE($A2906,""en"",""pt-BR"")"),"Gnaviyani")</f>
        <v>Gnaviyani</v>
      </c>
    </row>
    <row r="2907">
      <c r="A2907" s="9" t="str">
        <f>IFERROR(__xludf.DUMMYFUNCTION("""COMPUTED_VALUE"""),"Vaavu")</f>
        <v>Vaavu</v>
      </c>
      <c r="B2907" s="9" t="str">
        <f>IFERROR(__xludf.DUMMYFUNCTION("""COMPUTED_VALUE"""),"mv-04")</f>
        <v>mv-04</v>
      </c>
      <c r="C2907" s="9" t="str">
        <f>IFERROR(__xludf.DUMMYFUNCTION("GOOGLETRANSLATE($A2907,""en"",""de"")"),"Vaavu")</f>
        <v>Vaavu</v>
      </c>
      <c r="D2907" s="9" t="str">
        <f>IFERROR(__xludf.DUMMYFUNCTION("GOOGLETRANSLATE($A2907,""en"",""fr"")"),"Vaavu")</f>
        <v>Vaavu</v>
      </c>
      <c r="E2907" s="9" t="str">
        <f>IFERROR(__xludf.DUMMYFUNCTION("GOOGLETRANSLATE($A2907,""en"",""es"")"),"Vaavu")</f>
        <v>Vaavu</v>
      </c>
      <c r="F2907" s="9" t="str">
        <f>IFERROR(__xludf.DUMMYFUNCTION("GOOGLETRANSLATE($A2907,""en"",""it"")"),"Vaavu")</f>
        <v>Vaavu</v>
      </c>
      <c r="G2907" s="9" t="str">
        <f>IFERROR(__xludf.DUMMYFUNCTION("GOOGLETRANSLATE($A2907,""en"",""zh-cn"")"),"瓦武")</f>
        <v>瓦武</v>
      </c>
      <c r="H2907" s="9" t="str">
        <f>IFERROR(__xludf.DUMMYFUNCTION("GOOGLETRANSLATE($A2907,""en"",""ja"")"),"ヴァーヴ")</f>
        <v>ヴァーヴ</v>
      </c>
      <c r="I2907" s="9" t="str">
        <f>IFERROR(__xludf.DUMMYFUNCTION("GOOGLETRANSLATE($A2907,""en"",""ko"")"),"바아부")</f>
        <v>바아부</v>
      </c>
      <c r="J2907" s="9" t="str">
        <f>IFERROR(__xludf.DUMMYFUNCTION("GOOGLETRANSLATE($A2907,""en"",""pt-BR"")"),"Vaavu")</f>
        <v>Vaavu</v>
      </c>
    </row>
    <row r="2908">
      <c r="A2908" s="9" t="str">
        <f>IFERROR(__xludf.DUMMYFUNCTION("""COMPUTED_VALUE"""),"Alifu Alifu")</f>
        <v>Alifu Alifu</v>
      </c>
      <c r="B2908" s="9" t="str">
        <f>IFERROR(__xludf.DUMMYFUNCTION("""COMPUTED_VALUE"""),"mv-02")</f>
        <v>mv-02</v>
      </c>
      <c r="C2908" s="9" t="str">
        <f>IFERROR(__xludf.DUMMYFUNCTION("GOOGLETRANSLATE($A2908,""en"",""de"")"),"Alifu Alifu")</f>
        <v>Alifu Alifu</v>
      </c>
      <c r="D2908" s="9" t="str">
        <f>IFERROR(__xludf.DUMMYFUNCTION("GOOGLETRANSLATE($A2908,""en"",""fr"")"),"Alifu Alifu")</f>
        <v>Alifu Alifu</v>
      </c>
      <c r="E2908" s="9" t="str">
        <f>IFERROR(__xludf.DUMMYFUNCTION("GOOGLETRANSLATE($A2908,""en"",""es"")"),"Alifu Alifu")</f>
        <v>Alifu Alifu</v>
      </c>
      <c r="F2908" s="9" t="str">
        <f>IFERROR(__xludf.DUMMYFUNCTION("GOOGLETRANSLATE($A2908,""en"",""it"")"),"Alifu Alifu")</f>
        <v>Alifu Alifu</v>
      </c>
      <c r="G2908" s="9" t="str">
        <f>IFERROR(__xludf.DUMMYFUNCTION("GOOGLETRANSLATE($A2908,""en"",""zh-cn"")"),"阿利夫阿利夫")</f>
        <v>阿利夫阿利夫</v>
      </c>
      <c r="H2908" s="9" t="str">
        <f>IFERROR(__xludf.DUMMYFUNCTION("GOOGLETRANSLATE($A2908,""en"",""ja"")"),"アリフ アリフ")</f>
        <v>アリフ アリフ</v>
      </c>
      <c r="I2908" s="9" t="str">
        <f>IFERROR(__xludf.DUMMYFUNCTION("GOOGLETRANSLATE($A2908,""en"",""ko"")"),"알리푸 알리푸")</f>
        <v>알리푸 알리푸</v>
      </c>
      <c r="J2908" s="9" t="str">
        <f>IFERROR(__xludf.DUMMYFUNCTION("GOOGLETRANSLATE($A2908,""en"",""pt-BR"")"),"Alifu Alifu")</f>
        <v>Alifu Alifu</v>
      </c>
    </row>
    <row r="2909">
      <c r="A2909" s="9" t="str">
        <f>IFERROR(__xludf.DUMMYFUNCTION("""COMPUTED_VALUE"""),"Meemu")</f>
        <v>Meemu</v>
      </c>
      <c r="B2909" s="9" t="str">
        <f>IFERROR(__xludf.DUMMYFUNCTION("""COMPUTED_VALUE"""),"mv-12")</f>
        <v>mv-12</v>
      </c>
      <c r="C2909" s="9" t="str">
        <f>IFERROR(__xludf.DUMMYFUNCTION("GOOGLETRANSLATE($A2909,""en"",""de"")"),"Meemu")</f>
        <v>Meemu</v>
      </c>
      <c r="D2909" s="9" t="str">
        <f>IFERROR(__xludf.DUMMYFUNCTION("GOOGLETRANSLATE($A2909,""en"",""fr"")"),"Meemu")</f>
        <v>Meemu</v>
      </c>
      <c r="E2909" s="9" t="str">
        <f>IFERROR(__xludf.DUMMYFUNCTION("GOOGLETRANSLATE($A2909,""en"",""es"")"),"Meemu")</f>
        <v>Meemu</v>
      </c>
      <c r="F2909" s="9" t="str">
        <f>IFERROR(__xludf.DUMMYFUNCTION("GOOGLETRANSLATE($A2909,""en"",""it"")"),"Meemu")</f>
        <v>Meemu</v>
      </c>
      <c r="G2909" s="9" t="str">
        <f>IFERROR(__xludf.DUMMYFUNCTION("GOOGLETRANSLATE($A2909,""en"",""zh-cn"")"),"米姆")</f>
        <v>米姆</v>
      </c>
      <c r="H2909" s="9" t="str">
        <f>IFERROR(__xludf.DUMMYFUNCTION("GOOGLETRANSLATE($A2909,""en"",""ja"")"),"ミーム")</f>
        <v>ミーム</v>
      </c>
      <c r="I2909" s="9" t="str">
        <f>IFERROR(__xludf.DUMMYFUNCTION("GOOGLETRANSLATE($A2909,""en"",""ko"")"),"미무")</f>
        <v>미무</v>
      </c>
      <c r="J2909" s="9" t="str">
        <f>IFERROR(__xludf.DUMMYFUNCTION("GOOGLETRANSLATE($A2909,""en"",""pt-BR"")"),"Meemu")</f>
        <v>Meemu</v>
      </c>
    </row>
    <row r="2910">
      <c r="A2910" s="9" t="str">
        <f>IFERROR(__xludf.DUMMYFUNCTION("""COMPUTED_VALUE"""),"Lhaviyani")</f>
        <v>Lhaviyani</v>
      </c>
      <c r="B2910" s="9" t="str">
        <f>IFERROR(__xludf.DUMMYFUNCTION("""COMPUTED_VALUE"""),"mv-03")</f>
        <v>mv-03</v>
      </c>
      <c r="C2910" s="9" t="str">
        <f>IFERROR(__xludf.DUMMYFUNCTION("GOOGLETRANSLATE($A2910,""en"",""de"")"),"Lhaviyani")</f>
        <v>Lhaviyani</v>
      </c>
      <c r="D2910" s="9" t="str">
        <f>IFERROR(__xludf.DUMMYFUNCTION("GOOGLETRANSLATE($A2910,""en"",""fr"")"),"Lhaviyani")</f>
        <v>Lhaviyani</v>
      </c>
      <c r="E2910" s="9" t="str">
        <f>IFERROR(__xludf.DUMMYFUNCTION("GOOGLETRANSLATE($A2910,""en"",""es"")"),"Lhaviyani")</f>
        <v>Lhaviyani</v>
      </c>
      <c r="F2910" s="9" t="str">
        <f>IFERROR(__xludf.DUMMYFUNCTION("GOOGLETRANSLATE($A2910,""en"",""it"")"),"Lhaviyani")</f>
        <v>Lhaviyani</v>
      </c>
      <c r="G2910" s="9" t="str">
        <f>IFERROR(__xludf.DUMMYFUNCTION("GOOGLETRANSLATE($A2910,""en"",""zh-cn"")"),"拉薇亚尼")</f>
        <v>拉薇亚尼</v>
      </c>
      <c r="H2910" s="9" t="str">
        <f>IFERROR(__xludf.DUMMYFUNCTION("GOOGLETRANSLATE($A2910,""en"",""ja"")"),"ラヴィヤニ")</f>
        <v>ラヴィヤニ</v>
      </c>
      <c r="I2910" s="9" t="str">
        <f>IFERROR(__xludf.DUMMYFUNCTION("GOOGLETRANSLATE($A2910,""en"",""ko"")"),"라비야니")</f>
        <v>라비야니</v>
      </c>
      <c r="J2910" s="9" t="str">
        <f>IFERROR(__xludf.DUMMYFUNCTION("GOOGLETRANSLATE($A2910,""en"",""pt-BR"")"),"Lhaviyani")</f>
        <v>Lhaviyani</v>
      </c>
    </row>
    <row r="2911">
      <c r="A2911" s="9" t="str">
        <f>IFERROR(__xludf.DUMMYFUNCTION("""COMPUTED_VALUE"""),"South Central")</f>
        <v>South Central</v>
      </c>
      <c r="B2911" s="9" t="str">
        <f>IFERROR(__xludf.DUMMYFUNCTION("""COMPUTED_VALUE"""),"mv-sc")</f>
        <v>mv-sc</v>
      </c>
      <c r="C2911" s="9" t="str">
        <f>IFERROR(__xludf.DUMMYFUNCTION("GOOGLETRANSLATE($A2911,""en"",""de"")"),"Süd-Zentral")</f>
        <v>Süd-Zentral</v>
      </c>
      <c r="D2911" s="9" t="str">
        <f>IFERROR(__xludf.DUMMYFUNCTION("GOOGLETRANSLATE($A2911,""en"",""fr"")"),"Centre-Sud")</f>
        <v>Centre-Sud</v>
      </c>
      <c r="E2911" s="9" t="str">
        <f>IFERROR(__xludf.DUMMYFUNCTION("GOOGLETRANSLATE($A2911,""en"",""es"")"),"Centro Sur")</f>
        <v>Centro Sur</v>
      </c>
      <c r="F2911" s="9" t="str">
        <f>IFERROR(__xludf.DUMMYFUNCTION("GOOGLETRANSLATE($A2911,""en"",""it"")"),"Centro-Sud")</f>
        <v>Centro-Sud</v>
      </c>
      <c r="G2911" s="9" t="str">
        <f>IFERROR(__xludf.DUMMYFUNCTION("GOOGLETRANSLATE($A2911,""en"",""zh-cn"")"),"中南部")</f>
        <v>中南部</v>
      </c>
      <c r="H2911" s="9" t="str">
        <f>IFERROR(__xludf.DUMMYFUNCTION("GOOGLETRANSLATE($A2911,""en"",""ja"")"),"サウスセントラル")</f>
        <v>サウスセントラル</v>
      </c>
      <c r="I2911" s="9" t="str">
        <f>IFERROR(__xludf.DUMMYFUNCTION("GOOGLETRANSLATE($A2911,""en"",""ko"")"),"사우스 센트럴")</f>
        <v>사우스 센트럴</v>
      </c>
      <c r="J2911" s="9" t="str">
        <f>IFERROR(__xludf.DUMMYFUNCTION("GOOGLETRANSLATE($A2911,""en"",""pt-BR"")"),"Centro-Sul")</f>
        <v>Centro-Sul</v>
      </c>
    </row>
    <row r="2912">
      <c r="A2912" s="9" t="str">
        <f>IFERROR(__xludf.DUMMYFUNCTION("""COMPUTED_VALUE"""),"Dhaalu")</f>
        <v>Dhaalu</v>
      </c>
      <c r="B2912" s="9" t="str">
        <f>IFERROR(__xludf.DUMMYFUNCTION("""COMPUTED_VALUE"""),"mv-17")</f>
        <v>mv-17</v>
      </c>
      <c r="C2912" s="9" t="str">
        <f>IFERROR(__xludf.DUMMYFUNCTION("GOOGLETRANSLATE($A2912,""en"",""de"")"),"Dhaalu")</f>
        <v>Dhaalu</v>
      </c>
      <c r="D2912" s="9" t="str">
        <f>IFERROR(__xludf.DUMMYFUNCTION("GOOGLETRANSLATE($A2912,""en"",""fr"")"),"Dhaalu")</f>
        <v>Dhaalu</v>
      </c>
      <c r="E2912" s="9" t="str">
        <f>IFERROR(__xludf.DUMMYFUNCTION("GOOGLETRANSLATE($A2912,""en"",""es"")"),"Dhaalu")</f>
        <v>Dhaalu</v>
      </c>
      <c r="F2912" s="9" t="str">
        <f>IFERROR(__xludf.DUMMYFUNCTION("GOOGLETRANSLATE($A2912,""en"",""it"")"),"Dhaalu")</f>
        <v>Dhaalu</v>
      </c>
      <c r="G2912" s="9" t="str">
        <f>IFERROR(__xludf.DUMMYFUNCTION("GOOGLETRANSLATE($A2912,""en"",""zh-cn"")"),"达哈鲁")</f>
        <v>达哈鲁</v>
      </c>
      <c r="H2912" s="9" t="str">
        <f>IFERROR(__xludf.DUMMYFUNCTION("GOOGLETRANSLATE($A2912,""en"",""ja"")"),"ダール")</f>
        <v>ダール</v>
      </c>
      <c r="I2912" s="9" t="str">
        <f>IFERROR(__xludf.DUMMYFUNCTION("GOOGLETRANSLATE($A2912,""en"",""ko"")"),"달루")</f>
        <v>달루</v>
      </c>
      <c r="J2912" s="9" t="str">
        <f>IFERROR(__xludf.DUMMYFUNCTION("GOOGLETRANSLATE($A2912,""en"",""pt-BR"")"),"Dhaalu")</f>
        <v>Dhaalu</v>
      </c>
    </row>
    <row r="2913">
      <c r="A2913" s="9" t="str">
        <f>IFERROR(__xludf.DUMMYFUNCTION("""COMPUTED_VALUE"""),"North (MV)")</f>
        <v>North (MV)</v>
      </c>
      <c r="B2913" s="9" t="str">
        <f>IFERROR(__xludf.DUMMYFUNCTION("""COMPUTED_VALUE"""),"mv-no")</f>
        <v>mv-no</v>
      </c>
      <c r="C2913" s="9" t="str">
        <f>IFERROR(__xludf.DUMMYFUNCTION("GOOGLETRANSLATE($A2913,""en"",""de"")"),"Norden (MV)")</f>
        <v>Norden (MV)</v>
      </c>
      <c r="D2913" s="9" t="str">
        <f>IFERROR(__xludf.DUMMYFUNCTION("GOOGLETRANSLATE($A2913,""en"",""fr"")"),"Nord (MV)")</f>
        <v>Nord (MV)</v>
      </c>
      <c r="E2913" s="9" t="str">
        <f>IFERROR(__xludf.DUMMYFUNCTION("GOOGLETRANSLATE($A2913,""en"",""es"")"),"Norte (MV)")</f>
        <v>Norte (MV)</v>
      </c>
      <c r="F2913" s="9" t="str">
        <f>IFERROR(__xludf.DUMMYFUNCTION("GOOGLETRANSLATE($A2913,""en"",""it"")"),"Nord (MV)")</f>
        <v>Nord (MV)</v>
      </c>
      <c r="G2913" s="9" t="str">
        <f>IFERROR(__xludf.DUMMYFUNCTION("GOOGLETRANSLATE($A2913,""en"",""zh-cn"")"),"北 (MV)")</f>
        <v>北 (MV)</v>
      </c>
      <c r="H2913" s="9" t="str">
        <f>IFERROR(__xludf.DUMMYFUNCTION("GOOGLETRANSLATE($A2913,""en"",""ja"")"),"北（MV）")</f>
        <v>北（MV）</v>
      </c>
      <c r="I2913" s="9" t="str">
        <f>IFERROR(__xludf.DUMMYFUNCTION("GOOGLETRANSLATE($A2913,""en"",""ko"")"),"북부(MV)")</f>
        <v>북부(MV)</v>
      </c>
      <c r="J2913" s="9" t="str">
        <f>IFERROR(__xludf.DUMMYFUNCTION("GOOGLETRANSLATE($A2913,""en"",""pt-BR"")"),"Norte (MV)")</f>
        <v>Norte (MV)</v>
      </c>
    </row>
    <row r="2914">
      <c r="A2914" s="9" t="str">
        <f>IFERROR(__xludf.DUMMYFUNCTION("""COMPUTED_VALUE"""),"Haa Alifu")</f>
        <v>Haa Alifu</v>
      </c>
      <c r="B2914" s="9" t="str">
        <f>IFERROR(__xludf.DUMMYFUNCTION("""COMPUTED_VALUE"""),"mv-07")</f>
        <v>mv-07</v>
      </c>
      <c r="C2914" s="9" t="str">
        <f>IFERROR(__xludf.DUMMYFUNCTION("GOOGLETRANSLATE($A2914,""en"",""de"")"),"Haa Alifu")</f>
        <v>Haa Alifu</v>
      </c>
      <c r="D2914" s="9" t="str">
        <f>IFERROR(__xludf.DUMMYFUNCTION("GOOGLETRANSLATE($A2914,""en"",""fr"")"),"Haa Alifu")</f>
        <v>Haa Alifu</v>
      </c>
      <c r="E2914" s="9" t="str">
        <f>IFERROR(__xludf.DUMMYFUNCTION("GOOGLETRANSLATE($A2914,""en"",""es"")"),"Haa Alifu")</f>
        <v>Haa Alifu</v>
      </c>
      <c r="F2914" s="9" t="str">
        <f>IFERROR(__xludf.DUMMYFUNCTION("GOOGLETRANSLATE($A2914,""en"",""it"")"),"Haa Alifu")</f>
        <v>Haa Alifu</v>
      </c>
      <c r="G2914" s="9" t="str">
        <f>IFERROR(__xludf.DUMMYFUNCTION("GOOGLETRANSLATE($A2914,""en"",""zh-cn"")"),"哈阿里夫")</f>
        <v>哈阿里夫</v>
      </c>
      <c r="H2914" s="9" t="str">
        <f>IFERROR(__xludf.DUMMYFUNCTION("GOOGLETRANSLATE($A2914,""en"",""ja"")"),"はあアリフ")</f>
        <v>はあアリフ</v>
      </c>
      <c r="I2914" s="9" t="str">
        <f>IFERROR(__xludf.DUMMYFUNCTION("GOOGLETRANSLATE($A2914,""en"",""ko"")"),"하 알리푸")</f>
        <v>하 알리푸</v>
      </c>
      <c r="J2914" s="9" t="str">
        <f>IFERROR(__xludf.DUMMYFUNCTION("GOOGLETRANSLATE($A2914,""en"",""pt-BR"")"),"Haa Alifu")</f>
        <v>Haa Alifu</v>
      </c>
    </row>
    <row r="2915">
      <c r="A2915" s="9" t="str">
        <f>IFERROR(__xludf.DUMMYFUNCTION("""COMPUTED_VALUE"""),"Raa")</f>
        <v>Raa</v>
      </c>
      <c r="B2915" s="9" t="str">
        <f>IFERROR(__xludf.DUMMYFUNCTION("""COMPUTED_VALUE"""),"mv-13")</f>
        <v>mv-13</v>
      </c>
      <c r="C2915" s="9" t="str">
        <f>IFERROR(__xludf.DUMMYFUNCTION("GOOGLETRANSLATE($A2915,""en"",""de"")"),"Raa")</f>
        <v>Raa</v>
      </c>
      <c r="D2915" s="9" t="str">
        <f>IFERROR(__xludf.DUMMYFUNCTION("GOOGLETRANSLATE($A2915,""en"",""fr"")"),"Raa")</f>
        <v>Raa</v>
      </c>
      <c r="E2915" s="9" t="str">
        <f>IFERROR(__xludf.DUMMYFUNCTION("GOOGLETRANSLATE($A2915,""en"",""es"")"),"Raa")</f>
        <v>Raa</v>
      </c>
      <c r="F2915" s="9" t="str">
        <f>IFERROR(__xludf.DUMMYFUNCTION("GOOGLETRANSLATE($A2915,""en"",""it"")"),"Raa")</f>
        <v>Raa</v>
      </c>
      <c r="G2915" s="9" t="str">
        <f>IFERROR(__xludf.DUMMYFUNCTION("GOOGLETRANSLATE($A2915,""en"",""zh-cn"")"),"拉阿")</f>
        <v>拉阿</v>
      </c>
      <c r="H2915" s="9" t="str">
        <f>IFERROR(__xludf.DUMMYFUNCTION("GOOGLETRANSLATE($A2915,""en"",""ja"")"),"ラー")</f>
        <v>ラー</v>
      </c>
      <c r="I2915" s="9" t="str">
        <f>IFERROR(__xludf.DUMMYFUNCTION("GOOGLETRANSLATE($A2915,""en"",""ko"")"),"라아")</f>
        <v>라아</v>
      </c>
      <c r="J2915" s="9" t="str">
        <f>IFERROR(__xludf.DUMMYFUNCTION("GOOGLETRANSLATE($A2915,""en"",""pt-BR"")"),"Raa")</f>
        <v>Raa</v>
      </c>
    </row>
    <row r="2916">
      <c r="A2916" s="9" t="str">
        <f>IFERROR(__xludf.DUMMYFUNCTION("""COMPUTED_VALUE"""),"Upper South")</f>
        <v>Upper South</v>
      </c>
      <c r="B2916" s="9" t="str">
        <f>IFERROR(__xludf.DUMMYFUNCTION("""COMPUTED_VALUE"""),"mv-us")</f>
        <v>mv-us</v>
      </c>
      <c r="C2916" s="9" t="str">
        <f>IFERROR(__xludf.DUMMYFUNCTION("GOOGLETRANSLATE($A2916,""en"",""de"")"),"Oberer Süden")</f>
        <v>Oberer Süden</v>
      </c>
      <c r="D2916" s="9" t="str">
        <f>IFERROR(__xludf.DUMMYFUNCTION("GOOGLETRANSLATE($A2916,""en"",""fr"")"),"Haut Sud")</f>
        <v>Haut Sud</v>
      </c>
      <c r="E2916" s="9" t="str">
        <f>IFERROR(__xludf.DUMMYFUNCTION("GOOGLETRANSLATE($A2916,""en"",""es"")"),"Alto Sur")</f>
        <v>Alto Sur</v>
      </c>
      <c r="F2916" s="9" t="str">
        <f>IFERROR(__xludf.DUMMYFUNCTION("GOOGLETRANSLATE($A2916,""en"",""it"")"),"Alto Sud")</f>
        <v>Alto Sud</v>
      </c>
      <c r="G2916" s="9" t="str">
        <f>IFERROR(__xludf.DUMMYFUNCTION("GOOGLETRANSLATE($A2916,""en"",""zh-cn"")"),"上南区")</f>
        <v>上南区</v>
      </c>
      <c r="H2916" s="9" t="str">
        <f>IFERROR(__xludf.DUMMYFUNCTION("GOOGLETRANSLATE($A2916,""en"",""ja"")"),"アッパー・サウス")</f>
        <v>アッパー・サウス</v>
      </c>
      <c r="I2916" s="9" t="str">
        <f>IFERROR(__xludf.DUMMYFUNCTION("GOOGLETRANSLATE($A2916,""en"",""ko"")"),"어퍼 사우스")</f>
        <v>어퍼 사우스</v>
      </c>
      <c r="J2916" s="9" t="str">
        <f>IFERROR(__xludf.DUMMYFUNCTION("GOOGLETRANSLATE($A2916,""en"",""pt-BR"")"),"Alto Sul")</f>
        <v>Alto Sul</v>
      </c>
    </row>
    <row r="2917">
      <c r="A2917" s="9" t="str">
        <f>IFERROR(__xludf.DUMMYFUNCTION("""COMPUTED_VALUE"""),"Male")</f>
        <v>Male</v>
      </c>
      <c r="B2917" s="9" t="str">
        <f>IFERROR(__xludf.DUMMYFUNCTION("""COMPUTED_VALUE"""),"mv-mle")</f>
        <v>mv-mle</v>
      </c>
      <c r="C2917" s="9" t="str">
        <f>IFERROR(__xludf.DUMMYFUNCTION("GOOGLETRANSLATE($A2917,""en"",""de"")"),"Männlich")</f>
        <v>Männlich</v>
      </c>
      <c r="D2917" s="9" t="str">
        <f>IFERROR(__xludf.DUMMYFUNCTION("GOOGLETRANSLATE($A2917,""en"",""fr"")"),"Mâle")</f>
        <v>Mâle</v>
      </c>
      <c r="E2917" s="9" t="str">
        <f>IFERROR(__xludf.DUMMYFUNCTION("GOOGLETRANSLATE($A2917,""en"",""es"")"),"Masculino")</f>
        <v>Masculino</v>
      </c>
      <c r="F2917" s="9" t="str">
        <f>IFERROR(__xludf.DUMMYFUNCTION("GOOGLETRANSLATE($A2917,""en"",""it"")"),"Maschio")</f>
        <v>Maschio</v>
      </c>
      <c r="G2917" s="9" t="str">
        <f>IFERROR(__xludf.DUMMYFUNCTION("GOOGLETRANSLATE($A2917,""en"",""zh-cn"")"),"男性")</f>
        <v>男性</v>
      </c>
      <c r="H2917" s="9" t="str">
        <f>IFERROR(__xludf.DUMMYFUNCTION("GOOGLETRANSLATE($A2917,""en"",""ja"")"),"男")</f>
        <v>男</v>
      </c>
      <c r="I2917" s="9" t="str">
        <f>IFERROR(__xludf.DUMMYFUNCTION("GOOGLETRANSLATE($A2917,""en"",""ko"")"),"남성")</f>
        <v>남성</v>
      </c>
      <c r="J2917" s="9" t="str">
        <f>IFERROR(__xludf.DUMMYFUNCTION("GOOGLETRANSLATE($A2917,""en"",""pt-BR"")"),"Macho")</f>
        <v>Macho</v>
      </c>
    </row>
    <row r="2918">
      <c r="A2918" s="9" t="str">
        <f>IFERROR(__xludf.DUMMYFUNCTION("""COMPUTED_VALUE"""),"South (MV)")</f>
        <v>South (MV)</v>
      </c>
      <c r="B2918" s="9" t="str">
        <f>IFERROR(__xludf.DUMMYFUNCTION("""COMPUTED_VALUE"""),"mv-su")</f>
        <v>mv-su</v>
      </c>
      <c r="C2918" s="9" t="str">
        <f>IFERROR(__xludf.DUMMYFUNCTION("GOOGLETRANSLATE($A2918,""en"",""de"")"),"Süden (MV)")</f>
        <v>Süden (MV)</v>
      </c>
      <c r="D2918" s="9" t="str">
        <f>IFERROR(__xludf.DUMMYFUNCTION("GOOGLETRANSLATE($A2918,""en"",""fr"")"),"Sud (MV)")</f>
        <v>Sud (MV)</v>
      </c>
      <c r="E2918" s="9" t="str">
        <f>IFERROR(__xludf.DUMMYFUNCTION("GOOGLETRANSLATE($A2918,""en"",""es"")"),"Sur (MV)")</f>
        <v>Sur (MV)</v>
      </c>
      <c r="F2918" s="9" t="str">
        <f>IFERROR(__xludf.DUMMYFUNCTION("GOOGLETRANSLATE($A2918,""en"",""it"")"),"Sud (MV)")</f>
        <v>Sud (MV)</v>
      </c>
      <c r="G2918" s="9" t="str">
        <f>IFERROR(__xludf.DUMMYFUNCTION("GOOGLETRANSLATE($A2918,""en"",""zh-cn"")"),"南 (MV)")</f>
        <v>南 (MV)</v>
      </c>
      <c r="H2918" s="9" t="str">
        <f>IFERROR(__xludf.DUMMYFUNCTION("GOOGLETRANSLATE($A2918,""en"",""ja"")"),"南（MV）")</f>
        <v>南（MV）</v>
      </c>
      <c r="I2918" s="9" t="str">
        <f>IFERROR(__xludf.DUMMYFUNCTION("GOOGLETRANSLATE($A2918,""en"",""ko"")"),"남부(MV)")</f>
        <v>남부(MV)</v>
      </c>
      <c r="J2918" s="9" t="str">
        <f>IFERROR(__xludf.DUMMYFUNCTION("GOOGLETRANSLATE($A2918,""en"",""pt-BR"")"),"Sul (MV)")</f>
        <v>Sul (MV)</v>
      </c>
    </row>
    <row r="2919">
      <c r="A2919" s="9" t="str">
        <f>IFERROR(__xludf.DUMMYFUNCTION("""COMPUTED_VALUE"""),"Faafu")</f>
        <v>Faafu</v>
      </c>
      <c r="B2919" s="9" t="str">
        <f>IFERROR(__xludf.DUMMYFUNCTION("""COMPUTED_VALUE"""),"mv-14")</f>
        <v>mv-14</v>
      </c>
      <c r="C2919" s="9" t="str">
        <f>IFERROR(__xludf.DUMMYFUNCTION("GOOGLETRANSLATE($A2919,""en"",""de"")"),"Faafu")</f>
        <v>Faafu</v>
      </c>
      <c r="D2919" s="9" t="str">
        <f>IFERROR(__xludf.DUMMYFUNCTION("GOOGLETRANSLATE($A2919,""en"",""fr"")"),"Faafu")</f>
        <v>Faafu</v>
      </c>
      <c r="E2919" s="9" t="str">
        <f>IFERROR(__xludf.DUMMYFUNCTION("GOOGLETRANSLATE($A2919,""en"",""es"")"),"Faafu")</f>
        <v>Faafu</v>
      </c>
      <c r="F2919" s="9" t="str">
        <f>IFERROR(__xludf.DUMMYFUNCTION("GOOGLETRANSLATE($A2919,""en"",""it"")"),"Faafu")</f>
        <v>Faafu</v>
      </c>
      <c r="G2919" s="9" t="str">
        <f>IFERROR(__xludf.DUMMYFUNCTION("GOOGLETRANSLATE($A2919,""en"",""zh-cn"")"),"法阿福")</f>
        <v>法阿福</v>
      </c>
      <c r="H2919" s="9" t="str">
        <f>IFERROR(__xludf.DUMMYFUNCTION("GOOGLETRANSLATE($A2919,""en"",""ja"")"),"ファーフ")</f>
        <v>ファーフ</v>
      </c>
      <c r="I2919" s="9" t="str">
        <f>IFERROR(__xludf.DUMMYFUNCTION("GOOGLETRANSLATE($A2919,""en"",""ko"")"),"파푸")</f>
        <v>파푸</v>
      </c>
      <c r="J2919" s="9" t="str">
        <f>IFERROR(__xludf.DUMMYFUNCTION("GOOGLETRANSLATE($A2919,""en"",""pt-BR"")"),"Faafu")</f>
        <v>Faafu</v>
      </c>
    </row>
    <row r="2920">
      <c r="A2920" s="9" t="str">
        <f>IFERROR(__xludf.DUMMYFUNCTION("""COMPUTED_VALUE"""),"Noonu")</f>
        <v>Noonu</v>
      </c>
      <c r="B2920" s="9" t="str">
        <f>IFERROR(__xludf.DUMMYFUNCTION("""COMPUTED_VALUE"""),"mv-25")</f>
        <v>mv-25</v>
      </c>
      <c r="C2920" s="9" t="str">
        <f>IFERROR(__xludf.DUMMYFUNCTION("GOOGLETRANSLATE($A2920,""en"",""de"")"),"Mittag")</f>
        <v>Mittag</v>
      </c>
      <c r="D2920" s="9" t="str">
        <f>IFERROR(__xludf.DUMMYFUNCTION("GOOGLETRANSLATE($A2920,""en"",""fr"")"),"Nounou")</f>
        <v>Nounou</v>
      </c>
      <c r="E2920" s="9" t="str">
        <f>IFERROR(__xludf.DUMMYFUNCTION("GOOGLETRANSLATE($A2920,""en"",""es"")"),"Noonu")</f>
        <v>Noonu</v>
      </c>
      <c r="F2920" s="9" t="str">
        <f>IFERROR(__xludf.DUMMYFUNCTION("GOOGLETRANSLATE($A2920,""en"",""it"")"),"Mezzogiorno")</f>
        <v>Mezzogiorno</v>
      </c>
      <c r="G2920" s="9" t="str">
        <f>IFERROR(__xludf.DUMMYFUNCTION("GOOGLETRANSLATE($A2920,""en"",""zh-cn"")"),"努努")</f>
        <v>努努</v>
      </c>
      <c r="H2920" s="9" t="str">
        <f>IFERROR(__xludf.DUMMYFUNCTION("GOOGLETRANSLATE($A2920,""en"",""ja"")"),"ヌヌ")</f>
        <v>ヌヌ</v>
      </c>
      <c r="I2920" s="9" t="str">
        <f>IFERROR(__xludf.DUMMYFUNCTION("GOOGLETRANSLATE($A2920,""en"",""ko"")"),"누누")</f>
        <v>누누</v>
      </c>
      <c r="J2920" s="9" t="str">
        <f>IFERROR(__xludf.DUMMYFUNCTION("GOOGLETRANSLATE($A2920,""en"",""pt-BR"")"),"Meio-dia")</f>
        <v>Meio-dia</v>
      </c>
    </row>
    <row r="2921">
      <c r="A2921" s="9" t="str">
        <f>IFERROR(__xludf.DUMMYFUNCTION("""COMPUTED_VALUE"""),"Central (MV)")</f>
        <v>Central (MV)</v>
      </c>
      <c r="B2921" s="9" t="str">
        <f>IFERROR(__xludf.DUMMYFUNCTION("""COMPUTED_VALUE"""),"mv-ce")</f>
        <v>mv-ce</v>
      </c>
      <c r="C2921" s="9" t="str">
        <f>IFERROR(__xludf.DUMMYFUNCTION("GOOGLETRANSLATE($A2921,""en"",""de"")"),"Zentral (MV)")</f>
        <v>Zentral (MV)</v>
      </c>
      <c r="D2921" s="9" t="str">
        <f>IFERROR(__xludf.DUMMYFUNCTION("GOOGLETRANSLATE($A2921,""en"",""fr"")"),"Centrale (VM)")</f>
        <v>Centrale (VM)</v>
      </c>
      <c r="E2921" s="9" t="str">
        <f>IFERROR(__xludf.DUMMYFUNCTION("GOOGLETRANSLATE($A2921,""en"",""es"")"),"Central (VM)")</f>
        <v>Central (VM)</v>
      </c>
      <c r="F2921" s="9" t="str">
        <f>IFERROR(__xludf.DUMMYFUNCTION("GOOGLETRANSLATE($A2921,""en"",""it"")"),"Centrale (MV)")</f>
        <v>Centrale (MV)</v>
      </c>
      <c r="G2921" s="9" t="str">
        <f>IFERROR(__xludf.DUMMYFUNCTION("GOOGLETRANSLATE($A2921,""en"",""zh-cn"")"),"中环 (MV)")</f>
        <v>中环 (MV)</v>
      </c>
      <c r="H2921" s="9" t="str">
        <f>IFERROR(__xludf.DUMMYFUNCTION("GOOGLETRANSLATE($A2921,""en"",""ja"")"),"セントラル (MV)")</f>
        <v>セントラル (MV)</v>
      </c>
      <c r="I2921" s="9" t="str">
        <f>IFERROR(__xludf.DUMMYFUNCTION("GOOGLETRANSLATE($A2921,""en"",""ko"")"),"센트럴(MV)")</f>
        <v>센트럴(MV)</v>
      </c>
      <c r="J2921" s="9" t="str">
        <f>IFERROR(__xludf.DUMMYFUNCTION("GOOGLETRANSLATE($A2921,""en"",""pt-BR"")"),"Central (MV)")</f>
        <v>Central (MV)</v>
      </c>
    </row>
    <row r="2922">
      <c r="A2922" s="9" t="str">
        <f>IFERROR(__xludf.DUMMYFUNCTION("""COMPUTED_VALUE"""),"Upper North")</f>
        <v>Upper North</v>
      </c>
      <c r="B2922" s="9" t="str">
        <f>IFERROR(__xludf.DUMMYFUNCTION("""COMPUTED_VALUE"""),"mv-un")</f>
        <v>mv-un</v>
      </c>
      <c r="C2922" s="9" t="str">
        <f>IFERROR(__xludf.DUMMYFUNCTION("GOOGLETRANSLATE($A2922,""en"",""de"")"),"Oberer Norden")</f>
        <v>Oberer Norden</v>
      </c>
      <c r="D2922" s="9" t="str">
        <f>IFERROR(__xludf.DUMMYFUNCTION("GOOGLETRANSLATE($A2922,""en"",""fr"")"),"Haut Nord")</f>
        <v>Haut Nord</v>
      </c>
      <c r="E2922" s="9" t="str">
        <f>IFERROR(__xludf.DUMMYFUNCTION("GOOGLETRANSLATE($A2922,""en"",""es"")"),"Norte superior")</f>
        <v>Norte superior</v>
      </c>
      <c r="F2922" s="9" t="str">
        <f>IFERROR(__xludf.DUMMYFUNCTION("GOOGLETRANSLATE($A2922,""en"",""it"")"),"Nord superiore")</f>
        <v>Nord superiore</v>
      </c>
      <c r="G2922" s="9" t="str">
        <f>IFERROR(__xludf.DUMMYFUNCTION("GOOGLETRANSLATE($A2922,""en"",""zh-cn"")"),"上北区")</f>
        <v>上北区</v>
      </c>
      <c r="H2922" s="9" t="str">
        <f>IFERROR(__xludf.DUMMYFUNCTION("GOOGLETRANSLATE($A2922,""en"",""ja"")"),"アッパーノース")</f>
        <v>アッパーノース</v>
      </c>
      <c r="I2922" s="9" t="str">
        <f>IFERROR(__xludf.DUMMYFUNCTION("GOOGLETRANSLATE($A2922,""en"",""ko"")"),"어퍼 노스")</f>
        <v>어퍼 노스</v>
      </c>
      <c r="J2922" s="9" t="str">
        <f>IFERROR(__xludf.DUMMYFUNCTION("GOOGLETRANSLATE($A2922,""en"",""pt-BR"")"),"Alto Norte")</f>
        <v>Alto Norte</v>
      </c>
    </row>
    <row r="2923">
      <c r="A2923" s="9" t="str">
        <f>IFERROR(__xludf.DUMMYFUNCTION("""COMPUTED_VALUE"""),"Alifu Dhaalu")</f>
        <v>Alifu Dhaalu</v>
      </c>
      <c r="B2923" s="9" t="str">
        <f>IFERROR(__xludf.DUMMYFUNCTION("""COMPUTED_VALUE"""),"mv-00")</f>
        <v>mv-00</v>
      </c>
      <c r="C2923" s="9" t="str">
        <f>IFERROR(__xludf.DUMMYFUNCTION("GOOGLETRANSLATE($A2923,""en"",""de"")"),"Alifu Dhaalu")</f>
        <v>Alifu Dhaalu</v>
      </c>
      <c r="D2923" s="9" t="str">
        <f>IFERROR(__xludf.DUMMYFUNCTION("GOOGLETRANSLATE($A2923,""en"",""fr"")"),"Alifu Dhaalu")</f>
        <v>Alifu Dhaalu</v>
      </c>
      <c r="E2923" s="9" t="str">
        <f>IFERROR(__xludf.DUMMYFUNCTION("GOOGLETRANSLATE($A2923,""en"",""es"")"),"Alifu Dhaalu")</f>
        <v>Alifu Dhaalu</v>
      </c>
      <c r="F2923" s="9" t="str">
        <f>IFERROR(__xludf.DUMMYFUNCTION("GOOGLETRANSLATE($A2923,""en"",""it"")"),"Alifu Dhaalu")</f>
        <v>Alifu Dhaalu</v>
      </c>
      <c r="G2923" s="9" t="str">
        <f>IFERROR(__xludf.DUMMYFUNCTION("GOOGLETRANSLATE($A2923,""en"",""zh-cn"")"),"阿里夫·达鲁")</f>
        <v>阿里夫·达鲁</v>
      </c>
      <c r="H2923" s="9" t="str">
        <f>IFERROR(__xludf.DUMMYFUNCTION("GOOGLETRANSLATE($A2923,""en"",""ja"")"),"アリフ・ダール")</f>
        <v>アリフ・ダール</v>
      </c>
      <c r="I2923" s="9" t="str">
        <f>IFERROR(__xludf.DUMMYFUNCTION("GOOGLETRANSLATE($A2923,""en"",""ko"")"),"알리푸 달루")</f>
        <v>알리푸 달루</v>
      </c>
      <c r="J2923" s="9" t="str">
        <f>IFERROR(__xludf.DUMMYFUNCTION("GOOGLETRANSLATE($A2923,""en"",""pt-BR"")"),"Alifu Dhaalu")</f>
        <v>Alifu Dhaalu</v>
      </c>
    </row>
    <row r="2924">
      <c r="A2924" s="9" t="str">
        <f>IFERROR(__xludf.DUMMYFUNCTION("""COMPUTED_VALUE"""),"Baa")</f>
        <v>Baa</v>
      </c>
      <c r="B2924" s="9" t="str">
        <f>IFERROR(__xludf.DUMMYFUNCTION("""COMPUTED_VALUE"""),"mv-20")</f>
        <v>mv-20</v>
      </c>
      <c r="C2924" s="9" t="str">
        <f>IFERROR(__xludf.DUMMYFUNCTION("GOOGLETRANSLATE($A2924,""en"",""de"")"),"Baa")</f>
        <v>Baa</v>
      </c>
      <c r="D2924" s="9" t="str">
        <f>IFERROR(__xludf.DUMMYFUNCTION("GOOGLETRANSLATE($A2924,""en"",""fr"")"),"Bêlement")</f>
        <v>Bêlement</v>
      </c>
      <c r="E2924" s="9" t="str">
        <f>IFERROR(__xludf.DUMMYFUNCTION("GOOGLETRANSLATE($A2924,""en"",""es"")"),"Balido")</f>
        <v>Balido</v>
      </c>
      <c r="F2924" s="9" t="str">
        <f>IFERROR(__xludf.DUMMYFUNCTION("GOOGLETRANSLATE($A2924,""en"",""it"")"),"Baa")</f>
        <v>Baa</v>
      </c>
      <c r="G2924" s="9" t="str">
        <f>IFERROR(__xludf.DUMMYFUNCTION("GOOGLETRANSLATE($A2924,""en"",""zh-cn"")"),"咩")</f>
        <v>咩</v>
      </c>
      <c r="H2924" s="9" t="str">
        <f>IFERROR(__xludf.DUMMYFUNCTION("GOOGLETRANSLATE($A2924,""en"",""ja"")"),"ばあ")</f>
        <v>ばあ</v>
      </c>
      <c r="I2924" s="9" t="str">
        <f>IFERROR(__xludf.DUMMYFUNCTION("GOOGLETRANSLATE($A2924,""en"",""ko"")"),"매매")</f>
        <v>매매</v>
      </c>
      <c r="J2924" s="9" t="str">
        <f>IFERROR(__xludf.DUMMYFUNCTION("GOOGLETRANSLATE($A2924,""en"",""pt-BR"")"),"Baa")</f>
        <v>Baa</v>
      </c>
    </row>
    <row r="2925">
      <c r="A2925" s="9" t="str">
        <f>IFERROR(__xludf.DUMMYFUNCTION("""COMPUTED_VALUE"""),"Thaa")</f>
        <v>Thaa</v>
      </c>
      <c r="B2925" s="9" t="str">
        <f>IFERROR(__xludf.DUMMYFUNCTION("""COMPUTED_VALUE"""),"mv-08")</f>
        <v>mv-08</v>
      </c>
      <c r="C2925" s="9" t="str">
        <f>IFERROR(__xludf.DUMMYFUNCTION("GOOGLETRANSLATE($A2925,""en"",""de"")"),"Thaa")</f>
        <v>Thaa</v>
      </c>
      <c r="D2925" s="9" t="str">
        <f>IFERROR(__xludf.DUMMYFUNCTION("GOOGLETRANSLATE($A2925,""en"",""fr"")"),"Thaa")</f>
        <v>Thaa</v>
      </c>
      <c r="E2925" s="9" t="str">
        <f>IFERROR(__xludf.DUMMYFUNCTION("GOOGLETRANSLATE($A2925,""en"",""es"")"),"Thaa")</f>
        <v>Thaa</v>
      </c>
      <c r="F2925" s="9" t="str">
        <f>IFERROR(__xludf.DUMMYFUNCTION("GOOGLETRANSLATE($A2925,""en"",""it"")"),"Thaa")</f>
        <v>Thaa</v>
      </c>
      <c r="G2925" s="9" t="str">
        <f>IFERROR(__xludf.DUMMYFUNCTION("GOOGLETRANSLATE($A2925,""en"",""zh-cn"")"),"塔阿")</f>
        <v>塔阿</v>
      </c>
      <c r="H2925" s="9" t="str">
        <f>IFERROR(__xludf.DUMMYFUNCTION("GOOGLETRANSLATE($A2925,""en"",""ja"")"),"たぁ")</f>
        <v>たぁ</v>
      </c>
      <c r="I2925" s="9" t="str">
        <f>IFERROR(__xludf.DUMMYFUNCTION("GOOGLETRANSLATE($A2925,""en"",""ko"")"),"타")</f>
        <v>타</v>
      </c>
      <c r="J2925" s="9" t="str">
        <f>IFERROR(__xludf.DUMMYFUNCTION("GOOGLETRANSLATE($A2925,""en"",""pt-BR"")"),"Taa")</f>
        <v>Taa</v>
      </c>
    </row>
    <row r="2926">
      <c r="A2926" s="9" t="str">
        <f>IFERROR(__xludf.DUMMYFUNCTION("""COMPUTED_VALUE"""),"Gaafu Alifu")</f>
        <v>Gaafu Alifu</v>
      </c>
      <c r="B2926" s="9" t="str">
        <f>IFERROR(__xludf.DUMMYFUNCTION("""COMPUTED_VALUE"""),"mv-27")</f>
        <v>mv-27</v>
      </c>
      <c r="C2926" s="9" t="str">
        <f>IFERROR(__xludf.DUMMYFUNCTION("GOOGLETRANSLATE($A2926,""en"",""de"")"),"Gaafu Alifu")</f>
        <v>Gaafu Alifu</v>
      </c>
      <c r="D2926" s="9" t="str">
        <f>IFERROR(__xludf.DUMMYFUNCTION("GOOGLETRANSLATE($A2926,""en"",""fr"")"),"Gaafu Alifu")</f>
        <v>Gaafu Alifu</v>
      </c>
      <c r="E2926" s="9" t="str">
        <f>IFERROR(__xludf.DUMMYFUNCTION("GOOGLETRANSLATE($A2926,""en"",""es"")"),"Gaafu Alifu")</f>
        <v>Gaafu Alifu</v>
      </c>
      <c r="F2926" s="9" t="str">
        <f>IFERROR(__xludf.DUMMYFUNCTION("GOOGLETRANSLATE($A2926,""en"",""it"")"),"Gaafu Alifu")</f>
        <v>Gaafu Alifu</v>
      </c>
      <c r="G2926" s="9" t="str">
        <f>IFERROR(__xludf.DUMMYFUNCTION("GOOGLETRANSLATE($A2926,""en"",""zh-cn"")"),"加夫阿利夫")</f>
        <v>加夫阿利夫</v>
      </c>
      <c r="H2926" s="9" t="str">
        <f>IFERROR(__xludf.DUMMYFUNCTION("GOOGLETRANSLATE($A2926,""en"",""ja"")"),"ガーフ・アリフ")</f>
        <v>ガーフ・アリフ</v>
      </c>
      <c r="I2926" s="9" t="str">
        <f>IFERROR(__xludf.DUMMYFUNCTION("GOOGLETRANSLATE($A2926,""en"",""ko"")"),"가푸 알리푸")</f>
        <v>가푸 알리푸</v>
      </c>
      <c r="J2926" s="9" t="str">
        <f>IFERROR(__xludf.DUMMYFUNCTION("GOOGLETRANSLATE($A2926,""en"",""pt-BR"")"),"Gaafu Alifu")</f>
        <v>Gaafu Alifu</v>
      </c>
    </row>
    <row r="2927">
      <c r="A2927" s="9" t="str">
        <f>IFERROR(__xludf.DUMMYFUNCTION("""COMPUTED_VALUE"""),"North Central")</f>
        <v>North Central</v>
      </c>
      <c r="B2927" s="9" t="str">
        <f>IFERROR(__xludf.DUMMYFUNCTION("""COMPUTED_VALUE"""),"mv-nc")</f>
        <v>mv-nc</v>
      </c>
      <c r="C2927" s="9" t="str">
        <f>IFERROR(__xludf.DUMMYFUNCTION("GOOGLETRANSLATE($A2927,""en"",""de"")"),"Nord-Zentral")</f>
        <v>Nord-Zentral</v>
      </c>
      <c r="D2927" s="9" t="str">
        <f>IFERROR(__xludf.DUMMYFUNCTION("GOOGLETRANSLATE($A2927,""en"",""fr"")"),"Centre-Nord")</f>
        <v>Centre-Nord</v>
      </c>
      <c r="E2927" s="9" t="str">
        <f>IFERROR(__xludf.DUMMYFUNCTION("GOOGLETRANSLATE($A2927,""en"",""es"")"),"Centro Norte")</f>
        <v>Centro Norte</v>
      </c>
      <c r="F2927" s="9" t="str">
        <f>IFERROR(__xludf.DUMMYFUNCTION("GOOGLETRANSLATE($A2927,""en"",""it"")"),"Centro-Nord")</f>
        <v>Centro-Nord</v>
      </c>
      <c r="G2927" s="9" t="str">
        <f>IFERROR(__xludf.DUMMYFUNCTION("GOOGLETRANSLATE($A2927,""en"",""zh-cn"")"),"中北部")</f>
        <v>中北部</v>
      </c>
      <c r="H2927" s="9" t="str">
        <f>IFERROR(__xludf.DUMMYFUNCTION("GOOGLETRANSLATE($A2927,""en"",""ja"")"),"ノースセントラル")</f>
        <v>ノースセントラル</v>
      </c>
      <c r="I2927" s="9" t="str">
        <f>IFERROR(__xludf.DUMMYFUNCTION("GOOGLETRANSLATE($A2927,""en"",""ko"")"),"노스 센트럴")</f>
        <v>노스 센트럴</v>
      </c>
      <c r="J2927" s="9" t="str">
        <f>IFERROR(__xludf.DUMMYFUNCTION("GOOGLETRANSLATE($A2927,""en"",""pt-BR"")"),"Centro Norte")</f>
        <v>Centro Norte</v>
      </c>
    </row>
    <row r="2928">
      <c r="A2928" s="9" t="str">
        <f>IFERROR(__xludf.DUMMYFUNCTION("""COMPUTED_VALUE"""),"Shaviyani")</f>
        <v>Shaviyani</v>
      </c>
      <c r="B2928" s="9" t="str">
        <f>IFERROR(__xludf.DUMMYFUNCTION("""COMPUTED_VALUE"""),"mv-24")</f>
        <v>mv-24</v>
      </c>
      <c r="C2928" s="9" t="str">
        <f>IFERROR(__xludf.DUMMYFUNCTION("GOOGLETRANSLATE($A2928,""en"",""de"")"),"Shaviyani")</f>
        <v>Shaviyani</v>
      </c>
      <c r="D2928" s="9" t="str">
        <f>IFERROR(__xludf.DUMMYFUNCTION("GOOGLETRANSLATE($A2928,""en"",""fr"")"),"Shaviyani")</f>
        <v>Shaviyani</v>
      </c>
      <c r="E2928" s="9" t="str">
        <f>IFERROR(__xludf.DUMMYFUNCTION("GOOGLETRANSLATE($A2928,""en"",""es"")"),"Shaviyani")</f>
        <v>Shaviyani</v>
      </c>
      <c r="F2928" s="9" t="str">
        <f>IFERROR(__xludf.DUMMYFUNCTION("GOOGLETRANSLATE($A2928,""en"",""it"")"),"Shaviyani")</f>
        <v>Shaviyani</v>
      </c>
      <c r="G2928" s="9" t="str">
        <f>IFERROR(__xludf.DUMMYFUNCTION("GOOGLETRANSLATE($A2928,""en"",""zh-cn"")"),"沙维亚尼")</f>
        <v>沙维亚尼</v>
      </c>
      <c r="H2928" s="9" t="str">
        <f>IFERROR(__xludf.DUMMYFUNCTION("GOOGLETRANSLATE($A2928,""en"",""ja"")"),"シャヴィヤニ")</f>
        <v>シャヴィヤニ</v>
      </c>
      <c r="I2928" s="9" t="str">
        <f>IFERROR(__xludf.DUMMYFUNCTION("GOOGLETRANSLATE($A2928,""en"",""ko"")"),"샤비야니")</f>
        <v>샤비야니</v>
      </c>
      <c r="J2928" s="9" t="str">
        <f>IFERROR(__xludf.DUMMYFUNCTION("GOOGLETRANSLATE($A2928,""en"",""pt-BR"")"),"Shaviyani")</f>
        <v>Shaviyani</v>
      </c>
    </row>
    <row r="2929">
      <c r="A2929" s="9" t="str">
        <f>IFERROR(__xludf.DUMMYFUNCTION("""COMPUTED_VALUE"""),"Gaafu Dhaalu")</f>
        <v>Gaafu Dhaalu</v>
      </c>
      <c r="B2929" s="9" t="str">
        <f>IFERROR(__xludf.DUMMYFUNCTION("""COMPUTED_VALUE"""),"mv-28")</f>
        <v>mv-28</v>
      </c>
      <c r="C2929" s="9" t="str">
        <f>IFERROR(__xludf.DUMMYFUNCTION("GOOGLETRANSLATE($A2929,""en"",""de"")"),"Gaafu Dhaalu")</f>
        <v>Gaafu Dhaalu</v>
      </c>
      <c r="D2929" s="9" t="str">
        <f>IFERROR(__xludf.DUMMYFUNCTION("GOOGLETRANSLATE($A2929,""en"",""fr"")"),"Gaafu Dhaalu")</f>
        <v>Gaafu Dhaalu</v>
      </c>
      <c r="E2929" s="9" t="str">
        <f>IFERROR(__xludf.DUMMYFUNCTION("GOOGLETRANSLATE($A2929,""en"",""es"")"),"Gaafu Dhaalu")</f>
        <v>Gaafu Dhaalu</v>
      </c>
      <c r="F2929" s="9" t="str">
        <f>IFERROR(__xludf.DUMMYFUNCTION("GOOGLETRANSLATE($A2929,""en"",""it"")"),"Gaafu Dhaalu")</f>
        <v>Gaafu Dhaalu</v>
      </c>
      <c r="G2929" s="9" t="str">
        <f>IFERROR(__xludf.DUMMYFUNCTION("GOOGLETRANSLATE($A2929,""en"",""zh-cn"")"),"加夫达哈鲁")</f>
        <v>加夫达哈鲁</v>
      </c>
      <c r="H2929" s="9" t="str">
        <f>IFERROR(__xludf.DUMMYFUNCTION("GOOGLETRANSLATE($A2929,""en"",""ja"")"),"ガーフ・ダール")</f>
        <v>ガーフ・ダール</v>
      </c>
      <c r="I2929" s="9" t="str">
        <f>IFERROR(__xludf.DUMMYFUNCTION("GOOGLETRANSLATE($A2929,""en"",""ko"")"),"가푸 달루")</f>
        <v>가푸 달루</v>
      </c>
      <c r="J2929" s="9" t="str">
        <f>IFERROR(__xludf.DUMMYFUNCTION("GOOGLETRANSLATE($A2929,""en"",""pt-BR"")"),"Gaafu Dhaalu")</f>
        <v>Gaafu Dhaalu</v>
      </c>
    </row>
    <row r="2930">
      <c r="A2930" s="9" t="str">
        <f>IFERROR(__xludf.DUMMYFUNCTION("""COMPUTED_VALUE"""),"Bamako")</f>
        <v>Bamako</v>
      </c>
      <c r="B2930" s="9" t="str">
        <f>IFERROR(__xludf.DUMMYFUNCTION("""COMPUTED_VALUE"""),"ml-bko")</f>
        <v>ml-bko</v>
      </c>
      <c r="C2930" s="9" t="str">
        <f>IFERROR(__xludf.DUMMYFUNCTION("GOOGLETRANSLATE($A2930,""en"",""de"")"),"Bamako")</f>
        <v>Bamako</v>
      </c>
      <c r="D2930" s="9" t="str">
        <f>IFERROR(__xludf.DUMMYFUNCTION("GOOGLETRANSLATE($A2930,""en"",""fr"")"),"Bamako")</f>
        <v>Bamako</v>
      </c>
      <c r="E2930" s="9" t="str">
        <f>IFERROR(__xludf.DUMMYFUNCTION("GOOGLETRANSLATE($A2930,""en"",""es"")"),"Bamako")</f>
        <v>Bamako</v>
      </c>
      <c r="F2930" s="9" t="str">
        <f>IFERROR(__xludf.DUMMYFUNCTION("GOOGLETRANSLATE($A2930,""en"",""it"")"),"Bamako")</f>
        <v>Bamako</v>
      </c>
      <c r="G2930" s="9" t="str">
        <f>IFERROR(__xludf.DUMMYFUNCTION("GOOGLETRANSLATE($A2930,""en"",""zh-cn"")"),"巴马科")</f>
        <v>巴马科</v>
      </c>
      <c r="H2930" s="9" t="str">
        <f>IFERROR(__xludf.DUMMYFUNCTION("GOOGLETRANSLATE($A2930,""en"",""ja"")"),"バマコ")</f>
        <v>バマコ</v>
      </c>
      <c r="I2930" s="9" t="str">
        <f>IFERROR(__xludf.DUMMYFUNCTION("GOOGLETRANSLATE($A2930,""en"",""ko"")"),"바마코")</f>
        <v>바마코</v>
      </c>
      <c r="J2930" s="9" t="str">
        <f>IFERROR(__xludf.DUMMYFUNCTION("GOOGLETRANSLATE($A2930,""en"",""pt-BR"")"),"Bamako")</f>
        <v>Bamako</v>
      </c>
    </row>
    <row r="2931">
      <c r="A2931" s="9" t="str">
        <f>IFERROR(__xludf.DUMMYFUNCTION("""COMPUTED_VALUE"""),"Ménaka")</f>
        <v>Ménaka</v>
      </c>
      <c r="B2931" s="9" t="str">
        <f>IFERROR(__xludf.DUMMYFUNCTION("""COMPUTED_VALUE"""),"ml-9")</f>
        <v>ml-9</v>
      </c>
      <c r="C2931" s="9" t="str">
        <f>IFERROR(__xludf.DUMMYFUNCTION("GOOGLETRANSLATE($A2931,""en"",""de"")"),"Menaka")</f>
        <v>Menaka</v>
      </c>
      <c r="D2931" s="9" t="str">
        <f>IFERROR(__xludf.DUMMYFUNCTION("GOOGLETRANSLATE($A2931,""en"",""fr"")"),"Ménaka")</f>
        <v>Ménaka</v>
      </c>
      <c r="E2931" s="9" t="str">
        <f>IFERROR(__xludf.DUMMYFUNCTION("GOOGLETRANSLATE($A2931,""en"",""es"")"),"Ménaka")</f>
        <v>Ménaka</v>
      </c>
      <c r="F2931" s="9" t="str">
        <f>IFERROR(__xludf.DUMMYFUNCTION("GOOGLETRANSLATE($A2931,""en"",""it"")"),"Menaka")</f>
        <v>Menaka</v>
      </c>
      <c r="G2931" s="9" t="str">
        <f>IFERROR(__xludf.DUMMYFUNCTION("GOOGLETRANSLATE($A2931,""en"",""zh-cn"")"),"梅纳卡")</f>
        <v>梅纳卡</v>
      </c>
      <c r="H2931" s="9" t="str">
        <f>IFERROR(__xludf.DUMMYFUNCTION("GOOGLETRANSLATE($A2931,""en"",""ja"")"),"メナカ")</f>
        <v>メナカ</v>
      </c>
      <c r="I2931" s="9" t="str">
        <f>IFERROR(__xludf.DUMMYFUNCTION("GOOGLETRANSLATE($A2931,""en"",""ko"")"),"메나카")</f>
        <v>메나카</v>
      </c>
      <c r="J2931" s="9" t="str">
        <f>IFERROR(__xludf.DUMMYFUNCTION("GOOGLETRANSLATE($A2931,""en"",""pt-BR"")"),"Ménaka")</f>
        <v>Ménaka</v>
      </c>
    </row>
    <row r="2932">
      <c r="A2932" s="9" t="str">
        <f>IFERROR(__xludf.DUMMYFUNCTION("""COMPUTED_VALUE"""),"Taoudénit")</f>
        <v>Taoudénit</v>
      </c>
      <c r="B2932" s="9" t="str">
        <f>IFERROR(__xludf.DUMMYFUNCTION("""COMPUTED_VALUE"""),"ml-10")</f>
        <v>ml-10</v>
      </c>
      <c r="C2932" s="9" t="str">
        <f>IFERROR(__xludf.DUMMYFUNCTION("GOOGLETRANSLATE($A2932,""en"",""de"")"),"Taoudénit")</f>
        <v>Taoudénit</v>
      </c>
      <c r="D2932" s="9" t="str">
        <f>IFERROR(__xludf.DUMMYFUNCTION("GOOGLETRANSLATE($A2932,""en"",""fr"")"),"Taoudenit")</f>
        <v>Taoudenit</v>
      </c>
      <c r="E2932" s="9" t="str">
        <f>IFERROR(__xludf.DUMMYFUNCTION("GOOGLETRANSLATE($A2932,""en"",""es"")"),"Taoudénit")</f>
        <v>Taoudénit</v>
      </c>
      <c r="F2932" s="9" t="str">
        <f>IFERROR(__xludf.DUMMYFUNCTION("GOOGLETRANSLATE($A2932,""en"",""it"")"),"Taoudénit")</f>
        <v>Taoudénit</v>
      </c>
      <c r="G2932" s="9" t="str">
        <f>IFERROR(__xludf.DUMMYFUNCTION("GOOGLETRANSLATE($A2932,""en"",""zh-cn"")"),"陶德尼特")</f>
        <v>陶德尼特</v>
      </c>
      <c r="H2932" s="9" t="str">
        <f>IFERROR(__xludf.DUMMYFUNCTION("GOOGLETRANSLATE($A2932,""en"",""ja"")"),"タウデニット")</f>
        <v>タウデニット</v>
      </c>
      <c r="I2932" s="9" t="str">
        <f>IFERROR(__xludf.DUMMYFUNCTION("GOOGLETRANSLATE($A2932,""en"",""ko"")"),"타우데니트")</f>
        <v>타우데니트</v>
      </c>
      <c r="J2932" s="9" t="str">
        <f>IFERROR(__xludf.DUMMYFUNCTION("GOOGLETRANSLATE($A2932,""en"",""pt-BR"")"),"Taoudénit")</f>
        <v>Taoudénit</v>
      </c>
    </row>
    <row r="2933">
      <c r="A2933" s="9" t="str">
        <f>IFERROR(__xludf.DUMMYFUNCTION("""COMPUTED_VALUE"""),"Tombouctou")</f>
        <v>Tombouctou</v>
      </c>
      <c r="B2933" s="9" t="str">
        <f>IFERROR(__xludf.DUMMYFUNCTION("""COMPUTED_VALUE"""),"ml-6")</f>
        <v>ml-6</v>
      </c>
      <c r="C2933" s="9" t="str">
        <f>IFERROR(__xludf.DUMMYFUNCTION("GOOGLETRANSLATE($A2933,""en"",""de"")"),"Tombouctou")</f>
        <v>Tombouctou</v>
      </c>
      <c r="D2933" s="9" t="str">
        <f>IFERROR(__xludf.DUMMYFUNCTION("GOOGLETRANSLATE($A2933,""en"",""fr"")"),"Tombouctou")</f>
        <v>Tombouctou</v>
      </c>
      <c r="E2933" s="9" t="str">
        <f>IFERROR(__xludf.DUMMYFUNCTION("GOOGLETRANSLATE($A2933,""en"",""es"")"),"Tombuctú")</f>
        <v>Tombuctú</v>
      </c>
      <c r="F2933" s="9" t="str">
        <f>IFERROR(__xludf.DUMMYFUNCTION("GOOGLETRANSLATE($A2933,""en"",""it"")"),"Tombouctou")</f>
        <v>Tombouctou</v>
      </c>
      <c r="G2933" s="9" t="str">
        <f>IFERROR(__xludf.DUMMYFUNCTION("GOOGLETRANSLATE($A2933,""en"",""zh-cn"")"),"通布图")</f>
        <v>通布图</v>
      </c>
      <c r="H2933" s="9" t="str">
        <f>IFERROR(__xludf.DUMMYFUNCTION("GOOGLETRANSLATE($A2933,""en"",""ja"")"),"トンブクトゥ")</f>
        <v>トンブクトゥ</v>
      </c>
      <c r="I2933" s="9" t="str">
        <f>IFERROR(__xludf.DUMMYFUNCTION("GOOGLETRANSLATE($A2933,""en"",""ko"")"),"통북투")</f>
        <v>통북투</v>
      </c>
      <c r="J2933" s="9" t="str">
        <f>IFERROR(__xludf.DUMMYFUNCTION("GOOGLETRANSLATE($A2933,""en"",""pt-BR"")"),"Tombuctu")</f>
        <v>Tombuctu</v>
      </c>
    </row>
    <row r="2934">
      <c r="A2934" s="9" t="str">
        <f>IFERROR(__xludf.DUMMYFUNCTION("""COMPUTED_VALUE"""),"Kidal")</f>
        <v>Kidal</v>
      </c>
      <c r="B2934" s="9" t="str">
        <f>IFERROR(__xludf.DUMMYFUNCTION("""COMPUTED_VALUE"""),"ml-8")</f>
        <v>ml-8</v>
      </c>
      <c r="C2934" s="9" t="str">
        <f>IFERROR(__xludf.DUMMYFUNCTION("GOOGLETRANSLATE($A2934,""en"",""de"")"),"Kidal")</f>
        <v>Kidal</v>
      </c>
      <c r="D2934" s="9" t="str">
        <f>IFERROR(__xludf.DUMMYFUNCTION("GOOGLETRANSLATE($A2934,""en"",""fr"")"),"Kidal")</f>
        <v>Kidal</v>
      </c>
      <c r="E2934" s="9" t="str">
        <f>IFERROR(__xludf.DUMMYFUNCTION("GOOGLETRANSLATE($A2934,""en"",""es"")"),"niño")</f>
        <v>niño</v>
      </c>
      <c r="F2934" s="9" t="str">
        <f>IFERROR(__xludf.DUMMYFUNCTION("GOOGLETRANSLATE($A2934,""en"",""it"")"),"Kidal")</f>
        <v>Kidal</v>
      </c>
      <c r="G2934" s="9" t="str">
        <f>IFERROR(__xludf.DUMMYFUNCTION("GOOGLETRANSLATE($A2934,""en"",""zh-cn"")"),"基达尔")</f>
        <v>基达尔</v>
      </c>
      <c r="H2934" s="9" t="str">
        <f>IFERROR(__xludf.DUMMYFUNCTION("GOOGLETRANSLATE($A2934,""en"",""ja"")"),"キダル")</f>
        <v>キダル</v>
      </c>
      <c r="I2934" s="9" t="str">
        <f>IFERROR(__xludf.DUMMYFUNCTION("GOOGLETRANSLATE($A2934,""en"",""ko"")"),"키달")</f>
        <v>키달</v>
      </c>
      <c r="J2934" s="9" t="str">
        <f>IFERROR(__xludf.DUMMYFUNCTION("GOOGLETRANSLATE($A2934,""en"",""pt-BR"")"),"Kidal")</f>
        <v>Kidal</v>
      </c>
    </row>
    <row r="2935">
      <c r="A2935" s="9" t="str">
        <f>IFERROR(__xludf.DUMMYFUNCTION("""COMPUTED_VALUE"""),"Kayes")</f>
        <v>Kayes</v>
      </c>
      <c r="B2935" s="9" t="str">
        <f>IFERROR(__xludf.DUMMYFUNCTION("""COMPUTED_VALUE"""),"ml-1")</f>
        <v>ml-1</v>
      </c>
      <c r="C2935" s="9" t="str">
        <f>IFERROR(__xludf.DUMMYFUNCTION("GOOGLETRANSLATE($A2935,""en"",""de"")"),"Kayes")</f>
        <v>Kayes</v>
      </c>
      <c r="D2935" s="9" t="str">
        <f>IFERROR(__xludf.DUMMYFUNCTION("GOOGLETRANSLATE($A2935,""en"",""fr"")"),"Kayes")</f>
        <v>Kayes</v>
      </c>
      <c r="E2935" s="9" t="str">
        <f>IFERROR(__xludf.DUMMYFUNCTION("GOOGLETRANSLATE($A2935,""en"",""es"")"),"kayes")</f>
        <v>kayes</v>
      </c>
      <c r="F2935" s="9" t="str">
        <f>IFERROR(__xludf.DUMMYFUNCTION("GOOGLETRANSLATE($A2935,""en"",""it"")"),"Kayes")</f>
        <v>Kayes</v>
      </c>
      <c r="G2935" s="9" t="str">
        <f>IFERROR(__xludf.DUMMYFUNCTION("GOOGLETRANSLATE($A2935,""en"",""zh-cn"")"),"卡耶斯")</f>
        <v>卡耶斯</v>
      </c>
      <c r="H2935" s="9" t="str">
        <f>IFERROR(__xludf.DUMMYFUNCTION("GOOGLETRANSLATE($A2935,""en"",""ja"")"),"ケイズ")</f>
        <v>ケイズ</v>
      </c>
      <c r="I2935" s="9" t="str">
        <f>IFERROR(__xludf.DUMMYFUNCTION("GOOGLETRANSLATE($A2935,""en"",""ko"")"),"케이즈")</f>
        <v>케이즈</v>
      </c>
      <c r="J2935" s="9" t="str">
        <f>IFERROR(__xludf.DUMMYFUNCTION("GOOGLETRANSLATE($A2935,""en"",""pt-BR"")"),"Kayes")</f>
        <v>Kayes</v>
      </c>
    </row>
    <row r="2936">
      <c r="A2936" s="9" t="str">
        <f>IFERROR(__xludf.DUMMYFUNCTION("""COMPUTED_VALUE"""),"Koulikoro")</f>
        <v>Koulikoro</v>
      </c>
      <c r="B2936" s="9" t="str">
        <f>IFERROR(__xludf.DUMMYFUNCTION("""COMPUTED_VALUE"""),"ml-2")</f>
        <v>ml-2</v>
      </c>
      <c r="C2936" s="9" t="str">
        <f>IFERROR(__xludf.DUMMYFUNCTION("GOOGLETRANSLATE($A2936,""en"",""de"")"),"Koulikoro")</f>
        <v>Koulikoro</v>
      </c>
      <c r="D2936" s="9" t="str">
        <f>IFERROR(__xludf.DUMMYFUNCTION("GOOGLETRANSLATE($A2936,""en"",""fr"")"),"Koulikoro")</f>
        <v>Koulikoro</v>
      </c>
      <c r="E2936" s="9" t="str">
        <f>IFERROR(__xludf.DUMMYFUNCTION("GOOGLETRANSLATE($A2936,""en"",""es"")"),"Kulikoró")</f>
        <v>Kulikoró</v>
      </c>
      <c r="F2936" s="9" t="str">
        <f>IFERROR(__xludf.DUMMYFUNCTION("GOOGLETRANSLATE($A2936,""en"",""it"")"),"Koulikoro")</f>
        <v>Koulikoro</v>
      </c>
      <c r="G2936" s="9" t="str">
        <f>IFERROR(__xludf.DUMMYFUNCTION("GOOGLETRANSLATE($A2936,""en"",""zh-cn"")"),"库利科罗")</f>
        <v>库利科罗</v>
      </c>
      <c r="H2936" s="9" t="str">
        <f>IFERROR(__xludf.DUMMYFUNCTION("GOOGLETRANSLATE($A2936,""en"",""ja"")"),"クリコロ")</f>
        <v>クリコロ</v>
      </c>
      <c r="I2936" s="9" t="str">
        <f>IFERROR(__xludf.DUMMYFUNCTION("GOOGLETRANSLATE($A2936,""en"",""ko"")"),"쿨리코로")</f>
        <v>쿨리코로</v>
      </c>
      <c r="J2936" s="9" t="str">
        <f>IFERROR(__xludf.DUMMYFUNCTION("GOOGLETRANSLATE($A2936,""en"",""pt-BR"")"),"Koulikoro")</f>
        <v>Koulikoro</v>
      </c>
    </row>
    <row r="2937">
      <c r="A2937" s="9" t="str">
        <f>IFERROR(__xludf.DUMMYFUNCTION("""COMPUTED_VALUE"""),"Gao")</f>
        <v>Gao</v>
      </c>
      <c r="B2937" s="9" t="str">
        <f>IFERROR(__xludf.DUMMYFUNCTION("""COMPUTED_VALUE"""),"ml-7")</f>
        <v>ml-7</v>
      </c>
      <c r="C2937" s="9" t="str">
        <f>IFERROR(__xludf.DUMMYFUNCTION("GOOGLETRANSLATE($A2937,""en"",""de"")"),"Gao")</f>
        <v>Gao</v>
      </c>
      <c r="D2937" s="9" t="str">
        <f>IFERROR(__xludf.DUMMYFUNCTION("GOOGLETRANSLATE($A2937,""en"",""fr"")"),"Gao")</f>
        <v>Gao</v>
      </c>
      <c r="E2937" s="9" t="str">
        <f>IFERROR(__xludf.DUMMYFUNCTION("GOOGLETRANSLATE($A2937,""en"",""es"")"),"gao")</f>
        <v>gao</v>
      </c>
      <c r="F2937" s="9" t="str">
        <f>IFERROR(__xludf.DUMMYFUNCTION("GOOGLETRANSLATE($A2937,""en"",""it"")"),"Gao")</f>
        <v>Gao</v>
      </c>
      <c r="G2937" s="9" t="str">
        <f>IFERROR(__xludf.DUMMYFUNCTION("GOOGLETRANSLATE($A2937,""en"",""zh-cn"")"),"高")</f>
        <v>高</v>
      </c>
      <c r="H2937" s="9" t="str">
        <f>IFERROR(__xludf.DUMMYFUNCTION("GOOGLETRANSLATE($A2937,""en"",""ja"")"),"ガオ")</f>
        <v>ガオ</v>
      </c>
      <c r="I2937" s="9" t="str">
        <f>IFERROR(__xludf.DUMMYFUNCTION("GOOGLETRANSLATE($A2937,""en"",""ko"")"),"가오")</f>
        <v>가오</v>
      </c>
      <c r="J2937" s="9" t="str">
        <f>IFERROR(__xludf.DUMMYFUNCTION("GOOGLETRANSLATE($A2937,""en"",""pt-BR"")"),"Gao")</f>
        <v>Gao</v>
      </c>
    </row>
    <row r="2938">
      <c r="A2938" s="9" t="str">
        <f>IFERROR(__xludf.DUMMYFUNCTION("""COMPUTED_VALUE"""),"Mopti")</f>
        <v>Mopti</v>
      </c>
      <c r="B2938" s="9" t="str">
        <f>IFERROR(__xludf.DUMMYFUNCTION("""COMPUTED_VALUE"""),"ml-5")</f>
        <v>ml-5</v>
      </c>
      <c r="C2938" s="9" t="str">
        <f>IFERROR(__xludf.DUMMYFUNCTION("GOOGLETRANSLATE($A2938,""en"",""de"")"),"Mopti")</f>
        <v>Mopti</v>
      </c>
      <c r="D2938" s="9" t="str">
        <f>IFERROR(__xludf.DUMMYFUNCTION("GOOGLETRANSLATE($A2938,""en"",""fr"")"),"Mopti")</f>
        <v>Mopti</v>
      </c>
      <c r="E2938" s="9" t="str">
        <f>IFERROR(__xludf.DUMMYFUNCTION("GOOGLETRANSLATE($A2938,""en"",""es"")"),"Moptí")</f>
        <v>Moptí</v>
      </c>
      <c r="F2938" s="9" t="str">
        <f>IFERROR(__xludf.DUMMYFUNCTION("GOOGLETRANSLATE($A2938,""en"",""it"")"),"Mopti")</f>
        <v>Mopti</v>
      </c>
      <c r="G2938" s="9" t="str">
        <f>IFERROR(__xludf.DUMMYFUNCTION("GOOGLETRANSLATE($A2938,""en"",""zh-cn"")"),"莫普提")</f>
        <v>莫普提</v>
      </c>
      <c r="H2938" s="9" t="str">
        <f>IFERROR(__xludf.DUMMYFUNCTION("GOOGLETRANSLATE($A2938,""en"",""ja"")"),"モプティ")</f>
        <v>モプティ</v>
      </c>
      <c r="I2938" s="9" t="str">
        <f>IFERROR(__xludf.DUMMYFUNCTION("GOOGLETRANSLATE($A2938,""en"",""ko"")"),"몹티")</f>
        <v>몹티</v>
      </c>
      <c r="J2938" s="9" t="str">
        <f>IFERROR(__xludf.DUMMYFUNCTION("GOOGLETRANSLATE($A2938,""en"",""pt-BR"")"),"Mopti")</f>
        <v>Mopti</v>
      </c>
    </row>
    <row r="2939">
      <c r="A2939" s="9" t="str">
        <f>IFERROR(__xludf.DUMMYFUNCTION("""COMPUTED_VALUE"""),"Ségou")</f>
        <v>Ségou</v>
      </c>
      <c r="B2939" s="9" t="str">
        <f>IFERROR(__xludf.DUMMYFUNCTION("""COMPUTED_VALUE"""),"ml-4")</f>
        <v>ml-4</v>
      </c>
      <c r="C2939" s="9" t="str">
        <f>IFERROR(__xludf.DUMMYFUNCTION("GOOGLETRANSLATE($A2939,""en"",""de"")"),"Ségou")</f>
        <v>Ségou</v>
      </c>
      <c r="D2939" s="9" t="str">
        <f>IFERROR(__xludf.DUMMYFUNCTION("GOOGLETRANSLATE($A2939,""en"",""fr"")"),"Ségou")</f>
        <v>Ségou</v>
      </c>
      <c r="E2939" s="9" t="str">
        <f>IFERROR(__xludf.DUMMYFUNCTION("GOOGLETRANSLATE($A2939,""en"",""es"")"),"Ségú")</f>
        <v>Ségú</v>
      </c>
      <c r="F2939" s="9" t="str">
        <f>IFERROR(__xludf.DUMMYFUNCTION("GOOGLETRANSLATE($A2939,""en"",""it"")"),"Segou")</f>
        <v>Segou</v>
      </c>
      <c r="G2939" s="9" t="str">
        <f>IFERROR(__xludf.DUMMYFUNCTION("GOOGLETRANSLATE($A2939,""en"",""zh-cn"")"),"塞古")</f>
        <v>塞古</v>
      </c>
      <c r="H2939" s="9" t="str">
        <f>IFERROR(__xludf.DUMMYFUNCTION("GOOGLETRANSLATE($A2939,""en"",""ja"")"),"セグー")</f>
        <v>セグー</v>
      </c>
      <c r="I2939" s="9" t="str">
        <f>IFERROR(__xludf.DUMMYFUNCTION("GOOGLETRANSLATE($A2939,""en"",""ko"")"),"세구")</f>
        <v>세구</v>
      </c>
      <c r="J2939" s="9" t="str">
        <f>IFERROR(__xludf.DUMMYFUNCTION("GOOGLETRANSLATE($A2939,""en"",""pt-BR"")"),"Ségou")</f>
        <v>Ségou</v>
      </c>
    </row>
    <row r="2940">
      <c r="A2940" s="9" t="str">
        <f>IFERROR(__xludf.DUMMYFUNCTION("""COMPUTED_VALUE"""),"Sikasso")</f>
        <v>Sikasso</v>
      </c>
      <c r="B2940" s="9" t="str">
        <f>IFERROR(__xludf.DUMMYFUNCTION("""COMPUTED_VALUE"""),"ml-3")</f>
        <v>ml-3</v>
      </c>
      <c r="C2940" s="9" t="str">
        <f>IFERROR(__xludf.DUMMYFUNCTION("GOOGLETRANSLATE($A2940,""en"",""de"")"),"Sikasso")</f>
        <v>Sikasso</v>
      </c>
      <c r="D2940" s="9" t="str">
        <f>IFERROR(__xludf.DUMMYFUNCTION("GOOGLETRANSLATE($A2940,""en"",""fr"")"),"Sikasso")</f>
        <v>Sikasso</v>
      </c>
      <c r="E2940" s="9" t="str">
        <f>IFERROR(__xludf.DUMMYFUNCTION("GOOGLETRANSLATE($A2940,""en"",""es"")"),"Sikasso")</f>
        <v>Sikasso</v>
      </c>
      <c r="F2940" s="9" t="str">
        <f>IFERROR(__xludf.DUMMYFUNCTION("GOOGLETRANSLATE($A2940,""en"",""it"")"),"Sikasso")</f>
        <v>Sikasso</v>
      </c>
      <c r="G2940" s="9" t="str">
        <f>IFERROR(__xludf.DUMMYFUNCTION("GOOGLETRANSLATE($A2940,""en"",""zh-cn"")"),"西卡索")</f>
        <v>西卡索</v>
      </c>
      <c r="H2940" s="9" t="str">
        <f>IFERROR(__xludf.DUMMYFUNCTION("GOOGLETRANSLATE($A2940,""en"",""ja"")"),"シカソ")</f>
        <v>シカソ</v>
      </c>
      <c r="I2940" s="9" t="str">
        <f>IFERROR(__xludf.DUMMYFUNCTION("GOOGLETRANSLATE($A2940,""en"",""ko"")"),"시카소")</f>
        <v>시카소</v>
      </c>
      <c r="J2940" s="9" t="str">
        <f>IFERROR(__xludf.DUMMYFUNCTION("GOOGLETRANSLATE($A2940,""en"",""pt-BR"")"),"Sicasso")</f>
        <v>Sicasso</v>
      </c>
    </row>
    <row r="2941">
      <c r="A2941" s="9" t="str">
        <f>IFERROR(__xludf.DUMMYFUNCTION("""COMPUTED_VALUE"""),"Gżira")</f>
        <v>Gżira</v>
      </c>
      <c r="B2941" s="9" t="str">
        <f>IFERROR(__xludf.DUMMYFUNCTION("""COMPUTED_VALUE"""),"mt-12")</f>
        <v>mt-12</v>
      </c>
      <c r="C2941" s="9" t="str">
        <f>IFERROR(__xludf.DUMMYFUNCTION("GOOGLETRANSLATE($A2941,""en"",""de"")"),"Gżira")</f>
        <v>Gżira</v>
      </c>
      <c r="D2941" s="9" t="str">
        <f>IFERROR(__xludf.DUMMYFUNCTION("GOOGLETRANSLATE($A2941,""en"",""fr"")"),"Il-Gżira")</f>
        <v>Il-Gżira</v>
      </c>
      <c r="E2941" s="9" t="str">
        <f>IFERROR(__xludf.DUMMYFUNCTION("GOOGLETRANSLATE($A2941,""en"",""es"")"),"Gżira")</f>
        <v>Gżira</v>
      </c>
      <c r="F2941" s="9" t="str">
        <f>IFERROR(__xludf.DUMMYFUNCTION("GOOGLETRANSLATE($A2941,""en"",""it"")"),"Gżira")</f>
        <v>Gżira</v>
      </c>
      <c r="G2941" s="9" t="str">
        <f>IFERROR(__xludf.DUMMYFUNCTION("GOOGLETRANSLATE($A2941,""en"",""zh-cn"")"),"格齐拉")</f>
        <v>格齐拉</v>
      </c>
      <c r="H2941" s="9" t="str">
        <f>IFERROR(__xludf.DUMMYFUNCTION("GOOGLETRANSLATE($A2941,""en"",""ja"")"),"グジラ")</f>
        <v>グジラ</v>
      </c>
      <c r="I2941" s="9" t="str">
        <f>IFERROR(__xludf.DUMMYFUNCTION("GOOGLETRANSLATE($A2941,""en"",""ko"")"),"그지라")</f>
        <v>그지라</v>
      </c>
      <c r="J2941" s="9" t="str">
        <f>IFERROR(__xludf.DUMMYFUNCTION("GOOGLETRANSLATE($A2941,""en"",""pt-BR"")"),"Gżira")</f>
        <v>Gżira</v>
      </c>
    </row>
    <row r="2942">
      <c r="A2942" s="9" t="str">
        <f>IFERROR(__xludf.DUMMYFUNCTION("""COMPUTED_VALUE"""),"San Ġwann")</f>
        <v>San Ġwann</v>
      </c>
      <c r="B2942" s="9" t="str">
        <f>IFERROR(__xludf.DUMMYFUNCTION("""COMPUTED_VALUE"""),"mt-49")</f>
        <v>mt-49</v>
      </c>
      <c r="C2942" s="9" t="str">
        <f>IFERROR(__xludf.DUMMYFUNCTION("GOOGLETRANSLATE($A2942,""en"",""de"")"),"San Ġwann")</f>
        <v>San Ġwann</v>
      </c>
      <c r="D2942" s="9" t="str">
        <f>IFERROR(__xludf.DUMMYFUNCTION("GOOGLETRANSLATE($A2942,""en"",""fr"")"),"San Ġwann")</f>
        <v>San Ġwann</v>
      </c>
      <c r="E2942" s="9" t="str">
        <f>IFERROR(__xludf.DUMMYFUNCTION("GOOGLETRANSLATE($A2942,""en"",""es"")"),"San Ġwann")</f>
        <v>San Ġwann</v>
      </c>
      <c r="F2942" s="9" t="str">
        <f>IFERROR(__xludf.DUMMYFUNCTION("GOOGLETRANSLATE($A2942,""en"",""it"")"),"San Ġwann")</f>
        <v>San Ġwann</v>
      </c>
      <c r="G2942" s="9" t="str">
        <f>IFERROR(__xludf.DUMMYFUNCTION("GOOGLETRANSLATE($A2942,""en"",""zh-cn"")"),"圣胡安")</f>
        <v>圣胡安</v>
      </c>
      <c r="H2942" s="9" t="str">
        <f>IFERROR(__xludf.DUMMYFUNCTION("GOOGLETRANSLATE($A2942,""en"",""ja"")"),"サン アーワン")</f>
        <v>サン アーワン</v>
      </c>
      <c r="I2942" s="9" t="str">
        <f>IFERROR(__xludf.DUMMYFUNCTION("GOOGLETRANSLATE($A2942,""en"",""ko"")"),"산 이완")</f>
        <v>산 이완</v>
      </c>
      <c r="J2942" s="9" t="str">
        <f>IFERROR(__xludf.DUMMYFUNCTION("GOOGLETRANSLATE($A2942,""en"",""pt-BR"")"),"San Ġwann")</f>
        <v>San Ġwann</v>
      </c>
    </row>
    <row r="2943">
      <c r="A2943" s="9" t="str">
        <f>IFERROR(__xludf.DUMMYFUNCTION("""COMPUTED_VALUE"""),"San Lawrenz")</f>
        <v>San Lawrenz</v>
      </c>
      <c r="B2943" s="9" t="str">
        <f>IFERROR(__xludf.DUMMYFUNCTION("""COMPUTED_VALUE"""),"mt-50")</f>
        <v>mt-50</v>
      </c>
      <c r="C2943" s="9" t="str">
        <f>IFERROR(__xludf.DUMMYFUNCTION("GOOGLETRANSLATE($A2943,""en"",""de"")"),"San Lawrenz")</f>
        <v>San Lawrenz</v>
      </c>
      <c r="D2943" s="9" t="str">
        <f>IFERROR(__xludf.DUMMYFUNCTION("GOOGLETRANSLATE($A2943,""en"",""fr"")"),"San Lawrenz")</f>
        <v>San Lawrenz</v>
      </c>
      <c r="E2943" s="9" t="str">
        <f>IFERROR(__xludf.DUMMYFUNCTION("GOOGLETRANSLATE($A2943,""en"",""es"")"),"San Lorenzo")</f>
        <v>San Lorenzo</v>
      </c>
      <c r="F2943" s="9" t="str">
        <f>IFERROR(__xludf.DUMMYFUNCTION("GOOGLETRANSLATE($A2943,""en"",""it"")"),"San Lorenzo")</f>
        <v>San Lorenzo</v>
      </c>
      <c r="G2943" s="9" t="str">
        <f>IFERROR(__xludf.DUMMYFUNCTION("GOOGLETRANSLATE($A2943,""en"",""zh-cn"")"),"圣劳伦斯")</f>
        <v>圣劳伦斯</v>
      </c>
      <c r="H2943" s="9" t="str">
        <f>IFERROR(__xludf.DUMMYFUNCTION("GOOGLETRANSLATE($A2943,""en"",""ja"")"),"サンローレンツ")</f>
        <v>サンローレンツ</v>
      </c>
      <c r="I2943" s="9" t="str">
        <f>IFERROR(__xludf.DUMMYFUNCTION("GOOGLETRANSLATE($A2943,""en"",""ko"")"),"산 로렌츠")</f>
        <v>산 로렌츠</v>
      </c>
      <c r="J2943" s="9" t="str">
        <f>IFERROR(__xludf.DUMMYFUNCTION("GOOGLETRANSLATE($A2943,""en"",""pt-BR"")"),"São Lourenço")</f>
        <v>São Lourenço</v>
      </c>
    </row>
    <row r="2944">
      <c r="A2944" s="9" t="str">
        <f>IFERROR(__xludf.DUMMYFUNCTION("""COMPUTED_VALUE"""),"Għajnsielem")</f>
        <v>Għajnsielem</v>
      </c>
      <c r="B2944" s="9" t="str">
        <f>IFERROR(__xludf.DUMMYFUNCTION("""COMPUTED_VALUE"""),"mt-13")</f>
        <v>mt-13</v>
      </c>
      <c r="C2944" s="9" t="str">
        <f>IFERROR(__xludf.DUMMYFUNCTION("GOOGLETRANSLATE($A2944,""en"",""de"")"),"Għajnsielem")</f>
        <v>Għajnsielem</v>
      </c>
      <c r="D2944" s="9" t="str">
        <f>IFERROR(__xludf.DUMMYFUNCTION("GOOGLETRANSLATE($A2944,""en"",""fr"")"),"Għajnsielem")</f>
        <v>Għajnsielem</v>
      </c>
      <c r="E2944" s="9" t="str">
        <f>IFERROR(__xludf.DUMMYFUNCTION("GOOGLETRANSLATE($A2944,""en"",""es"")"),"Għajnsielem")</f>
        <v>Għajnsielem</v>
      </c>
      <c r="F2944" s="9" t="str">
        <f>IFERROR(__xludf.DUMMYFUNCTION("GOOGLETRANSLATE($A2944,""en"",""it"")"),"Għajnsielem")</f>
        <v>Għajnsielem</v>
      </c>
      <c r="G2944" s="9" t="str">
        <f>IFERROR(__xludf.DUMMYFUNCTION("GOOGLETRANSLATE($A2944,""en"",""zh-cn"")"),"艾因西莱姆")</f>
        <v>艾因西莱姆</v>
      </c>
      <c r="H2944" s="9" t="str">
        <f>IFERROR(__xludf.DUMMYFUNCTION("GOOGLETRANSLATE($A2944,""en"",""ja"")"),"ガインシレム")</f>
        <v>ガインシレム</v>
      </c>
      <c r="I2944" s="9" t="str">
        <f>IFERROR(__xludf.DUMMYFUNCTION("GOOGLETRANSLATE($A2944,""en"",""ko"")"),"Għajnsielem")</f>
        <v>Għajnsielem</v>
      </c>
      <c r="J2944" s="9" t="str">
        <f>IFERROR(__xludf.DUMMYFUNCTION("GOOGLETRANSLATE($A2944,""en"",""pt-BR"")"),"Għajnsielem")</f>
        <v>Għajnsielem</v>
      </c>
    </row>
    <row r="2945">
      <c r="A2945" s="9" t="str">
        <f>IFERROR(__xludf.DUMMYFUNCTION("""COMPUTED_VALUE"""),"Marsaxlokk")</f>
        <v>Marsaxlokk</v>
      </c>
      <c r="B2945" s="9" t="str">
        <f>IFERROR(__xludf.DUMMYFUNCTION("""COMPUTED_VALUE"""),"mt-28")</f>
        <v>mt-28</v>
      </c>
      <c r="C2945" s="9" t="str">
        <f>IFERROR(__xludf.DUMMYFUNCTION("GOOGLETRANSLATE($A2945,""en"",""de"")"),"Marsaxlokk")</f>
        <v>Marsaxlokk</v>
      </c>
      <c r="D2945" s="9" t="str">
        <f>IFERROR(__xludf.DUMMYFUNCTION("GOOGLETRANSLATE($A2945,""en"",""fr"")"),"Marsaxlokk")</f>
        <v>Marsaxlokk</v>
      </c>
      <c r="E2945" s="9" t="str">
        <f>IFERROR(__xludf.DUMMYFUNCTION("GOOGLETRANSLATE($A2945,""en"",""es"")"),"Marsaxlokk")</f>
        <v>Marsaxlokk</v>
      </c>
      <c r="F2945" s="9" t="str">
        <f>IFERROR(__xludf.DUMMYFUNCTION("GOOGLETRANSLATE($A2945,""en"",""it"")"),"Marsaxlokk")</f>
        <v>Marsaxlokk</v>
      </c>
      <c r="G2945" s="9" t="str">
        <f>IFERROR(__xludf.DUMMYFUNCTION("GOOGLETRANSLATE($A2945,""en"",""zh-cn"")"),"马尔萨什洛克")</f>
        <v>马尔萨什洛克</v>
      </c>
      <c r="H2945" s="9" t="str">
        <f>IFERROR(__xludf.DUMMYFUNCTION("GOOGLETRANSLATE($A2945,""en"",""ja"")"),"マルサシュロック")</f>
        <v>マルサシュロック</v>
      </c>
      <c r="I2945" s="9" t="str">
        <f>IFERROR(__xludf.DUMMYFUNCTION("GOOGLETRANSLATE($A2945,""en"",""ko"")"),"마샬록")</f>
        <v>마샬록</v>
      </c>
      <c r="J2945" s="9" t="str">
        <f>IFERROR(__xludf.DUMMYFUNCTION("GOOGLETRANSLATE($A2945,""en"",""pt-BR"")"),"Marsaxlokk")</f>
        <v>Marsaxlokk</v>
      </c>
    </row>
    <row r="2946">
      <c r="A2946" s="9" t="str">
        <f>IFERROR(__xludf.DUMMYFUNCTION("""COMPUTED_VALUE"""),"San Pawl il-Baħar")</f>
        <v>San Pawl il-Baħar</v>
      </c>
      <c r="B2946" s="9" t="str">
        <f>IFERROR(__xludf.DUMMYFUNCTION("""COMPUTED_VALUE"""),"mt-51")</f>
        <v>mt-51</v>
      </c>
      <c r="C2946" s="9" t="str">
        <f>IFERROR(__xludf.DUMMYFUNCTION("GOOGLETRANSLATE($A2946,""en"",""de"")"),"San Pawl il-Baħar")</f>
        <v>San Pawl il-Baħar</v>
      </c>
      <c r="D2946" s="9" t="str">
        <f>IFERROR(__xludf.DUMMYFUNCTION("GOOGLETRANSLATE($A2946,""en"",""fr"")"),"San Pawl il-Baħar")</f>
        <v>San Pawl il-Baħar</v>
      </c>
      <c r="E2946" s="9" t="str">
        <f>IFERROR(__xludf.DUMMYFUNCTION("GOOGLETRANSLATE($A2946,""en"",""es"")"),"San Pawl il-Baħar")</f>
        <v>San Pawl il-Baħar</v>
      </c>
      <c r="F2946" s="9" t="str">
        <f>IFERROR(__xludf.DUMMYFUNCTION("GOOGLETRANSLATE($A2946,""en"",""it"")"),"San Pawl il-Baħar")</f>
        <v>San Pawl il-Baħar</v>
      </c>
      <c r="G2946" s="9" t="str">
        <f>IFERROR(__xludf.DUMMYFUNCTION("GOOGLETRANSLATE($A2946,""en"",""zh-cn"")"),"圣保尔巴哈尔")</f>
        <v>圣保尔巴哈尔</v>
      </c>
      <c r="H2946" s="9" t="str">
        <f>IFERROR(__xludf.DUMMYFUNCTION("GOOGLETRANSLATE($A2946,""en"",""ja"")"),"サン・パウル・イル・バアール")</f>
        <v>サン・パウル・イル・バアール</v>
      </c>
      <c r="I2946" s="9" t="str">
        <f>IFERROR(__xludf.DUMMYFUNCTION("GOOGLETRANSLATE($A2946,""en"",""ko"")"),"산 파울 일-바하르")</f>
        <v>산 파울 일-바하르</v>
      </c>
      <c r="J2946" s="9" t="str">
        <f>IFERROR(__xludf.DUMMYFUNCTION("GOOGLETRANSLATE($A2946,""en"",""pt-BR"")"),"San Pawl il-Baħar")</f>
        <v>San Pawl il-Baħar</v>
      </c>
    </row>
    <row r="2947">
      <c r="A2947" s="9" t="str">
        <f>IFERROR(__xludf.DUMMYFUNCTION("""COMPUTED_VALUE"""),"Mdina")</f>
        <v>Mdina</v>
      </c>
      <c r="B2947" s="9" t="str">
        <f>IFERROR(__xludf.DUMMYFUNCTION("""COMPUTED_VALUE"""),"mt-29")</f>
        <v>mt-29</v>
      </c>
      <c r="C2947" s="9" t="str">
        <f>IFERROR(__xludf.DUMMYFUNCTION("GOOGLETRANSLATE($A2947,""en"",""de"")"),"Mdina")</f>
        <v>Mdina</v>
      </c>
      <c r="D2947" s="9" t="str">
        <f>IFERROR(__xludf.DUMMYFUNCTION("GOOGLETRANSLATE($A2947,""en"",""fr"")"),"Mdina")</f>
        <v>Mdina</v>
      </c>
      <c r="E2947" s="9" t="str">
        <f>IFERROR(__xludf.DUMMYFUNCTION("GOOGLETRANSLATE($A2947,""en"",""es"")"),"Mdina")</f>
        <v>Mdina</v>
      </c>
      <c r="F2947" s="9" t="str">
        <f>IFERROR(__xludf.DUMMYFUNCTION("GOOGLETRANSLATE($A2947,""en"",""it"")"),"Medina")</f>
        <v>Medina</v>
      </c>
      <c r="G2947" s="9" t="str">
        <f>IFERROR(__xludf.DUMMYFUNCTION("GOOGLETRANSLATE($A2947,""en"",""zh-cn"")"),"姆迪纳")</f>
        <v>姆迪纳</v>
      </c>
      <c r="H2947" s="9" t="str">
        <f>IFERROR(__xludf.DUMMYFUNCTION("GOOGLETRANSLATE($A2947,""en"",""ja"")"),"イムディーナ")</f>
        <v>イムディーナ</v>
      </c>
      <c r="I2947" s="9" t="str">
        <f>IFERROR(__xludf.DUMMYFUNCTION("GOOGLETRANSLATE($A2947,""en"",""ko"")"),"엠디나")</f>
        <v>엠디나</v>
      </c>
      <c r="J2947" s="9" t="str">
        <f>IFERROR(__xludf.DUMMYFUNCTION("GOOGLETRANSLATE($A2947,""en"",""pt-BR"")"),"Mdina")</f>
        <v>Mdina</v>
      </c>
    </row>
    <row r="2948">
      <c r="A2948" s="9" t="str">
        <f>IFERROR(__xludf.DUMMYFUNCTION("""COMPUTED_VALUE"""),"Sannat")</f>
        <v>Sannat</v>
      </c>
      <c r="B2948" s="9" t="str">
        <f>IFERROR(__xludf.DUMMYFUNCTION("""COMPUTED_VALUE"""),"mt-52")</f>
        <v>mt-52</v>
      </c>
      <c r="C2948" s="9" t="str">
        <f>IFERROR(__xludf.DUMMYFUNCTION("GOOGLETRANSLATE($A2948,""en"",""de"")"),"Sannat")</f>
        <v>Sannat</v>
      </c>
      <c r="D2948" s="9" t="str">
        <f>IFERROR(__xludf.DUMMYFUNCTION("GOOGLETRANSLATE($A2948,""en"",""fr"")"),"Sannat")</f>
        <v>Sannat</v>
      </c>
      <c r="E2948" s="9" t="str">
        <f>IFERROR(__xludf.DUMMYFUNCTION("GOOGLETRANSLATE($A2948,""en"",""es"")"),"sannat")</f>
        <v>sannat</v>
      </c>
      <c r="F2948" s="9" t="str">
        <f>IFERROR(__xludf.DUMMYFUNCTION("GOOGLETRANSLATE($A2948,""en"",""it"")"),"Sannat")</f>
        <v>Sannat</v>
      </c>
      <c r="G2948" s="9" t="str">
        <f>IFERROR(__xludf.DUMMYFUNCTION("GOOGLETRANSLATE($A2948,""en"",""zh-cn"")"),"萨纳特")</f>
        <v>萨纳特</v>
      </c>
      <c r="H2948" s="9" t="str">
        <f>IFERROR(__xludf.DUMMYFUNCTION("GOOGLETRANSLATE($A2948,""en"",""ja"")"),"サナ")</f>
        <v>サナ</v>
      </c>
      <c r="I2948" s="9" t="str">
        <f>IFERROR(__xludf.DUMMYFUNCTION("GOOGLETRANSLATE($A2948,""en"",""ko"")"),"사낫")</f>
        <v>사낫</v>
      </c>
      <c r="J2948" s="9" t="str">
        <f>IFERROR(__xludf.DUMMYFUNCTION("GOOGLETRANSLATE($A2948,""en"",""pt-BR"")"),"Sannat")</f>
        <v>Sannat</v>
      </c>
    </row>
    <row r="2949">
      <c r="A2949" s="9" t="str">
        <f>IFERROR(__xludf.DUMMYFUNCTION("""COMPUTED_VALUE"""),"Għarb")</f>
        <v>Għarb</v>
      </c>
      <c r="B2949" s="9" t="str">
        <f>IFERROR(__xludf.DUMMYFUNCTION("""COMPUTED_VALUE"""),"mt-14")</f>
        <v>mt-14</v>
      </c>
      <c r="C2949" s="9" t="str">
        <f>IFERROR(__xludf.DUMMYFUNCTION("GOOGLETRANSLATE($A2949,""en"",""de"")"),"Għarb")</f>
        <v>Għarb</v>
      </c>
      <c r="D2949" s="9" t="str">
        <f>IFERROR(__xludf.DUMMYFUNCTION("GOOGLETRANSLATE($A2949,""en"",""fr"")"),"L-Gharb")</f>
        <v>L-Gharb</v>
      </c>
      <c r="E2949" s="9" t="str">
        <f>IFERROR(__xludf.DUMMYFUNCTION("GOOGLETRANSLATE($A2949,""en"",""es"")"),"Għarb")</f>
        <v>Għarb</v>
      </c>
      <c r="F2949" s="9" t="str">
        <f>IFERROR(__xludf.DUMMYFUNCTION("GOOGLETRANSLATE($A2949,""en"",""it"")"),"Għarb")</f>
        <v>Għarb</v>
      </c>
      <c r="G2949" s="9" t="str">
        <f>IFERROR(__xludf.DUMMYFUNCTION("GOOGLETRANSLATE($A2949,""en"",""zh-cn"")"),"加尔布")</f>
        <v>加尔布</v>
      </c>
      <c r="H2949" s="9" t="str">
        <f>IFERROR(__xludf.DUMMYFUNCTION("GOOGLETRANSLATE($A2949,""en"",""ja"")"),"ガーブ")</f>
        <v>ガーブ</v>
      </c>
      <c r="I2949" s="9" t="str">
        <f>IFERROR(__xludf.DUMMYFUNCTION("GOOGLETRANSLATE($A2949,""en"",""ko"")"),"가르브")</f>
        <v>가르브</v>
      </c>
      <c r="J2949" s="9" t="str">
        <f>IFERROR(__xludf.DUMMYFUNCTION("GOOGLETRANSLATE($A2949,""en"",""pt-BR"")"),"Għarb")</f>
        <v>Għarb</v>
      </c>
    </row>
    <row r="2950">
      <c r="A2950" s="9" t="str">
        <f>IFERROR(__xludf.DUMMYFUNCTION("""COMPUTED_VALUE"""),"Mellieħa")</f>
        <v>Mellieħa</v>
      </c>
      <c r="B2950" s="9" t="str">
        <f>IFERROR(__xludf.DUMMYFUNCTION("""COMPUTED_VALUE"""),"mt-30")</f>
        <v>mt-30</v>
      </c>
      <c r="C2950" s="9" t="str">
        <f>IFERROR(__xludf.DUMMYFUNCTION("GOOGLETRANSLATE($A2950,""en"",""de"")"),"Mellieħa")</f>
        <v>Mellieħa</v>
      </c>
      <c r="D2950" s="9" t="str">
        <f>IFERROR(__xludf.DUMMYFUNCTION("GOOGLETRANSLATE($A2950,""en"",""fr"")"),"Mellieħa")</f>
        <v>Mellieħa</v>
      </c>
      <c r="E2950" s="9" t="str">
        <f>IFERROR(__xludf.DUMMYFUNCTION("GOOGLETRANSLATE($A2950,""en"",""es"")"),"Mellieħa")</f>
        <v>Mellieħa</v>
      </c>
      <c r="F2950" s="9" t="str">
        <f>IFERROR(__xludf.DUMMYFUNCTION("GOOGLETRANSLATE($A2950,""en"",""it"")"),"Mellieħa")</f>
        <v>Mellieħa</v>
      </c>
      <c r="G2950" s="9" t="str">
        <f>IFERROR(__xludf.DUMMYFUNCTION("GOOGLETRANSLATE($A2950,""en"",""zh-cn"")"),"梅利哈")</f>
        <v>梅利哈</v>
      </c>
      <c r="H2950" s="9" t="str">
        <f>IFERROR(__xludf.DUMMYFUNCTION("GOOGLETRANSLATE($A2950,""en"",""ja"")"),"メーリエハ")</f>
        <v>メーリエハ</v>
      </c>
      <c r="I2950" s="9" t="str">
        <f>IFERROR(__xludf.DUMMYFUNCTION("GOOGLETRANSLATE($A2950,""en"",""ko"")"),"멜리하")</f>
        <v>멜리하</v>
      </c>
      <c r="J2950" s="9" t="str">
        <f>IFERROR(__xludf.DUMMYFUNCTION("GOOGLETRANSLATE($A2950,""en"",""pt-BR"")"),"Mellieħa")</f>
        <v>Mellieħa</v>
      </c>
    </row>
    <row r="2951">
      <c r="A2951" s="9" t="str">
        <f>IFERROR(__xludf.DUMMYFUNCTION("""COMPUTED_VALUE"""),"Santa Luċija")</f>
        <v>Santa Luċija</v>
      </c>
      <c r="B2951" s="9" t="str">
        <f>IFERROR(__xludf.DUMMYFUNCTION("""COMPUTED_VALUE"""),"mt-53")</f>
        <v>mt-53</v>
      </c>
      <c r="C2951" s="9" t="str">
        <f>IFERROR(__xludf.DUMMYFUNCTION("GOOGLETRANSLATE($A2951,""en"",""de"")"),"Santa Luċija")</f>
        <v>Santa Luċija</v>
      </c>
      <c r="D2951" s="9" t="str">
        <f>IFERROR(__xludf.DUMMYFUNCTION("GOOGLETRANSLATE($A2951,""en"",""fr"")"),"Santa Luċija")</f>
        <v>Santa Luċija</v>
      </c>
      <c r="E2951" s="9" t="str">
        <f>IFERROR(__xludf.DUMMYFUNCTION("GOOGLETRANSLATE($A2951,""en"",""es"")"),"Santa Luja")</f>
        <v>Santa Luja</v>
      </c>
      <c r="F2951" s="9" t="str">
        <f>IFERROR(__xludf.DUMMYFUNCTION("GOOGLETRANSLATE($A2951,""en"",""it"")"),"Santa Lucia")</f>
        <v>Santa Lucia</v>
      </c>
      <c r="G2951" s="9" t="str">
        <f>IFERROR(__xludf.DUMMYFUNCTION("GOOGLETRANSLATE($A2951,""en"",""zh-cn"")"),"圣卢伊贾")</f>
        <v>圣卢伊贾</v>
      </c>
      <c r="H2951" s="9" t="str">
        <f>IFERROR(__xludf.DUMMYFUNCTION("GOOGLETRANSLATE($A2951,""en"",""ja"")"),"サンタ・ルイーヤ")</f>
        <v>サンタ・ルイーヤ</v>
      </c>
      <c r="I2951" s="9" t="str">
        <f>IFERROR(__xludf.DUMMYFUNCTION("GOOGLETRANSLATE($A2951,""en"",""ko"")"),"산타 루이지아")</f>
        <v>산타 루이지아</v>
      </c>
      <c r="J2951" s="9" t="str">
        <f>IFERROR(__xludf.DUMMYFUNCTION("GOOGLETRANSLATE($A2951,""en"",""pt-BR"")"),"Santa Luija")</f>
        <v>Santa Luija</v>
      </c>
    </row>
    <row r="2952">
      <c r="A2952" s="9" t="str">
        <f>IFERROR(__xludf.DUMMYFUNCTION("""COMPUTED_VALUE"""),"Santa Venera")</f>
        <v>Santa Venera</v>
      </c>
      <c r="B2952" s="9" t="str">
        <f>IFERROR(__xludf.DUMMYFUNCTION("""COMPUTED_VALUE"""),"mt-54")</f>
        <v>mt-54</v>
      </c>
      <c r="C2952" s="9" t="str">
        <f>IFERROR(__xludf.DUMMYFUNCTION("GOOGLETRANSLATE($A2952,""en"",""de"")"),"Santa Venera")</f>
        <v>Santa Venera</v>
      </c>
      <c r="D2952" s="9" t="str">
        <f>IFERROR(__xludf.DUMMYFUNCTION("GOOGLETRANSLATE($A2952,""en"",""fr"")"),"Santa Venera")</f>
        <v>Santa Venera</v>
      </c>
      <c r="E2952" s="9" t="str">
        <f>IFERROR(__xludf.DUMMYFUNCTION("GOOGLETRANSLATE($A2952,""en"",""es"")"),"santa venera")</f>
        <v>santa venera</v>
      </c>
      <c r="F2952" s="9" t="str">
        <f>IFERROR(__xludf.DUMMYFUNCTION("GOOGLETRANSLATE($A2952,""en"",""it"")"),"Santa Venera")</f>
        <v>Santa Venera</v>
      </c>
      <c r="G2952" s="9" t="str">
        <f>IFERROR(__xludf.DUMMYFUNCTION("GOOGLETRANSLATE($A2952,""en"",""zh-cn"")"),"圣维内拉")</f>
        <v>圣维内拉</v>
      </c>
      <c r="H2952" s="9" t="str">
        <f>IFERROR(__xludf.DUMMYFUNCTION("GOOGLETRANSLATE($A2952,""en"",""ja"")"),"サンタ・ベネラ")</f>
        <v>サンタ・ベネラ</v>
      </c>
      <c r="I2952" s="9" t="str">
        <f>IFERROR(__xludf.DUMMYFUNCTION("GOOGLETRANSLATE($A2952,""en"",""ko"")"),"산타 베네라")</f>
        <v>산타 베네라</v>
      </c>
      <c r="J2952" s="9" t="str">
        <f>IFERROR(__xludf.DUMMYFUNCTION("GOOGLETRANSLATE($A2952,""en"",""pt-BR"")"),"Santa Venera")</f>
        <v>Santa Venera</v>
      </c>
    </row>
    <row r="2953">
      <c r="A2953" s="9" t="str">
        <f>IFERROR(__xludf.DUMMYFUNCTION("""COMPUTED_VALUE"""),"Għargħur")</f>
        <v>Għargħur</v>
      </c>
      <c r="B2953" s="9" t="str">
        <f>IFERROR(__xludf.DUMMYFUNCTION("""COMPUTED_VALUE"""),"mt-15")</f>
        <v>mt-15</v>
      </c>
      <c r="C2953" s="9" t="str">
        <f>IFERROR(__xludf.DUMMYFUNCTION("GOOGLETRANSLATE($A2953,""en"",""de"")"),"Għargħur")</f>
        <v>Għargħur</v>
      </c>
      <c r="D2953" s="9" t="str">
        <f>IFERROR(__xludf.DUMMYFUNCTION("GOOGLETRANSLATE($A2953,""en"",""fr"")"),"Għargħur")</f>
        <v>Għargħur</v>
      </c>
      <c r="E2953" s="9" t="str">
        <f>IFERROR(__xludf.DUMMYFUNCTION("GOOGLETRANSLATE($A2953,""en"",""es"")"),"Għargħur")</f>
        <v>Għargħur</v>
      </c>
      <c r="F2953" s="9" t="str">
        <f>IFERROR(__xludf.DUMMYFUNCTION("GOOGLETRANSLATE($A2953,""en"",""it"")"),"Għargħur")</f>
        <v>Għargħur</v>
      </c>
      <c r="G2953" s="9" t="str">
        <f>IFERROR(__xludf.DUMMYFUNCTION("GOOGLETRANSLATE($A2953,""en"",""zh-cn"")"),"加古尔")</f>
        <v>加古尔</v>
      </c>
      <c r="H2953" s="9" t="str">
        <f>IFERROR(__xludf.DUMMYFUNCTION("GOOGLETRANSLATE($A2953,""en"",""ja"")"),"ギアルグール")</f>
        <v>ギアルグール</v>
      </c>
      <c r="I2953" s="9" t="str">
        <f>IFERROR(__xludf.DUMMYFUNCTION("GOOGLETRANSLATE($A2953,""en"",""ko"")"),"게아르기르")</f>
        <v>게아르기르</v>
      </c>
      <c r="J2953" s="9" t="str">
        <f>IFERROR(__xludf.DUMMYFUNCTION("GOOGLETRANSLATE($A2953,""en"",""pt-BR"")"),"Gharghur")</f>
        <v>Gharghur</v>
      </c>
    </row>
    <row r="2954">
      <c r="A2954" s="9" t="str">
        <f>IFERROR(__xludf.DUMMYFUNCTION("""COMPUTED_VALUE"""),"Mġarr")</f>
        <v>Mġarr</v>
      </c>
      <c r="B2954" s="9" t="str">
        <f>IFERROR(__xludf.DUMMYFUNCTION("""COMPUTED_VALUE"""),"mt-31")</f>
        <v>mt-31</v>
      </c>
      <c r="C2954" s="9" t="str">
        <f>IFERROR(__xludf.DUMMYFUNCTION("GOOGLETRANSLATE($A2954,""en"",""de"")"),"Mġarr")</f>
        <v>Mġarr</v>
      </c>
      <c r="D2954" s="9" t="str">
        <f>IFERROR(__xludf.DUMMYFUNCTION("GOOGLETRANSLATE($A2954,""en"",""fr"")"),"Mġarr")</f>
        <v>Mġarr</v>
      </c>
      <c r="E2954" s="9" t="str">
        <f>IFERROR(__xludf.DUMMYFUNCTION("GOOGLETRANSLATE($A2954,""en"",""es"")"),"Mġarr")</f>
        <v>Mġarr</v>
      </c>
      <c r="F2954" s="9" t="str">
        <f>IFERROR(__xludf.DUMMYFUNCTION("GOOGLETRANSLATE($A2954,""en"",""it"")"),"Mġarr")</f>
        <v>Mġarr</v>
      </c>
      <c r="G2954" s="9" t="str">
        <f>IFERROR(__xludf.DUMMYFUNCTION("GOOGLETRANSLATE($A2954,""en"",""zh-cn"")"),"梅加尔")</f>
        <v>梅加尔</v>
      </c>
      <c r="H2954" s="9" t="str">
        <f>IFERROR(__xludf.DUMMYFUNCTION("GOOGLETRANSLATE($A2954,""en"",""ja"")"),"マシャール")</f>
        <v>マシャール</v>
      </c>
      <c r="I2954" s="9" t="str">
        <f>IFERROR(__xludf.DUMMYFUNCTION("GOOGLETRANSLATE($A2954,""en"",""ko"")"),"마아르")</f>
        <v>마아르</v>
      </c>
      <c r="J2954" s="9" t="str">
        <f>IFERROR(__xludf.DUMMYFUNCTION("GOOGLETRANSLATE($A2954,""en"",""pt-BR"")"),"Mġarr")</f>
        <v>Mġarr</v>
      </c>
    </row>
    <row r="2955">
      <c r="A2955" s="9" t="str">
        <f>IFERROR(__xludf.DUMMYFUNCTION("""COMPUTED_VALUE"""),"Siġġiewi")</f>
        <v>Siġġiewi</v>
      </c>
      <c r="B2955" s="9" t="str">
        <f>IFERROR(__xludf.DUMMYFUNCTION("""COMPUTED_VALUE"""),"mt-55")</f>
        <v>mt-55</v>
      </c>
      <c r="C2955" s="9" t="str">
        <f>IFERROR(__xludf.DUMMYFUNCTION("GOOGLETRANSLATE($A2955,""en"",""de"")"),"Siġġiewi")</f>
        <v>Siġġiewi</v>
      </c>
      <c r="D2955" s="9" t="str">
        <f>IFERROR(__xludf.DUMMYFUNCTION("GOOGLETRANSLATE($A2955,""en"",""fr"")"),"Siġġiewi")</f>
        <v>Siġġiewi</v>
      </c>
      <c r="E2955" s="9" t="str">
        <f>IFERROR(__xludf.DUMMYFUNCTION("GOOGLETRANSLATE($A2955,""en"",""es"")"),"Siġġiewi")</f>
        <v>Siġġiewi</v>
      </c>
      <c r="F2955" s="9" t="str">
        <f>IFERROR(__xludf.DUMMYFUNCTION("GOOGLETRANSLATE($A2955,""en"",""it"")"),"Siġġiewi")</f>
        <v>Siġġiewi</v>
      </c>
      <c r="G2955" s="9" t="str">
        <f>IFERROR(__xludf.DUMMYFUNCTION("GOOGLETRANSLATE($A2955,""en"",""zh-cn"")"),"西吉耶维")</f>
        <v>西吉耶维</v>
      </c>
      <c r="H2955" s="9" t="str">
        <f>IFERROR(__xludf.DUMMYFUNCTION("GOOGLETRANSLATE($A2955,""en"",""ja"")"),"シチェウィ")</f>
        <v>シチェウィ</v>
      </c>
      <c r="I2955" s="9" t="str">
        <f>IFERROR(__xludf.DUMMYFUNCTION("GOOGLETRANSLATE($A2955,""en"",""ko"")"),"Siġġiewi")</f>
        <v>Siġġiewi</v>
      </c>
      <c r="J2955" s="9" t="str">
        <f>IFERROR(__xludf.DUMMYFUNCTION("GOOGLETRANSLATE($A2955,""en"",""pt-BR"")"),"Siġġiewi")</f>
        <v>Siġġiewi</v>
      </c>
    </row>
    <row r="2956">
      <c r="A2956" s="9" t="str">
        <f>IFERROR(__xludf.DUMMYFUNCTION("""COMPUTED_VALUE"""),"Mosta")</f>
        <v>Mosta</v>
      </c>
      <c r="B2956" s="9" t="str">
        <f>IFERROR(__xludf.DUMMYFUNCTION("""COMPUTED_VALUE"""),"mt-32")</f>
        <v>mt-32</v>
      </c>
      <c r="C2956" s="9" t="str">
        <f>IFERROR(__xludf.DUMMYFUNCTION("GOOGLETRANSLATE($A2956,""en"",""de"")"),"Mosta")</f>
        <v>Mosta</v>
      </c>
      <c r="D2956" s="9" t="str">
        <f>IFERROR(__xludf.DUMMYFUNCTION("GOOGLETRANSLATE($A2956,""en"",""fr"")"),"Mosta")</f>
        <v>Mosta</v>
      </c>
      <c r="E2956" s="9" t="str">
        <f>IFERROR(__xludf.DUMMYFUNCTION("GOOGLETRANSLATE($A2956,""en"",""es"")"),"mosta")</f>
        <v>mosta</v>
      </c>
      <c r="F2956" s="9" t="str">
        <f>IFERROR(__xludf.DUMMYFUNCTION("GOOGLETRANSLATE($A2956,""en"",""it"")"),"Mosta")</f>
        <v>Mosta</v>
      </c>
      <c r="G2956" s="9" t="str">
        <f>IFERROR(__xludf.DUMMYFUNCTION("GOOGLETRANSLATE($A2956,""en"",""zh-cn"")"),"莫斯塔")</f>
        <v>莫斯塔</v>
      </c>
      <c r="H2956" s="9" t="str">
        <f>IFERROR(__xludf.DUMMYFUNCTION("GOOGLETRANSLATE($A2956,""en"",""ja"")"),"モスタ")</f>
        <v>モスタ</v>
      </c>
      <c r="I2956" s="9" t="str">
        <f>IFERROR(__xludf.DUMMYFUNCTION("GOOGLETRANSLATE($A2956,""en"",""ko"")"),"모스타")</f>
        <v>모스타</v>
      </c>
      <c r="J2956" s="9" t="str">
        <f>IFERROR(__xludf.DUMMYFUNCTION("GOOGLETRANSLATE($A2956,""en"",""pt-BR"")"),"Mosta")</f>
        <v>Mosta</v>
      </c>
    </row>
    <row r="2957">
      <c r="A2957" s="9" t="str">
        <f>IFERROR(__xludf.DUMMYFUNCTION("""COMPUTED_VALUE"""),"Attard")</f>
        <v>Attard</v>
      </c>
      <c r="B2957" s="9" t="str">
        <f>IFERROR(__xludf.DUMMYFUNCTION("""COMPUTED_VALUE"""),"mt-01")</f>
        <v>mt-01</v>
      </c>
      <c r="C2957" s="9" t="str">
        <f>IFERROR(__xludf.DUMMYFUNCTION("GOOGLETRANSLATE($A2957,""en"",""de"")"),"Attard")</f>
        <v>Attard</v>
      </c>
      <c r="D2957" s="9" t="str">
        <f>IFERROR(__xludf.DUMMYFUNCTION("GOOGLETRANSLATE($A2957,""en"",""fr"")"),"Attard")</f>
        <v>Attard</v>
      </c>
      <c r="E2957" s="9" t="str">
        <f>IFERROR(__xludf.DUMMYFUNCTION("GOOGLETRANSLATE($A2957,""en"",""es"")"),"Attard")</f>
        <v>Attard</v>
      </c>
      <c r="F2957" s="9" t="str">
        <f>IFERROR(__xludf.DUMMYFUNCTION("GOOGLETRANSLATE($A2957,""en"",""it"")"),"Attard")</f>
        <v>Attard</v>
      </c>
      <c r="G2957" s="9" t="str">
        <f>IFERROR(__xludf.DUMMYFUNCTION("GOOGLETRANSLATE($A2957,""en"",""zh-cn"")"),"阿塔德")</f>
        <v>阿塔德</v>
      </c>
      <c r="H2957" s="9" t="str">
        <f>IFERROR(__xludf.DUMMYFUNCTION("GOOGLETRANSLATE($A2957,""en"",""ja"")"),"アタード")</f>
        <v>アタード</v>
      </c>
      <c r="I2957" s="9" t="str">
        <f>IFERROR(__xludf.DUMMYFUNCTION("GOOGLETRANSLATE($A2957,""en"",""ko"")"),"아타드")</f>
        <v>아타드</v>
      </c>
      <c r="J2957" s="9" t="str">
        <f>IFERROR(__xludf.DUMMYFUNCTION("GOOGLETRANSLATE($A2957,""en"",""pt-BR"")"),"Attard")</f>
        <v>Attard</v>
      </c>
    </row>
    <row r="2958">
      <c r="A2958" s="9" t="str">
        <f>IFERROR(__xludf.DUMMYFUNCTION("""COMPUTED_VALUE"""),"Fgura")</f>
        <v>Fgura</v>
      </c>
      <c r="B2958" s="9" t="str">
        <f>IFERROR(__xludf.DUMMYFUNCTION("""COMPUTED_VALUE"""),"mt-08")</f>
        <v>mt-08</v>
      </c>
      <c r="C2958" s="9" t="str">
        <f>IFERROR(__xludf.DUMMYFUNCTION("GOOGLETRANSLATE($A2958,""en"",""de"")"),"Fgura")</f>
        <v>Fgura</v>
      </c>
      <c r="D2958" s="9" t="str">
        <f>IFERROR(__xludf.DUMMYFUNCTION("GOOGLETRANSLATE($A2958,""en"",""fr"")"),"Fgura")</f>
        <v>Fgura</v>
      </c>
      <c r="E2958" s="9" t="str">
        <f>IFERROR(__xludf.DUMMYFUNCTION("GOOGLETRANSLATE($A2958,""en"",""es"")"),"Fgura")</f>
        <v>Fgura</v>
      </c>
      <c r="F2958" s="9" t="str">
        <f>IFERROR(__xludf.DUMMYFUNCTION("GOOGLETRANSLATE($A2958,""en"",""it"")"),"Figura")</f>
        <v>Figura</v>
      </c>
      <c r="G2958" s="9" t="str">
        <f>IFERROR(__xludf.DUMMYFUNCTION("GOOGLETRANSLATE($A2958,""en"",""zh-cn"")"),"弗古拉")</f>
        <v>弗古拉</v>
      </c>
      <c r="H2958" s="9" t="str">
        <f>IFERROR(__xludf.DUMMYFUNCTION("GOOGLETRANSLATE($A2958,""en"",""ja"")"),"ふぐら")</f>
        <v>ふぐら</v>
      </c>
      <c r="I2958" s="9" t="str">
        <f>IFERROR(__xludf.DUMMYFUNCTION("GOOGLETRANSLATE($A2958,""en"",""ko"")"),"프구라")</f>
        <v>프구라</v>
      </c>
      <c r="J2958" s="9" t="str">
        <f>IFERROR(__xludf.DUMMYFUNCTION("GOOGLETRANSLATE($A2958,""en"",""pt-BR"")"),"Fgura")</f>
        <v>Fgura</v>
      </c>
    </row>
    <row r="2959">
      <c r="A2959" s="9" t="str">
        <f>IFERROR(__xludf.DUMMYFUNCTION("""COMPUTED_VALUE"""),"Kirkop")</f>
        <v>Kirkop</v>
      </c>
      <c r="B2959" s="9" t="str">
        <f>IFERROR(__xludf.DUMMYFUNCTION("""COMPUTED_VALUE"""),"mt-23")</f>
        <v>mt-23</v>
      </c>
      <c r="C2959" s="9" t="str">
        <f>IFERROR(__xludf.DUMMYFUNCTION("GOOGLETRANSLATE($A2959,""en"",""de"")"),"Kirkop")</f>
        <v>Kirkop</v>
      </c>
      <c r="D2959" s="9" t="str">
        <f>IFERROR(__xludf.DUMMYFUNCTION("GOOGLETRANSLATE($A2959,""en"",""fr"")"),"Kirkop")</f>
        <v>Kirkop</v>
      </c>
      <c r="E2959" s="9" t="str">
        <f>IFERROR(__xludf.DUMMYFUNCTION("GOOGLETRANSLATE($A2959,""en"",""es"")"),"Kirkop")</f>
        <v>Kirkop</v>
      </c>
      <c r="F2959" s="9" t="str">
        <f>IFERROR(__xludf.DUMMYFUNCTION("GOOGLETRANSLATE($A2959,""en"",""it"")"),"Kirkop")</f>
        <v>Kirkop</v>
      </c>
      <c r="G2959" s="9" t="str">
        <f>IFERROR(__xludf.DUMMYFUNCTION("GOOGLETRANSLATE($A2959,""en"",""zh-cn"")"),"克科普")</f>
        <v>克科普</v>
      </c>
      <c r="H2959" s="9" t="str">
        <f>IFERROR(__xludf.DUMMYFUNCTION("GOOGLETRANSLATE($A2959,""en"",""ja"")"),"キルコップ")</f>
        <v>キルコップ</v>
      </c>
      <c r="I2959" s="9" t="str">
        <f>IFERROR(__xludf.DUMMYFUNCTION("GOOGLETRANSLATE($A2959,""en"",""ko"")"),"키르코프")</f>
        <v>키르코프</v>
      </c>
      <c r="J2959" s="9" t="str">
        <f>IFERROR(__xludf.DUMMYFUNCTION("GOOGLETRANSLATE($A2959,""en"",""pt-BR"")"),"Kirkop")</f>
        <v>Kirkop</v>
      </c>
    </row>
    <row r="2960">
      <c r="A2960" s="9" t="str">
        <f>IFERROR(__xludf.DUMMYFUNCTION("""COMPUTED_VALUE"""),"Qrendi")</f>
        <v>Qrendi</v>
      </c>
      <c r="B2960" s="9" t="str">
        <f>IFERROR(__xludf.DUMMYFUNCTION("""COMPUTED_VALUE"""),"mt-44")</f>
        <v>mt-44</v>
      </c>
      <c r="C2960" s="9" t="str">
        <f>IFERROR(__xludf.DUMMYFUNCTION("GOOGLETRANSLATE($A2960,""en"",""de"")"),"Qrendi")</f>
        <v>Qrendi</v>
      </c>
      <c r="D2960" s="9" t="str">
        <f>IFERROR(__xludf.DUMMYFUNCTION("GOOGLETRANSLATE($A2960,""en"",""fr"")"),"Qrendi")</f>
        <v>Qrendi</v>
      </c>
      <c r="E2960" s="9" t="str">
        <f>IFERROR(__xludf.DUMMYFUNCTION("GOOGLETRANSLATE($A2960,""en"",""es"")"),"Qrendi")</f>
        <v>Qrendi</v>
      </c>
      <c r="F2960" s="9" t="str">
        <f>IFERROR(__xludf.DUMMYFUNCTION("GOOGLETRANSLATE($A2960,""en"",""it"")"),"Qrendi")</f>
        <v>Qrendi</v>
      </c>
      <c r="G2960" s="9" t="str">
        <f>IFERROR(__xludf.DUMMYFUNCTION("GOOGLETRANSLATE($A2960,""en"",""zh-cn"")"),"格伦迪")</f>
        <v>格伦迪</v>
      </c>
      <c r="H2960" s="9" t="str">
        <f>IFERROR(__xludf.DUMMYFUNCTION("GOOGLETRANSLATE($A2960,""en"",""ja"")"),"レンディ")</f>
        <v>レンディ</v>
      </c>
      <c r="I2960" s="9" t="str">
        <f>IFERROR(__xludf.DUMMYFUNCTION("GOOGLETRANSLATE($A2960,""en"",""ko"")"),"크렌디")</f>
        <v>크렌디</v>
      </c>
      <c r="J2960" s="9" t="str">
        <f>IFERROR(__xludf.DUMMYFUNCTION("GOOGLETRANSLATE($A2960,""en"",""pt-BR"")"),"Qrendi")</f>
        <v>Qrendi</v>
      </c>
    </row>
    <row r="2961">
      <c r="A2961" s="9" t="str">
        <f>IFERROR(__xludf.DUMMYFUNCTION("""COMPUTED_VALUE"""),"Żejtun")</f>
        <v>Żejtun</v>
      </c>
      <c r="B2961" s="9" t="str">
        <f>IFERROR(__xludf.DUMMYFUNCTION("""COMPUTED_VALUE"""),"mt-67")</f>
        <v>mt-67</v>
      </c>
      <c r="C2961" s="9" t="str">
        <f>IFERROR(__xludf.DUMMYFUNCTION("GOOGLETRANSLATE($A2961,""en"",""de"")"),"Żejtun")</f>
        <v>Żejtun</v>
      </c>
      <c r="D2961" s="9" t="str">
        <f>IFERROR(__xludf.DUMMYFUNCTION("GOOGLETRANSLATE($A2961,""en"",""fr"")"),"Jetun")</f>
        <v>Jetun</v>
      </c>
      <c r="E2961" s="9" t="str">
        <f>IFERROR(__xludf.DUMMYFUNCTION("GOOGLETRANSLATE($A2961,""en"",""es"")"),"Żejtun")</f>
        <v>Żejtun</v>
      </c>
      <c r="F2961" s="9" t="str">
        <f>IFERROR(__xludf.DUMMYFUNCTION("GOOGLETRANSLATE($A2961,""en"",""it"")"),"Żejtun")</f>
        <v>Żejtun</v>
      </c>
      <c r="G2961" s="9" t="str">
        <f>IFERROR(__xludf.DUMMYFUNCTION("GOOGLETRANSLATE($A2961,""en"",""zh-cn"")"),"热伊通")</f>
        <v>热伊通</v>
      </c>
      <c r="H2961" s="9" t="str">
        <f>IFERROR(__xludf.DUMMYFUNCTION("GOOGLETRANSLATE($A2961,""en"",""ja"")"),"ジェイトゥン")</f>
        <v>ジェイトゥン</v>
      </c>
      <c r="I2961" s="9" t="str">
        <f>IFERROR(__xludf.DUMMYFUNCTION("GOOGLETRANSLATE($A2961,""en"",""ko"")"),"세이툰")</f>
        <v>세이툰</v>
      </c>
      <c r="J2961" s="9" t="str">
        <f>IFERROR(__xludf.DUMMYFUNCTION("GOOGLETRANSLATE($A2961,""en"",""pt-BR"")"),"Żejtun")</f>
        <v>Żejtun</v>
      </c>
    </row>
    <row r="2962">
      <c r="A2962" s="9" t="str">
        <f>IFERROR(__xludf.DUMMYFUNCTION("""COMPUTED_VALUE"""),"Żurrieq")</f>
        <v>Żurrieq</v>
      </c>
      <c r="B2962" s="9" t="str">
        <f>IFERROR(__xludf.DUMMYFUNCTION("""COMPUTED_VALUE"""),"mt-68")</f>
        <v>mt-68</v>
      </c>
      <c r="C2962" s="9" t="str">
        <f>IFERROR(__xludf.DUMMYFUNCTION("GOOGLETRANSLATE($A2962,""en"",""de"")"),"Żurrieq")</f>
        <v>Żurrieq</v>
      </c>
      <c r="D2962" s="9" t="str">
        <f>IFERROR(__xludf.DUMMYFUNCTION("GOOGLETRANSLATE($A2962,""en"",""fr"")"),"Żurrieq")</f>
        <v>Żurrieq</v>
      </c>
      <c r="E2962" s="9" t="str">
        <f>IFERROR(__xludf.DUMMYFUNCTION("GOOGLETRANSLATE($A2962,""en"",""es"")"),"Żurrieq")</f>
        <v>Żurrieq</v>
      </c>
      <c r="F2962" s="9" t="str">
        <f>IFERROR(__xludf.DUMMYFUNCTION("GOOGLETRANSLATE($A2962,""en"",""it"")"),"Żurrieq")</f>
        <v>Żurrieq</v>
      </c>
      <c r="G2962" s="9" t="str">
        <f>IFERROR(__xludf.DUMMYFUNCTION("GOOGLETRANSLATE($A2962,""en"",""zh-cn"")"),"祖里克")</f>
        <v>祖里克</v>
      </c>
      <c r="H2962" s="9" t="str">
        <f>IFERROR(__xludf.DUMMYFUNCTION("GOOGLETRANSLATE($A2962,""en"",""ja"")"),"ジュリエク")</f>
        <v>ジュリエク</v>
      </c>
      <c r="I2962" s="9" t="str">
        <f>IFERROR(__xludf.DUMMYFUNCTION("GOOGLETRANSLATE($A2962,""en"",""ko"")"),"주리에크")</f>
        <v>주리에크</v>
      </c>
      <c r="J2962" s="9" t="str">
        <f>IFERROR(__xludf.DUMMYFUNCTION("GOOGLETRANSLATE($A2962,""en"",""pt-BR"")"),"Żurrieq")</f>
        <v>Żurrieq</v>
      </c>
    </row>
    <row r="2963">
      <c r="A2963" s="9" t="str">
        <f>IFERROR(__xludf.DUMMYFUNCTION("""COMPUTED_VALUE"""),"Floriana")</f>
        <v>Floriana</v>
      </c>
      <c r="B2963" s="9" t="str">
        <f>IFERROR(__xludf.DUMMYFUNCTION("""COMPUTED_VALUE"""),"mt-09")</f>
        <v>mt-09</v>
      </c>
      <c r="C2963" s="9" t="str">
        <f>IFERROR(__xludf.DUMMYFUNCTION("GOOGLETRANSLATE($A2963,""en"",""de"")"),"Floriana")</f>
        <v>Floriana</v>
      </c>
      <c r="D2963" s="9" t="str">
        <f>IFERROR(__xludf.DUMMYFUNCTION("GOOGLETRANSLATE($A2963,""en"",""fr"")"),"Floriane")</f>
        <v>Floriane</v>
      </c>
      <c r="E2963" s="9" t="str">
        <f>IFERROR(__xludf.DUMMYFUNCTION("GOOGLETRANSLATE($A2963,""en"",""es"")"),"floriana")</f>
        <v>floriana</v>
      </c>
      <c r="F2963" s="9" t="str">
        <f>IFERROR(__xludf.DUMMYFUNCTION("GOOGLETRANSLATE($A2963,""en"",""it"")"),"Floriana")</f>
        <v>Floriana</v>
      </c>
      <c r="G2963" s="9" t="str">
        <f>IFERROR(__xludf.DUMMYFUNCTION("GOOGLETRANSLATE($A2963,""en"",""zh-cn"")"),"弗洛里亚纳")</f>
        <v>弗洛里亚纳</v>
      </c>
      <c r="H2963" s="9" t="str">
        <f>IFERROR(__xludf.DUMMYFUNCTION("GOOGLETRANSLATE($A2963,""en"",""ja"")"),"フロリアナ")</f>
        <v>フロリアナ</v>
      </c>
      <c r="I2963" s="9" t="str">
        <f>IFERROR(__xludf.DUMMYFUNCTION("GOOGLETRANSLATE($A2963,""en"",""ko"")"),"플로리아나")</f>
        <v>플로리아나</v>
      </c>
      <c r="J2963" s="9" t="str">
        <f>IFERROR(__xludf.DUMMYFUNCTION("GOOGLETRANSLATE($A2963,""en"",""pt-BR"")"),"Floriana")</f>
        <v>Floriana</v>
      </c>
    </row>
    <row r="2964">
      <c r="A2964" s="9" t="str">
        <f>IFERROR(__xludf.DUMMYFUNCTION("""COMPUTED_VALUE"""),"Lija")</f>
        <v>Lija</v>
      </c>
      <c r="B2964" s="9" t="str">
        <f>IFERROR(__xludf.DUMMYFUNCTION("""COMPUTED_VALUE"""),"mt-24")</f>
        <v>mt-24</v>
      </c>
      <c r="C2964" s="9" t="str">
        <f>IFERROR(__xludf.DUMMYFUNCTION("GOOGLETRANSLATE($A2964,""en"",""de"")"),"Lija")</f>
        <v>Lija</v>
      </c>
      <c r="D2964" s="9" t="str">
        <f>IFERROR(__xludf.DUMMYFUNCTION("GOOGLETRANSLATE($A2964,""en"",""fr"")"),"Lija")</f>
        <v>Lija</v>
      </c>
      <c r="E2964" s="9" t="str">
        <f>IFERROR(__xludf.DUMMYFUNCTION("GOOGLETRANSLATE($A2964,""en"",""es"")"),"lija")</f>
        <v>lija</v>
      </c>
      <c r="F2964" s="9" t="str">
        <f>IFERROR(__xludf.DUMMYFUNCTION("GOOGLETRANSLATE($A2964,""en"",""it"")"),"Lija")</f>
        <v>Lija</v>
      </c>
      <c r="G2964" s="9" t="str">
        <f>IFERROR(__xludf.DUMMYFUNCTION("GOOGLETRANSLATE($A2964,""en"",""zh-cn"")"),"莉娅")</f>
        <v>莉娅</v>
      </c>
      <c r="H2964" s="9" t="str">
        <f>IFERROR(__xludf.DUMMYFUNCTION("GOOGLETRANSLATE($A2964,""en"",""ja"")"),"リジャ")</f>
        <v>リジャ</v>
      </c>
      <c r="I2964" s="9" t="str">
        <f>IFERROR(__xludf.DUMMYFUNCTION("GOOGLETRANSLATE($A2964,""en"",""ko"")"),"리자")</f>
        <v>리자</v>
      </c>
      <c r="J2964" s="9" t="str">
        <f>IFERROR(__xludf.DUMMYFUNCTION("GOOGLETRANSLATE($A2964,""en"",""pt-BR"")"),"Lija")</f>
        <v>Lija</v>
      </c>
    </row>
    <row r="2965">
      <c r="A2965" s="9" t="str">
        <f>IFERROR(__xludf.DUMMYFUNCTION("""COMPUTED_VALUE"""),"Rabat Għawdex")</f>
        <v>Rabat Għawdex</v>
      </c>
      <c r="B2965" s="9" t="str">
        <f>IFERROR(__xludf.DUMMYFUNCTION("""COMPUTED_VALUE"""),"mt-45")</f>
        <v>mt-45</v>
      </c>
      <c r="C2965" s="9" t="str">
        <f>IFERROR(__xludf.DUMMYFUNCTION("GOOGLETRANSLATE($A2965,""en"",""de"")"),"Rabat Għawdex")</f>
        <v>Rabat Għawdex</v>
      </c>
      <c r="D2965" s="9" t="str">
        <f>IFERROR(__xludf.DUMMYFUNCTION("GOOGLETRANSLATE($A2965,""en"",""fr"")"),"Rabat Ghawdex")</f>
        <v>Rabat Ghawdex</v>
      </c>
      <c r="E2965" s="9" t="str">
        <f>IFERROR(__xludf.DUMMYFUNCTION("GOOGLETRANSLATE($A2965,""en"",""es"")"),"Rabat Għawdex")</f>
        <v>Rabat Għawdex</v>
      </c>
      <c r="F2965" s="9" t="str">
        <f>IFERROR(__xludf.DUMMYFUNCTION("GOOGLETRANSLATE($A2965,""en"",""it"")"),"Rabat Għawdex")</f>
        <v>Rabat Għawdex</v>
      </c>
      <c r="G2965" s="9" t="str">
        <f>IFERROR(__xludf.DUMMYFUNCTION("GOOGLETRANSLATE($A2965,""en"",""zh-cn"")"),"拉巴特 Għawdex")</f>
        <v>拉巴特 Għawdex</v>
      </c>
      <c r="H2965" s="9" t="str">
        <f>IFERROR(__xludf.DUMMYFUNCTION("GOOGLETRANSLATE($A2965,""en"",""ja"")"),"ラバト・ガウデックス")</f>
        <v>ラバト・ガウデックス</v>
      </c>
      <c r="I2965" s="9" t="str">
        <f>IFERROR(__xludf.DUMMYFUNCTION("GOOGLETRANSLATE($A2965,""en"",""ko"")"),"라바트 Għawdex")</f>
        <v>라바트 Għawdex</v>
      </c>
      <c r="J2965" s="9" t="str">
        <f>IFERROR(__xludf.DUMMYFUNCTION("GOOGLETRANSLATE($A2965,""en"",""pt-BR"")"),"Rabat Għawdex")</f>
        <v>Rabat Għawdex</v>
      </c>
    </row>
    <row r="2966">
      <c r="A2966" s="9" t="str">
        <f>IFERROR(__xludf.DUMMYFUNCTION("""COMPUTED_VALUE"""),"Fontana")</f>
        <v>Fontana</v>
      </c>
      <c r="B2966" s="9" t="str">
        <f>IFERROR(__xludf.DUMMYFUNCTION("""COMPUTED_VALUE"""),"mt-10")</f>
        <v>mt-10</v>
      </c>
      <c r="C2966" s="9" t="str">
        <f>IFERROR(__xludf.DUMMYFUNCTION("GOOGLETRANSLATE($A2966,""en"",""de"")"),"Fontana")</f>
        <v>Fontana</v>
      </c>
      <c r="D2966" s="9" t="str">
        <f>IFERROR(__xludf.DUMMYFUNCTION("GOOGLETRANSLATE($A2966,""en"",""fr"")"),"Fontaine")</f>
        <v>Fontaine</v>
      </c>
      <c r="E2966" s="9" t="str">
        <f>IFERROR(__xludf.DUMMYFUNCTION("GOOGLETRANSLATE($A2966,""en"",""es"")"),"fuente")</f>
        <v>fuente</v>
      </c>
      <c r="F2966" s="9" t="str">
        <f>IFERROR(__xludf.DUMMYFUNCTION("GOOGLETRANSLATE($A2966,""en"",""it"")"),"Fontana")</f>
        <v>Fontana</v>
      </c>
      <c r="G2966" s="9" t="str">
        <f>IFERROR(__xludf.DUMMYFUNCTION("GOOGLETRANSLATE($A2966,""en"",""zh-cn"")"),"丰塔纳")</f>
        <v>丰塔纳</v>
      </c>
      <c r="H2966" s="9" t="str">
        <f>IFERROR(__xludf.DUMMYFUNCTION("GOOGLETRANSLATE($A2966,""en"",""ja"")"),"フォンタナ")</f>
        <v>フォンタナ</v>
      </c>
      <c r="I2966" s="9" t="str">
        <f>IFERROR(__xludf.DUMMYFUNCTION("GOOGLETRANSLATE($A2966,""en"",""ko"")"),"폰타나")</f>
        <v>폰타나</v>
      </c>
      <c r="J2966" s="9" t="str">
        <f>IFERROR(__xludf.DUMMYFUNCTION("GOOGLETRANSLATE($A2966,""en"",""pt-BR"")"),"Fontana")</f>
        <v>Fontana</v>
      </c>
    </row>
    <row r="2967">
      <c r="A2967" s="9" t="str">
        <f>IFERROR(__xludf.DUMMYFUNCTION("""COMPUTED_VALUE"""),"Luqa")</f>
        <v>Luqa</v>
      </c>
      <c r="B2967" s="9" t="str">
        <f>IFERROR(__xludf.DUMMYFUNCTION("""COMPUTED_VALUE"""),"mt-25")</f>
        <v>mt-25</v>
      </c>
      <c r="C2967" s="9" t="str">
        <f>IFERROR(__xludf.DUMMYFUNCTION("GOOGLETRANSLATE($A2967,""en"",""de"")"),"Luqa")</f>
        <v>Luqa</v>
      </c>
      <c r="D2967" s="9" t="str">
        <f>IFERROR(__xludf.DUMMYFUNCTION("GOOGLETRANSLATE($A2967,""en"",""fr"")"),"Luqa")</f>
        <v>Luqa</v>
      </c>
      <c r="E2967" s="9" t="str">
        <f>IFERROR(__xludf.DUMMYFUNCTION("GOOGLETRANSLATE($A2967,""en"",""es"")"),"luqa")</f>
        <v>luqa</v>
      </c>
      <c r="F2967" s="9" t="str">
        <f>IFERROR(__xludf.DUMMYFUNCTION("GOOGLETRANSLATE($A2967,""en"",""it"")"),"Luca")</f>
        <v>Luca</v>
      </c>
      <c r="G2967" s="9" t="str">
        <f>IFERROR(__xludf.DUMMYFUNCTION("GOOGLETRANSLATE($A2967,""en"",""zh-cn"")"),"卢卡")</f>
        <v>卢卡</v>
      </c>
      <c r="H2967" s="9" t="str">
        <f>IFERROR(__xludf.DUMMYFUNCTION("GOOGLETRANSLATE($A2967,""en"",""ja"")"),"ルア")</f>
        <v>ルア</v>
      </c>
      <c r="I2967" s="9" t="str">
        <f>IFERROR(__xludf.DUMMYFUNCTION("GOOGLETRANSLATE($A2967,""en"",""ko"")"),"루카")</f>
        <v>루카</v>
      </c>
      <c r="J2967" s="9" t="str">
        <f>IFERROR(__xludf.DUMMYFUNCTION("GOOGLETRANSLATE($A2967,""en"",""pt-BR"")"),"Luqa")</f>
        <v>Luqa</v>
      </c>
    </row>
    <row r="2968">
      <c r="A2968" s="9" t="str">
        <f>IFERROR(__xludf.DUMMYFUNCTION("""COMPUTED_VALUE"""),"Rabat Malta")</f>
        <v>Rabat Malta</v>
      </c>
      <c r="B2968" s="9" t="str">
        <f>IFERROR(__xludf.DUMMYFUNCTION("""COMPUTED_VALUE"""),"mt-46")</f>
        <v>mt-46</v>
      </c>
      <c r="C2968" s="9" t="str">
        <f>IFERROR(__xludf.DUMMYFUNCTION("GOOGLETRANSLATE($A2968,""en"",""de"")"),"Rabat Malta")</f>
        <v>Rabat Malta</v>
      </c>
      <c r="D2968" s="9" t="str">
        <f>IFERROR(__xludf.DUMMYFUNCTION("GOOGLETRANSLATE($A2968,""en"",""fr"")"),"Rabat Malte")</f>
        <v>Rabat Malte</v>
      </c>
      <c r="E2968" s="9" t="str">
        <f>IFERROR(__xludf.DUMMYFUNCTION("GOOGLETRANSLATE($A2968,""en"",""es"")"),"Malta")</f>
        <v>Malta</v>
      </c>
      <c r="F2968" s="9" t="str">
        <f>IFERROR(__xludf.DUMMYFUNCTION("GOOGLETRANSLATE($A2968,""en"",""it"")"),"Rabat Malta")</f>
        <v>Rabat Malta</v>
      </c>
      <c r="G2968" s="9" t="str">
        <f>IFERROR(__xludf.DUMMYFUNCTION("GOOGLETRANSLATE($A2968,""en"",""zh-cn"")"),"拉巴特 马耳他")</f>
        <v>拉巴特 马耳他</v>
      </c>
      <c r="H2968" s="9" t="str">
        <f>IFERROR(__xludf.DUMMYFUNCTION("GOOGLETRANSLATE($A2968,""en"",""ja"")"),"ラバト マルタ")</f>
        <v>ラバト マルタ</v>
      </c>
      <c r="I2968" s="9" t="str">
        <f>IFERROR(__xludf.DUMMYFUNCTION("GOOGLETRANSLATE($A2968,""en"",""ko"")"),"라바트 몰타")</f>
        <v>라바트 몰타</v>
      </c>
      <c r="J2968" s="9" t="str">
        <f>IFERROR(__xludf.DUMMYFUNCTION("GOOGLETRANSLATE($A2968,""en"",""pt-BR"")"),"Rabate-Malta")</f>
        <v>Rabate-Malta</v>
      </c>
    </row>
    <row r="2969">
      <c r="A2969" s="9" t="str">
        <f>IFERROR(__xludf.DUMMYFUNCTION("""COMPUTED_VALUE"""),"Safi (MT)")</f>
        <v>Safi (MT)</v>
      </c>
      <c r="B2969" s="9" t="str">
        <f>IFERROR(__xludf.DUMMYFUNCTION("""COMPUTED_VALUE"""),"mt-47")</f>
        <v>mt-47</v>
      </c>
      <c r="C2969" s="9" t="str">
        <f>IFERROR(__xludf.DUMMYFUNCTION("GOOGLETRANSLATE($A2969,""en"",""de"")"),"Safi (MT)")</f>
        <v>Safi (MT)</v>
      </c>
      <c r="D2969" s="9" t="str">
        <f>IFERROR(__xludf.DUMMYFUNCTION("GOOGLETRANSLATE($A2969,""en"",""fr"")"),"Safi (MT)")</f>
        <v>Safi (MT)</v>
      </c>
      <c r="E2969" s="9" t="str">
        <f>IFERROR(__xludf.DUMMYFUNCTION("GOOGLETRANSLATE($A2969,""en"",""es"")"),"Safí (MT)")</f>
        <v>Safí (MT)</v>
      </c>
      <c r="F2969" s="9" t="str">
        <f>IFERROR(__xludf.DUMMYFUNCTION("GOOGLETRANSLATE($A2969,""en"",""it"")"),"Safi (MT)")</f>
        <v>Safi (MT)</v>
      </c>
      <c r="G2969" s="9" t="str">
        <f>IFERROR(__xludf.DUMMYFUNCTION("GOOGLETRANSLATE($A2969,""en"",""zh-cn"")"),"萨菲 (MT)")</f>
        <v>萨菲 (MT)</v>
      </c>
      <c r="H2969" s="9" t="str">
        <f>IFERROR(__xludf.DUMMYFUNCTION("GOOGLETRANSLATE($A2969,""en"",""ja"")"),"サフィ (MT)")</f>
        <v>サフィ (MT)</v>
      </c>
      <c r="I2969" s="9" t="str">
        <f>IFERROR(__xludf.DUMMYFUNCTION("GOOGLETRANSLATE($A2969,""en"",""ko"")"),"사피(MT)")</f>
        <v>사피(MT)</v>
      </c>
      <c r="J2969" s="9" t="str">
        <f>IFERROR(__xludf.DUMMYFUNCTION("GOOGLETRANSLATE($A2969,""en"",""pt-BR"")"),"Safim (MT)")</f>
        <v>Safim (MT)</v>
      </c>
    </row>
    <row r="2970">
      <c r="A2970" s="9" t="str">
        <f>IFERROR(__xludf.DUMMYFUNCTION("""COMPUTED_VALUE"""),"Gudja")</f>
        <v>Gudja</v>
      </c>
      <c r="B2970" s="9" t="str">
        <f>IFERROR(__xludf.DUMMYFUNCTION("""COMPUTED_VALUE"""),"mt-11")</f>
        <v>mt-11</v>
      </c>
      <c r="C2970" s="9" t="str">
        <f>IFERROR(__xludf.DUMMYFUNCTION("GOOGLETRANSLATE($A2970,""en"",""de"")"),"Gudja")</f>
        <v>Gudja</v>
      </c>
      <c r="D2970" s="9" t="str">
        <f>IFERROR(__xludf.DUMMYFUNCTION("GOOGLETRANSLATE($A2970,""en"",""fr"")"),"Gudja")</f>
        <v>Gudja</v>
      </c>
      <c r="E2970" s="9" t="str">
        <f>IFERROR(__xludf.DUMMYFUNCTION("GOOGLETRANSLATE($A2970,""en"",""es"")"),"Gudja")</f>
        <v>Gudja</v>
      </c>
      <c r="F2970" s="9" t="str">
        <f>IFERROR(__xludf.DUMMYFUNCTION("GOOGLETRANSLATE($A2970,""en"",""it"")"),"Gudja")</f>
        <v>Gudja</v>
      </c>
      <c r="G2970" s="9" t="str">
        <f>IFERROR(__xludf.DUMMYFUNCTION("GOOGLETRANSLATE($A2970,""en"",""zh-cn"")"),"古贾")</f>
        <v>古贾</v>
      </c>
      <c r="H2970" s="9" t="str">
        <f>IFERROR(__xludf.DUMMYFUNCTION("GOOGLETRANSLATE($A2970,""en"",""ja"")"),"グジャ")</f>
        <v>グジャ</v>
      </c>
      <c r="I2970" s="9" t="str">
        <f>IFERROR(__xludf.DUMMYFUNCTION("GOOGLETRANSLATE($A2970,""en"",""ko"")"),"구자")</f>
        <v>구자</v>
      </c>
      <c r="J2970" s="9" t="str">
        <f>IFERROR(__xludf.DUMMYFUNCTION("GOOGLETRANSLATE($A2970,""en"",""pt-BR"")"),"Gudja")</f>
        <v>Gudja</v>
      </c>
    </row>
    <row r="2971">
      <c r="A2971" s="9" t="str">
        <f>IFERROR(__xludf.DUMMYFUNCTION("""COMPUTED_VALUE"""),"Marsa")</f>
        <v>Marsa</v>
      </c>
      <c r="B2971" s="9" t="str">
        <f>IFERROR(__xludf.DUMMYFUNCTION("""COMPUTED_VALUE"""),"mt-26")</f>
        <v>mt-26</v>
      </c>
      <c r="C2971" s="9" t="str">
        <f>IFERROR(__xludf.DUMMYFUNCTION("GOOGLETRANSLATE($A2971,""en"",""de"")"),"Marsa")</f>
        <v>Marsa</v>
      </c>
      <c r="D2971" s="9" t="str">
        <f>IFERROR(__xludf.DUMMYFUNCTION("GOOGLETRANSLATE($A2971,""en"",""fr"")"),"Marsa")</f>
        <v>Marsa</v>
      </c>
      <c r="E2971" s="9" t="str">
        <f>IFERROR(__xludf.DUMMYFUNCTION("GOOGLETRANSLATE($A2971,""en"",""es"")"),"marsá")</f>
        <v>marsá</v>
      </c>
      <c r="F2971" s="9" t="str">
        <f>IFERROR(__xludf.DUMMYFUNCTION("GOOGLETRANSLATE($A2971,""en"",""it"")"),"Marsa")</f>
        <v>Marsa</v>
      </c>
      <c r="G2971" s="9" t="str">
        <f>IFERROR(__xludf.DUMMYFUNCTION("GOOGLETRANSLATE($A2971,""en"",""zh-cn"")"),"玛莎")</f>
        <v>玛莎</v>
      </c>
      <c r="H2971" s="9" t="str">
        <f>IFERROR(__xludf.DUMMYFUNCTION("GOOGLETRANSLATE($A2971,""en"",""ja"")"),"マルサ")</f>
        <v>マルサ</v>
      </c>
      <c r="I2971" s="9" t="str">
        <f>IFERROR(__xludf.DUMMYFUNCTION("GOOGLETRANSLATE($A2971,""en"",""ko"")"),"마르사")</f>
        <v>마르사</v>
      </c>
      <c r="J2971" s="9" t="str">
        <f>IFERROR(__xludf.DUMMYFUNCTION("GOOGLETRANSLATE($A2971,""en"",""pt-BR"")"),"Marte")</f>
        <v>Marte</v>
      </c>
    </row>
    <row r="2972">
      <c r="A2972" s="9" t="str">
        <f>IFERROR(__xludf.DUMMYFUNCTION("""COMPUTED_VALUE"""),"San Ġiljan")</f>
        <v>San Ġiljan</v>
      </c>
      <c r="B2972" s="9" t="str">
        <f>IFERROR(__xludf.DUMMYFUNCTION("""COMPUTED_VALUE"""),"mt-48")</f>
        <v>mt-48</v>
      </c>
      <c r="C2972" s="9" t="str">
        <f>IFERROR(__xludf.DUMMYFUNCTION("GOOGLETRANSLATE($A2972,""en"",""de"")"),"San Ġiljan")</f>
        <v>San Ġiljan</v>
      </c>
      <c r="D2972" s="9" t="str">
        <f>IFERROR(__xludf.DUMMYFUNCTION("GOOGLETRANSLATE($A2972,""en"",""fr"")"),"San Ġiljan")</f>
        <v>San Ġiljan</v>
      </c>
      <c r="E2972" s="9" t="str">
        <f>IFERROR(__xludf.DUMMYFUNCTION("GOOGLETRANSLATE($A2972,""en"",""es"")"),"San Julián")</f>
        <v>San Julián</v>
      </c>
      <c r="F2972" s="9" t="str">
        <f>IFERROR(__xludf.DUMMYFUNCTION("GOOGLETRANSLATE($A2972,""en"",""it"")"),"San Giljan")</f>
        <v>San Giljan</v>
      </c>
      <c r="G2972" s="9" t="str">
        <f>IFERROR(__xludf.DUMMYFUNCTION("GOOGLETRANSLATE($A2972,""en"",""zh-cn"")"),"圣吉尔连")</f>
        <v>圣吉尔连</v>
      </c>
      <c r="H2972" s="9" t="str">
        <f>IFERROR(__xludf.DUMMYFUNCTION("GOOGLETRANSLATE($A2972,""en"",""ja"")"),"サン ディルジャン")</f>
        <v>サン ディルジャン</v>
      </c>
      <c r="I2972" s="9" t="str">
        <f>IFERROR(__xludf.DUMMYFUNCTION("GOOGLETRANSLATE($A2972,""en"",""ko"")"),"산 일리안")</f>
        <v>산 일리안</v>
      </c>
      <c r="J2972" s="9" t="str">
        <f>IFERROR(__xludf.DUMMYFUNCTION("GOOGLETRANSLATE($A2972,""en"",""pt-BR"")"),"São Giljan")</f>
        <v>São Giljan</v>
      </c>
    </row>
    <row r="2973">
      <c r="A2973" s="9" t="str">
        <f>IFERROR(__xludf.DUMMYFUNCTION("""COMPUTED_VALUE"""),"Marsaskala")</f>
        <v>Marsaskala</v>
      </c>
      <c r="B2973" s="9" t="str">
        <f>IFERROR(__xludf.DUMMYFUNCTION("""COMPUTED_VALUE"""),"mt-27")</f>
        <v>mt-27</v>
      </c>
      <c r="C2973" s="9" t="str">
        <f>IFERROR(__xludf.DUMMYFUNCTION("GOOGLETRANSLATE($A2973,""en"",""de"")"),"Marsaskala")</f>
        <v>Marsaskala</v>
      </c>
      <c r="D2973" s="9" t="str">
        <f>IFERROR(__xludf.DUMMYFUNCTION("GOOGLETRANSLATE($A2973,""en"",""fr"")"),"Marsaskala")</f>
        <v>Marsaskala</v>
      </c>
      <c r="E2973" s="9" t="str">
        <f>IFERROR(__xludf.DUMMYFUNCTION("GOOGLETRANSLATE($A2973,""en"",""es"")"),"Marsaskala")</f>
        <v>Marsaskala</v>
      </c>
      <c r="F2973" s="9" t="str">
        <f>IFERROR(__xludf.DUMMYFUNCTION("GOOGLETRANSLATE($A2973,""en"",""it"")"),"Marsascala")</f>
        <v>Marsascala</v>
      </c>
      <c r="G2973" s="9" t="str">
        <f>IFERROR(__xludf.DUMMYFUNCTION("GOOGLETRANSLATE($A2973,""en"",""zh-cn"")"),"马尔萨斯卡拉")</f>
        <v>马尔萨斯卡拉</v>
      </c>
      <c r="H2973" s="9" t="str">
        <f>IFERROR(__xludf.DUMMYFUNCTION("GOOGLETRANSLATE($A2973,""en"",""ja"")"),"マルサスカーラ")</f>
        <v>マルサスカーラ</v>
      </c>
      <c r="I2973" s="9" t="str">
        <f>IFERROR(__xludf.DUMMYFUNCTION("GOOGLETRANSLATE($A2973,""en"",""ko"")"),"마르사스칼라")</f>
        <v>마르사스칼라</v>
      </c>
      <c r="J2973" s="9" t="str">
        <f>IFERROR(__xludf.DUMMYFUNCTION("GOOGLETRANSLATE($A2973,""en"",""pt-BR"")"),"Marsaskala")</f>
        <v>Marsaskala</v>
      </c>
    </row>
    <row r="2974">
      <c r="A2974" s="9" t="str">
        <f>IFERROR(__xludf.DUMMYFUNCTION("""COMPUTED_VALUE"""),"Birgu")</f>
        <v>Birgu</v>
      </c>
      <c r="B2974" s="9" t="str">
        <f>IFERROR(__xludf.DUMMYFUNCTION("""COMPUTED_VALUE"""),"mt-03")</f>
        <v>mt-03</v>
      </c>
      <c r="C2974" s="9" t="str">
        <f>IFERROR(__xludf.DUMMYFUNCTION("GOOGLETRANSLATE($A2974,""en"",""de"")"),"Birgu")</f>
        <v>Birgu</v>
      </c>
      <c r="D2974" s="9" t="str">
        <f>IFERROR(__xludf.DUMMYFUNCTION("GOOGLETRANSLATE($A2974,""en"",""fr"")"),"Il-Birgu")</f>
        <v>Il-Birgu</v>
      </c>
      <c r="E2974" s="9" t="str">
        <f>IFERROR(__xludf.DUMMYFUNCTION("GOOGLETRANSLATE($A2974,""en"",""es"")"),"Birgu")</f>
        <v>Birgu</v>
      </c>
      <c r="F2974" s="9" t="str">
        <f>IFERROR(__xludf.DUMMYFUNCTION("GOOGLETRANSLATE($A2974,""en"",""it"")"),"Birgu")</f>
        <v>Birgu</v>
      </c>
      <c r="G2974" s="9" t="str">
        <f>IFERROR(__xludf.DUMMYFUNCTION("GOOGLETRANSLATE($A2974,""en"",""zh-cn"")"),"比尔古")</f>
        <v>比尔古</v>
      </c>
      <c r="H2974" s="9" t="str">
        <f>IFERROR(__xludf.DUMMYFUNCTION("GOOGLETRANSLATE($A2974,""en"",""ja"")"),"ビルグ")</f>
        <v>ビルグ</v>
      </c>
      <c r="I2974" s="9" t="str">
        <f>IFERROR(__xludf.DUMMYFUNCTION("GOOGLETRANSLATE($A2974,""en"",""ko"")"),"비르구")</f>
        <v>비르구</v>
      </c>
      <c r="J2974" s="9" t="str">
        <f>IFERROR(__xludf.DUMMYFUNCTION("GOOGLETRANSLATE($A2974,""en"",""pt-BR"")"),"Birgu")</f>
        <v>Birgu</v>
      </c>
    </row>
    <row r="2975">
      <c r="A2975" s="9" t="str">
        <f>IFERROR(__xludf.DUMMYFUNCTION("""COMPUTED_VALUE"""),"Iklin")</f>
        <v>Iklin</v>
      </c>
      <c r="B2975" s="9" t="str">
        <f>IFERROR(__xludf.DUMMYFUNCTION("""COMPUTED_VALUE"""),"mt-19")</f>
        <v>mt-19</v>
      </c>
      <c r="C2975" s="9" t="str">
        <f>IFERROR(__xludf.DUMMYFUNCTION("GOOGLETRANSLATE($A2975,""en"",""de"")"),"Iklin")</f>
        <v>Iklin</v>
      </c>
      <c r="D2975" s="9" t="str">
        <f>IFERROR(__xludf.DUMMYFUNCTION("GOOGLETRANSLATE($A2975,""en"",""fr"")"),"Ikline")</f>
        <v>Ikline</v>
      </c>
      <c r="E2975" s="9" t="str">
        <f>IFERROR(__xludf.DUMMYFUNCTION("GOOGLETRANSLATE($A2975,""en"",""es"")"),"Iklín")</f>
        <v>Iklín</v>
      </c>
      <c r="F2975" s="9" t="str">
        <f>IFERROR(__xludf.DUMMYFUNCTION("GOOGLETRANSLATE($A2975,""en"",""it"")"),"Iklin")</f>
        <v>Iklin</v>
      </c>
      <c r="G2975" s="9" t="str">
        <f>IFERROR(__xludf.DUMMYFUNCTION("GOOGLETRANSLATE($A2975,""en"",""zh-cn"")"),"伊克林")</f>
        <v>伊克林</v>
      </c>
      <c r="H2975" s="9" t="str">
        <f>IFERROR(__xludf.DUMMYFUNCTION("GOOGLETRANSLATE($A2975,""en"",""ja"")"),"イクリン")</f>
        <v>イクリン</v>
      </c>
      <c r="I2975" s="9" t="str">
        <f>IFERROR(__xludf.DUMMYFUNCTION("GOOGLETRANSLATE($A2975,""en"",""ko"")"),"이클린")</f>
        <v>이클린</v>
      </c>
      <c r="J2975" s="9" t="str">
        <f>IFERROR(__xludf.DUMMYFUNCTION("GOOGLETRANSLATE($A2975,""en"",""pt-BR"")"),"Iklin")</f>
        <v>Iklin</v>
      </c>
    </row>
    <row r="2976">
      <c r="A2976" s="9" t="str">
        <f>IFERROR(__xludf.DUMMYFUNCTION("""COMPUTED_VALUE"""),"Naxxar")</f>
        <v>Naxxar</v>
      </c>
      <c r="B2976" s="9" t="str">
        <f>IFERROR(__xludf.DUMMYFUNCTION("""COMPUTED_VALUE"""),"mt-38")</f>
        <v>mt-38</v>
      </c>
      <c r="C2976" s="9" t="str">
        <f>IFERROR(__xludf.DUMMYFUNCTION("GOOGLETRANSLATE($A2976,""en"",""de"")"),"Naxxar")</f>
        <v>Naxxar</v>
      </c>
      <c r="D2976" s="9" t="str">
        <f>IFERROR(__xludf.DUMMYFUNCTION("GOOGLETRANSLATE($A2976,""en"",""fr"")"),"Naxxar")</f>
        <v>Naxxar</v>
      </c>
      <c r="E2976" s="9" t="str">
        <f>IFERROR(__xludf.DUMMYFUNCTION("GOOGLETRANSLATE($A2976,""en"",""es"")"),"Naxxar")</f>
        <v>Naxxar</v>
      </c>
      <c r="F2976" s="9" t="str">
        <f>IFERROR(__xludf.DUMMYFUNCTION("GOOGLETRANSLATE($A2976,""en"",""it"")"),"Nasciaro")</f>
        <v>Nasciaro</v>
      </c>
      <c r="G2976" s="9" t="str">
        <f>IFERROR(__xludf.DUMMYFUNCTION("GOOGLETRANSLATE($A2976,""en"",""zh-cn"")"),"纳克萨")</f>
        <v>纳克萨</v>
      </c>
      <c r="H2976" s="9" t="str">
        <f>IFERROR(__xludf.DUMMYFUNCTION("GOOGLETRANSLATE($A2976,""en"",""ja"")"),"ナッシャー")</f>
        <v>ナッシャー</v>
      </c>
      <c r="I2976" s="9" t="str">
        <f>IFERROR(__xludf.DUMMYFUNCTION("GOOGLETRANSLATE($A2976,""en"",""ko"")"),"낙사르")</f>
        <v>낙사르</v>
      </c>
      <c r="J2976" s="9" t="str">
        <f>IFERROR(__xludf.DUMMYFUNCTION("GOOGLETRANSLATE($A2976,""en"",""pt-BR"")"),"Naxxar")</f>
        <v>Naxxar</v>
      </c>
    </row>
    <row r="2977">
      <c r="A2977" s="9" t="str">
        <f>IFERROR(__xludf.DUMMYFUNCTION("""COMPUTED_VALUE"""),"Xewkija")</f>
        <v>Xewkija</v>
      </c>
      <c r="B2977" s="9" t="str">
        <f>IFERROR(__xludf.DUMMYFUNCTION("""COMPUTED_VALUE"""),"mt-62")</f>
        <v>mt-62</v>
      </c>
      <c r="C2977" s="9" t="str">
        <f>IFERROR(__xludf.DUMMYFUNCTION("GOOGLETRANSLATE($A2977,""en"",""de"")"),"Xewkija")</f>
        <v>Xewkija</v>
      </c>
      <c r="D2977" s="9" t="str">
        <f>IFERROR(__xludf.DUMMYFUNCTION("GOOGLETRANSLATE($A2977,""en"",""fr"")"),"Xewkija")</f>
        <v>Xewkija</v>
      </c>
      <c r="E2977" s="9" t="str">
        <f>IFERROR(__xludf.DUMMYFUNCTION("GOOGLETRANSLATE($A2977,""en"",""es"")"),"Xewkija")</f>
        <v>Xewkija</v>
      </c>
      <c r="F2977" s="9" t="str">
        <f>IFERROR(__xludf.DUMMYFUNCTION("GOOGLETRANSLATE($A2977,""en"",""it"")"),"Xewkija")</f>
        <v>Xewkija</v>
      </c>
      <c r="G2977" s="9" t="str">
        <f>IFERROR(__xludf.DUMMYFUNCTION("GOOGLETRANSLATE($A2977,""en"",""zh-cn"")"),"修吉贾")</f>
        <v>修吉贾</v>
      </c>
      <c r="H2977" s="9" t="str">
        <f>IFERROR(__xludf.DUMMYFUNCTION("GOOGLETRANSLATE($A2977,""en"",""ja"")"),"ゼウキヤ")</f>
        <v>ゼウキヤ</v>
      </c>
      <c r="I2977" s="9" t="str">
        <f>IFERROR(__xludf.DUMMYFUNCTION("GOOGLETRANSLATE($A2977,""en"",""ko"")"),"Xewkija")</f>
        <v>Xewkija</v>
      </c>
      <c r="J2977" s="9" t="str">
        <f>IFERROR(__xludf.DUMMYFUNCTION("GOOGLETRANSLATE($A2977,""en"",""pt-BR"")"),"Xewkija")</f>
        <v>Xewkija</v>
      </c>
    </row>
    <row r="2978">
      <c r="A2978" s="9" t="str">
        <f>IFERROR(__xludf.DUMMYFUNCTION("""COMPUTED_VALUE"""),"Paola")</f>
        <v>Paola</v>
      </c>
      <c r="B2978" s="9" t="str">
        <f>IFERROR(__xludf.DUMMYFUNCTION("""COMPUTED_VALUE"""),"mt-39")</f>
        <v>mt-39</v>
      </c>
      <c r="C2978" s="9" t="str">
        <f>IFERROR(__xludf.DUMMYFUNCTION("GOOGLETRANSLATE($A2978,""en"",""de"")"),"Paola")</f>
        <v>Paola</v>
      </c>
      <c r="D2978" s="9" t="str">
        <f>IFERROR(__xludf.DUMMYFUNCTION("GOOGLETRANSLATE($A2978,""en"",""fr"")"),"Paola")</f>
        <v>Paola</v>
      </c>
      <c r="E2978" s="9" t="str">
        <f>IFERROR(__xludf.DUMMYFUNCTION("GOOGLETRANSLATE($A2978,""en"",""es"")"),"paola")</f>
        <v>paola</v>
      </c>
      <c r="F2978" s="9" t="str">
        <f>IFERROR(__xludf.DUMMYFUNCTION("GOOGLETRANSLATE($A2978,""en"",""it"")"),"Paola")</f>
        <v>Paola</v>
      </c>
      <c r="G2978" s="9" t="str">
        <f>IFERROR(__xludf.DUMMYFUNCTION("GOOGLETRANSLATE($A2978,""en"",""zh-cn"")"),"保拉")</f>
        <v>保拉</v>
      </c>
      <c r="H2978" s="9" t="str">
        <f>IFERROR(__xludf.DUMMYFUNCTION("GOOGLETRANSLATE($A2978,""en"",""ja"")"),"パオラ")</f>
        <v>パオラ</v>
      </c>
      <c r="I2978" s="9" t="str">
        <f>IFERROR(__xludf.DUMMYFUNCTION("GOOGLETRANSLATE($A2978,""en"",""ko"")"),"파올라")</f>
        <v>파올라</v>
      </c>
      <c r="J2978" s="9" t="str">
        <f>IFERROR(__xludf.DUMMYFUNCTION("GOOGLETRANSLATE($A2978,""en"",""pt-BR"")"),"Paula")</f>
        <v>Paula</v>
      </c>
    </row>
    <row r="2979">
      <c r="A2979" s="9" t="str">
        <f>IFERROR(__xludf.DUMMYFUNCTION("""COMPUTED_VALUE"""),"Birkirkara")</f>
        <v>Birkirkara</v>
      </c>
      <c r="B2979" s="9" t="str">
        <f>IFERROR(__xludf.DUMMYFUNCTION("""COMPUTED_VALUE"""),"mt-04")</f>
        <v>mt-04</v>
      </c>
      <c r="C2979" s="9" t="str">
        <f>IFERROR(__xludf.DUMMYFUNCTION("GOOGLETRANSLATE($A2979,""en"",""de"")"),"Birkirkara")</f>
        <v>Birkirkara</v>
      </c>
      <c r="D2979" s="9" t="str">
        <f>IFERROR(__xludf.DUMMYFUNCTION("GOOGLETRANSLATE($A2979,""en"",""fr"")"),"Birkirkara")</f>
        <v>Birkirkara</v>
      </c>
      <c r="E2979" s="9" t="str">
        <f>IFERROR(__xludf.DUMMYFUNCTION("GOOGLETRANSLATE($A2979,""en"",""es"")"),"Birkirkara")</f>
        <v>Birkirkara</v>
      </c>
      <c r="F2979" s="9" t="str">
        <f>IFERROR(__xludf.DUMMYFUNCTION("GOOGLETRANSLATE($A2979,""en"",""it"")"),"Birchircara")</f>
        <v>Birchircara</v>
      </c>
      <c r="G2979" s="9" t="str">
        <f>IFERROR(__xludf.DUMMYFUNCTION("GOOGLETRANSLATE($A2979,""en"",""zh-cn"")"),"比尔基卡拉")</f>
        <v>比尔基卡拉</v>
      </c>
      <c r="H2979" s="9" t="str">
        <f>IFERROR(__xludf.DUMMYFUNCTION("GOOGLETRANSLATE($A2979,""en"",""ja"")"),"ビルキルカラ")</f>
        <v>ビルキルカラ</v>
      </c>
      <c r="I2979" s="9" t="str">
        <f>IFERROR(__xludf.DUMMYFUNCTION("GOOGLETRANSLATE($A2979,""en"",""ko"")"),"비르키르카라")</f>
        <v>비르키르카라</v>
      </c>
      <c r="J2979" s="9" t="str">
        <f>IFERROR(__xludf.DUMMYFUNCTION("GOOGLETRANSLATE($A2979,""en"",""pt-BR"")"),"Birkirkara")</f>
        <v>Birkirkara</v>
      </c>
    </row>
    <row r="2980">
      <c r="A2980" s="9" t="str">
        <f>IFERROR(__xludf.DUMMYFUNCTION("""COMPUTED_VALUE"""),"Isla")</f>
        <v>Isla</v>
      </c>
      <c r="B2980" s="9" t="str">
        <f>IFERROR(__xludf.DUMMYFUNCTION("""COMPUTED_VALUE"""),"mt-20")</f>
        <v>mt-20</v>
      </c>
      <c r="C2980" s="9" t="str">
        <f>IFERROR(__xludf.DUMMYFUNCTION("GOOGLETRANSLATE($A2980,""en"",""de"")"),"Isla")</f>
        <v>Isla</v>
      </c>
      <c r="D2980" s="9" t="str">
        <f>IFERROR(__xludf.DUMMYFUNCTION("GOOGLETRANSLATE($A2980,""en"",""fr"")"),"Île")</f>
        <v>Île</v>
      </c>
      <c r="E2980" s="9" t="str">
        <f>IFERROR(__xludf.DUMMYFUNCTION("GOOGLETRANSLATE($A2980,""en"",""es"")"),"isla")</f>
        <v>isla</v>
      </c>
      <c r="F2980" s="9" t="str">
        <f>IFERROR(__xludf.DUMMYFUNCTION("GOOGLETRANSLATE($A2980,""en"",""it"")"),"Isla")</f>
        <v>Isla</v>
      </c>
      <c r="G2980" s="9" t="str">
        <f>IFERROR(__xludf.DUMMYFUNCTION("GOOGLETRANSLATE($A2980,""en"",""zh-cn"")"),"伊斯拉")</f>
        <v>伊斯拉</v>
      </c>
      <c r="H2980" s="9" t="str">
        <f>IFERROR(__xludf.DUMMYFUNCTION("GOOGLETRANSLATE($A2980,""en"",""ja"")"),"アイラ")</f>
        <v>アイラ</v>
      </c>
      <c r="I2980" s="9" t="str">
        <f>IFERROR(__xludf.DUMMYFUNCTION("GOOGLETRANSLATE($A2980,""en"",""ko"")"),"이슬라")</f>
        <v>이슬라</v>
      </c>
      <c r="J2980" s="9" t="str">
        <f>IFERROR(__xludf.DUMMYFUNCTION("GOOGLETRANSLATE($A2980,""en"",""pt-BR"")"),"ilha")</f>
        <v>ilha</v>
      </c>
    </row>
    <row r="2981">
      <c r="A2981" s="9" t="str">
        <f>IFERROR(__xludf.DUMMYFUNCTION("""COMPUTED_VALUE"""),"Pembroke")</f>
        <v>Pembroke</v>
      </c>
      <c r="B2981" s="9" t="str">
        <f>IFERROR(__xludf.DUMMYFUNCTION("""COMPUTED_VALUE"""),"mt-40")</f>
        <v>mt-40</v>
      </c>
      <c r="C2981" s="9" t="str">
        <f>IFERROR(__xludf.DUMMYFUNCTION("GOOGLETRANSLATE($A2981,""en"",""de"")"),"Pembroke")</f>
        <v>Pembroke</v>
      </c>
      <c r="D2981" s="9" t="str">
        <f>IFERROR(__xludf.DUMMYFUNCTION("GOOGLETRANSLATE($A2981,""en"",""fr"")"),"Pembroke")</f>
        <v>Pembroke</v>
      </c>
      <c r="E2981" s="9" t="str">
        <f>IFERROR(__xludf.DUMMYFUNCTION("GOOGLETRANSLATE($A2981,""en"",""es"")"),"Pembroke")</f>
        <v>Pembroke</v>
      </c>
      <c r="F2981" s="9" t="str">
        <f>IFERROR(__xludf.DUMMYFUNCTION("GOOGLETRANSLATE($A2981,""en"",""it"")"),"Pembroke")</f>
        <v>Pembroke</v>
      </c>
      <c r="G2981" s="9" t="str">
        <f>IFERROR(__xludf.DUMMYFUNCTION("GOOGLETRANSLATE($A2981,""en"",""zh-cn"")"),"彭布罗克")</f>
        <v>彭布罗克</v>
      </c>
      <c r="H2981" s="9" t="str">
        <f>IFERROR(__xludf.DUMMYFUNCTION("GOOGLETRANSLATE($A2981,""en"",""ja"")"),"ペンブローク")</f>
        <v>ペンブローク</v>
      </c>
      <c r="I2981" s="9" t="str">
        <f>IFERROR(__xludf.DUMMYFUNCTION("GOOGLETRANSLATE($A2981,""en"",""ko"")"),"펨브로크")</f>
        <v>펨브로크</v>
      </c>
      <c r="J2981" s="9" t="str">
        <f>IFERROR(__xludf.DUMMYFUNCTION("GOOGLETRANSLATE($A2981,""en"",""pt-BR"")"),"Pembroke")</f>
        <v>Pembroke</v>
      </c>
    </row>
    <row r="2982">
      <c r="A2982" s="9" t="str">
        <f>IFERROR(__xludf.DUMMYFUNCTION("""COMPUTED_VALUE"""),"Xgħajra")</f>
        <v>Xgħajra</v>
      </c>
      <c r="B2982" s="9" t="str">
        <f>IFERROR(__xludf.DUMMYFUNCTION("""COMPUTED_VALUE"""),"mt-63")</f>
        <v>mt-63</v>
      </c>
      <c r="C2982" s="9" t="str">
        <f>IFERROR(__xludf.DUMMYFUNCTION("GOOGLETRANSLATE($A2982,""en"",""de"")"),"Xgħajra")</f>
        <v>Xgħajra</v>
      </c>
      <c r="D2982" s="9" t="str">
        <f>IFERROR(__xludf.DUMMYFUNCTION("GOOGLETRANSLATE($A2982,""en"",""fr"")"),"Xgħajra")</f>
        <v>Xgħajra</v>
      </c>
      <c r="E2982" s="9" t="str">
        <f>IFERROR(__xludf.DUMMYFUNCTION("GOOGLETRANSLATE($A2982,""en"",""es"")"),"Xgħajra")</f>
        <v>Xgħajra</v>
      </c>
      <c r="F2982" s="9" t="str">
        <f>IFERROR(__xludf.DUMMYFUNCTION("GOOGLETRANSLATE($A2982,""en"",""it"")"),"Xgħajra")</f>
        <v>Xgħajra</v>
      </c>
      <c r="G2982" s="9" t="str">
        <f>IFERROR(__xludf.DUMMYFUNCTION("GOOGLETRANSLATE($A2982,""en"",""zh-cn"")"),"哈吉拉")</f>
        <v>哈吉拉</v>
      </c>
      <c r="H2982" s="9" t="str">
        <f>IFERROR(__xludf.DUMMYFUNCTION("GOOGLETRANSLATE($A2982,""en"",""ja"")"),"シガイラ")</f>
        <v>シガイラ</v>
      </c>
      <c r="I2982" s="9" t="str">
        <f>IFERROR(__xludf.DUMMYFUNCTION("GOOGLETRANSLATE($A2982,""en"",""ko"")"),"Xgħajra")</f>
        <v>Xgħajra</v>
      </c>
      <c r="J2982" s="9" t="str">
        <f>IFERROR(__xludf.DUMMYFUNCTION("GOOGLETRANSLATE($A2982,""en"",""pt-BR"")"),"Xgħajra")</f>
        <v>Xgħajra</v>
      </c>
    </row>
    <row r="2983">
      <c r="A2983" s="9" t="str">
        <f>IFERROR(__xludf.DUMMYFUNCTION("""COMPUTED_VALUE"""),"Birżebbuġa")</f>
        <v>Birżebbuġa</v>
      </c>
      <c r="B2983" s="9" t="str">
        <f>IFERROR(__xludf.DUMMYFUNCTION("""COMPUTED_VALUE"""),"mt-05")</f>
        <v>mt-05</v>
      </c>
      <c r="C2983" s="9" t="str">
        <f>IFERROR(__xludf.DUMMYFUNCTION("GOOGLETRANSLATE($A2983,""en"",""de"")"),"Birżebbuġa")</f>
        <v>Birżebbuġa</v>
      </c>
      <c r="D2983" s="9" t="str">
        <f>IFERROR(__xludf.DUMMYFUNCTION("GOOGLETRANSLATE($A2983,""en"",""fr"")"),"Birżebbuġa")</f>
        <v>Birżebbuġa</v>
      </c>
      <c r="E2983" s="9" t="str">
        <f>IFERROR(__xludf.DUMMYFUNCTION("GOOGLETRANSLATE($A2983,""en"",""es"")"),"Birżebbuġa")</f>
        <v>Birżebbuġa</v>
      </c>
      <c r="F2983" s="9" t="str">
        <f>IFERROR(__xludf.DUMMYFUNCTION("GOOGLETRANSLATE($A2983,""en"",""it"")"),"Birżebbuġa")</f>
        <v>Birżebbuġa</v>
      </c>
      <c r="G2983" s="9" t="str">
        <f>IFERROR(__xludf.DUMMYFUNCTION("GOOGLETRANSLATE($A2983,""en"",""zh-cn"")"),"比尔泽布贾")</f>
        <v>比尔泽布贾</v>
      </c>
      <c r="H2983" s="9" t="str">
        <f>IFERROR(__xludf.DUMMYFUNCTION("GOOGLETRANSLATE($A2983,""en"",""ja"")"),"ビルジェブジャ")</f>
        <v>ビルジェブジャ</v>
      </c>
      <c r="I2983" s="9" t="str">
        <f>IFERROR(__xludf.DUMMYFUNCTION("GOOGLETRANSLATE($A2983,""en"",""ko"")"),"비르제부아")</f>
        <v>비르제부아</v>
      </c>
      <c r="J2983" s="9" t="str">
        <f>IFERROR(__xludf.DUMMYFUNCTION("GOOGLETRANSLATE($A2983,""en"",""pt-BR"")"),"Birżebbuġa")</f>
        <v>Birżebbuġa</v>
      </c>
    </row>
    <row r="2984">
      <c r="A2984" s="9" t="str">
        <f>IFERROR(__xludf.DUMMYFUNCTION("""COMPUTED_VALUE"""),"Kalkara")</f>
        <v>Kalkara</v>
      </c>
      <c r="B2984" s="9" t="str">
        <f>IFERROR(__xludf.DUMMYFUNCTION("""COMPUTED_VALUE"""),"mt-21")</f>
        <v>mt-21</v>
      </c>
      <c r="C2984" s="9" t="str">
        <f>IFERROR(__xludf.DUMMYFUNCTION("GOOGLETRANSLATE($A2984,""en"",""de"")"),"Kalkara")</f>
        <v>Kalkara</v>
      </c>
      <c r="D2984" s="9" t="str">
        <f>IFERROR(__xludf.DUMMYFUNCTION("GOOGLETRANSLATE($A2984,""en"",""fr"")"),"Kalkara")</f>
        <v>Kalkara</v>
      </c>
      <c r="E2984" s="9" t="str">
        <f>IFERROR(__xludf.DUMMYFUNCTION("GOOGLETRANSLATE($A2984,""en"",""es"")"),"kalkara")</f>
        <v>kalkara</v>
      </c>
      <c r="F2984" s="9" t="str">
        <f>IFERROR(__xludf.DUMMYFUNCTION("GOOGLETRANSLATE($A2984,""en"",""it"")"),"Kalkara")</f>
        <v>Kalkara</v>
      </c>
      <c r="G2984" s="9" t="str">
        <f>IFERROR(__xludf.DUMMYFUNCTION("GOOGLETRANSLATE($A2984,""en"",""zh-cn"")"),"卡尔卡拉")</f>
        <v>卡尔卡拉</v>
      </c>
      <c r="H2984" s="9" t="str">
        <f>IFERROR(__xludf.DUMMYFUNCTION("GOOGLETRANSLATE($A2984,""en"",""ja"")"),"カルカラ")</f>
        <v>カルカラ</v>
      </c>
      <c r="I2984" s="9" t="str">
        <f>IFERROR(__xludf.DUMMYFUNCTION("GOOGLETRANSLATE($A2984,""en"",""ko"")"),"칼카라")</f>
        <v>칼카라</v>
      </c>
      <c r="J2984" s="9" t="str">
        <f>IFERROR(__xludf.DUMMYFUNCTION("GOOGLETRANSLATE($A2984,""en"",""pt-BR"")"),"Kalkara")</f>
        <v>Kalkara</v>
      </c>
    </row>
    <row r="2985">
      <c r="A2985" s="9" t="str">
        <f>IFERROR(__xludf.DUMMYFUNCTION("""COMPUTED_VALUE"""),"Pietà")</f>
        <v>Pietà</v>
      </c>
      <c r="B2985" s="9" t="str">
        <f>IFERROR(__xludf.DUMMYFUNCTION("""COMPUTED_VALUE"""),"mt-41")</f>
        <v>mt-41</v>
      </c>
      <c r="C2985" s="9" t="str">
        <f>IFERROR(__xludf.DUMMYFUNCTION("GOOGLETRANSLATE($A2985,""en"",""de"")"),"Pietà")</f>
        <v>Pietà</v>
      </c>
      <c r="D2985" s="9" t="str">
        <f>IFERROR(__xludf.DUMMYFUNCTION("GOOGLETRANSLATE($A2985,""en"",""fr"")"),"Pietà")</f>
        <v>Pietà</v>
      </c>
      <c r="E2985" s="9" t="str">
        <f>IFERROR(__xludf.DUMMYFUNCTION("GOOGLETRANSLATE($A2985,""en"",""es"")"),"Piedad")</f>
        <v>Piedad</v>
      </c>
      <c r="F2985" s="9" t="str">
        <f>IFERROR(__xludf.DUMMYFUNCTION("GOOGLETRANSLATE($A2985,""en"",""it"")"),"Pietà")</f>
        <v>Pietà</v>
      </c>
      <c r="G2985" s="9" t="str">
        <f>IFERROR(__xludf.DUMMYFUNCTION("GOOGLETRANSLATE($A2985,""en"",""zh-cn"")"),"圣母怜子图")</f>
        <v>圣母怜子图</v>
      </c>
      <c r="H2985" s="9" t="str">
        <f>IFERROR(__xludf.DUMMYFUNCTION("GOOGLETRANSLATE($A2985,""en"",""ja"")"),"ピエタ")</f>
        <v>ピエタ</v>
      </c>
      <c r="I2985" s="9" t="str">
        <f>IFERROR(__xludf.DUMMYFUNCTION("GOOGLETRANSLATE($A2985,""en"",""ko"")"),"피에타")</f>
        <v>피에타</v>
      </c>
      <c r="J2985" s="9" t="str">
        <f>IFERROR(__xludf.DUMMYFUNCTION("GOOGLETRANSLATE($A2985,""en"",""pt-BR"")"),"Pietá")</f>
        <v>Pietá</v>
      </c>
    </row>
    <row r="2986">
      <c r="A2986" s="9" t="str">
        <f>IFERROR(__xludf.DUMMYFUNCTION("""COMPUTED_VALUE"""),"Żabbar")</f>
        <v>Żabbar</v>
      </c>
      <c r="B2986" s="9" t="str">
        <f>IFERROR(__xludf.DUMMYFUNCTION("""COMPUTED_VALUE"""),"mt-64")</f>
        <v>mt-64</v>
      </c>
      <c r="C2986" s="9" t="str">
        <f>IFERROR(__xludf.DUMMYFUNCTION("GOOGLETRANSLATE($A2986,""en"",""de"")"),"Żabbar")</f>
        <v>Żabbar</v>
      </c>
      <c r="D2986" s="9" t="str">
        <f>IFERROR(__xludf.DUMMYFUNCTION("GOOGLETRANSLATE($A2986,""en"",""fr"")"),"Zabbar")</f>
        <v>Zabbar</v>
      </c>
      <c r="E2986" s="9" t="str">
        <f>IFERROR(__xludf.DUMMYFUNCTION("GOOGLETRANSLATE($A2986,""en"",""es"")"),"Żabbar")</f>
        <v>Żabbar</v>
      </c>
      <c r="F2986" s="9" t="str">
        <f>IFERROR(__xludf.DUMMYFUNCTION("GOOGLETRANSLATE($A2986,""en"",""it"")"),"Zabbar")</f>
        <v>Zabbar</v>
      </c>
      <c r="G2986" s="9" t="str">
        <f>IFERROR(__xludf.DUMMYFUNCTION("GOOGLETRANSLATE($A2986,""en"",""zh-cn"")"),"扎巴尔")</f>
        <v>扎巴尔</v>
      </c>
      <c r="H2986" s="9" t="str">
        <f>IFERROR(__xludf.DUMMYFUNCTION("GOOGLETRANSLATE($A2986,""en"",""ja"")"),"ザッバル")</f>
        <v>ザッバル</v>
      </c>
      <c r="I2986" s="9" t="str">
        <f>IFERROR(__xludf.DUMMYFUNCTION("GOOGLETRANSLATE($A2986,""en"",""ko"")"),"자바르")</f>
        <v>자바르</v>
      </c>
      <c r="J2986" s="9" t="str">
        <f>IFERROR(__xludf.DUMMYFUNCTION("GOOGLETRANSLATE($A2986,""en"",""pt-BR"")"),"Żabbar")</f>
        <v>Żabbar</v>
      </c>
    </row>
    <row r="2987">
      <c r="A2987" s="9" t="str">
        <f>IFERROR(__xludf.DUMMYFUNCTION("""COMPUTED_VALUE"""),"Żebbuġ Għawdex")</f>
        <v>Żebbuġ Għawdex</v>
      </c>
      <c r="B2987" s="9" t="str">
        <f>IFERROR(__xludf.DUMMYFUNCTION("""COMPUTED_VALUE"""),"mt-65")</f>
        <v>mt-65</v>
      </c>
      <c r="C2987" s="9" t="str">
        <f>IFERROR(__xludf.DUMMYFUNCTION("GOOGLETRANSLATE($A2987,""en"",""de"")"),"Żebbuġ Għawdex")</f>
        <v>Żebbuġ Għawdex</v>
      </c>
      <c r="D2987" s="9" t="str">
        <f>IFERROR(__xludf.DUMMYFUNCTION("GOOGLETRANSLATE($A2987,""en"",""fr"")"),"Żebbuġ Għawdex")</f>
        <v>Żebbuġ Għawdex</v>
      </c>
      <c r="E2987" s="9" t="str">
        <f>IFERROR(__xludf.DUMMYFUNCTION("GOOGLETRANSLATE($A2987,""en"",""es"")"),"Żebbuġ Għawdex")</f>
        <v>Żebbuġ Għawdex</v>
      </c>
      <c r="F2987" s="9" t="str">
        <f>IFERROR(__xludf.DUMMYFUNCTION("GOOGLETRANSLATE($A2987,""en"",""it"")"),"Żebbuġ Għawdex")</f>
        <v>Żebbuġ Għawdex</v>
      </c>
      <c r="G2987" s="9" t="str">
        <f>IFERROR(__xludf.DUMMYFUNCTION("GOOGLETRANSLATE($A2987,""en"",""zh-cn"")"),"Żebbuġ Għawdex")</f>
        <v>Żebbuġ Għawdex</v>
      </c>
      <c r="H2987" s="9" t="str">
        <f>IFERROR(__xludf.DUMMYFUNCTION("GOOGLETRANSLATE($A2987,""en"",""ja"")"),"ジェブギ・ガウデックス")</f>
        <v>ジェブギ・ガウデックス</v>
      </c>
      <c r="I2987" s="9" t="str">
        <f>IFERROR(__xludf.DUMMYFUNCTION("GOOGLETRANSLATE($A2987,""en"",""ko"")"),"Żebbuġ Għawdex")</f>
        <v>Żebbuġ Għawdex</v>
      </c>
      <c r="J2987" s="9" t="str">
        <f>IFERROR(__xludf.DUMMYFUNCTION("GOOGLETRANSLATE($A2987,""en"",""pt-BR"")"),"Żebbuġ Għawdex")</f>
        <v>Żebbuġ Għawdex</v>
      </c>
    </row>
    <row r="2988">
      <c r="A2988" s="9" t="str">
        <f>IFERROR(__xludf.DUMMYFUNCTION("""COMPUTED_VALUE"""),"Bormla")</f>
        <v>Bormla</v>
      </c>
      <c r="B2988" s="9" t="str">
        <f>IFERROR(__xludf.DUMMYFUNCTION("""COMPUTED_VALUE"""),"mt-06")</f>
        <v>mt-06</v>
      </c>
      <c r="C2988" s="9" t="str">
        <f>IFERROR(__xludf.DUMMYFUNCTION("GOOGLETRANSLATE($A2988,""en"",""de"")"),"Bormla")</f>
        <v>Bormla</v>
      </c>
      <c r="D2988" s="9" t="str">
        <f>IFERROR(__xludf.DUMMYFUNCTION("GOOGLETRANSLATE($A2988,""en"",""fr"")"),"Bormla")</f>
        <v>Bormla</v>
      </c>
      <c r="E2988" s="9" t="str">
        <f>IFERROR(__xludf.DUMMYFUNCTION("GOOGLETRANSLATE($A2988,""en"",""es"")"),"Bormla")</f>
        <v>Bormla</v>
      </c>
      <c r="F2988" s="9" t="str">
        <f>IFERROR(__xludf.DUMMYFUNCTION("GOOGLETRANSLATE($A2988,""en"",""it"")"),"Bormla")</f>
        <v>Bormla</v>
      </c>
      <c r="G2988" s="9" t="str">
        <f>IFERROR(__xludf.DUMMYFUNCTION("GOOGLETRANSLATE($A2988,""en"",""zh-cn"")"),"博姆拉")</f>
        <v>博姆拉</v>
      </c>
      <c r="H2988" s="9" t="str">
        <f>IFERROR(__xludf.DUMMYFUNCTION("GOOGLETRANSLATE($A2988,""en"",""ja"")"),"ボルムラ")</f>
        <v>ボルムラ</v>
      </c>
      <c r="I2988" s="9" t="str">
        <f>IFERROR(__xludf.DUMMYFUNCTION("GOOGLETRANSLATE($A2988,""en"",""ko"")"),"보믈라")</f>
        <v>보믈라</v>
      </c>
      <c r="J2988" s="9" t="str">
        <f>IFERROR(__xludf.DUMMYFUNCTION("GOOGLETRANSLATE($A2988,""en"",""pt-BR"")"),"Bormla")</f>
        <v>Bormla</v>
      </c>
    </row>
    <row r="2989">
      <c r="A2989" s="9" t="str">
        <f>IFERROR(__xludf.DUMMYFUNCTION("""COMPUTED_VALUE"""),"Kerċem")</f>
        <v>Kerċem</v>
      </c>
      <c r="B2989" s="9" t="str">
        <f>IFERROR(__xludf.DUMMYFUNCTION("""COMPUTED_VALUE"""),"mt-22")</f>
        <v>mt-22</v>
      </c>
      <c r="C2989" s="9" t="str">
        <f>IFERROR(__xludf.DUMMYFUNCTION("GOOGLETRANSLATE($A2989,""en"",""de"")"),"Kerċem")</f>
        <v>Kerċem</v>
      </c>
      <c r="D2989" s="9" t="str">
        <f>IFERROR(__xludf.DUMMYFUNCTION("GOOGLETRANSLATE($A2989,""en"",""fr"")"),"Kerċem")</f>
        <v>Kerċem</v>
      </c>
      <c r="E2989" s="9" t="str">
        <f>IFERROR(__xludf.DUMMYFUNCTION("GOOGLETRANSLATE($A2989,""en"",""es"")"),"Kerċem")</f>
        <v>Kerċem</v>
      </c>
      <c r="F2989" s="9" t="str">
        <f>IFERROR(__xludf.DUMMYFUNCTION("GOOGLETRANSLATE($A2989,""en"",""it"")"),"Kerċem")</f>
        <v>Kerċem</v>
      </c>
      <c r="G2989" s="9" t="str">
        <f>IFERROR(__xludf.DUMMYFUNCTION("GOOGLETRANSLATE($A2989,""en"",""zh-cn"")"),"凯伦")</f>
        <v>凯伦</v>
      </c>
      <c r="H2989" s="9" t="str">
        <f>IFERROR(__xludf.DUMMYFUNCTION("GOOGLETRANSLATE($A2989,""en"",""ja"")"),"ケレム")</f>
        <v>ケレム</v>
      </c>
      <c r="I2989" s="9" t="str">
        <f>IFERROR(__xludf.DUMMYFUNCTION("GOOGLETRANSLATE($A2989,""en"",""ko"")"),"케렘")</f>
        <v>케렘</v>
      </c>
      <c r="J2989" s="9" t="str">
        <f>IFERROR(__xludf.DUMMYFUNCTION("GOOGLETRANSLATE($A2989,""en"",""pt-BR"")"),"Kerċem")</f>
        <v>Kerċem</v>
      </c>
    </row>
    <row r="2990">
      <c r="A2990" s="9" t="str">
        <f>IFERROR(__xludf.DUMMYFUNCTION("""COMPUTED_VALUE"""),"Qala")</f>
        <v>Qala</v>
      </c>
      <c r="B2990" s="9" t="str">
        <f>IFERROR(__xludf.DUMMYFUNCTION("""COMPUTED_VALUE"""),"mt-42")</f>
        <v>mt-42</v>
      </c>
      <c r="C2990" s="9" t="str">
        <f>IFERROR(__xludf.DUMMYFUNCTION("GOOGLETRANSLATE($A2990,""en"",""de"")"),"Qala")</f>
        <v>Qala</v>
      </c>
      <c r="D2990" s="9" t="str">
        <f>IFERROR(__xludf.DUMMYFUNCTION("GOOGLETRANSLATE($A2990,""en"",""fr"")"),"Qala")</f>
        <v>Qala</v>
      </c>
      <c r="E2990" s="9" t="str">
        <f>IFERROR(__xludf.DUMMYFUNCTION("GOOGLETRANSLATE($A2990,""en"",""es"")"),"Qala")</f>
        <v>Qala</v>
      </c>
      <c r="F2990" s="9" t="str">
        <f>IFERROR(__xludf.DUMMYFUNCTION("GOOGLETRANSLATE($A2990,""en"",""it"")"),"Cala")</f>
        <v>Cala</v>
      </c>
      <c r="G2990" s="9" t="str">
        <f>IFERROR(__xludf.DUMMYFUNCTION("GOOGLETRANSLATE($A2990,""en"",""zh-cn"")"),"卡拉")</f>
        <v>卡拉</v>
      </c>
      <c r="H2990" s="9" t="str">
        <f>IFERROR(__xludf.DUMMYFUNCTION("GOOGLETRANSLATE($A2990,""en"",""ja"")"),"カーラ")</f>
        <v>カーラ</v>
      </c>
      <c r="I2990" s="9" t="str">
        <f>IFERROR(__xludf.DUMMYFUNCTION("GOOGLETRANSLATE($A2990,""en"",""ko"")"),"칼라")</f>
        <v>칼라</v>
      </c>
      <c r="J2990" s="9" t="str">
        <f>IFERROR(__xludf.DUMMYFUNCTION("GOOGLETRANSLATE($A2990,""en"",""pt-BR"")"),"Qala")</f>
        <v>Qala</v>
      </c>
    </row>
    <row r="2991">
      <c r="A2991" s="9" t="str">
        <f>IFERROR(__xludf.DUMMYFUNCTION("""COMPUTED_VALUE"""),"Żebbuġ Malta")</f>
        <v>Żebbuġ Malta</v>
      </c>
      <c r="B2991" s="9" t="str">
        <f>IFERROR(__xludf.DUMMYFUNCTION("""COMPUTED_VALUE"""),"mt-66")</f>
        <v>mt-66</v>
      </c>
      <c r="C2991" s="9" t="str">
        <f>IFERROR(__xludf.DUMMYFUNCTION("GOOGLETRANSLATE($A2991,""en"",""de"")"),"Żebbuġ Malta")</f>
        <v>Żebbuġ Malta</v>
      </c>
      <c r="D2991" s="9" t="str">
        <f>IFERROR(__xludf.DUMMYFUNCTION("GOOGLETRANSLATE($A2991,""en"",""fr"")"),"Zabbuġ Malte")</f>
        <v>Zabbuġ Malte</v>
      </c>
      <c r="E2991" s="9" t="str">
        <f>IFERROR(__xludf.DUMMYFUNCTION("GOOGLETRANSLATE($A2991,""en"",""es"")"),"Żebbuġ Malta")</f>
        <v>Żebbuġ Malta</v>
      </c>
      <c r="F2991" s="9" t="str">
        <f>IFERROR(__xludf.DUMMYFUNCTION("GOOGLETRANSLATE($A2991,""en"",""it"")"),"Zebbbuġ Malta")</f>
        <v>Zebbbuġ Malta</v>
      </c>
      <c r="G2991" s="9" t="str">
        <f>IFERROR(__xludf.DUMMYFUNCTION("GOOGLETRANSLATE($A2991,""en"",""zh-cn"")"),"热布季 马耳他")</f>
        <v>热布季 马耳他</v>
      </c>
      <c r="H2991" s="9" t="str">
        <f>IFERROR(__xludf.DUMMYFUNCTION("GOOGLETRANSLATE($A2991,""en"",""ja"")"),"ゼブブグ マルタ")</f>
        <v>ゼブブグ マルタ</v>
      </c>
      <c r="I2991" s="9" t="str">
        <f>IFERROR(__xludf.DUMMYFUNCTION("GOOGLETRANSLATE($A2991,""en"",""ko"")"),"Żebbuġ 몰타")</f>
        <v>Żebbuġ 몰타</v>
      </c>
      <c r="J2991" s="9" t="str">
        <f>IFERROR(__xludf.DUMMYFUNCTION("GOOGLETRANSLATE($A2991,""en"",""pt-BR"")"),"Żebbuġ Malta")</f>
        <v>Żebbuġ Malta</v>
      </c>
    </row>
    <row r="2992">
      <c r="A2992" s="9" t="str">
        <f>IFERROR(__xludf.DUMMYFUNCTION("""COMPUTED_VALUE"""),"Dingli")</f>
        <v>Dingli</v>
      </c>
      <c r="B2992" s="9" t="str">
        <f>IFERROR(__xludf.DUMMYFUNCTION("""COMPUTED_VALUE"""),"mt-07")</f>
        <v>mt-07</v>
      </c>
      <c r="C2992" s="9" t="str">
        <f>IFERROR(__xludf.DUMMYFUNCTION("GOOGLETRANSLATE($A2992,""en"",""de"")"),"Dingli")</f>
        <v>Dingli</v>
      </c>
      <c r="D2992" s="9" t="str">
        <f>IFERROR(__xludf.DUMMYFUNCTION("GOOGLETRANSLATE($A2992,""en"",""fr"")"),"Dingli")</f>
        <v>Dingli</v>
      </c>
      <c r="E2992" s="9" t="str">
        <f>IFERROR(__xludf.DUMMYFUNCTION("GOOGLETRANSLATE($A2992,""en"",""es"")"),"Dingli")</f>
        <v>Dingli</v>
      </c>
      <c r="F2992" s="9" t="str">
        <f>IFERROR(__xludf.DUMMYFUNCTION("GOOGLETRANSLATE($A2992,""en"",""it"")"),"Dingli")</f>
        <v>Dingli</v>
      </c>
      <c r="G2992" s="9" t="str">
        <f>IFERROR(__xludf.DUMMYFUNCTION("GOOGLETRANSLATE($A2992,""en"",""zh-cn"")"),"鼎立")</f>
        <v>鼎立</v>
      </c>
      <c r="H2992" s="9" t="str">
        <f>IFERROR(__xludf.DUMMYFUNCTION("GOOGLETRANSLATE($A2992,""en"",""ja"")"),"ディングリ")</f>
        <v>ディングリ</v>
      </c>
      <c r="I2992" s="9" t="str">
        <f>IFERROR(__xludf.DUMMYFUNCTION("GOOGLETRANSLATE($A2992,""en"",""ko"")"),"딩리")</f>
        <v>딩리</v>
      </c>
      <c r="J2992" s="9" t="str">
        <f>IFERROR(__xludf.DUMMYFUNCTION("GOOGLETRANSLATE($A2992,""en"",""pt-BR"")"),"Dingli")</f>
        <v>Dingli</v>
      </c>
    </row>
    <row r="2993">
      <c r="A2993" s="9" t="str">
        <f>IFERROR(__xludf.DUMMYFUNCTION("""COMPUTED_VALUE"""),"Qormi")</f>
        <v>Qormi</v>
      </c>
      <c r="B2993" s="9" t="str">
        <f>IFERROR(__xludf.DUMMYFUNCTION("""COMPUTED_VALUE"""),"mt-43")</f>
        <v>mt-43</v>
      </c>
      <c r="C2993" s="9" t="str">
        <f>IFERROR(__xludf.DUMMYFUNCTION("GOOGLETRANSLATE($A2993,""en"",""de"")"),"Qormi")</f>
        <v>Qormi</v>
      </c>
      <c r="D2993" s="9" t="str">
        <f>IFERROR(__xludf.DUMMYFUNCTION("GOOGLETRANSLATE($A2993,""en"",""fr"")"),"Qormi")</f>
        <v>Qormi</v>
      </c>
      <c r="E2993" s="9" t="str">
        <f>IFERROR(__xludf.DUMMYFUNCTION("GOOGLETRANSLATE($A2993,""en"",""es"")"),"Qormi")</f>
        <v>Qormi</v>
      </c>
      <c r="F2993" s="9" t="str">
        <f>IFERROR(__xludf.DUMMYFUNCTION("GOOGLETRANSLATE($A2993,""en"",""it"")"),"Qormi")</f>
        <v>Qormi</v>
      </c>
      <c r="G2993" s="9" t="str">
        <f>IFERROR(__xludf.DUMMYFUNCTION("GOOGLETRANSLATE($A2993,""en"",""zh-cn"")"),"科尔米")</f>
        <v>科尔米</v>
      </c>
      <c r="H2993" s="9" t="str">
        <f>IFERROR(__xludf.DUMMYFUNCTION("GOOGLETRANSLATE($A2993,""en"",""ja"")"),"コルミ")</f>
        <v>コルミ</v>
      </c>
      <c r="I2993" s="9" t="str">
        <f>IFERROR(__xludf.DUMMYFUNCTION("GOOGLETRANSLATE($A2993,""en"",""ko"")"),"코르미")</f>
        <v>코르미</v>
      </c>
      <c r="J2993" s="9" t="str">
        <f>IFERROR(__xludf.DUMMYFUNCTION("GOOGLETRANSLATE($A2993,""en"",""pt-BR"")"),"Qormi")</f>
        <v>Qormi</v>
      </c>
    </row>
    <row r="2994">
      <c r="A2994" s="9" t="str">
        <f>IFERROR(__xludf.DUMMYFUNCTION("""COMPUTED_VALUE"""),"Mqabba")</f>
        <v>Mqabba</v>
      </c>
      <c r="B2994" s="9" t="str">
        <f>IFERROR(__xludf.DUMMYFUNCTION("""COMPUTED_VALUE"""),"mt-33")</f>
        <v>mt-33</v>
      </c>
      <c r="C2994" s="9" t="str">
        <f>IFERROR(__xludf.DUMMYFUNCTION("GOOGLETRANSLATE($A2994,""en"",""de"")"),"Mqabba")</f>
        <v>Mqabba</v>
      </c>
      <c r="D2994" s="9" t="str">
        <f>IFERROR(__xludf.DUMMYFUNCTION("GOOGLETRANSLATE($A2994,""en"",""fr"")"),"Mqabba")</f>
        <v>Mqabba</v>
      </c>
      <c r="E2994" s="9" t="str">
        <f>IFERROR(__xludf.DUMMYFUNCTION("GOOGLETRANSLATE($A2994,""en"",""es"")"),"Mqabba")</f>
        <v>Mqabba</v>
      </c>
      <c r="F2994" s="9" t="str">
        <f>IFERROR(__xludf.DUMMYFUNCTION("GOOGLETRANSLATE($A2994,""en"",""it"")"),"Mqabba")</f>
        <v>Mqabba</v>
      </c>
      <c r="G2994" s="9" t="str">
        <f>IFERROR(__xludf.DUMMYFUNCTION("GOOGLETRANSLATE($A2994,""en"",""zh-cn"")"),"姆卡巴")</f>
        <v>姆卡巴</v>
      </c>
      <c r="H2994" s="9" t="str">
        <f>IFERROR(__xludf.DUMMYFUNCTION("GOOGLETRANSLATE($A2994,""en"",""ja"")"),"ムカバ")</f>
        <v>ムカバ</v>
      </c>
      <c r="I2994" s="9" t="str">
        <f>IFERROR(__xludf.DUMMYFUNCTION("GOOGLETRANSLATE($A2994,""en"",""ko"")"),"음카바")</f>
        <v>음카바</v>
      </c>
      <c r="J2994" s="9" t="str">
        <f>IFERROR(__xludf.DUMMYFUNCTION("GOOGLETRANSLATE($A2994,""en"",""pt-BR"")"),"Mqabba")</f>
        <v>Mqabba</v>
      </c>
    </row>
    <row r="2995">
      <c r="A2995" s="9" t="str">
        <f>IFERROR(__xludf.DUMMYFUNCTION("""COMPUTED_VALUE"""),"Sliema")</f>
        <v>Sliema</v>
      </c>
      <c r="B2995" s="9" t="str">
        <f>IFERROR(__xludf.DUMMYFUNCTION("""COMPUTED_VALUE"""),"mt-56")</f>
        <v>mt-56</v>
      </c>
      <c r="C2995" s="9" t="str">
        <f>IFERROR(__xludf.DUMMYFUNCTION("GOOGLETRANSLATE($A2995,""en"",""de"")"),"Sliema")</f>
        <v>Sliema</v>
      </c>
      <c r="D2995" s="9" t="str">
        <f>IFERROR(__xludf.DUMMYFUNCTION("GOOGLETRANSLATE($A2995,""en"",""fr"")"),"Tas-Sliema")</f>
        <v>Tas-Sliema</v>
      </c>
      <c r="E2995" s="9" t="str">
        <f>IFERROR(__xludf.DUMMYFUNCTION("GOOGLETRANSLATE($A2995,""en"",""es"")"),"sliema")</f>
        <v>sliema</v>
      </c>
      <c r="F2995" s="9" t="str">
        <f>IFERROR(__xludf.DUMMYFUNCTION("GOOGLETRANSLATE($A2995,""en"",""it"")"),"Sliema")</f>
        <v>Sliema</v>
      </c>
      <c r="G2995" s="9" t="str">
        <f>IFERROR(__xludf.DUMMYFUNCTION("GOOGLETRANSLATE($A2995,""en"",""zh-cn"")"),"斯利马")</f>
        <v>斯利马</v>
      </c>
      <c r="H2995" s="9" t="str">
        <f>IFERROR(__xludf.DUMMYFUNCTION("GOOGLETRANSLATE($A2995,""en"",""ja"")"),"スリーマ")</f>
        <v>スリーマ</v>
      </c>
      <c r="I2995" s="9" t="str">
        <f>IFERROR(__xludf.DUMMYFUNCTION("GOOGLETRANSLATE($A2995,""en"",""ko"")"),"슬리에마")</f>
        <v>슬리에마</v>
      </c>
      <c r="J2995" s="9" t="str">
        <f>IFERROR(__xludf.DUMMYFUNCTION("GOOGLETRANSLATE($A2995,""en"",""pt-BR"")"),"Sliema")</f>
        <v>Sliema</v>
      </c>
    </row>
    <row r="2996">
      <c r="A2996" s="9" t="str">
        <f>IFERROR(__xludf.DUMMYFUNCTION("""COMPUTED_VALUE"""),"Swieqi")</f>
        <v>Swieqi</v>
      </c>
      <c r="B2996" s="9" t="str">
        <f>IFERROR(__xludf.DUMMYFUNCTION("""COMPUTED_VALUE"""),"mt-57")</f>
        <v>mt-57</v>
      </c>
      <c r="C2996" s="9" t="str">
        <f>IFERROR(__xludf.DUMMYFUNCTION("GOOGLETRANSLATE($A2996,""en"",""de"")"),"Swieqi")</f>
        <v>Swieqi</v>
      </c>
      <c r="D2996" s="9" t="str">
        <f>IFERROR(__xludf.DUMMYFUNCTION("GOOGLETRANSLATE($A2996,""en"",""fr"")"),"Is-Swieqi")</f>
        <v>Is-Swieqi</v>
      </c>
      <c r="E2996" s="9" t="str">
        <f>IFERROR(__xludf.DUMMYFUNCTION("GOOGLETRANSLATE($A2996,""en"",""es"")"),"Swieqi")</f>
        <v>Swieqi</v>
      </c>
      <c r="F2996" s="9" t="str">
        <f>IFERROR(__xludf.DUMMYFUNCTION("GOOGLETRANSLATE($A2996,""en"",""it"")"),"Swieqi")</f>
        <v>Swieqi</v>
      </c>
      <c r="G2996" s="9" t="str">
        <f>IFERROR(__xludf.DUMMYFUNCTION("GOOGLETRANSLATE($A2996,""en"",""zh-cn"")"),"斯威奇")</f>
        <v>斯威奇</v>
      </c>
      <c r="H2996" s="9" t="str">
        <f>IFERROR(__xludf.DUMMYFUNCTION("GOOGLETRANSLATE($A2996,""en"",""ja"")"),"シウィーキ")</f>
        <v>シウィーキ</v>
      </c>
      <c r="I2996" s="9" t="str">
        <f>IFERROR(__xludf.DUMMYFUNCTION("GOOGLETRANSLATE($A2996,""en"",""ko"")"),"스위치")</f>
        <v>스위치</v>
      </c>
      <c r="J2996" s="9" t="str">
        <f>IFERROR(__xludf.DUMMYFUNCTION("GOOGLETRANSLATE($A2996,""en"",""pt-BR"")"),"Swieqi")</f>
        <v>Swieqi</v>
      </c>
    </row>
    <row r="2997">
      <c r="A2997" s="9" t="str">
        <f>IFERROR(__xludf.DUMMYFUNCTION("""COMPUTED_VALUE"""),"Għasri")</f>
        <v>Għasri</v>
      </c>
      <c r="B2997" s="9" t="str">
        <f>IFERROR(__xludf.DUMMYFUNCTION("""COMPUTED_VALUE"""),"mt-16")</f>
        <v>mt-16</v>
      </c>
      <c r="C2997" s="9" t="str">
        <f>IFERROR(__xludf.DUMMYFUNCTION("GOOGLETRANSLATE($A2997,""en"",""de"")"),"Għasri")</f>
        <v>Għasri</v>
      </c>
      <c r="D2997" s="9" t="str">
        <f>IFERROR(__xludf.DUMMYFUNCTION("GOOGLETRANSLATE($A2997,""en"",""fr"")"),"Ghasri")</f>
        <v>Ghasri</v>
      </c>
      <c r="E2997" s="9" t="str">
        <f>IFERROR(__xludf.DUMMYFUNCTION("GOOGLETRANSLATE($A2997,""en"",""es"")"),"Għasri")</f>
        <v>Għasri</v>
      </c>
      <c r="F2997" s="9" t="str">
        <f>IFERROR(__xludf.DUMMYFUNCTION("GOOGLETRANSLATE($A2997,""en"",""it"")"),"Għasri")</f>
        <v>Għasri</v>
      </c>
      <c r="G2997" s="9" t="str">
        <f>IFERROR(__xludf.DUMMYFUNCTION("GOOGLETRANSLATE($A2997,""en"",""zh-cn"")"),"加斯里")</f>
        <v>加斯里</v>
      </c>
      <c r="H2997" s="9" t="str">
        <f>IFERROR(__xludf.DUMMYFUNCTION("GOOGLETRANSLATE($A2997,""en"",""ja"")"),"ギアスリ")</f>
        <v>ギアスリ</v>
      </c>
      <c r="I2997" s="9" t="str">
        <f>IFERROR(__xludf.DUMMYFUNCTION("GOOGLETRANSLATE($A2997,""en"",""ko"")"),"가스리")</f>
        <v>가스리</v>
      </c>
      <c r="J2997" s="9" t="str">
        <f>IFERROR(__xludf.DUMMYFUNCTION("GOOGLETRANSLATE($A2997,""en"",""pt-BR"")"),"Ghasri")</f>
        <v>Ghasri</v>
      </c>
    </row>
    <row r="2998">
      <c r="A2998" s="9" t="str">
        <f>IFERROR(__xludf.DUMMYFUNCTION("""COMPUTED_VALUE"""),"Msida")</f>
        <v>Msida</v>
      </c>
      <c r="B2998" s="9" t="str">
        <f>IFERROR(__xludf.DUMMYFUNCTION("""COMPUTED_VALUE"""),"mt-34")</f>
        <v>mt-34</v>
      </c>
      <c r="C2998" s="9" t="str">
        <f>IFERROR(__xludf.DUMMYFUNCTION("GOOGLETRANSLATE($A2998,""en"",""de"")"),"Msida")</f>
        <v>Msida</v>
      </c>
      <c r="D2998" s="9" t="str">
        <f>IFERROR(__xludf.DUMMYFUNCTION("GOOGLETRANSLATE($A2998,""en"",""fr"")"),"Msida")</f>
        <v>Msida</v>
      </c>
      <c r="E2998" s="9" t="str">
        <f>IFERROR(__xludf.DUMMYFUNCTION("GOOGLETRANSLATE($A2998,""en"",""es"")"),"Msida")</f>
        <v>Msida</v>
      </c>
      <c r="F2998" s="9" t="str">
        <f>IFERROR(__xludf.DUMMYFUNCTION("GOOGLETRANSLATE($A2998,""en"",""it"")"),"Msida")</f>
        <v>Msida</v>
      </c>
      <c r="G2998" s="9" t="str">
        <f>IFERROR(__xludf.DUMMYFUNCTION("GOOGLETRANSLATE($A2998,""en"",""zh-cn"")"),"姆西达")</f>
        <v>姆西达</v>
      </c>
      <c r="H2998" s="9" t="str">
        <f>IFERROR(__xludf.DUMMYFUNCTION("GOOGLETRANSLATE($A2998,""en"",""ja"")"),"ムシダ")</f>
        <v>ムシダ</v>
      </c>
      <c r="I2998" s="9" t="str">
        <f>IFERROR(__xludf.DUMMYFUNCTION("GOOGLETRANSLATE($A2998,""en"",""ko"")"),"음시다")</f>
        <v>음시다</v>
      </c>
      <c r="J2998" s="9" t="str">
        <f>IFERROR(__xludf.DUMMYFUNCTION("GOOGLETRANSLATE($A2998,""en"",""pt-BR"")"),"Msida")</f>
        <v>Msida</v>
      </c>
    </row>
    <row r="2999">
      <c r="A2999" s="9" t="str">
        <f>IFERROR(__xludf.DUMMYFUNCTION("""COMPUTED_VALUE"""),"Ta' Xbiex")</f>
        <v>Ta' Xbiex</v>
      </c>
      <c r="B2999" s="9" t="str">
        <f>IFERROR(__xludf.DUMMYFUNCTION("""COMPUTED_VALUE"""),"mt-58")</f>
        <v>mt-58</v>
      </c>
      <c r="C2999" s="9" t="str">
        <f>IFERROR(__xludf.DUMMYFUNCTION("GOOGLETRANSLATE($A2999,""en"",""de"")"),"Ta' Xbiex")</f>
        <v>Ta' Xbiex</v>
      </c>
      <c r="D2999" s="9" t="str">
        <f>IFERROR(__xludf.DUMMYFUNCTION("GOOGLETRANSLATE($A2999,""en"",""fr"")"),"Ta' Xbiex")</f>
        <v>Ta' Xbiex</v>
      </c>
      <c r="E2999" s="9" t="str">
        <f>IFERROR(__xludf.DUMMYFUNCTION("GOOGLETRANSLATE($A2999,""en"",""es"")"),"Ta' Xbiex")</f>
        <v>Ta' Xbiex</v>
      </c>
      <c r="F2999" s="9" t="str">
        <f>IFERROR(__xludf.DUMMYFUNCTION("GOOGLETRANSLATE($A2999,""en"",""it"")"),"Ta'Xbiex")</f>
        <v>Ta'Xbiex</v>
      </c>
      <c r="G2999" s="9" t="str">
        <f>IFERROR(__xludf.DUMMYFUNCTION("GOOGLETRANSLATE($A2999,""en"",""zh-cn"")"),"塔西比克斯")</f>
        <v>塔西比克斯</v>
      </c>
      <c r="H2999" s="9" t="str">
        <f>IFERROR(__xludf.DUMMYFUNCTION("GOOGLETRANSLATE($A2999,""en"",""ja"")"),"タ・ゼビエックス")</f>
        <v>タ・ゼビエックス</v>
      </c>
      <c r="I2999" s="9" t="str">
        <f>IFERROR(__xludf.DUMMYFUNCTION("GOOGLETRANSLATE($A2999,""en"",""ko"")"),"타'엑스비엑스")</f>
        <v>타'엑스비엑스</v>
      </c>
      <c r="J2999" s="9" t="str">
        <f>IFERROR(__xludf.DUMMYFUNCTION("GOOGLETRANSLATE($A2999,""en"",""pt-BR"")"),"Ta' Xbiex")</f>
        <v>Ta' Xbiex</v>
      </c>
    </row>
    <row r="3000">
      <c r="A3000" s="9" t="str">
        <f>IFERROR(__xludf.DUMMYFUNCTION("""COMPUTED_VALUE"""),"Għaxaq")</f>
        <v>Għaxaq</v>
      </c>
      <c r="B3000" s="9" t="str">
        <f>IFERROR(__xludf.DUMMYFUNCTION("""COMPUTED_VALUE"""),"mt-17")</f>
        <v>mt-17</v>
      </c>
      <c r="C3000" s="9" t="str">
        <f>IFERROR(__xludf.DUMMYFUNCTION("GOOGLETRANSLATE($A3000,""en"",""de"")"),"Għaxaq")</f>
        <v>Għaxaq</v>
      </c>
      <c r="D3000" s="9" t="str">
        <f>IFERROR(__xludf.DUMMYFUNCTION("GOOGLETRANSLATE($A3000,""en"",""fr"")"),"Ghaxaq")</f>
        <v>Ghaxaq</v>
      </c>
      <c r="E3000" s="9" t="str">
        <f>IFERROR(__xludf.DUMMYFUNCTION("GOOGLETRANSLATE($A3000,""en"",""es"")"),"gaxaq")</f>
        <v>gaxaq</v>
      </c>
      <c r="F3000" s="9" t="str">
        <f>IFERROR(__xludf.DUMMYFUNCTION("GOOGLETRANSLATE($A3000,""en"",""it"")"),"Għaxaq")</f>
        <v>Għaxaq</v>
      </c>
      <c r="G3000" s="9" t="str">
        <f>IFERROR(__xludf.DUMMYFUNCTION("GOOGLETRANSLATE($A3000,""en"",""zh-cn"")"),"伽萨克")</f>
        <v>伽萨克</v>
      </c>
      <c r="H3000" s="9" t="str">
        <f>IFERROR(__xludf.DUMMYFUNCTION("GOOGLETRANSLATE($A3000,""en"",""ja"")"),"ゲサク")</f>
        <v>ゲサク</v>
      </c>
      <c r="I3000" s="9" t="str">
        <f>IFERROR(__xludf.DUMMYFUNCTION("GOOGLETRANSLATE($A3000,""en"",""ko"")"),"그악삭")</f>
        <v>그악삭</v>
      </c>
      <c r="J3000" s="9" t="str">
        <f>IFERROR(__xludf.DUMMYFUNCTION("GOOGLETRANSLATE($A3000,""en"",""pt-BR"")"),"Ghaxaq")</f>
        <v>Ghaxaq</v>
      </c>
    </row>
    <row r="3001">
      <c r="A3001" s="9" t="str">
        <f>IFERROR(__xludf.DUMMYFUNCTION("""COMPUTED_VALUE"""),"Mtarfa")</f>
        <v>Mtarfa</v>
      </c>
      <c r="B3001" s="9" t="str">
        <f>IFERROR(__xludf.DUMMYFUNCTION("""COMPUTED_VALUE"""),"mt-35")</f>
        <v>mt-35</v>
      </c>
      <c r="C3001" s="9" t="str">
        <f>IFERROR(__xludf.DUMMYFUNCTION("GOOGLETRANSLATE($A3001,""en"",""de"")"),"Mtarfa")</f>
        <v>Mtarfa</v>
      </c>
      <c r="D3001" s="9" t="str">
        <f>IFERROR(__xludf.DUMMYFUNCTION("GOOGLETRANSLATE($A3001,""en"",""fr"")"),"Mtarfa")</f>
        <v>Mtarfa</v>
      </c>
      <c r="E3001" s="9" t="str">
        <f>IFERROR(__xludf.DUMMYFUNCTION("GOOGLETRANSLATE($A3001,""en"",""es"")"),"Mtarfa")</f>
        <v>Mtarfa</v>
      </c>
      <c r="F3001" s="9" t="str">
        <f>IFERROR(__xludf.DUMMYFUNCTION("GOOGLETRANSLATE($A3001,""en"",""it"")"),"Mtarfa")</f>
        <v>Mtarfa</v>
      </c>
      <c r="G3001" s="9" t="str">
        <f>IFERROR(__xludf.DUMMYFUNCTION("GOOGLETRANSLATE($A3001,""en"",""zh-cn"")"),"姆塔法")</f>
        <v>姆塔法</v>
      </c>
      <c r="H3001" s="9" t="str">
        <f>IFERROR(__xludf.DUMMYFUNCTION("GOOGLETRANSLATE($A3001,""en"",""ja"")"),"ムタルファ")</f>
        <v>ムタルファ</v>
      </c>
      <c r="I3001" s="9" t="str">
        <f>IFERROR(__xludf.DUMMYFUNCTION("GOOGLETRANSLATE($A3001,""en"",""ko"")"),"임타르파")</f>
        <v>임타르파</v>
      </c>
      <c r="J3001" s="9" t="str">
        <f>IFERROR(__xludf.DUMMYFUNCTION("GOOGLETRANSLATE($A3001,""en"",""pt-BR"")"),"Mtarfa")</f>
        <v>Mtarfa</v>
      </c>
    </row>
    <row r="3002">
      <c r="A3002" s="9" t="str">
        <f>IFERROR(__xludf.DUMMYFUNCTION("""COMPUTED_VALUE"""),"Tarxien")</f>
        <v>Tarxien</v>
      </c>
      <c r="B3002" s="9" t="str">
        <f>IFERROR(__xludf.DUMMYFUNCTION("""COMPUTED_VALUE"""),"mt-59")</f>
        <v>mt-59</v>
      </c>
      <c r="C3002" s="9" t="str">
        <f>IFERROR(__xludf.DUMMYFUNCTION("GOOGLETRANSLATE($A3002,""en"",""de"")"),"Tarxien")</f>
        <v>Tarxien</v>
      </c>
      <c r="D3002" s="9" t="str">
        <f>IFERROR(__xludf.DUMMYFUNCTION("GOOGLETRANSLATE($A3002,""en"",""fr"")"),"Tarxien")</f>
        <v>Tarxien</v>
      </c>
      <c r="E3002" s="9" t="str">
        <f>IFERROR(__xludf.DUMMYFUNCTION("GOOGLETRANSLATE($A3002,""en"",""es"")"),"Tarxien")</f>
        <v>Tarxien</v>
      </c>
      <c r="F3002" s="9" t="str">
        <f>IFERROR(__xludf.DUMMYFUNCTION("GOOGLETRANSLATE($A3002,""en"",""it"")"),"Tarxien")</f>
        <v>Tarxien</v>
      </c>
      <c r="G3002" s="9" t="str">
        <f>IFERROR(__xludf.DUMMYFUNCTION("GOOGLETRANSLATE($A3002,""en"",""zh-cn"")"),"塔尔欣")</f>
        <v>塔尔欣</v>
      </c>
      <c r="H3002" s="9" t="str">
        <f>IFERROR(__xludf.DUMMYFUNCTION("GOOGLETRANSLATE($A3002,""en"",""ja"")"),"タルシーン")</f>
        <v>タルシーン</v>
      </c>
      <c r="I3002" s="9" t="str">
        <f>IFERROR(__xludf.DUMMYFUNCTION("GOOGLETRANSLATE($A3002,""en"",""ko"")"),"Tarxien")</f>
        <v>Tarxien</v>
      </c>
      <c r="J3002" s="9" t="str">
        <f>IFERROR(__xludf.DUMMYFUNCTION("GOOGLETRANSLATE($A3002,""en"",""pt-BR"")"),"Tarxien")</f>
        <v>Tarxien</v>
      </c>
    </row>
    <row r="3003">
      <c r="A3003" s="9" t="str">
        <f>IFERROR(__xludf.DUMMYFUNCTION("""COMPUTED_VALUE"""),"Munxar")</f>
        <v>Munxar</v>
      </c>
      <c r="B3003" s="9" t="str">
        <f>IFERROR(__xludf.DUMMYFUNCTION("""COMPUTED_VALUE"""),"mt-36")</f>
        <v>mt-36</v>
      </c>
      <c r="C3003" s="9" t="str">
        <f>IFERROR(__xludf.DUMMYFUNCTION("GOOGLETRANSLATE($A3003,""en"",""de"")"),"Munxar")</f>
        <v>Munxar</v>
      </c>
      <c r="D3003" s="9" t="str">
        <f>IFERROR(__xludf.DUMMYFUNCTION("GOOGLETRANSLATE($A3003,""en"",""fr"")"),"Munxar")</f>
        <v>Munxar</v>
      </c>
      <c r="E3003" s="9" t="str">
        <f>IFERROR(__xludf.DUMMYFUNCTION("GOOGLETRANSLATE($A3003,""en"",""es"")"),"Munxar")</f>
        <v>Munxar</v>
      </c>
      <c r="F3003" s="9" t="str">
        <f>IFERROR(__xludf.DUMMYFUNCTION("GOOGLETRANSLATE($A3003,""en"",""it"")"),"Monsciar")</f>
        <v>Monsciar</v>
      </c>
      <c r="G3003" s="9" t="str">
        <f>IFERROR(__xludf.DUMMYFUNCTION("GOOGLETRANSLATE($A3003,""en"",""zh-cn"")"),"蒙萨尔")</f>
        <v>蒙萨尔</v>
      </c>
      <c r="H3003" s="9" t="str">
        <f>IFERROR(__xludf.DUMMYFUNCTION("GOOGLETRANSLATE($A3003,""en"",""ja"")"),"ムンシャール")</f>
        <v>ムンシャール</v>
      </c>
      <c r="I3003" s="9" t="str">
        <f>IFERROR(__xludf.DUMMYFUNCTION("GOOGLETRANSLATE($A3003,""en"",""ko"")"),"문샤르")</f>
        <v>문샤르</v>
      </c>
      <c r="J3003" s="9" t="str">
        <f>IFERROR(__xludf.DUMMYFUNCTION("GOOGLETRANSLATE($A3003,""en"",""pt-BR"")"),"Munxar")</f>
        <v>Munxar</v>
      </c>
    </row>
    <row r="3004">
      <c r="A3004" s="9" t="str">
        <f>IFERROR(__xludf.DUMMYFUNCTION("""COMPUTED_VALUE"""),"Valletta")</f>
        <v>Valletta</v>
      </c>
      <c r="B3004" s="9" t="str">
        <f>IFERROR(__xludf.DUMMYFUNCTION("""COMPUTED_VALUE"""),"mt-60")</f>
        <v>mt-60</v>
      </c>
      <c r="C3004" s="9" t="str">
        <f>IFERROR(__xludf.DUMMYFUNCTION("GOOGLETRANSLATE($A3004,""en"",""de"")"),"Valletta")</f>
        <v>Valletta</v>
      </c>
      <c r="D3004" s="9" t="str">
        <f>IFERROR(__xludf.DUMMYFUNCTION("GOOGLETRANSLATE($A3004,""en"",""fr"")"),"La Valette")</f>
        <v>La Valette</v>
      </c>
      <c r="E3004" s="9" t="str">
        <f>IFERROR(__xludf.DUMMYFUNCTION("GOOGLETRANSLATE($A3004,""en"",""es"")"),"La Valeta")</f>
        <v>La Valeta</v>
      </c>
      <c r="F3004" s="9" t="str">
        <f>IFERROR(__xludf.DUMMYFUNCTION("GOOGLETRANSLATE($A3004,""en"",""it"")"),"La Valletta")</f>
        <v>La Valletta</v>
      </c>
      <c r="G3004" s="9" t="str">
        <f>IFERROR(__xludf.DUMMYFUNCTION("GOOGLETRANSLATE($A3004,""en"",""zh-cn"")"),"瓦莱塔")</f>
        <v>瓦莱塔</v>
      </c>
      <c r="H3004" s="9" t="str">
        <f>IFERROR(__xludf.DUMMYFUNCTION("GOOGLETRANSLATE($A3004,""en"",""ja"")"),"バレッタ")</f>
        <v>バレッタ</v>
      </c>
      <c r="I3004" s="9" t="str">
        <f>IFERROR(__xludf.DUMMYFUNCTION("GOOGLETRANSLATE($A3004,""en"",""ko"")"),"발레타")</f>
        <v>발레타</v>
      </c>
      <c r="J3004" s="9" t="str">
        <f>IFERROR(__xludf.DUMMYFUNCTION("GOOGLETRANSLATE($A3004,""en"",""pt-BR"")"),"Valeta")</f>
        <v>Valeta</v>
      </c>
    </row>
    <row r="3005">
      <c r="A3005" s="9" t="str">
        <f>IFERROR(__xludf.DUMMYFUNCTION("""COMPUTED_VALUE"""),"Balzan")</f>
        <v>Balzan</v>
      </c>
      <c r="B3005" s="9" t="str">
        <f>IFERROR(__xludf.DUMMYFUNCTION("""COMPUTED_VALUE"""),"mt-02")</f>
        <v>mt-02</v>
      </c>
      <c r="C3005" s="9" t="str">
        <f>IFERROR(__xludf.DUMMYFUNCTION("GOOGLETRANSLATE($A3005,""en"",""de"")"),"Balzan")</f>
        <v>Balzan</v>
      </c>
      <c r="D3005" s="9" t="str">
        <f>IFERROR(__xludf.DUMMYFUNCTION("GOOGLETRANSLATE($A3005,""en"",""fr"")"),"Balzán")</f>
        <v>Balzán</v>
      </c>
      <c r="E3005" s="9" t="str">
        <f>IFERROR(__xludf.DUMMYFUNCTION("GOOGLETRANSLATE($A3005,""en"",""es"")"),"Balzán")</f>
        <v>Balzán</v>
      </c>
      <c r="F3005" s="9" t="str">
        <f>IFERROR(__xludf.DUMMYFUNCTION("GOOGLETRANSLATE($A3005,""en"",""it"")"),"Balzan")</f>
        <v>Balzan</v>
      </c>
      <c r="G3005" s="9" t="str">
        <f>IFERROR(__xludf.DUMMYFUNCTION("GOOGLETRANSLATE($A3005,""en"",""zh-cn"")"),"巴尔赞")</f>
        <v>巴尔赞</v>
      </c>
      <c r="H3005" s="9" t="str">
        <f>IFERROR(__xludf.DUMMYFUNCTION("GOOGLETRANSLATE($A3005,""en"",""ja"")"),"バルザン")</f>
        <v>バルザン</v>
      </c>
      <c r="I3005" s="9" t="str">
        <f>IFERROR(__xludf.DUMMYFUNCTION("GOOGLETRANSLATE($A3005,""en"",""ko"")"),"발잔")</f>
        <v>발잔</v>
      </c>
      <c r="J3005" s="9" t="str">
        <f>IFERROR(__xludf.DUMMYFUNCTION("GOOGLETRANSLATE($A3005,""en"",""pt-BR"")"),"Balzan")</f>
        <v>Balzan</v>
      </c>
    </row>
    <row r="3006">
      <c r="A3006" s="9" t="str">
        <f>IFERROR(__xludf.DUMMYFUNCTION("""COMPUTED_VALUE"""),"Ħamrun")</f>
        <v>Ħamrun</v>
      </c>
      <c r="B3006" s="9" t="str">
        <f>IFERROR(__xludf.DUMMYFUNCTION("""COMPUTED_VALUE"""),"mt-18")</f>
        <v>mt-18</v>
      </c>
      <c r="C3006" s="9" t="str">
        <f>IFERROR(__xludf.DUMMYFUNCTION("GOOGLETRANSLATE($A3006,""en"",""de"")"),"Ħamrun")</f>
        <v>Ħamrun</v>
      </c>
      <c r="D3006" s="9" t="str">
        <f>IFERROR(__xludf.DUMMYFUNCTION("GOOGLETRANSLATE($A3006,""en"",""fr"")"),"Ħamrun")</f>
        <v>Ħamrun</v>
      </c>
      <c r="E3006" s="9" t="str">
        <f>IFERROR(__xludf.DUMMYFUNCTION("GOOGLETRANSLATE($A3006,""en"",""es"")"),"Ħamrun")</f>
        <v>Ħamrun</v>
      </c>
      <c r="F3006" s="9" t="str">
        <f>IFERROR(__xludf.DUMMYFUNCTION("GOOGLETRANSLATE($A3006,""en"",""it"")"),"Hamrun")</f>
        <v>Hamrun</v>
      </c>
      <c r="G3006" s="9" t="str">
        <f>IFERROR(__xludf.DUMMYFUNCTION("GOOGLETRANSLATE($A3006,""en"",""zh-cn"")"),"阿姆伦")</f>
        <v>阿姆伦</v>
      </c>
      <c r="H3006" s="9" t="str">
        <f>IFERROR(__xludf.DUMMYFUNCTION("GOOGLETRANSLATE($A3006,""en"",""ja"")"),"アムルン")</f>
        <v>アムルン</v>
      </c>
      <c r="I3006" s="9" t="str">
        <f>IFERROR(__xludf.DUMMYFUNCTION("GOOGLETRANSLATE($A3006,""en"",""ko"")"),"함룬")</f>
        <v>함룬</v>
      </c>
      <c r="J3006" s="9" t="str">
        <f>IFERROR(__xludf.DUMMYFUNCTION("GOOGLETRANSLATE($A3006,""en"",""pt-BR"")"),"Hamrun")</f>
        <v>Hamrun</v>
      </c>
    </row>
    <row r="3007">
      <c r="A3007" s="9" t="str">
        <f>IFERROR(__xludf.DUMMYFUNCTION("""COMPUTED_VALUE"""),"Nadur")</f>
        <v>Nadur</v>
      </c>
      <c r="B3007" s="9" t="str">
        <f>IFERROR(__xludf.DUMMYFUNCTION("""COMPUTED_VALUE"""),"mt-37")</f>
        <v>mt-37</v>
      </c>
      <c r="C3007" s="9" t="str">
        <f>IFERROR(__xludf.DUMMYFUNCTION("GOOGLETRANSLATE($A3007,""en"",""de"")"),"Nadur")</f>
        <v>Nadur</v>
      </c>
      <c r="D3007" s="9" t="str">
        <f>IFERROR(__xludf.DUMMYFUNCTION("GOOGLETRANSLATE($A3007,""en"",""fr"")"),"In-Nadur")</f>
        <v>In-Nadur</v>
      </c>
      <c r="E3007" s="9" t="str">
        <f>IFERROR(__xludf.DUMMYFUNCTION("GOOGLETRANSLATE($A3007,""en"",""es"")"),"Nadur")</f>
        <v>Nadur</v>
      </c>
      <c r="F3007" s="9" t="str">
        <f>IFERROR(__xludf.DUMMYFUNCTION("GOOGLETRANSLATE($A3007,""en"",""it"")"),"Nadur")</f>
        <v>Nadur</v>
      </c>
      <c r="G3007" s="9" t="str">
        <f>IFERROR(__xludf.DUMMYFUNCTION("GOOGLETRANSLATE($A3007,""en"",""zh-cn"")"),"纳杜尔")</f>
        <v>纳杜尔</v>
      </c>
      <c r="H3007" s="9" t="str">
        <f>IFERROR(__xludf.DUMMYFUNCTION("GOOGLETRANSLATE($A3007,""en"",""ja"")"),"ナドゥール")</f>
        <v>ナドゥール</v>
      </c>
      <c r="I3007" s="9" t="str">
        <f>IFERROR(__xludf.DUMMYFUNCTION("GOOGLETRANSLATE($A3007,""en"",""ko"")"),"나두르")</f>
        <v>나두르</v>
      </c>
      <c r="J3007" s="9" t="str">
        <f>IFERROR(__xludf.DUMMYFUNCTION("GOOGLETRANSLATE($A3007,""en"",""pt-BR"")"),"Nadur")</f>
        <v>Nadur</v>
      </c>
    </row>
    <row r="3008">
      <c r="A3008" s="9" t="str">
        <f>IFERROR(__xludf.DUMMYFUNCTION("""COMPUTED_VALUE"""),"Xagħra")</f>
        <v>Xagħra</v>
      </c>
      <c r="B3008" s="9" t="str">
        <f>IFERROR(__xludf.DUMMYFUNCTION("""COMPUTED_VALUE"""),"mt-61")</f>
        <v>mt-61</v>
      </c>
      <c r="C3008" s="9" t="str">
        <f>IFERROR(__xludf.DUMMYFUNCTION("GOOGLETRANSLATE($A3008,""en"",""de"")"),"Xagħra")</f>
        <v>Xagħra</v>
      </c>
      <c r="D3008" s="9" t="str">
        <f>IFERROR(__xludf.DUMMYFUNCTION("GOOGLETRANSLATE($A3008,""en"",""fr"")"),"Ix-Xagħra")</f>
        <v>Ix-Xagħra</v>
      </c>
      <c r="E3008" s="9" t="str">
        <f>IFERROR(__xludf.DUMMYFUNCTION("GOOGLETRANSLATE($A3008,""en"",""es"")"),"Xagħra")</f>
        <v>Xagħra</v>
      </c>
      <c r="F3008" s="9" t="str">
        <f>IFERROR(__xludf.DUMMYFUNCTION("GOOGLETRANSLATE($A3008,""en"",""it"")"),"Xagħra")</f>
        <v>Xagħra</v>
      </c>
      <c r="G3008" s="9" t="str">
        <f>IFERROR(__xludf.DUMMYFUNCTION("GOOGLETRANSLATE($A3008,""en"",""zh-cn"")"),"沙拉")</f>
        <v>沙拉</v>
      </c>
      <c r="H3008" s="9" t="str">
        <f>IFERROR(__xludf.DUMMYFUNCTION("GOOGLETRANSLATE($A3008,""en"",""ja"")"),"ザゲラ")</f>
        <v>ザゲラ</v>
      </c>
      <c r="I3008" s="9" t="str">
        <f>IFERROR(__xludf.DUMMYFUNCTION("GOOGLETRANSLATE($A3008,""en"",""ko"")"),"자그라")</f>
        <v>자그라</v>
      </c>
      <c r="J3008" s="9" t="str">
        <f>IFERROR(__xludf.DUMMYFUNCTION("GOOGLETRANSLATE($A3008,""en"",""pt-BR"")"),"Xagħra")</f>
        <v>Xagħra</v>
      </c>
    </row>
    <row r="3009">
      <c r="A3009" s="9" t="str">
        <f>IFERROR(__xludf.DUMMYFUNCTION("""COMPUTED_VALUE"""),"Aur")</f>
        <v>Aur</v>
      </c>
      <c r="B3009" s="9" t="str">
        <f>IFERROR(__xludf.DUMMYFUNCTION("""COMPUTED_VALUE"""),"mh-aur")</f>
        <v>mh-aur</v>
      </c>
      <c r="C3009" s="9" t="str">
        <f>IFERROR(__xludf.DUMMYFUNCTION("GOOGLETRANSLATE($A3009,""en"",""de"")"),"Aur")</f>
        <v>Aur</v>
      </c>
      <c r="D3009" s="9" t="str">
        <f>IFERROR(__xludf.DUMMYFUNCTION("GOOGLETRANSLATE($A3009,""en"",""fr"")"),"Aure")</f>
        <v>Aure</v>
      </c>
      <c r="E3009" s="9" t="str">
        <f>IFERROR(__xludf.DUMMYFUNCTION("GOOGLETRANSLATE($A3009,""en"",""es"")"),"Aura")</f>
        <v>Aura</v>
      </c>
      <c r="F3009" s="9" t="str">
        <f>IFERROR(__xludf.DUMMYFUNCTION("GOOGLETRANSLATE($A3009,""en"",""it"")"),"Aur")</f>
        <v>Aur</v>
      </c>
      <c r="G3009" s="9" t="str">
        <f>IFERROR(__xludf.DUMMYFUNCTION("GOOGLETRANSLATE($A3009,""en"",""zh-cn"")"),"奥尔")</f>
        <v>奥尔</v>
      </c>
      <c r="H3009" s="9" t="str">
        <f>IFERROR(__xludf.DUMMYFUNCTION("GOOGLETRANSLATE($A3009,""en"",""ja"")"),"アウル")</f>
        <v>アウル</v>
      </c>
      <c r="I3009" s="9" t="str">
        <f>IFERROR(__xludf.DUMMYFUNCTION("GOOGLETRANSLATE($A3009,""en"",""ko"")"),"오르")</f>
        <v>오르</v>
      </c>
      <c r="J3009" s="9" t="str">
        <f>IFERROR(__xludf.DUMMYFUNCTION("GOOGLETRANSLATE($A3009,""en"",""pt-BR"")"),"Auro")</f>
        <v>Auro</v>
      </c>
    </row>
    <row r="3010">
      <c r="A3010" s="9" t="str">
        <f>IFERROR(__xludf.DUMMYFUNCTION("""COMPUTED_VALUE"""),"Ratak chain")</f>
        <v>Ratak chain</v>
      </c>
      <c r="B3010" s="9" t="str">
        <f>IFERROR(__xludf.DUMMYFUNCTION("""COMPUTED_VALUE"""),"mh-t")</f>
        <v>mh-t</v>
      </c>
      <c r="C3010" s="9" t="str">
        <f>IFERROR(__xludf.DUMMYFUNCTION("GOOGLETRANSLATE($A3010,""en"",""de"")"),"Ratak-Kette")</f>
        <v>Ratak-Kette</v>
      </c>
      <c r="D3010" s="9" t="str">
        <f>IFERROR(__xludf.DUMMYFUNCTION("GOOGLETRANSLATE($A3010,""en"",""fr"")"),"Chaîne Ratak")</f>
        <v>Chaîne Ratak</v>
      </c>
      <c r="E3010" s="9" t="str">
        <f>IFERROR(__xludf.DUMMYFUNCTION("GOOGLETRANSLATE($A3010,""en"",""es"")"),"cadena de ratak")</f>
        <v>cadena de ratak</v>
      </c>
      <c r="F3010" s="9" t="str">
        <f>IFERROR(__xludf.DUMMYFUNCTION("GOOGLETRANSLATE($A3010,""en"",""it"")"),"Catena di Ratak")</f>
        <v>Catena di Ratak</v>
      </c>
      <c r="G3010" s="9" t="str">
        <f>IFERROR(__xludf.DUMMYFUNCTION("GOOGLETRANSLATE($A3010,""en"",""zh-cn"")"),"拉塔克链")</f>
        <v>拉塔克链</v>
      </c>
      <c r="H3010" s="9" t="str">
        <f>IFERROR(__xludf.DUMMYFUNCTION("GOOGLETRANSLATE($A3010,""en"",""ja"")"),"ラタックチェーン")</f>
        <v>ラタックチェーン</v>
      </c>
      <c r="I3010" s="9" t="str">
        <f>IFERROR(__xludf.DUMMYFUNCTION("GOOGLETRANSLATE($A3010,""en"",""ko"")"),"라탁 체인")</f>
        <v>라탁 체인</v>
      </c>
      <c r="J3010" s="9" t="str">
        <f>IFERROR(__xludf.DUMMYFUNCTION("GOOGLETRANSLATE($A3010,""en"",""pt-BR"")"),"Corrente Ratak")</f>
        <v>Corrente Ratak</v>
      </c>
    </row>
    <row r="3011">
      <c r="A3011" s="9" t="str">
        <f>IFERROR(__xludf.DUMMYFUNCTION("""COMPUTED_VALUE"""),"Kwajalein")</f>
        <v>Kwajalein</v>
      </c>
      <c r="B3011" s="9" t="str">
        <f>IFERROR(__xludf.DUMMYFUNCTION("""COMPUTED_VALUE"""),"mh-kwa")</f>
        <v>mh-kwa</v>
      </c>
      <c r="C3011" s="9" t="str">
        <f>IFERROR(__xludf.DUMMYFUNCTION("GOOGLETRANSLATE($A3011,""en"",""de"")"),"Kwajalein")</f>
        <v>Kwajalein</v>
      </c>
      <c r="D3011" s="9" t="str">
        <f>IFERROR(__xludf.DUMMYFUNCTION("GOOGLETRANSLATE($A3011,""en"",""fr"")"),"Kwajalein")</f>
        <v>Kwajalein</v>
      </c>
      <c r="E3011" s="9" t="str">
        <f>IFERROR(__xludf.DUMMYFUNCTION("GOOGLETRANSLATE($A3011,""en"",""es"")"),"kwajalein")</f>
        <v>kwajalein</v>
      </c>
      <c r="F3011" s="9" t="str">
        <f>IFERROR(__xludf.DUMMYFUNCTION("GOOGLETRANSLATE($A3011,""en"",""it"")"),"Kwajalein")</f>
        <v>Kwajalein</v>
      </c>
      <c r="G3011" s="9" t="str">
        <f>IFERROR(__xludf.DUMMYFUNCTION("GOOGLETRANSLATE($A3011,""en"",""zh-cn"")"),"夸贾林环礁")</f>
        <v>夸贾林环礁</v>
      </c>
      <c r="H3011" s="9" t="str">
        <f>IFERROR(__xludf.DUMMYFUNCTION("GOOGLETRANSLATE($A3011,""en"",""ja"")"),"クェゼリン")</f>
        <v>クェゼリン</v>
      </c>
      <c r="I3011" s="9" t="str">
        <f>IFERROR(__xludf.DUMMYFUNCTION("GOOGLETRANSLATE($A3011,""en"",""ko"")"),"콰잘레인")</f>
        <v>콰잘레인</v>
      </c>
      <c r="J3011" s="9" t="str">
        <f>IFERROR(__xludf.DUMMYFUNCTION("GOOGLETRANSLATE($A3011,""en"",""pt-BR"")"),"Kwajalein")</f>
        <v>Kwajalein</v>
      </c>
    </row>
    <row r="3012">
      <c r="A3012" s="9" t="str">
        <f>IFERROR(__xludf.DUMMYFUNCTION("""COMPUTED_VALUE"""),"Ralik chain")</f>
        <v>Ralik chain</v>
      </c>
      <c r="B3012" s="9" t="str">
        <f>IFERROR(__xludf.DUMMYFUNCTION("""COMPUTED_VALUE"""),"mh-l")</f>
        <v>mh-l</v>
      </c>
      <c r="C3012" s="9" t="str">
        <f>IFERROR(__xludf.DUMMYFUNCTION("GOOGLETRANSLATE($A3012,""en"",""de"")"),"Ralik-Kette")</f>
        <v>Ralik-Kette</v>
      </c>
      <c r="D3012" s="9" t="str">
        <f>IFERROR(__xludf.DUMMYFUNCTION("GOOGLETRANSLATE($A3012,""en"",""fr"")"),"Chaîne Ralik")</f>
        <v>Chaîne Ralik</v>
      </c>
      <c r="E3012" s="9" t="str">
        <f>IFERROR(__xludf.DUMMYFUNCTION("GOOGLETRANSLATE($A3012,""en"",""es"")"),"cadena ralik")</f>
        <v>cadena ralik</v>
      </c>
      <c r="F3012" s="9" t="str">
        <f>IFERROR(__xludf.DUMMYFUNCTION("GOOGLETRANSLATE($A3012,""en"",""it"")"),"catena Ralik")</f>
        <v>catena Ralik</v>
      </c>
      <c r="G3012" s="9" t="str">
        <f>IFERROR(__xludf.DUMMYFUNCTION("GOOGLETRANSLATE($A3012,""en"",""zh-cn"")"),"拉力克链条")</f>
        <v>拉力克链条</v>
      </c>
      <c r="H3012" s="9" t="str">
        <f>IFERROR(__xludf.DUMMYFUNCTION("GOOGLETRANSLATE($A3012,""en"",""ja"")"),"ラリックチェーン")</f>
        <v>ラリックチェーン</v>
      </c>
      <c r="I3012" s="9" t="str">
        <f>IFERROR(__xludf.DUMMYFUNCTION("GOOGLETRANSLATE($A3012,""en"",""ko"")"),"Ralik 체인")</f>
        <v>Ralik 체인</v>
      </c>
      <c r="J3012" s="9" t="str">
        <f>IFERROR(__xludf.DUMMYFUNCTION("GOOGLETRANSLATE($A3012,""en"",""pt-BR"")"),"Corrente Ralik")</f>
        <v>Corrente Ralik</v>
      </c>
    </row>
    <row r="3013">
      <c r="A3013" s="9" t="str">
        <f>IFERROR(__xludf.DUMMYFUNCTION("""COMPUTED_VALUE"""),"Ebon")</f>
        <v>Ebon</v>
      </c>
      <c r="B3013" s="9" t="str">
        <f>IFERROR(__xludf.DUMMYFUNCTION("""COMPUTED_VALUE"""),"mh-ebo")</f>
        <v>mh-ebo</v>
      </c>
      <c r="C3013" s="9" t="str">
        <f>IFERROR(__xludf.DUMMYFUNCTION("GOOGLETRANSLATE($A3013,""en"",""de"")"),"Ebenholz")</f>
        <v>Ebenholz</v>
      </c>
      <c r="D3013" s="9" t="str">
        <f>IFERROR(__xludf.DUMMYFUNCTION("GOOGLETRANSLATE($A3013,""en"",""fr"")"),"Ébène")</f>
        <v>Ébène</v>
      </c>
      <c r="E3013" s="9" t="str">
        <f>IFERROR(__xludf.DUMMYFUNCTION("GOOGLETRANSLATE($A3013,""en"",""es"")"),"De ébano")</f>
        <v>De ébano</v>
      </c>
      <c r="F3013" s="9" t="str">
        <f>IFERROR(__xludf.DUMMYFUNCTION("GOOGLETRANSLATE($A3013,""en"",""it"")"),"Ebano")</f>
        <v>Ebano</v>
      </c>
      <c r="G3013" s="9" t="str">
        <f>IFERROR(__xludf.DUMMYFUNCTION("GOOGLETRANSLATE($A3013,""en"",""zh-cn"")"),"乌木")</f>
        <v>乌木</v>
      </c>
      <c r="H3013" s="9" t="str">
        <f>IFERROR(__xludf.DUMMYFUNCTION("GOOGLETRANSLATE($A3013,""en"",""ja"")"),"エボン")</f>
        <v>エボン</v>
      </c>
      <c r="I3013" s="9" t="str">
        <f>IFERROR(__xludf.DUMMYFUNCTION("GOOGLETRANSLATE($A3013,""en"",""ko"")"),"에본")</f>
        <v>에본</v>
      </c>
      <c r="J3013" s="9" t="str">
        <f>IFERROR(__xludf.DUMMYFUNCTION("GOOGLETRANSLATE($A3013,""en"",""pt-BR"")"),"Ébano")</f>
        <v>Ébano</v>
      </c>
    </row>
    <row r="3014">
      <c r="A3014" s="9" t="str">
        <f>IFERROR(__xludf.DUMMYFUNCTION("""COMPUTED_VALUE"""),"Mejit")</f>
        <v>Mejit</v>
      </c>
      <c r="B3014" s="9" t="str">
        <f>IFERROR(__xludf.DUMMYFUNCTION("""COMPUTED_VALUE"""),"mh-mej")</f>
        <v>mh-mej</v>
      </c>
      <c r="C3014" s="9" t="str">
        <f>IFERROR(__xludf.DUMMYFUNCTION("GOOGLETRANSLATE($A3014,""en"",""de"")"),"Mejit")</f>
        <v>Mejit</v>
      </c>
      <c r="D3014" s="9" t="str">
        <f>IFERROR(__xludf.DUMMYFUNCTION("GOOGLETRANSLATE($A3014,""en"",""fr"")"),"Méjit")</f>
        <v>Méjit</v>
      </c>
      <c r="E3014" s="9" t="str">
        <f>IFERROR(__xludf.DUMMYFUNCTION("GOOGLETRANSLATE($A3014,""en"",""es"")"),"mejit")</f>
        <v>mejit</v>
      </c>
      <c r="F3014" s="9" t="str">
        <f>IFERROR(__xludf.DUMMYFUNCTION("GOOGLETRANSLATE($A3014,""en"",""it"")"),"Mejit")</f>
        <v>Mejit</v>
      </c>
      <c r="G3014" s="9" t="str">
        <f>IFERROR(__xludf.DUMMYFUNCTION("GOOGLETRANSLATE($A3014,""en"",""zh-cn"")"),"梅吉特")</f>
        <v>梅吉特</v>
      </c>
      <c r="H3014" s="9" t="str">
        <f>IFERROR(__xludf.DUMMYFUNCTION("GOOGLETRANSLATE($A3014,""en"",""ja"")"),"メジット")</f>
        <v>メジット</v>
      </c>
      <c r="I3014" s="9" t="str">
        <f>IFERROR(__xludf.DUMMYFUNCTION("GOOGLETRANSLATE($A3014,""en"",""ko"")"),"메짓")</f>
        <v>메짓</v>
      </c>
      <c r="J3014" s="9" t="str">
        <f>IFERROR(__xludf.DUMMYFUNCTION("GOOGLETRANSLATE($A3014,""en"",""pt-BR"")"),"Mejit")</f>
        <v>Mejit</v>
      </c>
    </row>
    <row r="3015">
      <c r="A3015" s="9" t="str">
        <f>IFERROR(__xludf.DUMMYFUNCTION("""COMPUTED_VALUE"""),"Lib")</f>
        <v>Lib</v>
      </c>
      <c r="B3015" s="9" t="str">
        <f>IFERROR(__xludf.DUMMYFUNCTION("""COMPUTED_VALUE"""),"mh-lib")</f>
        <v>mh-lib</v>
      </c>
      <c r="C3015" s="9" t="str">
        <f>IFERROR(__xludf.DUMMYFUNCTION("GOOGLETRANSLATE($A3015,""en"",""de"")"),"Lib")</f>
        <v>Lib</v>
      </c>
      <c r="D3015" s="9" t="str">
        <f>IFERROR(__xludf.DUMMYFUNCTION("GOOGLETRANSLATE($A3015,""en"",""fr"")"),"Lib")</f>
        <v>Lib</v>
      </c>
      <c r="E3015" s="9" t="str">
        <f>IFERROR(__xludf.DUMMYFUNCTION("GOOGLETRANSLATE($A3015,""en"",""es"")"),"libre")</f>
        <v>libre</v>
      </c>
      <c r="F3015" s="9" t="str">
        <f>IFERROR(__xludf.DUMMYFUNCTION("GOOGLETRANSLATE($A3015,""en"",""it"")"),"lib")</f>
        <v>lib</v>
      </c>
      <c r="G3015" s="9" t="str">
        <f>IFERROR(__xludf.DUMMYFUNCTION("GOOGLETRANSLATE($A3015,""en"",""zh-cn"")"),"库")</f>
        <v>库</v>
      </c>
      <c r="H3015" s="9" t="str">
        <f>IFERROR(__xludf.DUMMYFUNCTION("GOOGLETRANSLATE($A3015,""en"",""ja"")"),"リブ")</f>
        <v>リブ</v>
      </c>
      <c r="I3015" s="9" t="str">
        <f>IFERROR(__xludf.DUMMYFUNCTION("GOOGLETRANSLATE($A3015,""en"",""ko"")"),"도서관")</f>
        <v>도서관</v>
      </c>
      <c r="J3015" s="9" t="str">
        <f>IFERROR(__xludf.DUMMYFUNCTION("GOOGLETRANSLATE($A3015,""en"",""pt-BR"")"),"Biblioteca")</f>
        <v>Biblioteca</v>
      </c>
    </row>
    <row r="3016">
      <c r="A3016" s="9" t="str">
        <f>IFERROR(__xludf.DUMMYFUNCTION("""COMPUTED_VALUE"""),"Utirik")</f>
        <v>Utirik</v>
      </c>
      <c r="B3016" s="9" t="str">
        <f>IFERROR(__xludf.DUMMYFUNCTION("""COMPUTED_VALUE"""),"mh-uti")</f>
        <v>mh-uti</v>
      </c>
      <c r="C3016" s="9" t="str">
        <f>IFERROR(__xludf.DUMMYFUNCTION("GOOGLETRANSLATE($A3016,""en"",""de"")"),"Utirik")</f>
        <v>Utirik</v>
      </c>
      <c r="D3016" s="9" t="str">
        <f>IFERROR(__xludf.DUMMYFUNCTION("GOOGLETRANSLATE($A3016,""en"",""fr"")"),"Utirik")</f>
        <v>Utirik</v>
      </c>
      <c r="E3016" s="9" t="str">
        <f>IFERROR(__xludf.DUMMYFUNCTION("GOOGLETRANSLATE($A3016,""en"",""es"")"),"utirik")</f>
        <v>utirik</v>
      </c>
      <c r="F3016" s="9" t="str">
        <f>IFERROR(__xludf.DUMMYFUNCTION("GOOGLETRANSLATE($A3016,""en"",""it"")"),"Utirik")</f>
        <v>Utirik</v>
      </c>
      <c r="G3016" s="9" t="str">
        <f>IFERROR(__xludf.DUMMYFUNCTION("GOOGLETRANSLATE($A3016,""en"",""zh-cn"")"),"乌蒂里克")</f>
        <v>乌蒂里克</v>
      </c>
      <c r="H3016" s="9" t="str">
        <f>IFERROR(__xludf.DUMMYFUNCTION("GOOGLETRANSLATE($A3016,""en"",""ja"")"),"ウティリク")</f>
        <v>ウティリク</v>
      </c>
      <c r="I3016" s="9" t="str">
        <f>IFERROR(__xludf.DUMMYFUNCTION("GOOGLETRANSLATE($A3016,""en"",""ko"")"),"유티릭")</f>
        <v>유티릭</v>
      </c>
      <c r="J3016" s="9" t="str">
        <f>IFERROR(__xludf.DUMMYFUNCTION("GOOGLETRANSLATE($A3016,""en"",""pt-BR"")"),"Utirik")</f>
        <v>Utirik</v>
      </c>
    </row>
    <row r="3017">
      <c r="A3017" s="9" t="str">
        <f>IFERROR(__xludf.DUMMYFUNCTION("""COMPUTED_VALUE"""),"Ailuk")</f>
        <v>Ailuk</v>
      </c>
      <c r="B3017" s="9" t="str">
        <f>IFERROR(__xludf.DUMMYFUNCTION("""COMPUTED_VALUE"""),"mh-alk")</f>
        <v>mh-alk</v>
      </c>
      <c r="C3017" s="9" t="str">
        <f>IFERROR(__xludf.DUMMYFUNCTION("GOOGLETRANSLATE($A3017,""en"",""de"")"),"Ailuk")</f>
        <v>Ailuk</v>
      </c>
      <c r="D3017" s="9" t="str">
        <f>IFERROR(__xludf.DUMMYFUNCTION("GOOGLETRANSLATE($A3017,""en"",""fr"")"),"Ailuk")</f>
        <v>Ailuk</v>
      </c>
      <c r="E3017" s="9" t="str">
        <f>IFERROR(__xludf.DUMMYFUNCTION("GOOGLETRANSLATE($A3017,""en"",""es"")"),"ailuk")</f>
        <v>ailuk</v>
      </c>
      <c r="F3017" s="9" t="str">
        <f>IFERROR(__xludf.DUMMYFUNCTION("GOOGLETRANSLATE($A3017,""en"",""it"")"),"Ailuk")</f>
        <v>Ailuk</v>
      </c>
      <c r="G3017" s="9" t="str">
        <f>IFERROR(__xludf.DUMMYFUNCTION("GOOGLETRANSLATE($A3017,""en"",""zh-cn"")"),"艾鲁克")</f>
        <v>艾鲁克</v>
      </c>
      <c r="H3017" s="9" t="str">
        <f>IFERROR(__xludf.DUMMYFUNCTION("GOOGLETRANSLATE($A3017,""en"",""ja"")"),"アイルク")</f>
        <v>アイルク</v>
      </c>
      <c r="I3017" s="9" t="str">
        <f>IFERROR(__xludf.DUMMYFUNCTION("GOOGLETRANSLATE($A3017,""en"",""ko"")"),"아이루크")</f>
        <v>아이루크</v>
      </c>
      <c r="J3017" s="9" t="str">
        <f>IFERROR(__xludf.DUMMYFUNCTION("GOOGLETRANSLATE($A3017,""en"",""pt-BR"")"),"Ailuk")</f>
        <v>Ailuk</v>
      </c>
    </row>
    <row r="3018">
      <c r="A3018" s="9" t="str">
        <f>IFERROR(__xludf.DUMMYFUNCTION("""COMPUTED_VALUE"""),"Ujae")</f>
        <v>Ujae</v>
      </c>
      <c r="B3018" s="9" t="str">
        <f>IFERROR(__xludf.DUMMYFUNCTION("""COMPUTED_VALUE"""),"mh-uja")</f>
        <v>mh-uja</v>
      </c>
      <c r="C3018" s="9" t="str">
        <f>IFERROR(__xludf.DUMMYFUNCTION("GOOGLETRANSLATE($A3018,""en"",""de"")"),"Ujae")</f>
        <v>Ujae</v>
      </c>
      <c r="D3018" s="9" t="str">
        <f>IFERROR(__xludf.DUMMYFUNCTION("GOOGLETRANSLATE($A3018,""en"",""fr"")"),"Ujae")</f>
        <v>Ujae</v>
      </c>
      <c r="E3018" s="9" t="str">
        <f>IFERROR(__xludf.DUMMYFUNCTION("GOOGLETRANSLATE($A3018,""en"",""es"")"),"Ujae")</f>
        <v>Ujae</v>
      </c>
      <c r="F3018" s="9" t="str">
        <f>IFERROR(__xludf.DUMMYFUNCTION("GOOGLETRANSLATE($A3018,""en"",""it"")"),"Ujae")</f>
        <v>Ujae</v>
      </c>
      <c r="G3018" s="9" t="str">
        <f>IFERROR(__xludf.DUMMYFUNCTION("GOOGLETRANSLATE($A3018,""en"",""zh-cn"")"),"乌贾埃")</f>
        <v>乌贾埃</v>
      </c>
      <c r="H3018" s="9" t="str">
        <f>IFERROR(__xludf.DUMMYFUNCTION("GOOGLETRANSLATE($A3018,""en"",""ja"")"),"ウジェ")</f>
        <v>ウジェ</v>
      </c>
      <c r="I3018" s="9" t="str">
        <f>IFERROR(__xludf.DUMMYFUNCTION("GOOGLETRANSLATE($A3018,""en"",""ko"")"),"우재")</f>
        <v>우재</v>
      </c>
      <c r="J3018" s="9" t="str">
        <f>IFERROR(__xludf.DUMMYFUNCTION("GOOGLETRANSLATE($A3018,""en"",""pt-BR"")"),"Ujae")</f>
        <v>Ujae</v>
      </c>
    </row>
    <row r="3019">
      <c r="A3019" s="9" t="str">
        <f>IFERROR(__xludf.DUMMYFUNCTION("""COMPUTED_VALUE"""),"Jabat")</f>
        <v>Jabat</v>
      </c>
      <c r="B3019" s="9" t="str">
        <f>IFERROR(__xludf.DUMMYFUNCTION("""COMPUTED_VALUE"""),"mh-jab")</f>
        <v>mh-jab</v>
      </c>
      <c r="C3019" s="9" t="str">
        <f>IFERROR(__xludf.DUMMYFUNCTION("GOOGLETRANSLATE($A3019,""en"",""de"")"),"Jabat")</f>
        <v>Jabat</v>
      </c>
      <c r="D3019" s="9" t="str">
        <f>IFERROR(__xludf.DUMMYFUNCTION("GOOGLETRANSLATE($A3019,""en"",""fr"")"),"Jabat")</f>
        <v>Jabat</v>
      </c>
      <c r="E3019" s="9" t="str">
        <f>IFERROR(__xludf.DUMMYFUNCTION("GOOGLETRANSLATE($A3019,""en"",""es"")"),"jabat")</f>
        <v>jabat</v>
      </c>
      <c r="F3019" s="9" t="str">
        <f>IFERROR(__xludf.DUMMYFUNCTION("GOOGLETRANSLATE($A3019,""en"",""it"")"),"Jabat")</f>
        <v>Jabat</v>
      </c>
      <c r="G3019" s="9" t="str">
        <f>IFERROR(__xludf.DUMMYFUNCTION("GOOGLETRANSLATE($A3019,""en"",""zh-cn"")"),"贾巴特")</f>
        <v>贾巴特</v>
      </c>
      <c r="H3019" s="9" t="str">
        <f>IFERROR(__xludf.DUMMYFUNCTION("GOOGLETRANSLATE($A3019,""en"",""ja"")"),"ジャバット")</f>
        <v>ジャバット</v>
      </c>
      <c r="I3019" s="9" t="str">
        <f>IFERROR(__xludf.DUMMYFUNCTION("GOOGLETRANSLATE($A3019,""en"",""ko"")"),"자바트")</f>
        <v>자바트</v>
      </c>
      <c r="J3019" s="9" t="str">
        <f>IFERROR(__xludf.DUMMYFUNCTION("GOOGLETRANSLATE($A3019,""en"",""pt-BR"")"),"Jabat")</f>
        <v>Jabat</v>
      </c>
    </row>
    <row r="3020">
      <c r="A3020" s="9" t="str">
        <f>IFERROR(__xludf.DUMMYFUNCTION("""COMPUTED_VALUE"""),"Maloelap")</f>
        <v>Maloelap</v>
      </c>
      <c r="B3020" s="9" t="str">
        <f>IFERROR(__xludf.DUMMYFUNCTION("""COMPUTED_VALUE"""),"mh-mal")</f>
        <v>mh-mal</v>
      </c>
      <c r="C3020" s="9" t="str">
        <f>IFERROR(__xludf.DUMMYFUNCTION("GOOGLETRANSLATE($A3020,""en"",""de"")"),"Maloelap")</f>
        <v>Maloelap</v>
      </c>
      <c r="D3020" s="9" t="str">
        <f>IFERROR(__xludf.DUMMYFUNCTION("GOOGLETRANSLATE($A3020,""en"",""fr"")"),"Malolap")</f>
        <v>Malolap</v>
      </c>
      <c r="E3020" s="9" t="str">
        <f>IFERROR(__xludf.DUMMYFUNCTION("GOOGLETRANSLATE($A3020,""en"",""es"")"),"maloelap")</f>
        <v>maloelap</v>
      </c>
      <c r="F3020" s="9" t="str">
        <f>IFERROR(__xludf.DUMMYFUNCTION("GOOGLETRANSLATE($A3020,""en"",""it"")"),"Maloelap")</f>
        <v>Maloelap</v>
      </c>
      <c r="G3020" s="9" t="str">
        <f>IFERROR(__xludf.DUMMYFUNCTION("GOOGLETRANSLATE($A3020,""en"",""zh-cn"")"),"马洛拉普")</f>
        <v>马洛拉普</v>
      </c>
      <c r="H3020" s="9" t="str">
        <f>IFERROR(__xludf.DUMMYFUNCTION("GOOGLETRANSLATE($A3020,""en"",""ja"")"),"マロエラップ")</f>
        <v>マロエラップ</v>
      </c>
      <c r="I3020" s="9" t="str">
        <f>IFERROR(__xludf.DUMMYFUNCTION("GOOGLETRANSLATE($A3020,""en"",""ko"")"),"말로랩")</f>
        <v>말로랩</v>
      </c>
      <c r="J3020" s="9" t="str">
        <f>IFERROR(__xludf.DUMMYFUNCTION("GOOGLETRANSLATE($A3020,""en"",""pt-BR"")"),"Maloelap")</f>
        <v>Maloelap</v>
      </c>
    </row>
    <row r="3021">
      <c r="A3021" s="9" t="str">
        <f>IFERROR(__xludf.DUMMYFUNCTION("""COMPUTED_VALUE"""),"Lae")</f>
        <v>Lae</v>
      </c>
      <c r="B3021" s="9" t="str">
        <f>IFERROR(__xludf.DUMMYFUNCTION("""COMPUTED_VALUE"""),"mh-lae")</f>
        <v>mh-lae</v>
      </c>
      <c r="C3021" s="9" t="str">
        <f>IFERROR(__xludf.DUMMYFUNCTION("GOOGLETRANSLATE($A3021,""en"",""de"")"),"Lae")</f>
        <v>Lae</v>
      </c>
      <c r="D3021" s="9" t="str">
        <f>IFERROR(__xludf.DUMMYFUNCTION("GOOGLETRANSLATE($A3021,""en"",""fr"")"),"Lae")</f>
        <v>Lae</v>
      </c>
      <c r="E3021" s="9" t="str">
        <f>IFERROR(__xludf.DUMMYFUNCTION("GOOGLETRANSLATE($A3021,""en"",""es"")"),"lae")</f>
        <v>lae</v>
      </c>
      <c r="F3021" s="9" t="str">
        <f>IFERROR(__xludf.DUMMYFUNCTION("GOOGLETRANSLATE($A3021,""en"",""it"")"),"Lae")</f>
        <v>Lae</v>
      </c>
      <c r="G3021" s="9" t="str">
        <f>IFERROR(__xludf.DUMMYFUNCTION("GOOGLETRANSLATE($A3021,""en"",""zh-cn"")"),"莱城")</f>
        <v>莱城</v>
      </c>
      <c r="H3021" s="9" t="str">
        <f>IFERROR(__xludf.DUMMYFUNCTION("GOOGLETRANSLATE($A3021,""en"",""ja"")"),"ラエ")</f>
        <v>ラエ</v>
      </c>
      <c r="I3021" s="9" t="str">
        <f>IFERROR(__xludf.DUMMYFUNCTION("GOOGLETRANSLATE($A3021,""en"",""ko"")"),"래")</f>
        <v>래</v>
      </c>
      <c r="J3021" s="9" t="str">
        <f>IFERROR(__xludf.DUMMYFUNCTION("GOOGLETRANSLATE($A3021,""en"",""pt-BR"")"),"Lae")</f>
        <v>Lae</v>
      </c>
    </row>
    <row r="3022">
      <c r="A3022" s="9" t="str">
        <f>IFERROR(__xludf.DUMMYFUNCTION("""COMPUTED_VALUE"""),"Rongelap")</f>
        <v>Rongelap</v>
      </c>
      <c r="B3022" s="9" t="str">
        <f>IFERROR(__xludf.DUMMYFUNCTION("""COMPUTED_VALUE"""),"mh-ron")</f>
        <v>mh-ron</v>
      </c>
      <c r="C3022" s="9" t="str">
        <f>IFERROR(__xludf.DUMMYFUNCTION("GOOGLETRANSLATE($A3022,""en"",""de"")"),"Rongelap")</f>
        <v>Rongelap</v>
      </c>
      <c r="D3022" s="9" t="str">
        <f>IFERROR(__xludf.DUMMYFUNCTION("GOOGLETRANSLATE($A3022,""en"",""fr"")"),"Rongelap")</f>
        <v>Rongelap</v>
      </c>
      <c r="E3022" s="9" t="str">
        <f>IFERROR(__xludf.DUMMYFUNCTION("GOOGLETRANSLATE($A3022,""en"",""es"")"),"rongelap")</f>
        <v>rongelap</v>
      </c>
      <c r="F3022" s="9" t="str">
        <f>IFERROR(__xludf.DUMMYFUNCTION("GOOGLETRANSLATE($A3022,""en"",""it"")"),"Rongelap")</f>
        <v>Rongelap</v>
      </c>
      <c r="G3022" s="9" t="str">
        <f>IFERROR(__xludf.DUMMYFUNCTION("GOOGLETRANSLATE($A3022,""en"",""zh-cn"")"),"朗格拉普")</f>
        <v>朗格拉普</v>
      </c>
      <c r="H3022" s="9" t="str">
        <f>IFERROR(__xludf.DUMMYFUNCTION("GOOGLETRANSLATE($A3022,""en"",""ja"")"),"ロンゲラップ")</f>
        <v>ロンゲラップ</v>
      </c>
      <c r="I3022" s="9" t="str">
        <f>IFERROR(__xludf.DUMMYFUNCTION("GOOGLETRANSLATE($A3022,""en"",""ko"")"),"론겔랩")</f>
        <v>론겔랩</v>
      </c>
      <c r="J3022" s="9" t="str">
        <f>IFERROR(__xludf.DUMMYFUNCTION("GOOGLETRANSLATE($A3022,""en"",""pt-BR"")"),"Rongelap")</f>
        <v>Rongelap</v>
      </c>
    </row>
    <row r="3023">
      <c r="A3023" s="9" t="str">
        <f>IFERROR(__xludf.DUMMYFUNCTION("""COMPUTED_VALUE"""),"Jaluit")</f>
        <v>Jaluit</v>
      </c>
      <c r="B3023" s="9" t="str">
        <f>IFERROR(__xludf.DUMMYFUNCTION("""COMPUTED_VALUE"""),"mh-jal")</f>
        <v>mh-jal</v>
      </c>
      <c r="C3023" s="9" t="str">
        <f>IFERROR(__xludf.DUMMYFUNCTION("GOOGLETRANSLATE($A3023,""en"",""de"")"),"Jaluit")</f>
        <v>Jaluit</v>
      </c>
      <c r="D3023" s="9" t="str">
        <f>IFERROR(__xludf.DUMMYFUNCTION("GOOGLETRANSLATE($A3023,""en"",""fr"")"),"Jaluit")</f>
        <v>Jaluit</v>
      </c>
      <c r="E3023" s="9" t="str">
        <f>IFERROR(__xludf.DUMMYFUNCTION("GOOGLETRANSLATE($A3023,""en"",""es"")"),"Jaluit")</f>
        <v>Jaluit</v>
      </c>
      <c r="F3023" s="9" t="str">
        <f>IFERROR(__xludf.DUMMYFUNCTION("GOOGLETRANSLATE($A3023,""en"",""it"")"),"Jaluit")</f>
        <v>Jaluit</v>
      </c>
      <c r="G3023" s="9" t="str">
        <f>IFERROR(__xludf.DUMMYFUNCTION("GOOGLETRANSLATE($A3023,""en"",""zh-cn"")"),"贾卢伊特")</f>
        <v>贾卢伊特</v>
      </c>
      <c r="H3023" s="9" t="str">
        <f>IFERROR(__xludf.DUMMYFUNCTION("GOOGLETRANSLATE($A3023,""en"",""ja"")"),"ジャルイット")</f>
        <v>ジャルイット</v>
      </c>
      <c r="I3023" s="9" t="str">
        <f>IFERROR(__xludf.DUMMYFUNCTION("GOOGLETRANSLATE($A3023,""en"",""ko"")"),"잘루이트")</f>
        <v>잘루이트</v>
      </c>
      <c r="J3023" s="9" t="str">
        <f>IFERROR(__xludf.DUMMYFUNCTION("GOOGLETRANSLATE($A3023,""en"",""pt-BR"")"),"Jaluit")</f>
        <v>Jaluit</v>
      </c>
    </row>
    <row r="3024">
      <c r="A3024" s="9" t="str">
        <f>IFERROR(__xludf.DUMMYFUNCTION("""COMPUTED_VALUE"""),"Mili")</f>
        <v>Mili</v>
      </c>
      <c r="B3024" s="9" t="str">
        <f>IFERROR(__xludf.DUMMYFUNCTION("""COMPUTED_VALUE"""),"mh-mil")</f>
        <v>mh-mil</v>
      </c>
      <c r="C3024" s="9" t="str">
        <f>IFERROR(__xludf.DUMMYFUNCTION("GOOGLETRANSLATE($A3024,""en"",""de"")"),"Mili")</f>
        <v>Mili</v>
      </c>
      <c r="D3024" s="9" t="str">
        <f>IFERROR(__xludf.DUMMYFUNCTION("GOOGLETRANSLATE($A3024,""en"",""fr"")"),"Mili")</f>
        <v>Mili</v>
      </c>
      <c r="E3024" s="9" t="str">
        <f>IFERROR(__xludf.DUMMYFUNCTION("GOOGLETRANSLATE($A3024,""en"",""es"")"),"mili")</f>
        <v>mili</v>
      </c>
      <c r="F3024" s="9" t="str">
        <f>IFERROR(__xludf.DUMMYFUNCTION("GOOGLETRANSLATE($A3024,""en"",""it"")"),"Milli")</f>
        <v>Milli</v>
      </c>
      <c r="G3024" s="9" t="str">
        <f>IFERROR(__xludf.DUMMYFUNCTION("GOOGLETRANSLATE($A3024,""en"",""zh-cn"")"),"米利")</f>
        <v>米利</v>
      </c>
      <c r="H3024" s="9" t="str">
        <f>IFERROR(__xludf.DUMMYFUNCTION("GOOGLETRANSLATE($A3024,""en"",""ja"")"),"ミリ")</f>
        <v>ミリ</v>
      </c>
      <c r="I3024" s="9" t="str">
        <f>IFERROR(__xludf.DUMMYFUNCTION("GOOGLETRANSLATE($A3024,""en"",""ko"")"),"밀리")</f>
        <v>밀리</v>
      </c>
      <c r="J3024" s="9" t="str">
        <f>IFERROR(__xludf.DUMMYFUNCTION("GOOGLETRANSLATE($A3024,""en"",""pt-BR"")"),"Mili")</f>
        <v>Mili</v>
      </c>
    </row>
    <row r="3025">
      <c r="A3025" s="9" t="str">
        <f>IFERROR(__xludf.DUMMYFUNCTION("""COMPUTED_VALUE"""),"Arno")</f>
        <v>Arno</v>
      </c>
      <c r="B3025" s="9" t="str">
        <f>IFERROR(__xludf.DUMMYFUNCTION("""COMPUTED_VALUE"""),"mh-arn")</f>
        <v>mh-arn</v>
      </c>
      <c r="C3025" s="9" t="str">
        <f>IFERROR(__xludf.DUMMYFUNCTION("GOOGLETRANSLATE($A3025,""en"",""de"")"),"Arno")</f>
        <v>Arno</v>
      </c>
      <c r="D3025" s="9" t="str">
        <f>IFERROR(__xludf.DUMMYFUNCTION("GOOGLETRANSLATE($A3025,""en"",""fr"")"),"Arnon")</f>
        <v>Arnon</v>
      </c>
      <c r="E3025" s="9" t="str">
        <f>IFERROR(__xludf.DUMMYFUNCTION("GOOGLETRANSLATE($A3025,""en"",""es"")"),"arno")</f>
        <v>arno</v>
      </c>
      <c r="F3025" s="9" t="str">
        <f>IFERROR(__xludf.DUMMYFUNCTION("GOOGLETRANSLATE($A3025,""en"",""it"")"),"Arno")</f>
        <v>Arno</v>
      </c>
      <c r="G3025" s="9" t="str">
        <f>IFERROR(__xludf.DUMMYFUNCTION("GOOGLETRANSLATE($A3025,""en"",""zh-cn"")"),"阿诺")</f>
        <v>阿诺</v>
      </c>
      <c r="H3025" s="9" t="str">
        <f>IFERROR(__xludf.DUMMYFUNCTION("GOOGLETRANSLATE($A3025,""en"",""ja"")"),"アルノ")</f>
        <v>アルノ</v>
      </c>
      <c r="I3025" s="9" t="str">
        <f>IFERROR(__xludf.DUMMYFUNCTION("GOOGLETRANSLATE($A3025,""en"",""ko"")"),"아르노")</f>
        <v>아르노</v>
      </c>
      <c r="J3025" s="9" t="str">
        <f>IFERROR(__xludf.DUMMYFUNCTION("GOOGLETRANSLATE($A3025,""en"",""pt-BR"")"),"Arno")</f>
        <v>Arno</v>
      </c>
    </row>
    <row r="3026">
      <c r="A3026" s="9" t="str">
        <f>IFERROR(__xludf.DUMMYFUNCTION("""COMPUTED_VALUE"""),"Enewetak")</f>
        <v>Enewetak</v>
      </c>
      <c r="B3026" s="9" t="str">
        <f>IFERROR(__xludf.DUMMYFUNCTION("""COMPUTED_VALUE"""),"mh-eni")</f>
        <v>mh-eni</v>
      </c>
      <c r="C3026" s="9" t="str">
        <f>IFERROR(__xludf.DUMMYFUNCTION("GOOGLETRANSLATE($A3026,""en"",""de"")"),"Enewetak")</f>
        <v>Enewetak</v>
      </c>
      <c r="D3026" s="9" t="str">
        <f>IFERROR(__xludf.DUMMYFUNCTION("GOOGLETRANSLATE($A3026,""en"",""fr"")"),"Enewetak")</f>
        <v>Enewetak</v>
      </c>
      <c r="E3026" s="9" t="str">
        <f>IFERROR(__xludf.DUMMYFUNCTION("GOOGLETRANSLATE($A3026,""en"",""es"")"),"Enewetak")</f>
        <v>Enewetak</v>
      </c>
      <c r="F3026" s="9" t="str">
        <f>IFERROR(__xludf.DUMMYFUNCTION("GOOGLETRANSLATE($A3026,""en"",""it"")"),"Enewetak")</f>
        <v>Enewetak</v>
      </c>
      <c r="G3026" s="9" t="str">
        <f>IFERROR(__xludf.DUMMYFUNCTION("GOOGLETRANSLATE($A3026,""en"",""zh-cn"")"),"埃尼韦塔克")</f>
        <v>埃尼韦塔克</v>
      </c>
      <c r="H3026" s="9" t="str">
        <f>IFERROR(__xludf.DUMMYFUNCTION("GOOGLETRANSLATE($A3026,""en"",""ja"")"),"エニウェタク")</f>
        <v>エニウェタク</v>
      </c>
      <c r="I3026" s="9" t="str">
        <f>IFERROR(__xludf.DUMMYFUNCTION("GOOGLETRANSLATE($A3026,""en"",""ko"")"),"에네웨탁")</f>
        <v>에네웨탁</v>
      </c>
      <c r="J3026" s="9" t="str">
        <f>IFERROR(__xludf.DUMMYFUNCTION("GOOGLETRANSLATE($A3026,""en"",""pt-BR"")"),"Enewetak")</f>
        <v>Enewetak</v>
      </c>
    </row>
    <row r="3027">
      <c r="A3027" s="9" t="str">
        <f>IFERROR(__xludf.DUMMYFUNCTION("""COMPUTED_VALUE"""),"Namu")</f>
        <v>Namu</v>
      </c>
      <c r="B3027" s="9" t="str">
        <f>IFERROR(__xludf.DUMMYFUNCTION("""COMPUTED_VALUE"""),"mh-nmu")</f>
        <v>mh-nmu</v>
      </c>
      <c r="C3027" s="9" t="str">
        <f>IFERROR(__xludf.DUMMYFUNCTION("GOOGLETRANSLATE($A3027,""en"",""de"")"),"Namu")</f>
        <v>Namu</v>
      </c>
      <c r="D3027" s="9" t="str">
        <f>IFERROR(__xludf.DUMMYFUNCTION("GOOGLETRANSLATE($A3027,""en"",""fr"")"),"Namu")</f>
        <v>Namu</v>
      </c>
      <c r="E3027" s="9" t="str">
        <f>IFERROR(__xludf.DUMMYFUNCTION("GOOGLETRANSLATE($A3027,""en"",""es"")"),"Namu")</f>
        <v>Namu</v>
      </c>
      <c r="F3027" s="9" t="str">
        <f>IFERROR(__xludf.DUMMYFUNCTION("GOOGLETRANSLATE($A3027,""en"",""it"")"),"Namu")</f>
        <v>Namu</v>
      </c>
      <c r="G3027" s="9" t="str">
        <f>IFERROR(__xludf.DUMMYFUNCTION("GOOGLETRANSLATE($A3027,""en"",""zh-cn"")"),"纳姆")</f>
        <v>纳姆</v>
      </c>
      <c r="H3027" s="9" t="str">
        <f>IFERROR(__xludf.DUMMYFUNCTION("GOOGLETRANSLATE($A3027,""en"",""ja"")"),"南無")</f>
        <v>南無</v>
      </c>
      <c r="I3027" s="9" t="str">
        <f>IFERROR(__xludf.DUMMYFUNCTION("GOOGLETRANSLATE($A3027,""en"",""ko"")"),"나무")</f>
        <v>나무</v>
      </c>
      <c r="J3027" s="9" t="str">
        <f>IFERROR(__xludf.DUMMYFUNCTION("GOOGLETRANSLATE($A3027,""en"",""pt-BR"")"),"Namu")</f>
        <v>Namu</v>
      </c>
    </row>
    <row r="3028">
      <c r="A3028" s="9" t="str">
        <f>IFERROR(__xludf.DUMMYFUNCTION("""COMPUTED_VALUE"""),"Wotho")</f>
        <v>Wotho</v>
      </c>
      <c r="B3028" s="9" t="str">
        <f>IFERROR(__xludf.DUMMYFUNCTION("""COMPUTED_VALUE"""),"mh-wth")</f>
        <v>mh-wth</v>
      </c>
      <c r="C3028" s="9" t="str">
        <f>IFERROR(__xludf.DUMMYFUNCTION("GOOGLETRANSLATE($A3028,""en"",""de"")"),"Wotho")</f>
        <v>Wotho</v>
      </c>
      <c r="D3028" s="9" t="str">
        <f>IFERROR(__xludf.DUMMYFUNCTION("GOOGLETRANSLATE($A3028,""en"",""fr"")"),"Wotho")</f>
        <v>Wotho</v>
      </c>
      <c r="E3028" s="9" t="str">
        <f>IFERROR(__xludf.DUMMYFUNCTION("GOOGLETRANSLATE($A3028,""en"",""es"")"),"Wotho")</f>
        <v>Wotho</v>
      </c>
      <c r="F3028" s="9" t="str">
        <f>IFERROR(__xludf.DUMMYFUNCTION("GOOGLETRANSLATE($A3028,""en"",""it"")"),"Va bene")</f>
        <v>Va bene</v>
      </c>
      <c r="G3028" s="9" t="str">
        <f>IFERROR(__xludf.DUMMYFUNCTION("GOOGLETRANSLATE($A3028,""en"",""zh-cn"")"),"沃托")</f>
        <v>沃托</v>
      </c>
      <c r="H3028" s="9" t="str">
        <f>IFERROR(__xludf.DUMMYFUNCTION("GOOGLETRANSLATE($A3028,""en"",""ja"")"),"ウーソ")</f>
        <v>ウーソ</v>
      </c>
      <c r="I3028" s="9" t="str">
        <f>IFERROR(__xludf.DUMMYFUNCTION("GOOGLETRANSLATE($A3028,""en"",""ko"")"),"워토")</f>
        <v>워토</v>
      </c>
      <c r="J3028" s="9" t="str">
        <f>IFERROR(__xludf.DUMMYFUNCTION("GOOGLETRANSLATE($A3028,""en"",""pt-BR"")"),"Uau")</f>
        <v>Uau</v>
      </c>
    </row>
    <row r="3029">
      <c r="A3029" s="9" t="str">
        <f>IFERROR(__xludf.DUMMYFUNCTION("""COMPUTED_VALUE"""),"Ailinglaplap")</f>
        <v>Ailinglaplap</v>
      </c>
      <c r="B3029" s="9" t="str">
        <f>IFERROR(__xludf.DUMMYFUNCTION("""COMPUTED_VALUE"""),"mh-all")</f>
        <v>mh-all</v>
      </c>
      <c r="C3029" s="9" t="str">
        <f>IFERROR(__xludf.DUMMYFUNCTION("GOOGLETRANSLATE($A3029,""en"",""de"")"),"Kränklicher Laplap")</f>
        <v>Kränklicher Laplap</v>
      </c>
      <c r="D3029" s="9" t="str">
        <f>IFERROR(__xludf.DUMMYFUNCTION("GOOGLETRANSLATE($A3029,""en"",""fr"")"),"Maladelaplap")</f>
        <v>Maladelaplap</v>
      </c>
      <c r="E3029" s="9" t="str">
        <f>IFERROR(__xludf.DUMMYFUNCTION("GOOGLETRANSLATE($A3029,""en"",""es"")"),"Ailinglaplap")</f>
        <v>Ailinglaplap</v>
      </c>
      <c r="F3029" s="9" t="str">
        <f>IFERROR(__xludf.DUMMYFUNCTION("GOOGLETRANSLATE($A3029,""en"",""it"")"),"Malatolaplap")</f>
        <v>Malatolaplap</v>
      </c>
      <c r="G3029" s="9" t="str">
        <f>IFERROR(__xludf.DUMMYFUNCTION("GOOGLETRANSLATE($A3029,""en"",""zh-cn"")"),"艾琳拉拉拉")</f>
        <v>艾琳拉拉拉</v>
      </c>
      <c r="H3029" s="9" t="str">
        <f>IFERROR(__xludf.DUMMYFUNCTION("GOOGLETRANSLATE($A3029,""en"",""ja"")"),"アイリングラップ")</f>
        <v>アイリングラップ</v>
      </c>
      <c r="I3029" s="9" t="str">
        <f>IFERROR(__xludf.DUMMYFUNCTION("GOOGLETRANSLATE($A3029,""en"",""ko"")"),"애일링랩랩")</f>
        <v>애일링랩랩</v>
      </c>
      <c r="J3029" s="9" t="str">
        <f>IFERROR(__xludf.DUMMYFUNCTION("GOOGLETRANSLATE($A3029,""en"",""pt-BR"")"),"Ailinglaplap")</f>
        <v>Ailinglaplap</v>
      </c>
    </row>
    <row r="3030">
      <c r="A3030" s="9" t="str">
        <f>IFERROR(__xludf.DUMMYFUNCTION("""COMPUTED_VALUE"""),"Wotje")</f>
        <v>Wotje</v>
      </c>
      <c r="B3030" s="9" t="str">
        <f>IFERROR(__xludf.DUMMYFUNCTION("""COMPUTED_VALUE"""),"mh-wtj")</f>
        <v>mh-wtj</v>
      </c>
      <c r="C3030" s="9" t="str">
        <f>IFERROR(__xludf.DUMMYFUNCTION("GOOGLETRANSLATE($A3030,""en"",""de"")"),"Wotje")</f>
        <v>Wotje</v>
      </c>
      <c r="D3030" s="9" t="str">
        <f>IFERROR(__xludf.DUMMYFUNCTION("GOOGLETRANSLATE($A3030,""en"",""fr"")"),"Wotje")</f>
        <v>Wotje</v>
      </c>
      <c r="E3030" s="9" t="str">
        <f>IFERROR(__xludf.DUMMYFUNCTION("GOOGLETRANSLATE($A3030,""en"",""es"")"),"Wotje")</f>
        <v>Wotje</v>
      </c>
      <c r="F3030" s="9" t="str">
        <f>IFERROR(__xludf.DUMMYFUNCTION("GOOGLETRANSLATE($A3030,""en"",""it"")"),"Wotje")</f>
        <v>Wotje</v>
      </c>
      <c r="G3030" s="9" t="str">
        <f>IFERROR(__xludf.DUMMYFUNCTION("GOOGLETRANSLATE($A3030,""en"",""zh-cn"")"),"沃杰")</f>
        <v>沃杰</v>
      </c>
      <c r="H3030" s="9" t="str">
        <f>IFERROR(__xludf.DUMMYFUNCTION("GOOGLETRANSLATE($A3030,""en"",""ja"")"),"ウォッチェ")</f>
        <v>ウォッチェ</v>
      </c>
      <c r="I3030" s="9" t="str">
        <f>IFERROR(__xludf.DUMMYFUNCTION("GOOGLETRANSLATE($A3030,""en"",""ko"")"),"워체")</f>
        <v>워체</v>
      </c>
      <c r="J3030" s="9" t="str">
        <f>IFERROR(__xludf.DUMMYFUNCTION("GOOGLETRANSLATE($A3030,""en"",""pt-BR"")"),"Wotje")</f>
        <v>Wotje</v>
      </c>
    </row>
    <row r="3031">
      <c r="A3031" s="9" t="str">
        <f>IFERROR(__xludf.DUMMYFUNCTION("""COMPUTED_VALUE"""),"Namdrik")</f>
        <v>Namdrik</v>
      </c>
      <c r="B3031" s="9" t="str">
        <f>IFERROR(__xludf.DUMMYFUNCTION("""COMPUTED_VALUE"""),"mh-nmk")</f>
        <v>mh-nmk</v>
      </c>
      <c r="C3031" s="9" t="str">
        <f>IFERROR(__xludf.DUMMYFUNCTION("GOOGLETRANSLATE($A3031,""en"",""de"")"),"Namdrik")</f>
        <v>Namdrik</v>
      </c>
      <c r="D3031" s="9" t="str">
        <f>IFERROR(__xludf.DUMMYFUNCTION("GOOGLETRANSLATE($A3031,""en"",""fr"")"),"Namdrik")</f>
        <v>Namdrik</v>
      </c>
      <c r="E3031" s="9" t="str">
        <f>IFERROR(__xludf.DUMMYFUNCTION("GOOGLETRANSLATE($A3031,""en"",""es"")"),"Namdrik")</f>
        <v>Namdrik</v>
      </c>
      <c r="F3031" s="9" t="str">
        <f>IFERROR(__xludf.DUMMYFUNCTION("GOOGLETRANSLATE($A3031,""en"",""it"")"),"Namdrik")</f>
        <v>Namdrik</v>
      </c>
      <c r="G3031" s="9" t="str">
        <f>IFERROR(__xludf.DUMMYFUNCTION("GOOGLETRANSLATE($A3031,""en"",""zh-cn"")"),"纳姆德里克")</f>
        <v>纳姆德里克</v>
      </c>
      <c r="H3031" s="9" t="str">
        <f>IFERROR(__xludf.DUMMYFUNCTION("GOOGLETRANSLATE($A3031,""en"",""ja"")"),"ナムドリク")</f>
        <v>ナムドリク</v>
      </c>
      <c r="I3031" s="9" t="str">
        <f>IFERROR(__xludf.DUMMYFUNCTION("GOOGLETRANSLATE($A3031,""en"",""ko"")"),"남드릭")</f>
        <v>남드릭</v>
      </c>
      <c r="J3031" s="9" t="str">
        <f>IFERROR(__xludf.DUMMYFUNCTION("GOOGLETRANSLATE($A3031,""en"",""pt-BR"")"),"Namdrik")</f>
        <v>Namdrik</v>
      </c>
    </row>
    <row r="3032">
      <c r="A3032" s="9" t="str">
        <f>IFERROR(__xludf.DUMMYFUNCTION("""COMPUTED_VALUE"""),"Kili")</f>
        <v>Kili</v>
      </c>
      <c r="B3032" s="9" t="str">
        <f>IFERROR(__xludf.DUMMYFUNCTION("""COMPUTED_VALUE"""),"mh-kil")</f>
        <v>mh-kil</v>
      </c>
      <c r="C3032" s="9" t="str">
        <f>IFERROR(__xludf.DUMMYFUNCTION("GOOGLETRANSLATE($A3032,""en"",""de"")"),"Kili")</f>
        <v>Kili</v>
      </c>
      <c r="D3032" s="9" t="str">
        <f>IFERROR(__xludf.DUMMYFUNCTION("GOOGLETRANSLATE($A3032,""en"",""fr"")"),"Kili")</f>
        <v>Kili</v>
      </c>
      <c r="E3032" s="9" t="str">
        <f>IFERROR(__xludf.DUMMYFUNCTION("GOOGLETRANSLATE($A3032,""en"",""es"")"),"Kili")</f>
        <v>Kili</v>
      </c>
      <c r="F3032" s="9" t="str">
        <f>IFERROR(__xludf.DUMMYFUNCTION("GOOGLETRANSLATE($A3032,""en"",""it"")"),"Kili")</f>
        <v>Kili</v>
      </c>
      <c r="G3032" s="9" t="str">
        <f>IFERROR(__xludf.DUMMYFUNCTION("GOOGLETRANSLATE($A3032,""en"",""zh-cn"")"),"吉利")</f>
        <v>吉利</v>
      </c>
      <c r="H3032" s="9" t="str">
        <f>IFERROR(__xludf.DUMMYFUNCTION("GOOGLETRANSLATE($A3032,""en"",""ja"")"),"キリ")</f>
        <v>キリ</v>
      </c>
      <c r="I3032" s="9" t="str">
        <f>IFERROR(__xludf.DUMMYFUNCTION("GOOGLETRANSLATE($A3032,""en"",""ko"")"),"킬리")</f>
        <v>킬리</v>
      </c>
      <c r="J3032" s="9" t="str">
        <f>IFERROR(__xludf.DUMMYFUNCTION("GOOGLETRANSLATE($A3032,""en"",""pt-BR"")"),"Kili")</f>
        <v>Kili</v>
      </c>
    </row>
    <row r="3033">
      <c r="A3033" s="9" t="str">
        <f>IFERROR(__xludf.DUMMYFUNCTION("""COMPUTED_VALUE"""),"Majuro")</f>
        <v>Majuro</v>
      </c>
      <c r="B3033" s="9" t="str">
        <f>IFERROR(__xludf.DUMMYFUNCTION("""COMPUTED_VALUE"""),"mh-maj")</f>
        <v>mh-maj</v>
      </c>
      <c r="C3033" s="9" t="str">
        <f>IFERROR(__xludf.DUMMYFUNCTION("GOOGLETRANSLATE($A3033,""en"",""de"")"),"Majuro")</f>
        <v>Majuro</v>
      </c>
      <c r="D3033" s="9" t="str">
        <f>IFERROR(__xludf.DUMMYFUNCTION("GOOGLETRANSLATE($A3033,""en"",""fr"")"),"Majuro")</f>
        <v>Majuro</v>
      </c>
      <c r="E3033" s="9" t="str">
        <f>IFERROR(__xludf.DUMMYFUNCTION("GOOGLETRANSLATE($A3033,""en"",""es"")"),"Majuro")</f>
        <v>Majuro</v>
      </c>
      <c r="F3033" s="9" t="str">
        <f>IFERROR(__xludf.DUMMYFUNCTION("GOOGLETRANSLATE($A3033,""en"",""it"")"),"Majuro")</f>
        <v>Majuro</v>
      </c>
      <c r="G3033" s="9" t="str">
        <f>IFERROR(__xludf.DUMMYFUNCTION("GOOGLETRANSLATE($A3033,""en"",""zh-cn"")"),"马朱罗")</f>
        <v>马朱罗</v>
      </c>
      <c r="H3033" s="9" t="str">
        <f>IFERROR(__xludf.DUMMYFUNCTION("GOOGLETRANSLATE($A3033,""en"",""ja"")"),"マジュロ")</f>
        <v>マジュロ</v>
      </c>
      <c r="I3033" s="9" t="str">
        <f>IFERROR(__xludf.DUMMYFUNCTION("GOOGLETRANSLATE($A3033,""en"",""ko"")"),"마주로")</f>
        <v>마주로</v>
      </c>
      <c r="J3033" s="9" t="str">
        <f>IFERROR(__xludf.DUMMYFUNCTION("GOOGLETRANSLATE($A3033,""en"",""pt-BR"")"),"Majuro")</f>
        <v>Majuro</v>
      </c>
    </row>
    <row r="3034">
      <c r="A3034" s="9" t="str">
        <f>IFERROR(__xludf.DUMMYFUNCTION("""COMPUTED_VALUE"""),"Likiep")</f>
        <v>Likiep</v>
      </c>
      <c r="B3034" s="9" t="str">
        <f>IFERROR(__xludf.DUMMYFUNCTION("""COMPUTED_VALUE"""),"mh-lik")</f>
        <v>mh-lik</v>
      </c>
      <c r="C3034" s="9" t="str">
        <f>IFERROR(__xludf.DUMMYFUNCTION("GOOGLETRANSLATE($A3034,""en"",""de"")"),"Likiep")</f>
        <v>Likiep</v>
      </c>
      <c r="D3034" s="9" t="str">
        <f>IFERROR(__xludf.DUMMYFUNCTION("GOOGLETRANSLATE($A3034,""en"",""fr"")"),"Aimer")</f>
        <v>Aimer</v>
      </c>
      <c r="E3034" s="9" t="str">
        <f>IFERROR(__xludf.DUMMYFUNCTION("GOOGLETRANSLATE($A3034,""en"",""es"")"),"Likiep")</f>
        <v>Likiep</v>
      </c>
      <c r="F3034" s="9" t="str">
        <f>IFERROR(__xludf.DUMMYFUNCTION("GOOGLETRANSLATE($A3034,""en"",""it"")"),"Likiep")</f>
        <v>Likiep</v>
      </c>
      <c r="G3034" s="9" t="str">
        <f>IFERROR(__xludf.DUMMYFUNCTION("GOOGLETRANSLATE($A3034,""en"",""zh-cn"")"),"利基普")</f>
        <v>利基普</v>
      </c>
      <c r="H3034" s="9" t="str">
        <f>IFERROR(__xludf.DUMMYFUNCTION("GOOGLETRANSLATE($A3034,""en"",""ja"")"),"リキエップ")</f>
        <v>リキエップ</v>
      </c>
      <c r="I3034" s="9" t="str">
        <f>IFERROR(__xludf.DUMMYFUNCTION("GOOGLETRANSLATE($A3034,""en"",""ko"")"),"리킵")</f>
        <v>리킵</v>
      </c>
      <c r="J3034" s="9" t="str">
        <f>IFERROR(__xludf.DUMMYFUNCTION("GOOGLETRANSLATE($A3034,""en"",""pt-BR"")"),"Likeep")</f>
        <v>Likeep</v>
      </c>
    </row>
    <row r="3035">
      <c r="A3035" s="9" t="str">
        <f>IFERROR(__xludf.DUMMYFUNCTION("""COMPUTED_VALUE"""),"Hodh el Gharbi")</f>
        <v>Hodh el Gharbi</v>
      </c>
      <c r="B3035" s="9" t="str">
        <f>IFERROR(__xludf.DUMMYFUNCTION("""COMPUTED_VALUE"""),"mr-02")</f>
        <v>mr-02</v>
      </c>
      <c r="C3035" s="9" t="str">
        <f>IFERROR(__xludf.DUMMYFUNCTION("GOOGLETRANSLATE($A3035,""en"",""de"")"),"Hodh el Gharbi")</f>
        <v>Hodh el Gharbi</v>
      </c>
      <c r="D3035" s="9" t="str">
        <f>IFERROR(__xludf.DUMMYFUNCTION("GOOGLETRANSLATE($A3035,""en"",""fr"")"),"Hodh el-Gharbi")</f>
        <v>Hodh el-Gharbi</v>
      </c>
      <c r="E3035" s="9" t="str">
        <f>IFERROR(__xludf.DUMMYFUNCTION("GOOGLETRANSLATE($A3035,""en"",""es"")"),"Hodh el-Gharbi")</f>
        <v>Hodh el-Gharbi</v>
      </c>
      <c r="F3035" s="9" t="str">
        <f>IFERROR(__xludf.DUMMYFUNCTION("GOOGLETRANSLATE($A3035,""en"",""it"")"),"Hodh el Gharbi")</f>
        <v>Hodh el Gharbi</v>
      </c>
      <c r="G3035" s="9" t="str">
        <f>IFERROR(__xludf.DUMMYFUNCTION("GOOGLETRANSLATE($A3035,""en"",""zh-cn"")"),"霍德·埃尔·加尔比")</f>
        <v>霍德·埃尔·加尔比</v>
      </c>
      <c r="H3035" s="9" t="str">
        <f>IFERROR(__xludf.DUMMYFUNCTION("GOOGLETRANSLATE($A3035,""en"",""ja"")"),"ホド エル ガルビ")</f>
        <v>ホド エル ガルビ</v>
      </c>
      <c r="I3035" s="9" t="str">
        <f>IFERROR(__xludf.DUMMYFUNCTION("GOOGLETRANSLATE($A3035,""en"",""ko"")"),"호드 엘 가르비")</f>
        <v>호드 엘 가르비</v>
      </c>
      <c r="J3035" s="9" t="str">
        <f>IFERROR(__xludf.DUMMYFUNCTION("GOOGLETRANSLATE($A3035,""en"",""pt-BR"")"),"Hod el Gharbi")</f>
        <v>Hod el Gharbi</v>
      </c>
    </row>
    <row r="3036">
      <c r="A3036" s="9" t="str">
        <f>IFERROR(__xludf.DUMMYFUNCTION("""COMPUTED_VALUE"""),"Tagant")</f>
        <v>Tagant</v>
      </c>
      <c r="B3036" s="9" t="str">
        <f>IFERROR(__xludf.DUMMYFUNCTION("""COMPUTED_VALUE"""),"mr-09")</f>
        <v>mr-09</v>
      </c>
      <c r="C3036" s="9" t="str">
        <f>IFERROR(__xludf.DUMMYFUNCTION("GOOGLETRANSLATE($A3036,""en"",""de"")"),"Tagant")</f>
        <v>Tagant</v>
      </c>
      <c r="D3036" s="9" t="str">
        <f>IFERROR(__xludf.DUMMYFUNCTION("GOOGLETRANSLATE($A3036,""en"",""fr"")"),"Tagant")</f>
        <v>Tagant</v>
      </c>
      <c r="E3036" s="9" t="str">
        <f>IFERROR(__xludf.DUMMYFUNCTION("GOOGLETRANSLATE($A3036,""en"",""es"")"),"Tagante")</f>
        <v>Tagante</v>
      </c>
      <c r="F3036" s="9" t="str">
        <f>IFERROR(__xludf.DUMMYFUNCTION("GOOGLETRANSLATE($A3036,""en"",""it"")"),"Tagante")</f>
        <v>Tagante</v>
      </c>
      <c r="G3036" s="9" t="str">
        <f>IFERROR(__xludf.DUMMYFUNCTION("GOOGLETRANSLATE($A3036,""en"",""zh-cn"")"),"塔甘特")</f>
        <v>塔甘特</v>
      </c>
      <c r="H3036" s="9" t="str">
        <f>IFERROR(__xludf.DUMMYFUNCTION("GOOGLETRANSLATE($A3036,""en"",""ja"")"),"タガント")</f>
        <v>タガント</v>
      </c>
      <c r="I3036" s="9" t="str">
        <f>IFERROR(__xludf.DUMMYFUNCTION("GOOGLETRANSLATE($A3036,""en"",""ko"")"),"타간트")</f>
        <v>타간트</v>
      </c>
      <c r="J3036" s="9" t="str">
        <f>IFERROR(__xludf.DUMMYFUNCTION("GOOGLETRANSLATE($A3036,""en"",""pt-BR"")"),"Tagant")</f>
        <v>Tagant</v>
      </c>
    </row>
    <row r="3037">
      <c r="A3037" s="9" t="str">
        <f>IFERROR(__xludf.DUMMYFUNCTION("""COMPUTED_VALUE"""),"Nouakchott")</f>
        <v>Nouakchott</v>
      </c>
      <c r="B3037" s="9" t="str">
        <f>IFERROR(__xludf.DUMMYFUNCTION("""COMPUTED_VALUE"""),"mr-nkc")</f>
        <v>mr-nkc</v>
      </c>
      <c r="C3037" s="9" t="str">
        <f>IFERROR(__xludf.DUMMYFUNCTION("GOOGLETRANSLATE($A3037,""en"",""de"")"),"Nouakchott")</f>
        <v>Nouakchott</v>
      </c>
      <c r="D3037" s="9" t="str">
        <f>IFERROR(__xludf.DUMMYFUNCTION("GOOGLETRANSLATE($A3037,""en"",""fr"")"),"Nouakchott")</f>
        <v>Nouakchott</v>
      </c>
      <c r="E3037" s="9" t="str">
        <f>IFERROR(__xludf.DUMMYFUNCTION("GOOGLETRANSLATE($A3037,""en"",""es"")"),"Nuakchot")</f>
        <v>Nuakchot</v>
      </c>
      <c r="F3037" s="9" t="str">
        <f>IFERROR(__xludf.DUMMYFUNCTION("GOOGLETRANSLATE($A3037,""en"",""it"")"),"Nouakchott")</f>
        <v>Nouakchott</v>
      </c>
      <c r="G3037" s="9" t="str">
        <f>IFERROR(__xludf.DUMMYFUNCTION("GOOGLETRANSLATE($A3037,""en"",""zh-cn"")"),"努瓦克肖特")</f>
        <v>努瓦克肖特</v>
      </c>
      <c r="H3037" s="9" t="str">
        <f>IFERROR(__xludf.DUMMYFUNCTION("GOOGLETRANSLATE($A3037,""en"",""ja"")"),"ヌアクショット")</f>
        <v>ヌアクショット</v>
      </c>
      <c r="I3037" s="9" t="str">
        <f>IFERROR(__xludf.DUMMYFUNCTION("GOOGLETRANSLATE($A3037,""en"",""ko"")"),"누악쇼트")</f>
        <v>누악쇼트</v>
      </c>
      <c r="J3037" s="9" t="str">
        <f>IFERROR(__xludf.DUMMYFUNCTION("GOOGLETRANSLATE($A3037,""en"",""pt-BR"")"),"Nouakchote")</f>
        <v>Nouakchote</v>
      </c>
    </row>
    <row r="3038">
      <c r="A3038" s="9" t="str">
        <f>IFERROR(__xludf.DUMMYFUNCTION("""COMPUTED_VALUE"""),"Brakna")</f>
        <v>Brakna</v>
      </c>
      <c r="B3038" s="9" t="str">
        <f>IFERROR(__xludf.DUMMYFUNCTION("""COMPUTED_VALUE"""),"mr-05")</f>
        <v>mr-05</v>
      </c>
      <c r="C3038" s="9" t="str">
        <f>IFERROR(__xludf.DUMMYFUNCTION("GOOGLETRANSLATE($A3038,""en"",""de"")"),"Brakna")</f>
        <v>Brakna</v>
      </c>
      <c r="D3038" s="9" t="str">
        <f>IFERROR(__xludf.DUMMYFUNCTION("GOOGLETRANSLATE($A3038,""en"",""fr"")"),"Brakna")</f>
        <v>Brakna</v>
      </c>
      <c r="E3038" s="9" t="str">
        <f>IFERROR(__xludf.DUMMYFUNCTION("GOOGLETRANSLATE($A3038,""en"",""es"")"),"Brakná")</f>
        <v>Brakná</v>
      </c>
      <c r="F3038" s="9" t="str">
        <f>IFERROR(__xludf.DUMMYFUNCTION("GOOGLETRANSLATE($A3038,""en"",""it"")"),"Brakna")</f>
        <v>Brakna</v>
      </c>
      <c r="G3038" s="9" t="str">
        <f>IFERROR(__xludf.DUMMYFUNCTION("GOOGLETRANSLATE($A3038,""en"",""zh-cn"")"),"布拉克纳")</f>
        <v>布拉克纳</v>
      </c>
      <c r="H3038" s="9" t="str">
        <f>IFERROR(__xludf.DUMMYFUNCTION("GOOGLETRANSLATE($A3038,""en"",""ja"")"),"ブラクナ")</f>
        <v>ブラクナ</v>
      </c>
      <c r="I3038" s="9" t="str">
        <f>IFERROR(__xludf.DUMMYFUNCTION("GOOGLETRANSLATE($A3038,""en"",""ko"")"),"브라크나")</f>
        <v>브라크나</v>
      </c>
      <c r="J3038" s="9" t="str">
        <f>IFERROR(__xludf.DUMMYFUNCTION("GOOGLETRANSLATE($A3038,""en"",""pt-BR"")"),"Brakna")</f>
        <v>Brakna</v>
      </c>
    </row>
    <row r="3039">
      <c r="A3039" s="9" t="str">
        <f>IFERROR(__xludf.DUMMYFUNCTION("""COMPUTED_VALUE"""),"Tiris Zemmour")</f>
        <v>Tiris Zemmour</v>
      </c>
      <c r="B3039" s="9" t="str">
        <f>IFERROR(__xludf.DUMMYFUNCTION("""COMPUTED_VALUE"""),"mr-11")</f>
        <v>mr-11</v>
      </c>
      <c r="C3039" s="9" t="str">
        <f>IFERROR(__xludf.DUMMYFUNCTION("GOOGLETRANSLATE($A3039,""en"",""de"")"),"Tiris Zemmour")</f>
        <v>Tiris Zemmour</v>
      </c>
      <c r="D3039" s="9" t="str">
        <f>IFERROR(__xludf.DUMMYFUNCTION("GOOGLETRANSLATE($A3039,""en"",""fr"")"),"Tiris Zemmour")</f>
        <v>Tiris Zemmour</v>
      </c>
      <c r="E3039" s="9" t="str">
        <f>IFERROR(__xludf.DUMMYFUNCTION("GOOGLETRANSLATE($A3039,""en"",""es"")"),"Tiris Zemmour")</f>
        <v>Tiris Zemmour</v>
      </c>
      <c r="F3039" s="9" t="str">
        <f>IFERROR(__xludf.DUMMYFUNCTION("GOOGLETRANSLATE($A3039,""en"",""it"")"),"Tiris Zemmour")</f>
        <v>Tiris Zemmour</v>
      </c>
      <c r="G3039" s="9" t="str">
        <f>IFERROR(__xludf.DUMMYFUNCTION("GOOGLETRANSLATE($A3039,""en"",""zh-cn"")"),"蒂里斯·泽穆尔")</f>
        <v>蒂里斯·泽穆尔</v>
      </c>
      <c r="H3039" s="9" t="str">
        <f>IFERROR(__xludf.DUMMYFUNCTION("GOOGLETRANSLATE($A3039,""en"",""ja"")"),"ティリス・ゼムール")</f>
        <v>ティリス・ゼムール</v>
      </c>
      <c r="I3039" s="9" t="str">
        <f>IFERROR(__xludf.DUMMYFUNCTION("GOOGLETRANSLATE($A3039,""en"",""ko"")"),"티리스 제모어")</f>
        <v>티리스 제모어</v>
      </c>
      <c r="J3039" s="9" t="str">
        <f>IFERROR(__xludf.DUMMYFUNCTION("GOOGLETRANSLATE($A3039,""en"",""pt-BR"")"),"Tiris Zemmour")</f>
        <v>Tiris Zemmour</v>
      </c>
    </row>
    <row r="3040">
      <c r="A3040" s="9" t="str">
        <f>IFERROR(__xludf.DUMMYFUNCTION("""COMPUTED_VALUE"""),"Gorgol")</f>
        <v>Gorgol</v>
      </c>
      <c r="B3040" s="9" t="str">
        <f>IFERROR(__xludf.DUMMYFUNCTION("""COMPUTED_VALUE"""),"mr-04")</f>
        <v>mr-04</v>
      </c>
      <c r="C3040" s="9" t="str">
        <f>IFERROR(__xludf.DUMMYFUNCTION("GOOGLETRANSLATE($A3040,""en"",""de"")"),"Gorgol")</f>
        <v>Gorgol</v>
      </c>
      <c r="D3040" s="9" t="str">
        <f>IFERROR(__xludf.DUMMYFUNCTION("GOOGLETRANSLATE($A3040,""en"",""fr"")"),"Gorgol")</f>
        <v>Gorgol</v>
      </c>
      <c r="E3040" s="9" t="str">
        <f>IFERROR(__xludf.DUMMYFUNCTION("GOOGLETRANSLATE($A3040,""en"",""es"")"),"Gorgol")</f>
        <v>Gorgol</v>
      </c>
      <c r="F3040" s="9" t="str">
        <f>IFERROR(__xludf.DUMMYFUNCTION("GOOGLETRANSLATE($A3040,""en"",""it"")"),"Gorgol")</f>
        <v>Gorgol</v>
      </c>
      <c r="G3040" s="9" t="str">
        <f>IFERROR(__xludf.DUMMYFUNCTION("GOOGLETRANSLATE($A3040,""en"",""zh-cn"")"),"戈尔戈尔")</f>
        <v>戈尔戈尔</v>
      </c>
      <c r="H3040" s="9" t="str">
        <f>IFERROR(__xludf.DUMMYFUNCTION("GOOGLETRANSLATE($A3040,""en"",""ja"")"),"ゴルゴル")</f>
        <v>ゴルゴル</v>
      </c>
      <c r="I3040" s="9" t="str">
        <f>IFERROR(__xludf.DUMMYFUNCTION("GOOGLETRANSLATE($A3040,""en"",""ko"")"),"고르골")</f>
        <v>고르골</v>
      </c>
      <c r="J3040" s="9" t="str">
        <f>IFERROR(__xludf.DUMMYFUNCTION("GOOGLETRANSLATE($A3040,""en"",""pt-BR"")"),"Gorgol")</f>
        <v>Gorgol</v>
      </c>
    </row>
    <row r="3041">
      <c r="A3041" s="9" t="str">
        <f>IFERROR(__xludf.DUMMYFUNCTION("""COMPUTED_VALUE"""),"Inchiri")</f>
        <v>Inchiri</v>
      </c>
      <c r="B3041" s="9" t="str">
        <f>IFERROR(__xludf.DUMMYFUNCTION("""COMPUTED_VALUE"""),"mr-12")</f>
        <v>mr-12</v>
      </c>
      <c r="C3041" s="9" t="str">
        <f>IFERROR(__xludf.DUMMYFUNCTION("GOOGLETRANSLATE($A3041,""en"",""de"")"),"Inchiri")</f>
        <v>Inchiri</v>
      </c>
      <c r="D3041" s="9" t="str">
        <f>IFERROR(__xludf.DUMMYFUNCTION("GOOGLETRANSLATE($A3041,""en"",""fr"")"),"Inchiri")</f>
        <v>Inchiri</v>
      </c>
      <c r="E3041" s="9" t="str">
        <f>IFERROR(__xludf.DUMMYFUNCTION("GOOGLETRANSLATE($A3041,""en"",""es"")"),"Inchiri")</f>
        <v>Inchiri</v>
      </c>
      <c r="F3041" s="9" t="str">
        <f>IFERROR(__xludf.DUMMYFUNCTION("GOOGLETRANSLATE($A3041,""en"",""it"")"),"Inchiri")</f>
        <v>Inchiri</v>
      </c>
      <c r="G3041" s="9" t="str">
        <f>IFERROR(__xludf.DUMMYFUNCTION("GOOGLETRANSLATE($A3041,""en"",""zh-cn"")"),"因奇里")</f>
        <v>因奇里</v>
      </c>
      <c r="H3041" s="9" t="str">
        <f>IFERROR(__xludf.DUMMYFUNCTION("GOOGLETRANSLATE($A3041,""en"",""ja"")"),"インチリ")</f>
        <v>インチリ</v>
      </c>
      <c r="I3041" s="9" t="str">
        <f>IFERROR(__xludf.DUMMYFUNCTION("GOOGLETRANSLATE($A3041,""en"",""ko"")"),"인치리")</f>
        <v>인치리</v>
      </c>
      <c r="J3041" s="9" t="str">
        <f>IFERROR(__xludf.DUMMYFUNCTION("GOOGLETRANSLATE($A3041,""en"",""pt-BR"")"),"Inchiri")</f>
        <v>Inchiri</v>
      </c>
    </row>
    <row r="3042">
      <c r="A3042" s="9" t="str">
        <f>IFERROR(__xludf.DUMMYFUNCTION("""COMPUTED_VALUE"""),"Trarza")</f>
        <v>Trarza</v>
      </c>
      <c r="B3042" s="9" t="str">
        <f>IFERROR(__xludf.DUMMYFUNCTION("""COMPUTED_VALUE"""),"mr-06")</f>
        <v>mr-06</v>
      </c>
      <c r="C3042" s="9" t="str">
        <f>IFERROR(__xludf.DUMMYFUNCTION("GOOGLETRANSLATE($A3042,""en"",""de"")"),"Trarza")</f>
        <v>Trarza</v>
      </c>
      <c r="D3042" s="9" t="str">
        <f>IFERROR(__xludf.DUMMYFUNCTION("GOOGLETRANSLATE($A3042,""en"",""fr"")"),"Trarza")</f>
        <v>Trarza</v>
      </c>
      <c r="E3042" s="9" t="str">
        <f>IFERROR(__xludf.DUMMYFUNCTION("GOOGLETRANSLATE($A3042,""en"",""es"")"),"Traza")</f>
        <v>Traza</v>
      </c>
      <c r="F3042" s="9" t="str">
        <f>IFERROR(__xludf.DUMMYFUNCTION("GOOGLETRANSLATE($A3042,""en"",""it"")"),"Trarza")</f>
        <v>Trarza</v>
      </c>
      <c r="G3042" s="9" t="str">
        <f>IFERROR(__xludf.DUMMYFUNCTION("GOOGLETRANSLATE($A3042,""en"",""zh-cn"")"),"特拉扎")</f>
        <v>特拉扎</v>
      </c>
      <c r="H3042" s="9" t="str">
        <f>IFERROR(__xludf.DUMMYFUNCTION("GOOGLETRANSLATE($A3042,""en"",""ja"")"),"トラルザ")</f>
        <v>トラルザ</v>
      </c>
      <c r="I3042" s="9" t="str">
        <f>IFERROR(__xludf.DUMMYFUNCTION("GOOGLETRANSLATE($A3042,""en"",""ko"")"),"트라자")</f>
        <v>트라자</v>
      </c>
      <c r="J3042" s="9" t="str">
        <f>IFERROR(__xludf.DUMMYFUNCTION("GOOGLETRANSLATE($A3042,""en"",""pt-BR"")"),"Trarza")</f>
        <v>Trarza</v>
      </c>
    </row>
    <row r="3043">
      <c r="A3043" s="9" t="str">
        <f>IFERROR(__xludf.DUMMYFUNCTION("""COMPUTED_VALUE"""),"Adrar (MZ)")</f>
        <v>Adrar (MZ)</v>
      </c>
      <c r="B3043" s="9" t="str">
        <f>IFERROR(__xludf.DUMMYFUNCTION("""COMPUTED_VALUE"""),"mr-07")</f>
        <v>mr-07</v>
      </c>
      <c r="C3043" s="9" t="str">
        <f>IFERROR(__xludf.DUMMYFUNCTION("GOOGLETRANSLATE($A3043,""en"",""de"")"),"Adrar (MZ)")</f>
        <v>Adrar (MZ)</v>
      </c>
      <c r="D3043" s="9" t="str">
        <f>IFERROR(__xludf.DUMMYFUNCTION("GOOGLETRANSLATE($A3043,""en"",""fr"")"),"Adrar (MZ)")</f>
        <v>Adrar (MZ)</v>
      </c>
      <c r="E3043" s="9" t="str">
        <f>IFERROR(__xludf.DUMMYFUNCTION("GOOGLETRANSLATE($A3043,""en"",""es"")"),"Adrar (MZ)")</f>
        <v>Adrar (MZ)</v>
      </c>
      <c r="F3043" s="9" t="str">
        <f>IFERROR(__xludf.DUMMYFUNCTION("GOOGLETRANSLATE($A3043,""en"",""it"")"),"Adrar (MZ)")</f>
        <v>Adrar (MZ)</v>
      </c>
      <c r="G3043" s="9" t="str">
        <f>IFERROR(__xludf.DUMMYFUNCTION("GOOGLETRANSLATE($A3043,""en"",""zh-cn"")"),"阿德拉尔 (MZ)")</f>
        <v>阿德拉尔 (MZ)</v>
      </c>
      <c r="H3043" s="9" t="str">
        <f>IFERROR(__xludf.DUMMYFUNCTION("GOOGLETRANSLATE($A3043,""en"",""ja"")"),"アドラル (MZ)")</f>
        <v>アドラル (MZ)</v>
      </c>
      <c r="I3043" s="9" t="str">
        <f>IFERROR(__xludf.DUMMYFUNCTION("GOOGLETRANSLATE($A3043,""en"",""ko"")"),"아드라르(MZ)")</f>
        <v>아드라르(MZ)</v>
      </c>
      <c r="J3043" s="9" t="str">
        <f>IFERROR(__xludf.DUMMYFUNCTION("GOOGLETRANSLATE($A3043,""en"",""pt-BR"")"),"Adrar (MZ)")</f>
        <v>Adrar (MZ)</v>
      </c>
    </row>
    <row r="3044">
      <c r="A3044" s="9" t="str">
        <f>IFERROR(__xludf.DUMMYFUNCTION("""COMPUTED_VALUE"""),"Hodh ech Chargui")</f>
        <v>Hodh ech Chargui</v>
      </c>
      <c r="B3044" s="9" t="str">
        <f>IFERROR(__xludf.DUMMYFUNCTION("""COMPUTED_VALUE"""),"mr-01")</f>
        <v>mr-01</v>
      </c>
      <c r="C3044" s="9" t="str">
        <f>IFERROR(__xludf.DUMMYFUNCTION("GOOGLETRANSLATE($A3044,""en"",""de"")"),"Hodh ech Chargui")</f>
        <v>Hodh ech Chargui</v>
      </c>
      <c r="D3044" s="9" t="str">
        <f>IFERROR(__xludf.DUMMYFUNCTION("GOOGLETRANSLATE($A3044,""en"",""fr"")"),"Hodh ech Chargui")</f>
        <v>Hodh ech Chargui</v>
      </c>
      <c r="E3044" s="9" t="str">
        <f>IFERROR(__xludf.DUMMYFUNCTION("GOOGLETRANSLATE($A3044,""en"",""es"")"),"Hodh ech Chargui")</f>
        <v>Hodh ech Chargui</v>
      </c>
      <c r="F3044" s="9" t="str">
        <f>IFERROR(__xludf.DUMMYFUNCTION("GOOGLETRANSLATE($A3044,""en"",""it"")"),"Hodh ech Chargui")</f>
        <v>Hodh ech Chargui</v>
      </c>
      <c r="G3044" s="9" t="str">
        <f>IFERROR(__xludf.DUMMYFUNCTION("GOOGLETRANSLATE($A3044,""en"",""zh-cn"")"),"霍德·查尔吉")</f>
        <v>霍德·查尔吉</v>
      </c>
      <c r="H3044" s="9" t="str">
        <f>IFERROR(__xludf.DUMMYFUNCTION("GOOGLETRANSLATE($A3044,""en"",""ja"")"),"ホド・エク・チャーグイ")</f>
        <v>ホド・エク・チャーグイ</v>
      </c>
      <c r="I3044" s="9" t="str">
        <f>IFERROR(__xludf.DUMMYFUNCTION("GOOGLETRANSLATE($A3044,""en"",""ko"")"),"호드 에크 차르기")</f>
        <v>호드 에크 차르기</v>
      </c>
      <c r="J3044" s="9" t="str">
        <f>IFERROR(__xludf.DUMMYFUNCTION("GOOGLETRANSLATE($A3044,""en"",""pt-BR"")"),"Hodh ech Chargui")</f>
        <v>Hodh ech Chargui</v>
      </c>
    </row>
    <row r="3045">
      <c r="A3045" s="9" t="str">
        <f>IFERROR(__xludf.DUMMYFUNCTION("""COMPUTED_VALUE"""),"Guidimaka")</f>
        <v>Guidimaka</v>
      </c>
      <c r="B3045" s="9" t="str">
        <f>IFERROR(__xludf.DUMMYFUNCTION("""COMPUTED_VALUE"""),"mr-10")</f>
        <v>mr-10</v>
      </c>
      <c r="C3045" s="9" t="str">
        <f>IFERROR(__xludf.DUMMYFUNCTION("GOOGLETRANSLATE($A3045,""en"",""de"")"),"Guidimaka")</f>
        <v>Guidimaka</v>
      </c>
      <c r="D3045" s="9" t="str">
        <f>IFERROR(__xludf.DUMMYFUNCTION("GOOGLETRANSLATE($A3045,""en"",""fr"")"),"Guidimaka")</f>
        <v>Guidimaka</v>
      </c>
      <c r="E3045" s="9" t="str">
        <f>IFERROR(__xludf.DUMMYFUNCTION("GOOGLETRANSLATE($A3045,""en"",""es"")"),"Guidimaka")</f>
        <v>Guidimaka</v>
      </c>
      <c r="F3045" s="9" t="str">
        <f>IFERROR(__xludf.DUMMYFUNCTION("GOOGLETRANSLATE($A3045,""en"",""it"")"),"Guidimaka")</f>
        <v>Guidimaka</v>
      </c>
      <c r="G3045" s="9" t="str">
        <f>IFERROR(__xludf.DUMMYFUNCTION("GOOGLETRANSLATE($A3045,""en"",""zh-cn"")"),"吉迪马卡")</f>
        <v>吉迪马卡</v>
      </c>
      <c r="H3045" s="9" t="str">
        <f>IFERROR(__xludf.DUMMYFUNCTION("GOOGLETRANSLATE($A3045,""en"",""ja"")"),"グディマカ")</f>
        <v>グディマカ</v>
      </c>
      <c r="I3045" s="9" t="str">
        <f>IFERROR(__xludf.DUMMYFUNCTION("GOOGLETRANSLATE($A3045,""en"",""ko"")"),"구이디마카")</f>
        <v>구이디마카</v>
      </c>
      <c r="J3045" s="9" t="str">
        <f>IFERROR(__xludf.DUMMYFUNCTION("GOOGLETRANSLATE($A3045,""en"",""pt-BR"")"),"Guidimaka")</f>
        <v>Guidimaka</v>
      </c>
    </row>
    <row r="3046">
      <c r="A3046" s="9" t="str">
        <f>IFERROR(__xludf.DUMMYFUNCTION("""COMPUTED_VALUE"""),"Assaba")</f>
        <v>Assaba</v>
      </c>
      <c r="B3046" s="9" t="str">
        <f>IFERROR(__xludf.DUMMYFUNCTION("""COMPUTED_VALUE"""),"mr-03")</f>
        <v>mr-03</v>
      </c>
      <c r="C3046" s="9" t="str">
        <f>IFERROR(__xludf.DUMMYFUNCTION("GOOGLETRANSLATE($A3046,""en"",""de"")"),"Assaba")</f>
        <v>Assaba</v>
      </c>
      <c r="D3046" s="9" t="str">
        <f>IFERROR(__xludf.DUMMYFUNCTION("GOOGLETRANSLATE($A3046,""en"",""fr"")"),"Assaba")</f>
        <v>Assaba</v>
      </c>
      <c r="E3046" s="9" t="str">
        <f>IFERROR(__xludf.DUMMYFUNCTION("GOOGLETRANSLATE($A3046,""en"",""es"")"),"asaba")</f>
        <v>asaba</v>
      </c>
      <c r="F3046" s="9" t="str">
        <f>IFERROR(__xludf.DUMMYFUNCTION("GOOGLETRANSLATE($A3046,""en"",""it"")"),"Assaba")</f>
        <v>Assaba</v>
      </c>
      <c r="G3046" s="9" t="str">
        <f>IFERROR(__xludf.DUMMYFUNCTION("GOOGLETRANSLATE($A3046,""en"",""zh-cn"")"),"阿萨巴")</f>
        <v>阿萨巴</v>
      </c>
      <c r="H3046" s="9" t="str">
        <f>IFERROR(__xludf.DUMMYFUNCTION("GOOGLETRANSLATE($A3046,""en"",""ja"")"),"アッサバ")</f>
        <v>アッサバ</v>
      </c>
      <c r="I3046" s="9" t="str">
        <f>IFERROR(__xludf.DUMMYFUNCTION("GOOGLETRANSLATE($A3046,""en"",""ko"")"),"아사바")</f>
        <v>아사바</v>
      </c>
      <c r="J3046" s="9" t="str">
        <f>IFERROR(__xludf.DUMMYFUNCTION("GOOGLETRANSLATE($A3046,""en"",""pt-BR"")"),"Assaba")</f>
        <v>Assaba</v>
      </c>
    </row>
    <row r="3047">
      <c r="A3047" s="9" t="str">
        <f>IFERROR(__xludf.DUMMYFUNCTION("""COMPUTED_VALUE"""),"Dakhlet Nouâdhibou")</f>
        <v>Dakhlet Nouâdhibou</v>
      </c>
      <c r="B3047" s="9" t="str">
        <f>IFERROR(__xludf.DUMMYFUNCTION("""COMPUTED_VALUE"""),"mr-08")</f>
        <v>mr-08</v>
      </c>
      <c r="C3047" s="9" t="str">
        <f>IFERROR(__xludf.DUMMYFUNCTION("GOOGLETRANSLATE($A3047,""en"",""de"")"),"Dakhlet Nouâdhibou")</f>
        <v>Dakhlet Nouâdhibou</v>
      </c>
      <c r="D3047" s="9" t="str">
        <f>IFERROR(__xludf.DUMMYFUNCTION("GOOGLETRANSLATE($A3047,""en"",""fr"")"),"Dakhlet Nouâdhibou")</f>
        <v>Dakhlet Nouâdhibou</v>
      </c>
      <c r="E3047" s="9" t="str">
        <f>IFERROR(__xludf.DUMMYFUNCTION("GOOGLETRANSLATE($A3047,""en"",""es"")"),"Dajlet Nuadibú")</f>
        <v>Dajlet Nuadibú</v>
      </c>
      <c r="F3047" s="9" t="str">
        <f>IFERROR(__xludf.DUMMYFUNCTION("GOOGLETRANSLATE($A3047,""en"",""it"")"),"Dakhlet Nouâdhibou")</f>
        <v>Dakhlet Nouâdhibou</v>
      </c>
      <c r="G3047" s="9" t="str">
        <f>IFERROR(__xludf.DUMMYFUNCTION("GOOGLETRANSLATE($A3047,""en"",""zh-cn"")"),"达赫莱特·努瓦迪布")</f>
        <v>达赫莱特·努瓦迪布</v>
      </c>
      <c r="H3047" s="9" t="str">
        <f>IFERROR(__xludf.DUMMYFUNCTION("GOOGLETRANSLATE($A3047,""en"",""ja"")"),"ダクレ・ヌアディブ")</f>
        <v>ダクレ・ヌアディブ</v>
      </c>
      <c r="I3047" s="9" t="str">
        <f>IFERROR(__xludf.DUMMYFUNCTION("GOOGLETRANSLATE($A3047,""en"",""ko"")"),"다크렛 누아디부(Dakhlet Nouâdhibou)")</f>
        <v>다크렛 누아디부(Dakhlet Nouâdhibou)</v>
      </c>
      <c r="J3047" s="9" t="str">
        <f>IFERROR(__xludf.DUMMYFUNCTION("GOOGLETRANSLATE($A3047,""en"",""pt-BR"")"),"Dakhlet Nouâdhibou")</f>
        <v>Dakhlet Nouâdhibou</v>
      </c>
    </row>
    <row r="3048">
      <c r="A3048" s="9" t="str">
        <f>IFERROR(__xludf.DUMMYFUNCTION("""COMPUTED_VALUE"""),"Black River")</f>
        <v>Black River</v>
      </c>
      <c r="B3048" s="9" t="str">
        <f>IFERROR(__xludf.DUMMYFUNCTION("""COMPUTED_VALUE"""),"mu-bl")</f>
        <v>mu-bl</v>
      </c>
      <c r="C3048" s="9" t="str">
        <f>IFERROR(__xludf.DUMMYFUNCTION("GOOGLETRANSLATE($A3048,""en"",""de"")"),"Schwarzer Fluss")</f>
        <v>Schwarzer Fluss</v>
      </c>
      <c r="D3048" s="9" t="str">
        <f>IFERROR(__xludf.DUMMYFUNCTION("GOOGLETRANSLATE($A3048,""en"",""fr"")"),"Rivière Noire")</f>
        <v>Rivière Noire</v>
      </c>
      <c r="E3048" s="9" t="str">
        <f>IFERROR(__xludf.DUMMYFUNCTION("GOOGLETRANSLATE($A3048,""en"",""es"")"),"río negro")</f>
        <v>río negro</v>
      </c>
      <c r="F3048" s="9" t="str">
        <f>IFERROR(__xludf.DUMMYFUNCTION("GOOGLETRANSLATE($A3048,""en"",""it"")"),"Fiume Nero")</f>
        <v>Fiume Nero</v>
      </c>
      <c r="G3048" s="9" t="str">
        <f>IFERROR(__xludf.DUMMYFUNCTION("GOOGLETRANSLATE($A3048,""en"",""zh-cn"")"),"黑河")</f>
        <v>黑河</v>
      </c>
      <c r="H3048" s="9" t="str">
        <f>IFERROR(__xludf.DUMMYFUNCTION("GOOGLETRANSLATE($A3048,""en"",""ja"")"),"ブラック・リバー")</f>
        <v>ブラック・リバー</v>
      </c>
      <c r="I3048" s="9" t="str">
        <f>IFERROR(__xludf.DUMMYFUNCTION("GOOGLETRANSLATE($A3048,""en"",""ko"")"),"블랙리버")</f>
        <v>블랙리버</v>
      </c>
      <c r="J3048" s="9" t="str">
        <f>IFERROR(__xludf.DUMMYFUNCTION("GOOGLETRANSLATE($A3048,""en"",""pt-BR"")"),"Rio Negro")</f>
        <v>Rio Negro</v>
      </c>
    </row>
    <row r="3049">
      <c r="A3049" s="9" t="str">
        <f>IFERROR(__xludf.DUMMYFUNCTION("""COMPUTED_VALUE"""),"Vacoas-Phoenix")</f>
        <v>Vacoas-Phoenix</v>
      </c>
      <c r="B3049" s="9" t="str">
        <f>IFERROR(__xludf.DUMMYFUNCTION("""COMPUTED_VALUE"""),"mu-vp")</f>
        <v>mu-vp</v>
      </c>
      <c r="C3049" s="9" t="str">
        <f>IFERROR(__xludf.DUMMYFUNCTION("GOOGLETRANSLATE($A3049,""en"",""de"")"),"Vacoas-Phoenix")</f>
        <v>Vacoas-Phoenix</v>
      </c>
      <c r="D3049" s="9" t="str">
        <f>IFERROR(__xludf.DUMMYFUNCTION("GOOGLETRANSLATE($A3049,""en"",""fr"")"),"Vacoas-Phœnix")</f>
        <v>Vacoas-Phœnix</v>
      </c>
      <c r="E3049" s="9" t="str">
        <f>IFERROR(__xludf.DUMMYFUNCTION("GOOGLETRANSLATE($A3049,""en"",""es"")"),"Vacoas-Phoenix")</f>
        <v>Vacoas-Phoenix</v>
      </c>
      <c r="F3049" s="9" t="str">
        <f>IFERROR(__xludf.DUMMYFUNCTION("GOOGLETRANSLATE($A3049,""en"",""it"")"),"Vacoas-Phoenix")</f>
        <v>Vacoas-Phoenix</v>
      </c>
      <c r="G3049" s="9" t="str">
        <f>IFERROR(__xludf.DUMMYFUNCTION("GOOGLETRANSLATE($A3049,""en"",""zh-cn"")"),"瓦科斯-菲尼克斯")</f>
        <v>瓦科斯-菲尼克斯</v>
      </c>
      <c r="H3049" s="9" t="str">
        <f>IFERROR(__xludf.DUMMYFUNCTION("GOOGLETRANSLATE($A3049,""en"",""ja"")"),"ヴァコアス-フェニックス")</f>
        <v>ヴァコアス-フェニックス</v>
      </c>
      <c r="I3049" s="9" t="str">
        <f>IFERROR(__xludf.DUMMYFUNCTION("GOOGLETRANSLATE($A3049,""en"",""ko"")"),"바코아스-피닉스")</f>
        <v>바코아스-피닉스</v>
      </c>
      <c r="J3049" s="9" t="str">
        <f>IFERROR(__xludf.DUMMYFUNCTION("GOOGLETRANSLATE($A3049,""en"",""pt-BR"")"),"Vacoas-Phoenix")</f>
        <v>Vacoas-Phoenix</v>
      </c>
    </row>
    <row r="3050">
      <c r="A3050" s="9" t="str">
        <f>IFERROR(__xludf.DUMMYFUNCTION("""COMPUTED_VALUE"""),"Curepipe")</f>
        <v>Curepipe</v>
      </c>
      <c r="B3050" s="9" t="str">
        <f>IFERROR(__xludf.DUMMYFUNCTION("""COMPUTED_VALUE"""),"mu-cu")</f>
        <v>mu-cu</v>
      </c>
      <c r="C3050" s="9" t="str">
        <f>IFERROR(__xludf.DUMMYFUNCTION("GOOGLETRANSLATE($A3050,""en"",""de"")"),"Curepipe")</f>
        <v>Curepipe</v>
      </c>
      <c r="D3050" s="9" t="str">
        <f>IFERROR(__xludf.DUMMYFUNCTION("GOOGLETRANSLATE($A3050,""en"",""fr"")"),"Curepipe")</f>
        <v>Curepipe</v>
      </c>
      <c r="E3050" s="9" t="str">
        <f>IFERROR(__xludf.DUMMYFUNCTION("GOOGLETRANSLATE($A3050,""en"",""es"")"),"curapipe")</f>
        <v>curapipe</v>
      </c>
      <c r="F3050" s="9" t="str">
        <f>IFERROR(__xludf.DUMMYFUNCTION("GOOGLETRANSLATE($A3050,""en"",""it"")"),"Curepipe")</f>
        <v>Curepipe</v>
      </c>
      <c r="G3050" s="9" t="str">
        <f>IFERROR(__xludf.DUMMYFUNCTION("GOOGLETRANSLATE($A3050,""en"",""zh-cn"")"),"居尔皮普")</f>
        <v>居尔皮普</v>
      </c>
      <c r="H3050" s="9" t="str">
        <f>IFERROR(__xludf.DUMMYFUNCTION("GOOGLETRANSLATE($A3050,""en"",""ja"")"),"キュアパイプ")</f>
        <v>キュアパイプ</v>
      </c>
      <c r="I3050" s="9" t="str">
        <f>IFERROR(__xludf.DUMMYFUNCTION("GOOGLETRANSLATE($A3050,""en"",""ko"")"),"쿠레피페")</f>
        <v>쿠레피페</v>
      </c>
      <c r="J3050" s="9" t="str">
        <f>IFERROR(__xludf.DUMMYFUNCTION("GOOGLETRANSLATE($A3050,""en"",""pt-BR"")"),"Curepipe")</f>
        <v>Curepipe</v>
      </c>
    </row>
    <row r="3051">
      <c r="A3051" s="9" t="str">
        <f>IFERROR(__xludf.DUMMYFUNCTION("""COMPUTED_VALUE"""),"Rodrigues Island")</f>
        <v>Rodrigues Island</v>
      </c>
      <c r="B3051" s="9" t="str">
        <f>IFERROR(__xludf.DUMMYFUNCTION("""COMPUTED_VALUE"""),"mu-ro")</f>
        <v>mu-ro</v>
      </c>
      <c r="C3051" s="9" t="str">
        <f>IFERROR(__xludf.DUMMYFUNCTION("GOOGLETRANSLATE($A3051,""en"",""de"")"),"Rodrigues-Insel")</f>
        <v>Rodrigues-Insel</v>
      </c>
      <c r="D3051" s="9" t="str">
        <f>IFERROR(__xludf.DUMMYFUNCTION("GOOGLETRANSLATE($A3051,""en"",""fr"")"),"Île Rodrigues")</f>
        <v>Île Rodrigues</v>
      </c>
      <c r="E3051" s="9" t="str">
        <f>IFERROR(__xludf.DUMMYFUNCTION("GOOGLETRANSLATE($A3051,""en"",""es"")"),"Isla Rodrigues")</f>
        <v>Isla Rodrigues</v>
      </c>
      <c r="F3051" s="9" t="str">
        <f>IFERROR(__xludf.DUMMYFUNCTION("GOOGLETRANSLATE($A3051,""en"",""it"")"),"Isola Rodrigues")</f>
        <v>Isola Rodrigues</v>
      </c>
      <c r="G3051" s="9" t="str">
        <f>IFERROR(__xludf.DUMMYFUNCTION("GOOGLETRANSLATE($A3051,""en"",""zh-cn"")"),"罗德里格斯岛")</f>
        <v>罗德里格斯岛</v>
      </c>
      <c r="H3051" s="9" t="str">
        <f>IFERROR(__xludf.DUMMYFUNCTION("GOOGLETRANSLATE($A3051,""en"",""ja"")"),"ロドリゲス島")</f>
        <v>ロドリゲス島</v>
      </c>
      <c r="I3051" s="9" t="str">
        <f>IFERROR(__xludf.DUMMYFUNCTION("GOOGLETRANSLATE($A3051,""en"",""ko"")"),"로드리게스 섬")</f>
        <v>로드리게스 섬</v>
      </c>
      <c r="J3051" s="9" t="str">
        <f>IFERROR(__xludf.DUMMYFUNCTION("GOOGLETRANSLATE($A3051,""en"",""pt-BR"")"),"Ilha Rodrigues")</f>
        <v>Ilha Rodrigues</v>
      </c>
    </row>
    <row r="3052">
      <c r="A3052" s="9" t="str">
        <f>IFERROR(__xludf.DUMMYFUNCTION("""COMPUTED_VALUE"""),"Port Louis")</f>
        <v>Port Louis</v>
      </c>
      <c r="B3052" s="9" t="str">
        <f>IFERROR(__xludf.DUMMYFUNCTION("""COMPUTED_VALUE"""),"mu-pl")</f>
        <v>mu-pl</v>
      </c>
      <c r="C3052" s="9" t="str">
        <f>IFERROR(__xludf.DUMMYFUNCTION("GOOGLETRANSLATE($A3052,""en"",""de"")"),"Port Louis")</f>
        <v>Port Louis</v>
      </c>
      <c r="D3052" s="9" t="str">
        <f>IFERROR(__xludf.DUMMYFUNCTION("GOOGLETRANSLATE($A3052,""en"",""fr"")"),"Port-Louis")</f>
        <v>Port-Louis</v>
      </c>
      <c r="E3052" s="9" t="str">
        <f>IFERROR(__xludf.DUMMYFUNCTION("GOOGLETRANSLATE($A3052,""en"",""es"")"),"Puerto Luis")</f>
        <v>Puerto Luis</v>
      </c>
      <c r="F3052" s="9" t="str">
        <f>IFERROR(__xludf.DUMMYFUNCTION("GOOGLETRANSLATE($A3052,""en"",""it"")"),"Porto Luigi")</f>
        <v>Porto Luigi</v>
      </c>
      <c r="G3052" s="9" t="str">
        <f>IFERROR(__xludf.DUMMYFUNCTION("GOOGLETRANSLATE($A3052,""en"",""zh-cn"")"),"路易港")</f>
        <v>路易港</v>
      </c>
      <c r="H3052" s="9" t="str">
        <f>IFERROR(__xludf.DUMMYFUNCTION("GOOGLETRANSLATE($A3052,""en"",""ja"")"),"ポートルイス")</f>
        <v>ポートルイス</v>
      </c>
      <c r="I3052" s="9" t="str">
        <f>IFERROR(__xludf.DUMMYFUNCTION("GOOGLETRANSLATE($A3052,""en"",""ko"")"),"포트 루이스")</f>
        <v>포트 루이스</v>
      </c>
      <c r="J3052" s="9" t="str">
        <f>IFERROR(__xludf.DUMMYFUNCTION("GOOGLETRANSLATE($A3052,""en"",""pt-BR"")"),"Porto Luís")</f>
        <v>Porto Luís</v>
      </c>
    </row>
    <row r="3053">
      <c r="A3053" s="9" t="str">
        <f>IFERROR(__xludf.DUMMYFUNCTION("""COMPUTED_VALUE"""),"Pamplemousses")</f>
        <v>Pamplemousses</v>
      </c>
      <c r="B3053" s="9" t="str">
        <f>IFERROR(__xludf.DUMMYFUNCTION("""COMPUTED_VALUE"""),"mu-pa")</f>
        <v>mu-pa</v>
      </c>
      <c r="C3053" s="9" t="str">
        <f>IFERROR(__xludf.DUMMYFUNCTION("GOOGLETRANSLATE($A3053,""en"",""de"")"),"Pamplemousses")</f>
        <v>Pamplemousses</v>
      </c>
      <c r="D3053" s="9" t="str">
        <f>IFERROR(__xludf.DUMMYFUNCTION("GOOGLETRANSLATE($A3053,""en"",""fr"")"),"Pamplemousses")</f>
        <v>Pamplemousses</v>
      </c>
      <c r="E3053" s="9" t="str">
        <f>IFERROR(__xludf.DUMMYFUNCTION("GOOGLETRANSLATE($A3053,""en"",""es"")"),"Pamplemousses")</f>
        <v>Pamplemousses</v>
      </c>
      <c r="F3053" s="9" t="str">
        <f>IFERROR(__xludf.DUMMYFUNCTION("GOOGLETRANSLATE($A3053,""en"",""it"")"),"Pamplemousse")</f>
        <v>Pamplemousse</v>
      </c>
      <c r="G3053" s="9" t="str">
        <f>IFERROR(__xludf.DUMMYFUNCTION("GOOGLETRANSLATE($A3053,""en"",""zh-cn"")"),"庞波慕斯")</f>
        <v>庞波慕斯</v>
      </c>
      <c r="H3053" s="9" t="str">
        <f>IFERROR(__xludf.DUMMYFUNCTION("GOOGLETRANSLATE($A3053,""en"",""ja"")"),"パンプルムース")</f>
        <v>パンプルムース</v>
      </c>
      <c r="I3053" s="9" t="str">
        <f>IFERROR(__xludf.DUMMYFUNCTION("GOOGLETRANSLATE($A3053,""en"",""ko"")"),"팜플레무스")</f>
        <v>팜플레무스</v>
      </c>
      <c r="J3053" s="9" t="str">
        <f>IFERROR(__xludf.DUMMYFUNCTION("GOOGLETRANSLATE($A3053,""en"",""pt-BR"")"),"Pamplemousses")</f>
        <v>Pamplemousses</v>
      </c>
    </row>
    <row r="3054">
      <c r="A3054" s="9" t="str">
        <f>IFERROR(__xludf.DUMMYFUNCTION("""COMPUTED_VALUE"""),"Plaines Wilhems")</f>
        <v>Plaines Wilhems</v>
      </c>
      <c r="B3054" s="9" t="str">
        <f>IFERROR(__xludf.DUMMYFUNCTION("""COMPUTED_VALUE"""),"mu-pw")</f>
        <v>mu-pw</v>
      </c>
      <c r="C3054" s="9" t="str">
        <f>IFERROR(__xludf.DUMMYFUNCTION("GOOGLETRANSLATE($A3054,""en"",""de"")"),"Plaines Wilhelms")</f>
        <v>Plaines Wilhelms</v>
      </c>
      <c r="D3054" s="9" t="str">
        <f>IFERROR(__xludf.DUMMYFUNCTION("GOOGLETRANSLATE($A3054,""en"",""fr"")"),"Plaines Wilhems")</f>
        <v>Plaines Wilhems</v>
      </c>
      <c r="E3054" s="9" t="str">
        <f>IFERROR(__xludf.DUMMYFUNCTION("GOOGLETRANSLATE($A3054,""en"",""es"")"),"Plaines Wilhems")</f>
        <v>Plaines Wilhems</v>
      </c>
      <c r="F3054" s="9" t="str">
        <f>IFERROR(__xludf.DUMMYFUNCTION("GOOGLETRANSLATE($A3054,""en"",""it"")"),"Plaine Wilhems")</f>
        <v>Plaine Wilhems</v>
      </c>
      <c r="G3054" s="9" t="str">
        <f>IFERROR(__xludf.DUMMYFUNCTION("GOOGLETRANSLATE($A3054,""en"",""zh-cn"")"),"普兰斯·威廉斯")</f>
        <v>普兰斯·威廉斯</v>
      </c>
      <c r="H3054" s="9" t="str">
        <f>IFERROR(__xludf.DUMMYFUNCTION("GOOGLETRANSLATE($A3054,""en"",""ja"")"),"プレインズ・ヴィルヘムス")</f>
        <v>プレインズ・ヴィルヘムス</v>
      </c>
      <c r="I3054" s="9" t="str">
        <f>IFERROR(__xludf.DUMMYFUNCTION("GOOGLETRANSLATE($A3054,""en"",""ko"")"),"플레인스 윌헴스")</f>
        <v>플레인스 윌헴스</v>
      </c>
      <c r="J3054" s="9" t="str">
        <f>IFERROR(__xludf.DUMMYFUNCTION("GOOGLETRANSLATE($A3054,""en"",""pt-BR"")"),"Plaines Wilhems")</f>
        <v>Plaines Wilhems</v>
      </c>
    </row>
    <row r="3055">
      <c r="A3055" s="9" t="str">
        <f>IFERROR(__xludf.DUMMYFUNCTION("""COMPUTED_VALUE"""),"Rivière du Rempart")</f>
        <v>Rivière du Rempart</v>
      </c>
      <c r="B3055" s="9" t="str">
        <f>IFERROR(__xludf.DUMMYFUNCTION("""COMPUTED_VALUE"""),"mu-rr")</f>
        <v>mu-rr</v>
      </c>
      <c r="C3055" s="9" t="str">
        <f>IFERROR(__xludf.DUMMYFUNCTION("GOOGLETRANSLATE($A3055,""en"",""de"")"),"Rivière du Rempart")</f>
        <v>Rivière du Rempart</v>
      </c>
      <c r="D3055" s="9" t="str">
        <f>IFERROR(__xludf.DUMMYFUNCTION("GOOGLETRANSLATE($A3055,""en"",""fr"")"),"Rivière du Rempart")</f>
        <v>Rivière du Rempart</v>
      </c>
      <c r="E3055" s="9" t="str">
        <f>IFERROR(__xludf.DUMMYFUNCTION("GOOGLETRANSLATE($A3055,""en"",""es"")"),"Rivière du Rempart")</f>
        <v>Rivière du Rempart</v>
      </c>
      <c r="F3055" s="9" t="str">
        <f>IFERROR(__xludf.DUMMYFUNCTION("GOOGLETRANSLATE($A3055,""en"",""it"")"),"Riviere du Rempart")</f>
        <v>Riviere du Rempart</v>
      </c>
      <c r="G3055" s="9" t="str">
        <f>IFERROR(__xludf.DUMMYFUNCTION("GOOGLETRANSLATE($A3055,""en"",""zh-cn"")"),"伦帕河")</f>
        <v>伦帕河</v>
      </c>
      <c r="H3055" s="9" t="str">
        <f>IFERROR(__xludf.DUMMYFUNCTION("GOOGLETRANSLATE($A3055,""en"",""ja"")"),"リヴィエール デュ ランパール")</f>
        <v>リヴィエール デュ ランパール</v>
      </c>
      <c r="I3055" s="9" t="str">
        <f>IFERROR(__xludf.DUMMYFUNCTION("GOOGLETRANSLATE($A3055,""en"",""ko"")"),"리비에르 뒤 렘파르")</f>
        <v>리비에르 뒤 렘파르</v>
      </c>
      <c r="J3055" s="9" t="str">
        <f>IFERROR(__xludf.DUMMYFUNCTION("GOOGLETRANSLATE($A3055,""en"",""pt-BR"")"),"Rio Rempart")</f>
        <v>Rio Rempart</v>
      </c>
    </row>
    <row r="3056">
      <c r="A3056" s="9" t="str">
        <f>IFERROR(__xludf.DUMMYFUNCTION("""COMPUTED_VALUE"""),"Quatre Bornes")</f>
        <v>Quatre Bornes</v>
      </c>
      <c r="B3056" s="9" t="str">
        <f>IFERROR(__xludf.DUMMYFUNCTION("""COMPUTED_VALUE"""),"mu-qb")</f>
        <v>mu-qb</v>
      </c>
      <c r="C3056" s="9" t="str">
        <f>IFERROR(__xludf.DUMMYFUNCTION("GOOGLETRANSLATE($A3056,""en"",""de"")"),"Quatre Bornes")</f>
        <v>Quatre Bornes</v>
      </c>
      <c r="D3056" s="9" t="str">
        <f>IFERROR(__xludf.DUMMYFUNCTION("GOOGLETRANSLATE($A3056,""en"",""fr"")"),"Quatre Bornes")</f>
        <v>Quatre Bornes</v>
      </c>
      <c r="E3056" s="9" t="str">
        <f>IFERROR(__xludf.DUMMYFUNCTION("GOOGLETRANSLATE($A3056,""en"",""es"")"),"Cuatro Bornes")</f>
        <v>Cuatro Bornes</v>
      </c>
      <c r="F3056" s="9" t="str">
        <f>IFERROR(__xludf.DUMMYFUNCTION("GOOGLETRANSLATE($A3056,""en"",""it"")"),"Quatre Bornes")</f>
        <v>Quatre Bornes</v>
      </c>
      <c r="G3056" s="9" t="str">
        <f>IFERROR(__xludf.DUMMYFUNCTION("GOOGLETRANSLATE($A3056,""en"",""zh-cn"")"),"卡特勒博尔纳")</f>
        <v>卡特勒博尔纳</v>
      </c>
      <c r="H3056" s="9" t="str">
        <f>IFERROR(__xludf.DUMMYFUNCTION("GOOGLETRANSLATE($A3056,""en"",""ja"")"),"カトル・ボルヌ")</f>
        <v>カトル・ボルヌ</v>
      </c>
      <c r="I3056" s="9" t="str">
        <f>IFERROR(__xludf.DUMMYFUNCTION("GOOGLETRANSLATE($A3056,""en"",""ko"")"),"콰트로 보네스")</f>
        <v>콰트로 보네스</v>
      </c>
      <c r="J3056" s="9" t="str">
        <f>IFERROR(__xludf.DUMMYFUNCTION("GOOGLETRANSLATE($A3056,""en"",""pt-BR"")"),"Quatre Bornes")</f>
        <v>Quatre Bornes</v>
      </c>
    </row>
    <row r="3057">
      <c r="A3057" s="9" t="str">
        <f>IFERROR(__xludf.DUMMYFUNCTION("""COMPUTED_VALUE"""),"Cargados Carajos Shoals")</f>
        <v>Cargados Carajos Shoals</v>
      </c>
      <c r="B3057" s="9" t="str">
        <f>IFERROR(__xludf.DUMMYFUNCTION("""COMPUTED_VALUE"""),"mu-cc")</f>
        <v>mu-cc</v>
      </c>
      <c r="C3057" s="9" t="str">
        <f>IFERROR(__xludf.DUMMYFUNCTION("GOOGLETRANSLATE($A3057,""en"",""de"")"),"Cargados Carajos Shoals")</f>
        <v>Cargados Carajos Shoals</v>
      </c>
      <c r="D3057" s="9" t="str">
        <f>IFERROR(__xludf.DUMMYFUNCTION("GOOGLETRANSLATE($A3057,""en"",""fr"")"),"Cargados Carajos Hauts-fonds")</f>
        <v>Cargados Carajos Hauts-fonds</v>
      </c>
      <c r="E3057" s="9" t="str">
        <f>IFERROR(__xludf.DUMMYFUNCTION("GOOGLETRANSLATE($A3057,""en"",""es"")"),"Cargados Carajos Shoals")</f>
        <v>Cargados Carajos Shoals</v>
      </c>
      <c r="F3057" s="9" t="str">
        <f>IFERROR(__xludf.DUMMYFUNCTION("GOOGLETRANSLATE($A3057,""en"",""it"")"),"Secche di Cargados Carajos")</f>
        <v>Secche di Cargados Carajos</v>
      </c>
      <c r="G3057" s="9" t="str">
        <f>IFERROR(__xludf.DUMMYFUNCTION("GOOGLETRANSLATE($A3057,""en"",""zh-cn"")"),"卡加多斯卡拉霍斯浅滩")</f>
        <v>卡加多斯卡拉霍斯浅滩</v>
      </c>
      <c r="H3057" s="9" t="str">
        <f>IFERROR(__xludf.DUMMYFUNCTION("GOOGLETRANSLATE($A3057,""en"",""ja"")"),"カルガドス カラホス ショールズ")</f>
        <v>カルガドス カラホス ショールズ</v>
      </c>
      <c r="I3057" s="9" t="str">
        <f>IFERROR(__xludf.DUMMYFUNCTION("GOOGLETRANSLATE($A3057,""en"",""ko"")"),"카르가도스 카라조스 숄즈")</f>
        <v>카르가도스 카라조스 숄즈</v>
      </c>
      <c r="J3057" s="9" t="str">
        <f>IFERROR(__xludf.DUMMYFUNCTION("GOOGLETRANSLATE($A3057,""en"",""pt-BR"")"),"Cardumes de Cargados Carajos")</f>
        <v>Cardumes de Cargados Carajos</v>
      </c>
    </row>
    <row r="3058">
      <c r="A3058" s="9" t="str">
        <f>IFERROR(__xludf.DUMMYFUNCTION("""COMPUTED_VALUE"""),"Grand Port")</f>
        <v>Grand Port</v>
      </c>
      <c r="B3058" s="9" t="str">
        <f>IFERROR(__xludf.DUMMYFUNCTION("""COMPUTED_VALUE"""),"mu-gp")</f>
        <v>mu-gp</v>
      </c>
      <c r="C3058" s="9" t="str">
        <f>IFERROR(__xludf.DUMMYFUNCTION("GOOGLETRANSLATE($A3058,""en"",""de"")"),"Großer Hafen")</f>
        <v>Großer Hafen</v>
      </c>
      <c r="D3058" s="9" t="str">
        <f>IFERROR(__xludf.DUMMYFUNCTION("GOOGLETRANSLATE($A3058,""en"",""fr"")"),"Grand-Port")</f>
        <v>Grand-Port</v>
      </c>
      <c r="E3058" s="9" t="str">
        <f>IFERROR(__xludf.DUMMYFUNCTION("GOOGLETRANSLATE($A3058,""en"",""es"")"),"Gran Puerto")</f>
        <v>Gran Puerto</v>
      </c>
      <c r="F3058" s="9" t="str">
        <f>IFERROR(__xludf.DUMMYFUNCTION("GOOGLETRANSLATE($A3058,""en"",""it"")"),"Porto Grande")</f>
        <v>Porto Grande</v>
      </c>
      <c r="G3058" s="9" t="str">
        <f>IFERROR(__xludf.DUMMYFUNCTION("GOOGLETRANSLATE($A3058,""en"",""zh-cn"")"),"格兰德港")</f>
        <v>格兰德港</v>
      </c>
      <c r="H3058" s="9" t="str">
        <f>IFERROR(__xludf.DUMMYFUNCTION("GOOGLETRANSLATE($A3058,""en"",""ja"")"),"グランドポート")</f>
        <v>グランドポート</v>
      </c>
      <c r="I3058" s="9" t="str">
        <f>IFERROR(__xludf.DUMMYFUNCTION("GOOGLETRANSLATE($A3058,""en"",""ko"")"),"그랜드 포트")</f>
        <v>그랜드 포트</v>
      </c>
      <c r="J3058" s="9" t="str">
        <f>IFERROR(__xludf.DUMMYFUNCTION("GOOGLETRANSLATE($A3058,""en"",""pt-BR"")"),"Grande Porto")</f>
        <v>Grande Porto</v>
      </c>
    </row>
    <row r="3059">
      <c r="A3059" s="9" t="str">
        <f>IFERROR(__xludf.DUMMYFUNCTION("""COMPUTED_VALUE"""),"Agalega Islands")</f>
        <v>Agalega Islands</v>
      </c>
      <c r="B3059" s="9" t="str">
        <f>IFERROR(__xludf.DUMMYFUNCTION("""COMPUTED_VALUE"""),"mu-ag")</f>
        <v>mu-ag</v>
      </c>
      <c r="C3059" s="9" t="str">
        <f>IFERROR(__xludf.DUMMYFUNCTION("GOOGLETRANSLATE($A3059,""en"",""de"")"),"Agalega-Inseln")</f>
        <v>Agalega-Inseln</v>
      </c>
      <c r="D3059" s="9" t="str">
        <f>IFERROR(__xludf.DUMMYFUNCTION("GOOGLETRANSLATE($A3059,""en"",""fr"")"),"Îles Agaléga")</f>
        <v>Îles Agaléga</v>
      </c>
      <c r="E3059" s="9" t="str">
        <f>IFERROR(__xludf.DUMMYFUNCTION("GOOGLETRANSLATE($A3059,""en"",""es"")"),"Islas Agalega")</f>
        <v>Islas Agalega</v>
      </c>
      <c r="F3059" s="9" t="str">
        <f>IFERROR(__xludf.DUMMYFUNCTION("GOOGLETRANSLATE($A3059,""en"",""it"")"),"Isole Agalega")</f>
        <v>Isole Agalega</v>
      </c>
      <c r="G3059" s="9" t="str">
        <f>IFERROR(__xludf.DUMMYFUNCTION("GOOGLETRANSLATE($A3059,""en"",""zh-cn"")"),"阿加莱加群岛")</f>
        <v>阿加莱加群岛</v>
      </c>
      <c r="H3059" s="9" t="str">
        <f>IFERROR(__xludf.DUMMYFUNCTION("GOOGLETRANSLATE($A3059,""en"",""ja"")"),"アガレガ諸島")</f>
        <v>アガレガ諸島</v>
      </c>
      <c r="I3059" s="9" t="str">
        <f>IFERROR(__xludf.DUMMYFUNCTION("GOOGLETRANSLATE($A3059,""en"",""ko"")"),"아갈레가 제도")</f>
        <v>아갈레가 제도</v>
      </c>
      <c r="J3059" s="9" t="str">
        <f>IFERROR(__xludf.DUMMYFUNCTION("GOOGLETRANSLATE($A3059,""en"",""pt-BR"")"),"Ilhas Ágalega")</f>
        <v>Ilhas Ágalega</v>
      </c>
    </row>
    <row r="3060">
      <c r="A3060" s="9" t="str">
        <f>IFERROR(__xludf.DUMMYFUNCTION("""COMPUTED_VALUE"""),"Port Louis (City)")</f>
        <v>Port Louis (City)</v>
      </c>
      <c r="B3060" s="9" t="str">
        <f>IFERROR(__xludf.DUMMYFUNCTION("""COMPUTED_VALUE"""),"mu-pu")</f>
        <v>mu-pu</v>
      </c>
      <c r="C3060" s="9" t="str">
        <f>IFERROR(__xludf.DUMMYFUNCTION("GOOGLETRANSLATE($A3060,""en"",""de"")"),"Port Louis (Stadt)")</f>
        <v>Port Louis (Stadt)</v>
      </c>
      <c r="D3060" s="9" t="str">
        <f>IFERROR(__xludf.DUMMYFUNCTION("GOOGLETRANSLATE($A3060,""en"",""fr"")"),"Port-Louis (Ville)")</f>
        <v>Port-Louis (Ville)</v>
      </c>
      <c r="E3060" s="9" t="str">
        <f>IFERROR(__xludf.DUMMYFUNCTION("GOOGLETRANSLATE($A3060,""en"",""es"")"),"Puerto Louis (Ciudad)")</f>
        <v>Puerto Louis (Ciudad)</v>
      </c>
      <c r="F3060" s="9" t="str">
        <f>IFERROR(__xludf.DUMMYFUNCTION("GOOGLETRANSLATE($A3060,""en"",""it"")"),"Port-Louis (Città)")</f>
        <v>Port-Louis (Città)</v>
      </c>
      <c r="G3060" s="9" t="str">
        <f>IFERROR(__xludf.DUMMYFUNCTION("GOOGLETRANSLATE($A3060,""en"",""zh-cn"")"),"路易港 (市)")</f>
        <v>路易港 (市)</v>
      </c>
      <c r="H3060" s="9" t="str">
        <f>IFERROR(__xludf.DUMMYFUNCTION("GOOGLETRANSLATE($A3060,""en"",""ja"")"),"ポートルイス (都市)")</f>
        <v>ポートルイス (都市)</v>
      </c>
      <c r="I3060" s="9" t="str">
        <f>IFERROR(__xludf.DUMMYFUNCTION("GOOGLETRANSLATE($A3060,""en"",""ko"")"),"포트 루이스(도시)")</f>
        <v>포트 루이스(도시)</v>
      </c>
      <c r="J3060" s="9" t="str">
        <f>IFERROR(__xludf.DUMMYFUNCTION("GOOGLETRANSLATE($A3060,""en"",""pt-BR"")"),"Porto Luís (Cidade)")</f>
        <v>Porto Luís (Cidade)</v>
      </c>
    </row>
    <row r="3061">
      <c r="A3061" s="9" t="str">
        <f>IFERROR(__xludf.DUMMYFUNCTION("""COMPUTED_VALUE"""),"Flacq")</f>
        <v>Flacq</v>
      </c>
      <c r="B3061" s="9" t="str">
        <f>IFERROR(__xludf.DUMMYFUNCTION("""COMPUTED_VALUE"""),"mu-fl")</f>
        <v>mu-fl</v>
      </c>
      <c r="C3061" s="9" t="str">
        <f>IFERROR(__xludf.DUMMYFUNCTION("GOOGLETRANSLATE($A3061,""en"",""de"")"),"Flacq")</f>
        <v>Flacq</v>
      </c>
      <c r="D3061" s="9" t="str">
        <f>IFERROR(__xludf.DUMMYFUNCTION("GOOGLETRANSLATE($A3061,""en"",""fr"")"),"Flacq")</f>
        <v>Flacq</v>
      </c>
      <c r="E3061" s="9" t="str">
        <f>IFERROR(__xludf.DUMMYFUNCTION("GOOGLETRANSLATE($A3061,""en"",""es"")"),"Flacq")</f>
        <v>Flacq</v>
      </c>
      <c r="F3061" s="9" t="str">
        <f>IFERROR(__xludf.DUMMYFUNCTION("GOOGLETRANSLATE($A3061,""en"",""it"")"),"Flacq")</f>
        <v>Flacq</v>
      </c>
      <c r="G3061" s="9" t="str">
        <f>IFERROR(__xludf.DUMMYFUNCTION("GOOGLETRANSLATE($A3061,""en"",""zh-cn"")"),"弗拉克")</f>
        <v>弗拉克</v>
      </c>
      <c r="H3061" s="9" t="str">
        <f>IFERROR(__xludf.DUMMYFUNCTION("GOOGLETRANSLATE($A3061,""en"",""ja"")"),"フラク")</f>
        <v>フラク</v>
      </c>
      <c r="I3061" s="9" t="str">
        <f>IFERROR(__xludf.DUMMYFUNCTION("GOOGLETRANSLATE($A3061,""en"",""ko"")"),"플라크")</f>
        <v>플라크</v>
      </c>
      <c r="J3061" s="9" t="str">
        <f>IFERROR(__xludf.DUMMYFUNCTION("GOOGLETRANSLATE($A3061,""en"",""pt-BR"")"),"Flacq")</f>
        <v>Flacq</v>
      </c>
    </row>
    <row r="3062">
      <c r="A3062" s="9" t="str">
        <f>IFERROR(__xludf.DUMMYFUNCTION("""COMPUTED_VALUE"""),"Moka")</f>
        <v>Moka</v>
      </c>
      <c r="B3062" s="9" t="str">
        <f>IFERROR(__xludf.DUMMYFUNCTION("""COMPUTED_VALUE"""),"mu-mo")</f>
        <v>mu-mo</v>
      </c>
      <c r="C3062" s="9" t="str">
        <f>IFERROR(__xludf.DUMMYFUNCTION("GOOGLETRANSLATE($A3062,""en"",""de"")"),"Moka")</f>
        <v>Moka</v>
      </c>
      <c r="D3062" s="9" t="str">
        <f>IFERROR(__xludf.DUMMYFUNCTION("GOOGLETRANSLATE($A3062,""en"",""fr"")"),"Moka")</f>
        <v>Moka</v>
      </c>
      <c r="E3062" s="9" t="str">
        <f>IFERROR(__xludf.DUMMYFUNCTION("GOOGLETRANSLATE($A3062,""en"",""es"")"),"moca")</f>
        <v>moca</v>
      </c>
      <c r="F3062" s="9" t="str">
        <f>IFERROR(__xludf.DUMMYFUNCTION("GOOGLETRANSLATE($A3062,""en"",""it"")"),"Moka")</f>
        <v>Moka</v>
      </c>
      <c r="G3062" s="9" t="str">
        <f>IFERROR(__xludf.DUMMYFUNCTION("GOOGLETRANSLATE($A3062,""en"",""zh-cn"")"),"摩卡")</f>
        <v>摩卡</v>
      </c>
      <c r="H3062" s="9" t="str">
        <f>IFERROR(__xludf.DUMMYFUNCTION("GOOGLETRANSLATE($A3062,""en"",""ja"")"),"真岡市")</f>
        <v>真岡市</v>
      </c>
      <c r="I3062" s="9" t="str">
        <f>IFERROR(__xludf.DUMMYFUNCTION("GOOGLETRANSLATE($A3062,""en"",""ko"")"),"모카")</f>
        <v>모카</v>
      </c>
      <c r="J3062" s="9" t="str">
        <f>IFERROR(__xludf.DUMMYFUNCTION("GOOGLETRANSLATE($A3062,""en"",""pt-BR"")"),"Moka")</f>
        <v>Moka</v>
      </c>
    </row>
    <row r="3063">
      <c r="A3063" s="9" t="str">
        <f>IFERROR(__xludf.DUMMYFUNCTION("""COMPUTED_VALUE"""),"Savanne")</f>
        <v>Savanne</v>
      </c>
      <c r="B3063" s="9" t="str">
        <f>IFERROR(__xludf.DUMMYFUNCTION("""COMPUTED_VALUE"""),"mu-sa")</f>
        <v>mu-sa</v>
      </c>
      <c r="C3063" s="9" t="str">
        <f>IFERROR(__xludf.DUMMYFUNCTION("GOOGLETRANSLATE($A3063,""en"",""de"")"),"Savanne")</f>
        <v>Savanne</v>
      </c>
      <c r="D3063" s="9" t="str">
        <f>IFERROR(__xludf.DUMMYFUNCTION("GOOGLETRANSLATE($A3063,""en"",""fr"")"),"Savane")</f>
        <v>Savane</v>
      </c>
      <c r="E3063" s="9" t="str">
        <f>IFERROR(__xludf.DUMMYFUNCTION("GOOGLETRANSLATE($A3063,""en"",""es"")"),"sabana")</f>
        <v>sabana</v>
      </c>
      <c r="F3063" s="9" t="str">
        <f>IFERROR(__xludf.DUMMYFUNCTION("GOOGLETRANSLATE($A3063,""en"",""it"")"),"Savana")</f>
        <v>Savana</v>
      </c>
      <c r="G3063" s="9" t="str">
        <f>IFERROR(__xludf.DUMMYFUNCTION("GOOGLETRANSLATE($A3063,""en"",""zh-cn"")"),"萨凡纳")</f>
        <v>萨凡纳</v>
      </c>
      <c r="H3063" s="9" t="str">
        <f>IFERROR(__xludf.DUMMYFUNCTION("GOOGLETRANSLATE($A3063,""en"",""ja"")"),"サバンヌ")</f>
        <v>サバンヌ</v>
      </c>
      <c r="I3063" s="9" t="str">
        <f>IFERROR(__xludf.DUMMYFUNCTION("GOOGLETRANSLATE($A3063,""en"",""ko"")"),"사반느")</f>
        <v>사반느</v>
      </c>
      <c r="J3063" s="9" t="str">
        <f>IFERROR(__xludf.DUMMYFUNCTION("GOOGLETRANSLATE($A3063,""en"",""pt-BR"")"),"Savana")</f>
        <v>Savana</v>
      </c>
    </row>
    <row r="3064">
      <c r="A3064" s="9" t="str">
        <f>IFERROR(__xludf.DUMMYFUNCTION("""COMPUTED_VALUE"""),"Beau Bassin-Rose Hill")</f>
        <v>Beau Bassin-Rose Hill</v>
      </c>
      <c r="B3064" s="9" t="str">
        <f>IFERROR(__xludf.DUMMYFUNCTION("""COMPUTED_VALUE"""),"mu-br")</f>
        <v>mu-br</v>
      </c>
      <c r="C3064" s="9" t="str">
        <f>IFERROR(__xludf.DUMMYFUNCTION("GOOGLETRANSLATE($A3064,""en"",""de"")"),"Beau Bassin-Rose Hill")</f>
        <v>Beau Bassin-Rose Hill</v>
      </c>
      <c r="D3064" s="9" t="str">
        <f>IFERROR(__xludf.DUMMYFUNCTION("GOOGLETRANSLATE($A3064,""en"",""fr"")"),"Beau Bassin-Rose Hill")</f>
        <v>Beau Bassin-Rose Hill</v>
      </c>
      <c r="E3064" s="9" t="str">
        <f>IFERROR(__xludf.DUMMYFUNCTION("GOOGLETRANSLATE($A3064,""en"",""es"")"),"Beau Bassin-Rose Hill")</f>
        <v>Beau Bassin-Rose Hill</v>
      </c>
      <c r="F3064" s="9" t="str">
        <f>IFERROR(__xludf.DUMMYFUNCTION("GOOGLETRANSLATE($A3064,""en"",""it"")"),"Beau Bassin-Rose Hill")</f>
        <v>Beau Bassin-Rose Hill</v>
      </c>
      <c r="G3064" s="9" t="str">
        <f>IFERROR(__xludf.DUMMYFUNCTION("GOOGLETRANSLATE($A3064,""en"",""zh-cn"")"),"博巴森-罗斯希尔")</f>
        <v>博巴森-罗斯希尔</v>
      </c>
      <c r="H3064" s="9" t="str">
        <f>IFERROR(__xludf.DUMMYFUNCTION("GOOGLETRANSLATE($A3064,""en"",""ja"")"),"ボー・バッサン・ローズ・ヒル")</f>
        <v>ボー・バッサン・ローズ・ヒル</v>
      </c>
      <c r="I3064" s="9" t="str">
        <f>IFERROR(__xludf.DUMMYFUNCTION("GOOGLETRANSLATE($A3064,""en"",""ko"")"),"보 바신-로즈 힐")</f>
        <v>보 바신-로즈 힐</v>
      </c>
      <c r="J3064" s="9" t="str">
        <f>IFERROR(__xludf.DUMMYFUNCTION("GOOGLETRANSLATE($A3064,""en"",""pt-BR"")"),"Beau Bassin-Rose Hill")</f>
        <v>Beau Bassin-Rose Hill</v>
      </c>
    </row>
    <row r="3065">
      <c r="A3065" s="9" t="str">
        <f>IFERROR(__xludf.DUMMYFUNCTION("""COMPUTED_VALUE"""),"Guerrero")</f>
        <v>Guerrero</v>
      </c>
      <c r="B3065" s="9" t="str">
        <f>IFERROR(__xludf.DUMMYFUNCTION("""COMPUTED_VALUE"""),"mx-gro")</f>
        <v>mx-gro</v>
      </c>
      <c r="C3065" s="9" t="str">
        <f>IFERROR(__xludf.DUMMYFUNCTION("GOOGLETRANSLATE($A3065,""en"",""de"")"),"Guerrero")</f>
        <v>Guerrero</v>
      </c>
      <c r="D3065" s="9" t="str">
        <f>IFERROR(__xludf.DUMMYFUNCTION("GOOGLETRANSLATE($A3065,""en"",""fr"")"),"Guerrero")</f>
        <v>Guerrero</v>
      </c>
      <c r="E3065" s="9" t="str">
        <f>IFERROR(__xludf.DUMMYFUNCTION("GOOGLETRANSLATE($A3065,""en"",""es"")"),"Guerrero")</f>
        <v>Guerrero</v>
      </c>
      <c r="F3065" s="9" t="str">
        <f>IFERROR(__xludf.DUMMYFUNCTION("GOOGLETRANSLATE($A3065,""en"",""it"")"),"Guerrero")</f>
        <v>Guerrero</v>
      </c>
      <c r="G3065" s="9" t="str">
        <f>IFERROR(__xludf.DUMMYFUNCTION("GOOGLETRANSLATE($A3065,""en"",""zh-cn"")"),"格雷罗")</f>
        <v>格雷罗</v>
      </c>
      <c r="H3065" s="9" t="str">
        <f>IFERROR(__xludf.DUMMYFUNCTION("GOOGLETRANSLATE($A3065,""en"",""ja"")"),"ゲレーロ州")</f>
        <v>ゲレーロ州</v>
      </c>
      <c r="I3065" s="9" t="str">
        <f>IFERROR(__xludf.DUMMYFUNCTION("GOOGLETRANSLATE($A3065,""en"",""ko"")"),"게레로")</f>
        <v>게레로</v>
      </c>
      <c r="J3065" s="9" t="str">
        <f>IFERROR(__xludf.DUMMYFUNCTION("GOOGLETRANSLATE($A3065,""en"",""pt-BR"")"),"Guerrero")</f>
        <v>Guerrero</v>
      </c>
    </row>
    <row r="3066">
      <c r="A3066" s="9" t="str">
        <f>IFERROR(__xludf.DUMMYFUNCTION("""COMPUTED_VALUE"""),"Campeche")</f>
        <v>Campeche</v>
      </c>
      <c r="B3066" s="9" t="str">
        <f>IFERROR(__xludf.DUMMYFUNCTION("""COMPUTED_VALUE"""),"mx-cam")</f>
        <v>mx-cam</v>
      </c>
      <c r="C3066" s="9" t="str">
        <f>IFERROR(__xludf.DUMMYFUNCTION("GOOGLETRANSLATE($A3066,""en"",""de"")"),"Campeche")</f>
        <v>Campeche</v>
      </c>
      <c r="D3066" s="9" t="str">
        <f>IFERROR(__xludf.DUMMYFUNCTION("GOOGLETRANSLATE($A3066,""en"",""fr"")"),"Campeche")</f>
        <v>Campeche</v>
      </c>
      <c r="E3066" s="9" t="str">
        <f>IFERROR(__xludf.DUMMYFUNCTION("GOOGLETRANSLATE($A3066,""en"",""es"")"),"Campeche")</f>
        <v>Campeche</v>
      </c>
      <c r="F3066" s="9" t="str">
        <f>IFERROR(__xludf.DUMMYFUNCTION("GOOGLETRANSLATE($A3066,""en"",""it"")"),"Campeche")</f>
        <v>Campeche</v>
      </c>
      <c r="G3066" s="9" t="str">
        <f>IFERROR(__xludf.DUMMYFUNCTION("GOOGLETRANSLATE($A3066,""en"",""zh-cn"")"),"坎佩切")</f>
        <v>坎佩切</v>
      </c>
      <c r="H3066" s="9" t="str">
        <f>IFERROR(__xludf.DUMMYFUNCTION("GOOGLETRANSLATE($A3066,""en"",""ja"")"),"カンペチェ")</f>
        <v>カンペチェ</v>
      </c>
      <c r="I3066" s="9" t="str">
        <f>IFERROR(__xludf.DUMMYFUNCTION("GOOGLETRANSLATE($A3066,""en"",""ko"")"),"캄페체")</f>
        <v>캄페체</v>
      </c>
      <c r="J3066" s="9" t="str">
        <f>IFERROR(__xludf.DUMMYFUNCTION("GOOGLETRANSLATE($A3066,""en"",""pt-BR"")"),"Campeche")</f>
        <v>Campeche</v>
      </c>
    </row>
    <row r="3067">
      <c r="A3067" s="9" t="str">
        <f>IFERROR(__xludf.DUMMYFUNCTION("""COMPUTED_VALUE"""),"Quintana Roo")</f>
        <v>Quintana Roo</v>
      </c>
      <c r="B3067" s="9" t="str">
        <f>IFERROR(__xludf.DUMMYFUNCTION("""COMPUTED_VALUE"""),"mx-roo")</f>
        <v>mx-roo</v>
      </c>
      <c r="C3067" s="9" t="str">
        <f>IFERROR(__xludf.DUMMYFUNCTION("GOOGLETRANSLATE($A3067,""en"",""de"")"),"Quintana Roo")</f>
        <v>Quintana Roo</v>
      </c>
      <c r="D3067" s="9" t="str">
        <f>IFERROR(__xludf.DUMMYFUNCTION("GOOGLETRANSLATE($A3067,""en"",""fr"")"),"Quintana Roo")</f>
        <v>Quintana Roo</v>
      </c>
      <c r="E3067" s="9" t="str">
        <f>IFERROR(__xludf.DUMMYFUNCTION("GOOGLETRANSLATE($A3067,""en"",""es"")"),"QuintanaRoo")</f>
        <v>QuintanaRoo</v>
      </c>
      <c r="F3067" s="9" t="str">
        <f>IFERROR(__xludf.DUMMYFUNCTION("GOOGLETRANSLATE($A3067,""en"",""it"")"),"Quintana Roo")</f>
        <v>Quintana Roo</v>
      </c>
      <c r="G3067" s="9" t="str">
        <f>IFERROR(__xludf.DUMMYFUNCTION("GOOGLETRANSLATE($A3067,""en"",""zh-cn"")"),"金塔纳罗奥州")</f>
        <v>金塔纳罗奥州</v>
      </c>
      <c r="H3067" s="9" t="str">
        <f>IFERROR(__xludf.DUMMYFUNCTION("GOOGLETRANSLATE($A3067,""en"",""ja"")"),"キンタナロー州")</f>
        <v>キンタナロー州</v>
      </c>
      <c r="I3067" s="9" t="str">
        <f>IFERROR(__xludf.DUMMYFUNCTION("GOOGLETRANSLATE($A3067,""en"",""ko"")"),"킨타나 루")</f>
        <v>킨타나 루</v>
      </c>
      <c r="J3067" s="9" t="str">
        <f>IFERROR(__xludf.DUMMYFUNCTION("GOOGLETRANSLATE($A3067,""en"",""pt-BR"")"),"Quintana Roo")</f>
        <v>Quintana Roo</v>
      </c>
    </row>
    <row r="3068">
      <c r="A3068" s="9" t="str">
        <f>IFERROR(__xludf.DUMMYFUNCTION("""COMPUTED_VALUE"""),"Nayarit")</f>
        <v>Nayarit</v>
      </c>
      <c r="B3068" s="9" t="str">
        <f>IFERROR(__xludf.DUMMYFUNCTION("""COMPUTED_VALUE"""),"mx-nay")</f>
        <v>mx-nay</v>
      </c>
      <c r="C3068" s="9" t="str">
        <f>IFERROR(__xludf.DUMMYFUNCTION("GOOGLETRANSLATE($A3068,""en"",""de"")"),"Nayarit")</f>
        <v>Nayarit</v>
      </c>
      <c r="D3068" s="9" t="str">
        <f>IFERROR(__xludf.DUMMYFUNCTION("GOOGLETRANSLATE($A3068,""en"",""fr"")"),"Nayarit")</f>
        <v>Nayarit</v>
      </c>
      <c r="E3068" s="9" t="str">
        <f>IFERROR(__xludf.DUMMYFUNCTION("GOOGLETRANSLATE($A3068,""en"",""es"")"),"Nayarit")</f>
        <v>Nayarit</v>
      </c>
      <c r="F3068" s="9" t="str">
        <f>IFERROR(__xludf.DUMMYFUNCTION("GOOGLETRANSLATE($A3068,""en"",""it"")"),"Nayarit")</f>
        <v>Nayarit</v>
      </c>
      <c r="G3068" s="9" t="str">
        <f>IFERROR(__xludf.DUMMYFUNCTION("GOOGLETRANSLATE($A3068,""en"",""zh-cn"")"),"纳亚里特语")</f>
        <v>纳亚里特语</v>
      </c>
      <c r="H3068" s="9" t="str">
        <f>IFERROR(__xludf.DUMMYFUNCTION("GOOGLETRANSLATE($A3068,""en"",""ja"")"),"ナヤリット州")</f>
        <v>ナヤリット州</v>
      </c>
      <c r="I3068" s="9" t="str">
        <f>IFERROR(__xludf.DUMMYFUNCTION("GOOGLETRANSLATE($A3068,""en"",""ko"")"),"나야리트")</f>
        <v>나야리트</v>
      </c>
      <c r="J3068" s="9" t="str">
        <f>IFERROR(__xludf.DUMMYFUNCTION("GOOGLETRANSLATE($A3068,""en"",""pt-BR"")"),"Nayarit")</f>
        <v>Nayarit</v>
      </c>
    </row>
    <row r="3069">
      <c r="A3069" s="9" t="str">
        <f>IFERROR(__xludf.DUMMYFUNCTION("""COMPUTED_VALUE"""),"Zacatecas")</f>
        <v>Zacatecas</v>
      </c>
      <c r="B3069" s="9" t="str">
        <f>IFERROR(__xludf.DUMMYFUNCTION("""COMPUTED_VALUE"""),"mx-zac")</f>
        <v>mx-zac</v>
      </c>
      <c r="C3069" s="9" t="str">
        <f>IFERROR(__xludf.DUMMYFUNCTION("GOOGLETRANSLATE($A3069,""en"",""de"")"),"Zacatecas")</f>
        <v>Zacatecas</v>
      </c>
      <c r="D3069" s="9" t="str">
        <f>IFERROR(__xludf.DUMMYFUNCTION("GOOGLETRANSLATE($A3069,""en"",""fr"")"),"Zacatecas")</f>
        <v>Zacatecas</v>
      </c>
      <c r="E3069" s="9" t="str">
        <f>IFERROR(__xludf.DUMMYFUNCTION("GOOGLETRANSLATE($A3069,""en"",""es"")"),"Zacatecas")</f>
        <v>Zacatecas</v>
      </c>
      <c r="F3069" s="9" t="str">
        <f>IFERROR(__xludf.DUMMYFUNCTION("GOOGLETRANSLATE($A3069,""en"",""it"")"),"Zacatecas")</f>
        <v>Zacatecas</v>
      </c>
      <c r="G3069" s="9" t="str">
        <f>IFERROR(__xludf.DUMMYFUNCTION("GOOGLETRANSLATE($A3069,""en"",""zh-cn"")"),"萨卡特卡斯")</f>
        <v>萨卡特卡斯</v>
      </c>
      <c r="H3069" s="9" t="str">
        <f>IFERROR(__xludf.DUMMYFUNCTION("GOOGLETRANSLATE($A3069,""en"",""ja"")"),"サカテカス")</f>
        <v>サカテカス</v>
      </c>
      <c r="I3069" s="9" t="str">
        <f>IFERROR(__xludf.DUMMYFUNCTION("GOOGLETRANSLATE($A3069,""en"",""ko"")"),"사카테카스")</f>
        <v>사카테카스</v>
      </c>
      <c r="J3069" s="9" t="str">
        <f>IFERROR(__xludf.DUMMYFUNCTION("GOOGLETRANSLATE($A3069,""en"",""pt-BR"")"),"Zacatecas")</f>
        <v>Zacatecas</v>
      </c>
    </row>
    <row r="3070">
      <c r="A3070" s="9" t="str">
        <f>IFERROR(__xludf.DUMMYFUNCTION("""COMPUTED_VALUE"""),"Jalisco")</f>
        <v>Jalisco</v>
      </c>
      <c r="B3070" s="9" t="str">
        <f>IFERROR(__xludf.DUMMYFUNCTION("""COMPUTED_VALUE"""),"mx-jal")</f>
        <v>mx-jal</v>
      </c>
      <c r="C3070" s="9" t="str">
        <f>IFERROR(__xludf.DUMMYFUNCTION("GOOGLETRANSLATE($A3070,""en"",""de"")"),"Jalisco")</f>
        <v>Jalisco</v>
      </c>
      <c r="D3070" s="9" t="str">
        <f>IFERROR(__xludf.DUMMYFUNCTION("GOOGLETRANSLATE($A3070,""en"",""fr"")"),"Jalisco")</f>
        <v>Jalisco</v>
      </c>
      <c r="E3070" s="9" t="str">
        <f>IFERROR(__xludf.DUMMYFUNCTION("GOOGLETRANSLATE($A3070,""en"",""es"")"),"Jalisco")</f>
        <v>Jalisco</v>
      </c>
      <c r="F3070" s="9" t="str">
        <f>IFERROR(__xludf.DUMMYFUNCTION("GOOGLETRANSLATE($A3070,""en"",""it"")"),"Jalisco")</f>
        <v>Jalisco</v>
      </c>
      <c r="G3070" s="9" t="str">
        <f>IFERROR(__xludf.DUMMYFUNCTION("GOOGLETRANSLATE($A3070,""en"",""zh-cn"")"),"哈利斯科州")</f>
        <v>哈利斯科州</v>
      </c>
      <c r="H3070" s="9" t="str">
        <f>IFERROR(__xludf.DUMMYFUNCTION("GOOGLETRANSLATE($A3070,""en"",""ja"")"),"ハリスコ州")</f>
        <v>ハリスコ州</v>
      </c>
      <c r="I3070" s="9" t="str">
        <f>IFERROR(__xludf.DUMMYFUNCTION("GOOGLETRANSLATE($A3070,""en"",""ko"")"),"할리스코")</f>
        <v>할리스코</v>
      </c>
      <c r="J3070" s="9" t="str">
        <f>IFERROR(__xludf.DUMMYFUNCTION("GOOGLETRANSLATE($A3070,""en"",""pt-BR"")"),"Jalisco")</f>
        <v>Jalisco</v>
      </c>
    </row>
    <row r="3071">
      <c r="A3071" s="9" t="str">
        <f>IFERROR(__xludf.DUMMYFUNCTION("""COMPUTED_VALUE"""),"Tamaulipas")</f>
        <v>Tamaulipas</v>
      </c>
      <c r="B3071" s="9" t="str">
        <f>IFERROR(__xludf.DUMMYFUNCTION("""COMPUTED_VALUE"""),"mx-tam")</f>
        <v>mx-tam</v>
      </c>
      <c r="C3071" s="9" t="str">
        <f>IFERROR(__xludf.DUMMYFUNCTION("GOOGLETRANSLATE($A3071,""en"",""de"")"),"Tamaulipas")</f>
        <v>Tamaulipas</v>
      </c>
      <c r="D3071" s="9" t="str">
        <f>IFERROR(__xludf.DUMMYFUNCTION("GOOGLETRANSLATE($A3071,""en"",""fr"")"),"Tamaulipas")</f>
        <v>Tamaulipas</v>
      </c>
      <c r="E3071" s="9" t="str">
        <f>IFERROR(__xludf.DUMMYFUNCTION("GOOGLETRANSLATE($A3071,""en"",""es"")"),"Tamaulipas")</f>
        <v>Tamaulipas</v>
      </c>
      <c r="F3071" s="9" t="str">
        <f>IFERROR(__xludf.DUMMYFUNCTION("GOOGLETRANSLATE($A3071,""en"",""it"")"),"Tamaulipas")</f>
        <v>Tamaulipas</v>
      </c>
      <c r="G3071" s="9" t="str">
        <f>IFERROR(__xludf.DUMMYFUNCTION("GOOGLETRANSLATE($A3071,""en"",""zh-cn"")"),"塔毛利帕斯州")</f>
        <v>塔毛利帕斯州</v>
      </c>
      <c r="H3071" s="9" t="str">
        <f>IFERROR(__xludf.DUMMYFUNCTION("GOOGLETRANSLATE($A3071,""en"",""ja"")"),"タマウリパス州")</f>
        <v>タマウリパス州</v>
      </c>
      <c r="I3071" s="9" t="str">
        <f>IFERROR(__xludf.DUMMYFUNCTION("GOOGLETRANSLATE($A3071,""en"",""ko"")"),"타마울리파스")</f>
        <v>타마울리파스</v>
      </c>
      <c r="J3071" s="9" t="str">
        <f>IFERROR(__xludf.DUMMYFUNCTION("GOOGLETRANSLATE($A3071,""en"",""pt-BR"")"),"Tamaulipas")</f>
        <v>Tamaulipas</v>
      </c>
    </row>
    <row r="3072">
      <c r="A3072" s="9" t="str">
        <f>IFERROR(__xludf.DUMMYFUNCTION("""COMPUTED_VALUE"""),"Yucatán")</f>
        <v>Yucatán</v>
      </c>
      <c r="B3072" s="9" t="str">
        <f>IFERROR(__xludf.DUMMYFUNCTION("""COMPUTED_VALUE"""),"mx-yuc")</f>
        <v>mx-yuc</v>
      </c>
      <c r="C3072" s="9" t="str">
        <f>IFERROR(__xludf.DUMMYFUNCTION("GOOGLETRANSLATE($A3072,""en"",""de"")"),"Yucatán")</f>
        <v>Yucatán</v>
      </c>
      <c r="D3072" s="9" t="str">
        <f>IFERROR(__xludf.DUMMYFUNCTION("GOOGLETRANSLATE($A3072,""en"",""fr"")"),"Yucatán")</f>
        <v>Yucatán</v>
      </c>
      <c r="E3072" s="9" t="str">
        <f>IFERROR(__xludf.DUMMYFUNCTION("GOOGLETRANSLATE($A3072,""en"",""es"")"),"Yucatán")</f>
        <v>Yucatán</v>
      </c>
      <c r="F3072" s="9" t="str">
        <f>IFERROR(__xludf.DUMMYFUNCTION("GOOGLETRANSLATE($A3072,""en"",""it"")"),"Yucatán")</f>
        <v>Yucatán</v>
      </c>
      <c r="G3072" s="9" t="str">
        <f>IFERROR(__xludf.DUMMYFUNCTION("GOOGLETRANSLATE($A3072,""en"",""zh-cn"")"),"尤卡坦州")</f>
        <v>尤卡坦州</v>
      </c>
      <c r="H3072" s="9" t="str">
        <f>IFERROR(__xludf.DUMMYFUNCTION("GOOGLETRANSLATE($A3072,""en"",""ja"")"),"ユカタン州")</f>
        <v>ユカタン州</v>
      </c>
      <c r="I3072" s="9" t="str">
        <f>IFERROR(__xludf.DUMMYFUNCTION("GOOGLETRANSLATE($A3072,""en"",""ko"")"),"유카탄")</f>
        <v>유카탄</v>
      </c>
      <c r="J3072" s="9" t="str">
        <f>IFERROR(__xludf.DUMMYFUNCTION("GOOGLETRANSLATE($A3072,""en"",""pt-BR"")"),"Yucatán")</f>
        <v>Yucatán</v>
      </c>
    </row>
    <row r="3073">
      <c r="A3073" s="9" t="str">
        <f>IFERROR(__xludf.DUMMYFUNCTION("""COMPUTED_VALUE"""),"Aguascalientes")</f>
        <v>Aguascalientes</v>
      </c>
      <c r="B3073" s="9" t="str">
        <f>IFERROR(__xludf.DUMMYFUNCTION("""COMPUTED_VALUE"""),"mx-agu")</f>
        <v>mx-agu</v>
      </c>
      <c r="C3073" s="9" t="str">
        <f>IFERROR(__xludf.DUMMYFUNCTION("GOOGLETRANSLATE($A3073,""en"",""de"")"),"Aguascalientes")</f>
        <v>Aguascalientes</v>
      </c>
      <c r="D3073" s="9" t="str">
        <f>IFERROR(__xludf.DUMMYFUNCTION("GOOGLETRANSLATE($A3073,""en"",""fr"")"),"Aguascalientes")</f>
        <v>Aguascalientes</v>
      </c>
      <c r="E3073" s="9" t="str">
        <f>IFERROR(__xludf.DUMMYFUNCTION("GOOGLETRANSLATE($A3073,""en"",""es"")"),"Aguascalientes")</f>
        <v>Aguascalientes</v>
      </c>
      <c r="F3073" s="9" t="str">
        <f>IFERROR(__xludf.DUMMYFUNCTION("GOOGLETRANSLATE($A3073,""en"",""it"")"),"Aguascalientes")</f>
        <v>Aguascalientes</v>
      </c>
      <c r="G3073" s="9" t="str">
        <f>IFERROR(__xludf.DUMMYFUNCTION("GOOGLETRANSLATE($A3073,""en"",""zh-cn"")"),"阿瓜斯卡连特斯")</f>
        <v>阿瓜斯卡连特斯</v>
      </c>
      <c r="H3073" s="9" t="str">
        <f>IFERROR(__xludf.DUMMYFUNCTION("GOOGLETRANSLATE($A3073,""en"",""ja"")"),"アグアスカリエンテス")</f>
        <v>アグアスカリエンテス</v>
      </c>
      <c r="I3073" s="9" t="str">
        <f>IFERROR(__xludf.DUMMYFUNCTION("GOOGLETRANSLATE($A3073,""en"",""ko"")"),"아과스칼리엔테스")</f>
        <v>아과스칼리엔테스</v>
      </c>
      <c r="J3073" s="9" t="str">
        <f>IFERROR(__xludf.DUMMYFUNCTION("GOOGLETRANSLATE($A3073,""en"",""pt-BR"")"),"Aguascalientes")</f>
        <v>Aguascalientes</v>
      </c>
    </row>
    <row r="3074">
      <c r="A3074" s="9" t="str">
        <f>IFERROR(__xludf.DUMMYFUNCTION("""COMPUTED_VALUE"""),"Colima")</f>
        <v>Colima</v>
      </c>
      <c r="B3074" s="9" t="str">
        <f>IFERROR(__xludf.DUMMYFUNCTION("""COMPUTED_VALUE"""),"mx-col")</f>
        <v>mx-col</v>
      </c>
      <c r="C3074" s="9" t="str">
        <f>IFERROR(__xludf.DUMMYFUNCTION("GOOGLETRANSLATE($A3074,""en"",""de"")"),"Colima")</f>
        <v>Colima</v>
      </c>
      <c r="D3074" s="9" t="str">
        <f>IFERROR(__xludf.DUMMYFUNCTION("GOOGLETRANSLATE($A3074,""en"",""fr"")"),"Colima")</f>
        <v>Colima</v>
      </c>
      <c r="E3074" s="9" t="str">
        <f>IFERROR(__xludf.DUMMYFUNCTION("GOOGLETRANSLATE($A3074,""en"",""es"")"),"Colima")</f>
        <v>Colima</v>
      </c>
      <c r="F3074" s="9" t="str">
        <f>IFERROR(__xludf.DUMMYFUNCTION("GOOGLETRANSLATE($A3074,""en"",""it"")"),"Colima")</f>
        <v>Colima</v>
      </c>
      <c r="G3074" s="9" t="str">
        <f>IFERROR(__xludf.DUMMYFUNCTION("GOOGLETRANSLATE($A3074,""en"",""zh-cn"")"),"科利马州")</f>
        <v>科利马州</v>
      </c>
      <c r="H3074" s="9" t="str">
        <f>IFERROR(__xludf.DUMMYFUNCTION("GOOGLETRANSLATE($A3074,""en"",""ja"")"),"コリマ")</f>
        <v>コリマ</v>
      </c>
      <c r="I3074" s="9" t="str">
        <f>IFERROR(__xludf.DUMMYFUNCTION("GOOGLETRANSLATE($A3074,""en"",""ko"")"),"콜리마")</f>
        <v>콜리마</v>
      </c>
      <c r="J3074" s="9" t="str">
        <f>IFERROR(__xludf.DUMMYFUNCTION("GOOGLETRANSLATE($A3074,""en"",""pt-BR"")"),"Colima")</f>
        <v>Colima</v>
      </c>
    </row>
    <row r="3075">
      <c r="A3075" s="9" t="str">
        <f>IFERROR(__xludf.DUMMYFUNCTION("""COMPUTED_VALUE"""),"Veracruz")</f>
        <v>Veracruz</v>
      </c>
      <c r="B3075" s="9" t="str">
        <f>IFERROR(__xludf.DUMMYFUNCTION("""COMPUTED_VALUE"""),"mx-ver")</f>
        <v>mx-ver</v>
      </c>
      <c r="C3075" s="9" t="str">
        <f>IFERROR(__xludf.DUMMYFUNCTION("GOOGLETRANSLATE($A3075,""en"",""de"")"),"Veracruz")</f>
        <v>Veracruz</v>
      </c>
      <c r="D3075" s="9" t="str">
        <f>IFERROR(__xludf.DUMMYFUNCTION("GOOGLETRANSLATE($A3075,""en"",""fr"")"),"Veracruz")</f>
        <v>Veracruz</v>
      </c>
      <c r="E3075" s="9" t="str">
        <f>IFERROR(__xludf.DUMMYFUNCTION("GOOGLETRANSLATE($A3075,""en"",""es"")"),"Veracruz")</f>
        <v>Veracruz</v>
      </c>
      <c r="F3075" s="9" t="str">
        <f>IFERROR(__xludf.DUMMYFUNCTION("GOOGLETRANSLATE($A3075,""en"",""it"")"),"Veracruz")</f>
        <v>Veracruz</v>
      </c>
      <c r="G3075" s="9" t="str">
        <f>IFERROR(__xludf.DUMMYFUNCTION("GOOGLETRANSLATE($A3075,""en"",""zh-cn"")"),"韦拉克鲁斯")</f>
        <v>韦拉克鲁斯</v>
      </c>
      <c r="H3075" s="9" t="str">
        <f>IFERROR(__xludf.DUMMYFUNCTION("GOOGLETRANSLATE($A3075,""en"",""ja"")"),"ベラクルス")</f>
        <v>ベラクルス</v>
      </c>
      <c r="I3075" s="9" t="str">
        <f>IFERROR(__xludf.DUMMYFUNCTION("GOOGLETRANSLATE($A3075,""en"",""ko"")"),"베라크루즈")</f>
        <v>베라크루즈</v>
      </c>
      <c r="J3075" s="9" t="str">
        <f>IFERROR(__xludf.DUMMYFUNCTION("GOOGLETRANSLATE($A3075,""en"",""pt-BR"")"),"Veracruz")</f>
        <v>Veracruz</v>
      </c>
    </row>
    <row r="3076">
      <c r="A3076" s="9" t="str">
        <f>IFERROR(__xludf.DUMMYFUNCTION("""COMPUTED_VALUE"""),"Tabasco")</f>
        <v>Tabasco</v>
      </c>
      <c r="B3076" s="9" t="str">
        <f>IFERROR(__xludf.DUMMYFUNCTION("""COMPUTED_VALUE"""),"mx-tab")</f>
        <v>mx-tab</v>
      </c>
      <c r="C3076" s="9" t="str">
        <f>IFERROR(__xludf.DUMMYFUNCTION("GOOGLETRANSLATE($A3076,""en"",""de"")"),"Tabasco")</f>
        <v>Tabasco</v>
      </c>
      <c r="D3076" s="9" t="str">
        <f>IFERROR(__xludf.DUMMYFUNCTION("GOOGLETRANSLATE($A3076,""en"",""fr"")"),"Tabasco")</f>
        <v>Tabasco</v>
      </c>
      <c r="E3076" s="9" t="str">
        <f>IFERROR(__xludf.DUMMYFUNCTION("GOOGLETRANSLATE($A3076,""en"",""es"")"),"salsa Tabasco")</f>
        <v>salsa Tabasco</v>
      </c>
      <c r="F3076" s="9" t="str">
        <f>IFERROR(__xludf.DUMMYFUNCTION("GOOGLETRANSLATE($A3076,""en"",""it"")"),"Tabasco")</f>
        <v>Tabasco</v>
      </c>
      <c r="G3076" s="9" t="str">
        <f>IFERROR(__xludf.DUMMYFUNCTION("GOOGLETRANSLATE($A3076,""en"",""zh-cn"")"),"塔巴斯科州")</f>
        <v>塔巴斯科州</v>
      </c>
      <c r="H3076" s="9" t="str">
        <f>IFERROR(__xludf.DUMMYFUNCTION("GOOGLETRANSLATE($A3076,""en"",""ja"")"),"タバスコ")</f>
        <v>タバスコ</v>
      </c>
      <c r="I3076" s="9" t="str">
        <f>IFERROR(__xludf.DUMMYFUNCTION("GOOGLETRANSLATE($A3076,""en"",""ko"")"),"타바스코")</f>
        <v>타바스코</v>
      </c>
      <c r="J3076" s="9" t="str">
        <f>IFERROR(__xludf.DUMMYFUNCTION("GOOGLETRANSLATE($A3076,""en"",""pt-BR"")"),"Tabasco")</f>
        <v>Tabasco</v>
      </c>
    </row>
    <row r="3077">
      <c r="A3077" s="9" t="str">
        <f>IFERROR(__xludf.DUMMYFUNCTION("""COMPUTED_VALUE"""),"Baja California")</f>
        <v>Baja California</v>
      </c>
      <c r="B3077" s="9" t="str">
        <f>IFERROR(__xludf.DUMMYFUNCTION("""COMPUTED_VALUE"""),"mx-bcn")</f>
        <v>mx-bcn</v>
      </c>
      <c r="C3077" s="9" t="str">
        <f>IFERROR(__xludf.DUMMYFUNCTION("GOOGLETRANSLATE($A3077,""en"",""de"")"),"Baja California")</f>
        <v>Baja California</v>
      </c>
      <c r="D3077" s="9" t="str">
        <f>IFERROR(__xludf.DUMMYFUNCTION("GOOGLETRANSLATE($A3077,""en"",""fr"")"),"Basse-Californie")</f>
        <v>Basse-Californie</v>
      </c>
      <c r="E3077" s="9" t="str">
        <f>IFERROR(__xludf.DUMMYFUNCTION("GOOGLETRANSLATE($A3077,""en"",""es"")"),"Baja California")</f>
        <v>Baja California</v>
      </c>
      <c r="F3077" s="9" t="str">
        <f>IFERROR(__xludf.DUMMYFUNCTION("GOOGLETRANSLATE($A3077,""en"",""it"")"),"Bassa California")</f>
        <v>Bassa California</v>
      </c>
      <c r="G3077" s="9" t="str">
        <f>IFERROR(__xludf.DUMMYFUNCTION("GOOGLETRANSLATE($A3077,""en"",""zh-cn"")"),"下加利福尼亚州")</f>
        <v>下加利福尼亚州</v>
      </c>
      <c r="H3077" s="9" t="str">
        <f>IFERROR(__xludf.DUMMYFUNCTION("GOOGLETRANSLATE($A3077,""en"",""ja"")"),"バハ・カリフォルニア")</f>
        <v>バハ・カリフォルニア</v>
      </c>
      <c r="I3077" s="9" t="str">
        <f>IFERROR(__xludf.DUMMYFUNCTION("GOOGLETRANSLATE($A3077,""en"",""ko"")"),"바하 캘리포니아")</f>
        <v>바하 캘리포니아</v>
      </c>
      <c r="J3077" s="9" t="str">
        <f>IFERROR(__xludf.DUMMYFUNCTION("GOOGLETRANSLATE($A3077,""en"",""pt-BR"")"),"Baixa Califórnia")</f>
        <v>Baixa Califórnia</v>
      </c>
    </row>
    <row r="3078">
      <c r="A3078" s="9" t="str">
        <f>IFERROR(__xludf.DUMMYFUNCTION("""COMPUTED_VALUE"""),"Durango")</f>
        <v>Durango</v>
      </c>
      <c r="B3078" s="9" t="str">
        <f>IFERROR(__xludf.DUMMYFUNCTION("""COMPUTED_VALUE"""),"mx-dur")</f>
        <v>mx-dur</v>
      </c>
      <c r="C3078" s="9" t="str">
        <f>IFERROR(__xludf.DUMMYFUNCTION("GOOGLETRANSLATE($A3078,""en"",""de"")"),"Durango")</f>
        <v>Durango</v>
      </c>
      <c r="D3078" s="9" t="str">
        <f>IFERROR(__xludf.DUMMYFUNCTION("GOOGLETRANSLATE($A3078,""en"",""fr"")"),"Durango")</f>
        <v>Durango</v>
      </c>
      <c r="E3078" s="9" t="str">
        <f>IFERROR(__xludf.DUMMYFUNCTION("GOOGLETRANSLATE($A3078,""en"",""es"")"),"durango")</f>
        <v>durango</v>
      </c>
      <c r="F3078" s="9" t="str">
        <f>IFERROR(__xludf.DUMMYFUNCTION("GOOGLETRANSLATE($A3078,""en"",""it"")"),"Durango")</f>
        <v>Durango</v>
      </c>
      <c r="G3078" s="9" t="str">
        <f>IFERROR(__xludf.DUMMYFUNCTION("GOOGLETRANSLATE($A3078,""en"",""zh-cn"")"),"杜兰戈")</f>
        <v>杜兰戈</v>
      </c>
      <c r="H3078" s="9" t="str">
        <f>IFERROR(__xludf.DUMMYFUNCTION("GOOGLETRANSLATE($A3078,""en"",""ja"")"),"デュランゴ")</f>
        <v>デュランゴ</v>
      </c>
      <c r="I3078" s="9" t="str">
        <f>IFERROR(__xludf.DUMMYFUNCTION("GOOGLETRANSLATE($A3078,""en"",""ko"")"),"듀랑고")</f>
        <v>듀랑고</v>
      </c>
      <c r="J3078" s="9" t="str">
        <f>IFERROR(__xludf.DUMMYFUNCTION("GOOGLETRANSLATE($A3078,""en"",""pt-BR"")"),"Durango")</f>
        <v>Durango</v>
      </c>
    </row>
    <row r="3079">
      <c r="A3079" s="9" t="str">
        <f>IFERROR(__xludf.DUMMYFUNCTION("""COMPUTED_VALUE"""),"Coahuila")</f>
        <v>Coahuila</v>
      </c>
      <c r="B3079" s="9" t="str">
        <f>IFERROR(__xludf.DUMMYFUNCTION("""COMPUTED_VALUE"""),"mx-coa")</f>
        <v>mx-coa</v>
      </c>
      <c r="C3079" s="9" t="str">
        <f>IFERROR(__xludf.DUMMYFUNCTION("GOOGLETRANSLATE($A3079,""en"",""de"")"),"Coahuila")</f>
        <v>Coahuila</v>
      </c>
      <c r="D3079" s="9" t="str">
        <f>IFERROR(__xludf.DUMMYFUNCTION("GOOGLETRANSLATE($A3079,""en"",""fr"")"),"Coahuila")</f>
        <v>Coahuila</v>
      </c>
      <c r="E3079" s="9" t="str">
        <f>IFERROR(__xludf.DUMMYFUNCTION("GOOGLETRANSLATE($A3079,""en"",""es"")"),"Coahuila")</f>
        <v>Coahuila</v>
      </c>
      <c r="F3079" s="9" t="str">
        <f>IFERROR(__xludf.DUMMYFUNCTION("GOOGLETRANSLATE($A3079,""en"",""it"")"),"Coahuila")</f>
        <v>Coahuila</v>
      </c>
      <c r="G3079" s="9" t="str">
        <f>IFERROR(__xludf.DUMMYFUNCTION("GOOGLETRANSLATE($A3079,""en"",""zh-cn"")"),"科阿韦拉州")</f>
        <v>科阿韦拉州</v>
      </c>
      <c r="H3079" s="9" t="str">
        <f>IFERROR(__xludf.DUMMYFUNCTION("GOOGLETRANSLATE($A3079,""en"",""ja"")"),"コアウイラ州")</f>
        <v>コアウイラ州</v>
      </c>
      <c r="I3079" s="9" t="str">
        <f>IFERROR(__xludf.DUMMYFUNCTION("GOOGLETRANSLATE($A3079,""en"",""ko"")"),"코아우일라")</f>
        <v>코아우일라</v>
      </c>
      <c r="J3079" s="9" t="str">
        <f>IFERROR(__xludf.DUMMYFUNCTION("GOOGLETRANSLATE($A3079,""en"",""pt-BR"")"),"Coahuila")</f>
        <v>Coahuila</v>
      </c>
    </row>
    <row r="3080">
      <c r="A3080" s="9" t="str">
        <f>IFERROR(__xludf.DUMMYFUNCTION("""COMPUTED_VALUE"""),"Nuevo León")</f>
        <v>Nuevo León</v>
      </c>
      <c r="B3080" s="9" t="str">
        <f>IFERROR(__xludf.DUMMYFUNCTION("""COMPUTED_VALUE"""),"mx-nle")</f>
        <v>mx-nle</v>
      </c>
      <c r="C3080" s="9" t="str">
        <f>IFERROR(__xludf.DUMMYFUNCTION("GOOGLETRANSLATE($A3080,""en"",""de"")"),"Nuevo León")</f>
        <v>Nuevo León</v>
      </c>
      <c r="D3080" s="9" t="str">
        <f>IFERROR(__xludf.DUMMYFUNCTION("GOOGLETRANSLATE($A3080,""en"",""fr"")"),"Nouveau Léon")</f>
        <v>Nouveau Léon</v>
      </c>
      <c r="E3080" s="9" t="str">
        <f>IFERROR(__xludf.DUMMYFUNCTION("GOOGLETRANSLATE($A3080,""en"",""es"")"),"Nuevo León")</f>
        <v>Nuevo León</v>
      </c>
      <c r="F3080" s="9" t="str">
        <f>IFERROR(__xludf.DUMMYFUNCTION("GOOGLETRANSLATE($A3080,""en"",""it"")"),"Nuovo Leon")</f>
        <v>Nuovo Leon</v>
      </c>
      <c r="G3080" s="9" t="str">
        <f>IFERROR(__xludf.DUMMYFUNCTION("GOOGLETRANSLATE($A3080,""en"",""zh-cn"")"),"新莱昂州")</f>
        <v>新莱昂州</v>
      </c>
      <c r="H3080" s="9" t="str">
        <f>IFERROR(__xludf.DUMMYFUNCTION("GOOGLETRANSLATE($A3080,""en"",""ja"")"),"ヌエボ レオン")</f>
        <v>ヌエボ レオン</v>
      </c>
      <c r="I3080" s="9" t="str">
        <f>IFERROR(__xludf.DUMMYFUNCTION("GOOGLETRANSLATE($A3080,""en"",""ko"")"),"누에보 레온")</f>
        <v>누에보 레온</v>
      </c>
      <c r="J3080" s="9" t="str">
        <f>IFERROR(__xludf.DUMMYFUNCTION("GOOGLETRANSLATE($A3080,""en"",""pt-BR"")"),"Novo Leão")</f>
        <v>Novo Leão</v>
      </c>
    </row>
    <row r="3081">
      <c r="A3081" s="9" t="str">
        <f>IFERROR(__xludf.DUMMYFUNCTION("""COMPUTED_VALUE"""),"San Luis Potosí")</f>
        <v>San Luis Potosí</v>
      </c>
      <c r="B3081" s="9" t="str">
        <f>IFERROR(__xludf.DUMMYFUNCTION("""COMPUTED_VALUE"""),"mx-slp")</f>
        <v>mx-slp</v>
      </c>
      <c r="C3081" s="9" t="str">
        <f>IFERROR(__xludf.DUMMYFUNCTION("GOOGLETRANSLATE($A3081,""en"",""de"")"),"San Luis Potosí")</f>
        <v>San Luis Potosí</v>
      </c>
      <c r="D3081" s="9" t="str">
        <f>IFERROR(__xludf.DUMMYFUNCTION("GOOGLETRANSLATE($A3081,""en"",""fr"")"),"San Luis Potosi")</f>
        <v>San Luis Potosi</v>
      </c>
      <c r="E3081" s="9" t="str">
        <f>IFERROR(__xludf.DUMMYFUNCTION("GOOGLETRANSLATE($A3081,""en"",""es"")"),"San Luis Potosí")</f>
        <v>San Luis Potosí</v>
      </c>
      <c r="F3081" s="9" t="str">
        <f>IFERROR(__xludf.DUMMYFUNCTION("GOOGLETRANSLATE($A3081,""en"",""it"")"),"San Luis Potosi")</f>
        <v>San Luis Potosi</v>
      </c>
      <c r="G3081" s="9" t="str">
        <f>IFERROR(__xludf.DUMMYFUNCTION("GOOGLETRANSLATE($A3081,""en"",""zh-cn"")"),"圣路易斯波托西")</f>
        <v>圣路易斯波托西</v>
      </c>
      <c r="H3081" s="9" t="str">
        <f>IFERROR(__xludf.DUMMYFUNCTION("GOOGLETRANSLATE($A3081,""en"",""ja"")"),"サン・ルイス・ポトシ")</f>
        <v>サン・ルイス・ポトシ</v>
      </c>
      <c r="I3081" s="9" t="str">
        <f>IFERROR(__xludf.DUMMYFUNCTION("GOOGLETRANSLATE($A3081,""en"",""ko"")"),"산 루이스 포토시")</f>
        <v>산 루이스 포토시</v>
      </c>
      <c r="J3081" s="9" t="str">
        <f>IFERROR(__xludf.DUMMYFUNCTION("GOOGLETRANSLATE($A3081,""en"",""pt-BR"")"),"São Luís Potosí")</f>
        <v>São Luís Potosí</v>
      </c>
    </row>
    <row r="3082">
      <c r="A3082" s="9" t="str">
        <f>IFERROR(__xludf.DUMMYFUNCTION("""COMPUTED_VALUE"""),"Chihuahua")</f>
        <v>Chihuahua</v>
      </c>
      <c r="B3082" s="9" t="str">
        <f>IFERROR(__xludf.DUMMYFUNCTION("""COMPUTED_VALUE"""),"mx-chh")</f>
        <v>mx-chh</v>
      </c>
      <c r="C3082" s="9" t="str">
        <f>IFERROR(__xludf.DUMMYFUNCTION("GOOGLETRANSLATE($A3082,""en"",""de"")"),"Chihuahua")</f>
        <v>Chihuahua</v>
      </c>
      <c r="D3082" s="9" t="str">
        <f>IFERROR(__xludf.DUMMYFUNCTION("GOOGLETRANSLATE($A3082,""en"",""fr"")"),"Chihuahua")</f>
        <v>Chihuahua</v>
      </c>
      <c r="E3082" s="9" t="str">
        <f>IFERROR(__xludf.DUMMYFUNCTION("GOOGLETRANSLATE($A3082,""en"",""es"")"),"chihuahua")</f>
        <v>chihuahua</v>
      </c>
      <c r="F3082" s="9" t="str">
        <f>IFERROR(__xludf.DUMMYFUNCTION("GOOGLETRANSLATE($A3082,""en"",""it"")"),"Chihuahua")</f>
        <v>Chihuahua</v>
      </c>
      <c r="G3082" s="9" t="str">
        <f>IFERROR(__xludf.DUMMYFUNCTION("GOOGLETRANSLATE($A3082,""en"",""zh-cn"")"),"奇瓦瓦州")</f>
        <v>奇瓦瓦州</v>
      </c>
      <c r="H3082" s="9" t="str">
        <f>IFERROR(__xludf.DUMMYFUNCTION("GOOGLETRANSLATE($A3082,""en"",""ja"")"),"チワワ")</f>
        <v>チワワ</v>
      </c>
      <c r="I3082" s="9" t="str">
        <f>IFERROR(__xludf.DUMMYFUNCTION("GOOGLETRANSLATE($A3082,""en"",""ko"")"),"치와와")</f>
        <v>치와와</v>
      </c>
      <c r="J3082" s="9" t="str">
        <f>IFERROR(__xludf.DUMMYFUNCTION("GOOGLETRANSLATE($A3082,""en"",""pt-BR"")"),"chihuahua")</f>
        <v>chihuahua</v>
      </c>
    </row>
    <row r="3083">
      <c r="A3083" s="9" t="str">
        <f>IFERROR(__xludf.DUMMYFUNCTION("""COMPUTED_VALUE"""),"Tlaxcala")</f>
        <v>Tlaxcala</v>
      </c>
      <c r="B3083" s="9" t="str">
        <f>IFERROR(__xludf.DUMMYFUNCTION("""COMPUTED_VALUE"""),"mx-tla")</f>
        <v>mx-tla</v>
      </c>
      <c r="C3083" s="9" t="str">
        <f>IFERROR(__xludf.DUMMYFUNCTION("GOOGLETRANSLATE($A3083,""en"",""de"")"),"Tlaxcala")</f>
        <v>Tlaxcala</v>
      </c>
      <c r="D3083" s="9" t="str">
        <f>IFERROR(__xludf.DUMMYFUNCTION("GOOGLETRANSLATE($A3083,""en"",""fr"")"),"Tlaxcala")</f>
        <v>Tlaxcala</v>
      </c>
      <c r="E3083" s="9" t="str">
        <f>IFERROR(__xludf.DUMMYFUNCTION("GOOGLETRANSLATE($A3083,""en"",""es"")"),"Tlaxcala")</f>
        <v>Tlaxcala</v>
      </c>
      <c r="F3083" s="9" t="str">
        <f>IFERROR(__xludf.DUMMYFUNCTION("GOOGLETRANSLATE($A3083,""en"",""it"")"),"Tlaxcala")</f>
        <v>Tlaxcala</v>
      </c>
      <c r="G3083" s="9" t="str">
        <f>IFERROR(__xludf.DUMMYFUNCTION("GOOGLETRANSLATE($A3083,""en"",""zh-cn"")"),"特拉斯卡拉")</f>
        <v>特拉斯卡拉</v>
      </c>
      <c r="H3083" s="9" t="str">
        <f>IFERROR(__xludf.DUMMYFUNCTION("GOOGLETRANSLATE($A3083,""en"",""ja"")"),"トラスカラ")</f>
        <v>トラスカラ</v>
      </c>
      <c r="I3083" s="9" t="str">
        <f>IFERROR(__xludf.DUMMYFUNCTION("GOOGLETRANSLATE($A3083,""en"",""ko"")"),"틀락스칼라")</f>
        <v>틀락스칼라</v>
      </c>
      <c r="J3083" s="9" t="str">
        <f>IFERROR(__xludf.DUMMYFUNCTION("GOOGLETRANSLATE($A3083,""en"",""pt-BR"")"),"Tlaxcala")</f>
        <v>Tlaxcala</v>
      </c>
    </row>
    <row r="3084">
      <c r="A3084" s="9" t="str">
        <f>IFERROR(__xludf.DUMMYFUNCTION("""COMPUTED_VALUE"""),"Baja California Sur")</f>
        <v>Baja California Sur</v>
      </c>
      <c r="B3084" s="9" t="str">
        <f>IFERROR(__xludf.DUMMYFUNCTION("""COMPUTED_VALUE"""),"mx-bcs")</f>
        <v>mx-bcs</v>
      </c>
      <c r="C3084" s="9" t="str">
        <f>IFERROR(__xludf.DUMMYFUNCTION("GOOGLETRANSLATE($A3084,""en"",""de"")"),"Baja California Sur")</f>
        <v>Baja California Sur</v>
      </c>
      <c r="D3084" s="9" t="str">
        <f>IFERROR(__xludf.DUMMYFUNCTION("GOOGLETRANSLATE($A3084,""en"",""fr"")"),"Basse-Californie du Sud")</f>
        <v>Basse-Californie du Sud</v>
      </c>
      <c r="E3084" s="9" t="str">
        <f>IFERROR(__xludf.DUMMYFUNCTION("GOOGLETRANSLATE($A3084,""en"",""es"")"),"Baja California Sur")</f>
        <v>Baja California Sur</v>
      </c>
      <c r="F3084" s="9" t="str">
        <f>IFERROR(__xludf.DUMMYFUNCTION("GOOGLETRANSLATE($A3084,""en"",""it"")"),"Bassa California del Sud")</f>
        <v>Bassa California del Sud</v>
      </c>
      <c r="G3084" s="9" t="str">
        <f>IFERROR(__xludf.DUMMYFUNCTION("GOOGLETRANSLATE($A3084,""en"",""zh-cn"")"),"南下加利福尼亚州")</f>
        <v>南下加利福尼亚州</v>
      </c>
      <c r="H3084" s="9" t="str">
        <f>IFERROR(__xludf.DUMMYFUNCTION("GOOGLETRANSLATE($A3084,""en"",""ja"")"),"バハ カリフォルニア スル")</f>
        <v>バハ カリフォルニア スル</v>
      </c>
      <c r="I3084" s="9" t="str">
        <f>IFERROR(__xludf.DUMMYFUNCTION("GOOGLETRANSLATE($A3084,""en"",""ko"")"),"바하 캘리포니아 수르")</f>
        <v>바하 캘리포니아 수르</v>
      </c>
      <c r="J3084" s="9" t="str">
        <f>IFERROR(__xludf.DUMMYFUNCTION("GOOGLETRANSLATE($A3084,""en"",""pt-BR"")"),"Baixa Califórnia Sul")</f>
        <v>Baixa Califórnia Sul</v>
      </c>
    </row>
    <row r="3085">
      <c r="A3085" s="9" t="str">
        <f>IFERROR(__xludf.DUMMYFUNCTION("""COMPUTED_VALUE"""),"Morelos")</f>
        <v>Morelos</v>
      </c>
      <c r="B3085" s="9" t="str">
        <f>IFERROR(__xludf.DUMMYFUNCTION("""COMPUTED_VALUE"""),"mx-mor")</f>
        <v>mx-mor</v>
      </c>
      <c r="C3085" s="9" t="str">
        <f>IFERROR(__xludf.DUMMYFUNCTION("GOOGLETRANSLATE($A3085,""en"",""de"")"),"Morelos")</f>
        <v>Morelos</v>
      </c>
      <c r="D3085" s="9" t="str">
        <f>IFERROR(__xludf.DUMMYFUNCTION("GOOGLETRANSLATE($A3085,""en"",""fr"")"),"Morelos")</f>
        <v>Morelos</v>
      </c>
      <c r="E3085" s="9" t="str">
        <f>IFERROR(__xludf.DUMMYFUNCTION("GOOGLETRANSLATE($A3085,""en"",""es"")"),"Morelos")</f>
        <v>Morelos</v>
      </c>
      <c r="F3085" s="9" t="str">
        <f>IFERROR(__xludf.DUMMYFUNCTION("GOOGLETRANSLATE($A3085,""en"",""it"")"),"Morelos")</f>
        <v>Morelos</v>
      </c>
      <c r="G3085" s="9" t="str">
        <f>IFERROR(__xludf.DUMMYFUNCTION("GOOGLETRANSLATE($A3085,""en"",""zh-cn"")"),"莫雷洛斯州")</f>
        <v>莫雷洛斯州</v>
      </c>
      <c r="H3085" s="9" t="str">
        <f>IFERROR(__xludf.DUMMYFUNCTION("GOOGLETRANSLATE($A3085,""en"",""ja"")"),"モレロス州")</f>
        <v>モレロス州</v>
      </c>
      <c r="I3085" s="9" t="str">
        <f>IFERROR(__xludf.DUMMYFUNCTION("GOOGLETRANSLATE($A3085,""en"",""ko"")"),"모렐로스")</f>
        <v>모렐로스</v>
      </c>
      <c r="J3085" s="9" t="str">
        <f>IFERROR(__xludf.DUMMYFUNCTION("GOOGLETRANSLATE($A3085,""en"",""pt-BR"")"),"Morelos")</f>
        <v>Morelos</v>
      </c>
    </row>
    <row r="3086">
      <c r="A3086" s="9" t="str">
        <f>IFERROR(__xludf.DUMMYFUNCTION("""COMPUTED_VALUE"""),"Mexico City")</f>
        <v>Mexico City</v>
      </c>
      <c r="B3086" s="9" t="str">
        <f>IFERROR(__xludf.DUMMYFUNCTION("""COMPUTED_VALUE"""),"mx-cmx")</f>
        <v>mx-cmx</v>
      </c>
      <c r="C3086" s="9" t="str">
        <f>IFERROR(__xludf.DUMMYFUNCTION("GOOGLETRANSLATE($A3086,""en"",""de"")"),"Mexiko-Stadt")</f>
        <v>Mexiko-Stadt</v>
      </c>
      <c r="D3086" s="9" t="str">
        <f>IFERROR(__xludf.DUMMYFUNCTION("GOOGLETRANSLATE($A3086,""en"",""fr"")"),"Mexico")</f>
        <v>Mexico</v>
      </c>
      <c r="E3086" s="9" t="str">
        <f>IFERROR(__xludf.DUMMYFUNCTION("GOOGLETRANSLATE($A3086,""en"",""es"")"),"Ciudad de México")</f>
        <v>Ciudad de México</v>
      </c>
      <c r="F3086" s="9" t="str">
        <f>IFERROR(__xludf.DUMMYFUNCTION("GOOGLETRANSLATE($A3086,""en"",""it"")"),"Città del Messico")</f>
        <v>Città del Messico</v>
      </c>
      <c r="G3086" s="9" t="str">
        <f>IFERROR(__xludf.DUMMYFUNCTION("GOOGLETRANSLATE($A3086,""en"",""zh-cn"")"),"墨西哥城")</f>
        <v>墨西哥城</v>
      </c>
      <c r="H3086" s="9" t="str">
        <f>IFERROR(__xludf.DUMMYFUNCTION("GOOGLETRANSLATE($A3086,""en"",""ja"")"),"メキシコシティ")</f>
        <v>メキシコシティ</v>
      </c>
      <c r="I3086" s="9" t="str">
        <f>IFERROR(__xludf.DUMMYFUNCTION("GOOGLETRANSLATE($A3086,""en"",""ko"")"),"멕시코시티")</f>
        <v>멕시코시티</v>
      </c>
      <c r="J3086" s="9" t="str">
        <f>IFERROR(__xludf.DUMMYFUNCTION("GOOGLETRANSLATE($A3086,""en"",""pt-BR"")"),"Cidade do México")</f>
        <v>Cidade do México</v>
      </c>
    </row>
    <row r="3087">
      <c r="A3087" s="9" t="str">
        <f>IFERROR(__xludf.DUMMYFUNCTION("""COMPUTED_VALUE"""),"Sinaloa")</f>
        <v>Sinaloa</v>
      </c>
      <c r="B3087" s="9" t="str">
        <f>IFERROR(__xludf.DUMMYFUNCTION("""COMPUTED_VALUE"""),"mx-sin")</f>
        <v>mx-sin</v>
      </c>
      <c r="C3087" s="9" t="str">
        <f>IFERROR(__xludf.DUMMYFUNCTION("GOOGLETRANSLATE($A3087,""en"",""de"")"),"Sinaloa")</f>
        <v>Sinaloa</v>
      </c>
      <c r="D3087" s="9" t="str">
        <f>IFERROR(__xludf.DUMMYFUNCTION("GOOGLETRANSLATE($A3087,""en"",""fr"")"),"Sinaloa")</f>
        <v>Sinaloa</v>
      </c>
      <c r="E3087" s="9" t="str">
        <f>IFERROR(__xludf.DUMMYFUNCTION("GOOGLETRANSLATE($A3087,""en"",""es"")"),"Sinaloa")</f>
        <v>Sinaloa</v>
      </c>
      <c r="F3087" s="9" t="str">
        <f>IFERROR(__xludf.DUMMYFUNCTION("GOOGLETRANSLATE($A3087,""en"",""it"")"),"Sinaloa")</f>
        <v>Sinaloa</v>
      </c>
      <c r="G3087" s="9" t="str">
        <f>IFERROR(__xludf.DUMMYFUNCTION("GOOGLETRANSLATE($A3087,""en"",""zh-cn"")"),"锡那罗亚州")</f>
        <v>锡那罗亚州</v>
      </c>
      <c r="H3087" s="9" t="str">
        <f>IFERROR(__xludf.DUMMYFUNCTION("GOOGLETRANSLATE($A3087,""en"",""ja"")"),"シナロア州")</f>
        <v>シナロア州</v>
      </c>
      <c r="I3087" s="9" t="str">
        <f>IFERROR(__xludf.DUMMYFUNCTION("GOOGLETRANSLATE($A3087,""en"",""ko"")"),"시날로아")</f>
        <v>시날로아</v>
      </c>
      <c r="J3087" s="9" t="str">
        <f>IFERROR(__xludf.DUMMYFUNCTION("GOOGLETRANSLATE($A3087,""en"",""pt-BR"")"),"Sinaloa")</f>
        <v>Sinaloa</v>
      </c>
    </row>
    <row r="3088">
      <c r="A3088" s="9" t="str">
        <f>IFERROR(__xludf.DUMMYFUNCTION("""COMPUTED_VALUE"""),"Sonora")</f>
        <v>Sonora</v>
      </c>
      <c r="B3088" s="9" t="str">
        <f>IFERROR(__xludf.DUMMYFUNCTION("""COMPUTED_VALUE"""),"mx-son")</f>
        <v>mx-son</v>
      </c>
      <c r="C3088" s="9" t="str">
        <f>IFERROR(__xludf.DUMMYFUNCTION("GOOGLETRANSLATE($A3088,""en"",""de"")"),"Sonora")</f>
        <v>Sonora</v>
      </c>
      <c r="D3088" s="9" t="str">
        <f>IFERROR(__xludf.DUMMYFUNCTION("GOOGLETRANSLATE($A3088,""en"",""fr"")"),"Sonora")</f>
        <v>Sonora</v>
      </c>
      <c r="E3088" s="9" t="str">
        <f>IFERROR(__xludf.DUMMYFUNCTION("GOOGLETRANSLATE($A3088,""en"",""es"")"),"Sonora")</f>
        <v>Sonora</v>
      </c>
      <c r="F3088" s="9" t="str">
        <f>IFERROR(__xludf.DUMMYFUNCTION("GOOGLETRANSLATE($A3088,""en"",""it"")"),"Sonora")</f>
        <v>Sonora</v>
      </c>
      <c r="G3088" s="9" t="str">
        <f>IFERROR(__xludf.DUMMYFUNCTION("GOOGLETRANSLATE($A3088,""en"",""zh-cn"")"),"索诺拉")</f>
        <v>索诺拉</v>
      </c>
      <c r="H3088" s="9" t="str">
        <f>IFERROR(__xludf.DUMMYFUNCTION("GOOGLETRANSLATE($A3088,""en"",""ja"")"),"ソノラ州")</f>
        <v>ソノラ州</v>
      </c>
      <c r="I3088" s="9" t="str">
        <f>IFERROR(__xludf.DUMMYFUNCTION("GOOGLETRANSLATE($A3088,""en"",""ko"")"),"소노라")</f>
        <v>소노라</v>
      </c>
      <c r="J3088" s="9" t="str">
        <f>IFERROR(__xludf.DUMMYFUNCTION("GOOGLETRANSLATE($A3088,""en"",""pt-BR"")"),"Sonora")</f>
        <v>Sonora</v>
      </c>
    </row>
    <row r="3089">
      <c r="A3089" s="9" t="str">
        <f>IFERROR(__xludf.DUMMYFUNCTION("""COMPUTED_VALUE"""),"Guanajuato")</f>
        <v>Guanajuato</v>
      </c>
      <c r="B3089" s="9" t="str">
        <f>IFERROR(__xludf.DUMMYFUNCTION("""COMPUTED_VALUE"""),"mx-gua")</f>
        <v>mx-gua</v>
      </c>
      <c r="C3089" s="9" t="str">
        <f>IFERROR(__xludf.DUMMYFUNCTION("GOOGLETRANSLATE($A3089,""en"",""de"")"),"Guanajuato")</f>
        <v>Guanajuato</v>
      </c>
      <c r="D3089" s="9" t="str">
        <f>IFERROR(__xludf.DUMMYFUNCTION("GOOGLETRANSLATE($A3089,""en"",""fr"")"),"Guanajuato")</f>
        <v>Guanajuato</v>
      </c>
      <c r="E3089" s="9" t="str">
        <f>IFERROR(__xludf.DUMMYFUNCTION("GOOGLETRANSLATE($A3089,""en"",""es"")"),"Guanajuato")</f>
        <v>Guanajuato</v>
      </c>
      <c r="F3089" s="9" t="str">
        <f>IFERROR(__xludf.DUMMYFUNCTION("GOOGLETRANSLATE($A3089,""en"",""it"")"),"Guanajuato")</f>
        <v>Guanajuato</v>
      </c>
      <c r="G3089" s="9" t="str">
        <f>IFERROR(__xludf.DUMMYFUNCTION("GOOGLETRANSLATE($A3089,""en"",""zh-cn"")"),"瓜纳华托")</f>
        <v>瓜纳华托</v>
      </c>
      <c r="H3089" s="9" t="str">
        <f>IFERROR(__xludf.DUMMYFUNCTION("GOOGLETRANSLATE($A3089,""en"",""ja"")"),"グアナファト")</f>
        <v>グアナファト</v>
      </c>
      <c r="I3089" s="9" t="str">
        <f>IFERROR(__xludf.DUMMYFUNCTION("GOOGLETRANSLATE($A3089,""en"",""ko"")"),"과나후아토")</f>
        <v>과나후아토</v>
      </c>
      <c r="J3089" s="9" t="str">
        <f>IFERROR(__xludf.DUMMYFUNCTION("GOOGLETRANSLATE($A3089,""en"",""pt-BR"")"),"Guanajuato")</f>
        <v>Guanajuato</v>
      </c>
    </row>
    <row r="3090">
      <c r="A3090" s="9" t="str">
        <f>IFERROR(__xludf.DUMMYFUNCTION("""COMPUTED_VALUE"""),"Michoacán")</f>
        <v>Michoacán</v>
      </c>
      <c r="B3090" s="9" t="str">
        <f>IFERROR(__xludf.DUMMYFUNCTION("""COMPUTED_VALUE"""),"mx-mic")</f>
        <v>mx-mic</v>
      </c>
      <c r="C3090" s="9" t="str">
        <f>IFERROR(__xludf.DUMMYFUNCTION("GOOGLETRANSLATE($A3090,""en"",""de"")"),"Michoacán")</f>
        <v>Michoacán</v>
      </c>
      <c r="D3090" s="9" t="str">
        <f>IFERROR(__xludf.DUMMYFUNCTION("GOOGLETRANSLATE($A3090,""en"",""fr"")"),"Michoacán")</f>
        <v>Michoacán</v>
      </c>
      <c r="E3090" s="9" t="str">
        <f>IFERROR(__xludf.DUMMYFUNCTION("GOOGLETRANSLATE($A3090,""en"",""es"")"),"Michoacán")</f>
        <v>Michoacán</v>
      </c>
      <c r="F3090" s="9" t="str">
        <f>IFERROR(__xludf.DUMMYFUNCTION("GOOGLETRANSLATE($A3090,""en"",""it"")"),"Michoacán")</f>
        <v>Michoacán</v>
      </c>
      <c r="G3090" s="9" t="str">
        <f>IFERROR(__xludf.DUMMYFUNCTION("GOOGLETRANSLATE($A3090,""en"",""zh-cn"")"),"米却肯州")</f>
        <v>米却肯州</v>
      </c>
      <c r="H3090" s="9" t="str">
        <f>IFERROR(__xludf.DUMMYFUNCTION("GOOGLETRANSLATE($A3090,""en"",""ja"")"),"ミチョアカン州")</f>
        <v>ミチョアカン州</v>
      </c>
      <c r="I3090" s="9" t="str">
        <f>IFERROR(__xludf.DUMMYFUNCTION("GOOGLETRANSLATE($A3090,""en"",""ko"")"),"미초아칸")</f>
        <v>미초아칸</v>
      </c>
      <c r="J3090" s="9" t="str">
        <f>IFERROR(__xludf.DUMMYFUNCTION("GOOGLETRANSLATE($A3090,""en"",""pt-BR"")"),"Michoacán")</f>
        <v>Michoacán</v>
      </c>
    </row>
    <row r="3091">
      <c r="A3091" s="9" t="str">
        <f>IFERROR(__xludf.DUMMYFUNCTION("""COMPUTED_VALUE"""),"Puebla")</f>
        <v>Puebla</v>
      </c>
      <c r="B3091" s="9" t="str">
        <f>IFERROR(__xludf.DUMMYFUNCTION("""COMPUTED_VALUE"""),"mx-pue")</f>
        <v>mx-pue</v>
      </c>
      <c r="C3091" s="9" t="str">
        <f>IFERROR(__xludf.DUMMYFUNCTION("GOOGLETRANSLATE($A3091,""en"",""de"")"),"Puebla")</f>
        <v>Puebla</v>
      </c>
      <c r="D3091" s="9" t="str">
        <f>IFERROR(__xludf.DUMMYFUNCTION("GOOGLETRANSLATE($A3091,""en"",""fr"")"),"Puebla")</f>
        <v>Puebla</v>
      </c>
      <c r="E3091" s="9" t="str">
        <f>IFERROR(__xludf.DUMMYFUNCTION("GOOGLETRANSLATE($A3091,""en"",""es"")"),"puebla")</f>
        <v>puebla</v>
      </c>
      <c r="F3091" s="9" t="str">
        <f>IFERROR(__xludf.DUMMYFUNCTION("GOOGLETRANSLATE($A3091,""en"",""it"")"),"Puebla")</f>
        <v>Puebla</v>
      </c>
      <c r="G3091" s="9" t="str">
        <f>IFERROR(__xludf.DUMMYFUNCTION("GOOGLETRANSLATE($A3091,""en"",""zh-cn"")"),"普埃布拉")</f>
        <v>普埃布拉</v>
      </c>
      <c r="H3091" s="9" t="str">
        <f>IFERROR(__xludf.DUMMYFUNCTION("GOOGLETRANSLATE($A3091,""en"",""ja"")"),"プエブラ")</f>
        <v>プエブラ</v>
      </c>
      <c r="I3091" s="9" t="str">
        <f>IFERROR(__xludf.DUMMYFUNCTION("GOOGLETRANSLATE($A3091,""en"",""ko"")"),"푸에블라")</f>
        <v>푸에블라</v>
      </c>
      <c r="J3091" s="9" t="str">
        <f>IFERROR(__xludf.DUMMYFUNCTION("GOOGLETRANSLATE($A3091,""en"",""pt-BR"")"),"Puebla")</f>
        <v>Puebla</v>
      </c>
    </row>
    <row r="3092">
      <c r="A3092" s="9" t="str">
        <f>IFERROR(__xludf.DUMMYFUNCTION("""COMPUTED_VALUE"""),"Federal District (Mexico)")</f>
        <v>Federal District (Mexico)</v>
      </c>
      <c r="B3092" s="9" t="str">
        <f>IFERROR(__xludf.DUMMYFUNCTION("""COMPUTED_VALUE"""),"mx-dif")</f>
        <v>mx-dif</v>
      </c>
      <c r="C3092" s="9" t="str">
        <f>IFERROR(__xludf.DUMMYFUNCTION("GOOGLETRANSLATE($A3092,""en"",""de"")"),"Bundesdistrikt (Mexiko)")</f>
        <v>Bundesdistrikt (Mexiko)</v>
      </c>
      <c r="D3092" s="9" t="str">
        <f>IFERROR(__xludf.DUMMYFUNCTION("GOOGLETRANSLATE($A3092,""en"",""fr"")"),"District fédéral (Mexique)")</f>
        <v>District fédéral (Mexique)</v>
      </c>
      <c r="E3092" s="9" t="str">
        <f>IFERROR(__xludf.DUMMYFUNCTION("GOOGLETRANSLATE($A3092,""en"",""es"")"),"Distrito Federal (México)")</f>
        <v>Distrito Federal (México)</v>
      </c>
      <c r="F3092" s="9" t="str">
        <f>IFERROR(__xludf.DUMMYFUNCTION("GOOGLETRANSLATE($A3092,""en"",""it"")"),"Distretto Federale (Messico)")</f>
        <v>Distretto Federale (Messico)</v>
      </c>
      <c r="G3092" s="9" t="str">
        <f>IFERROR(__xludf.DUMMYFUNCTION("GOOGLETRANSLATE($A3092,""en"",""zh-cn"")"),"联邦区（墨西哥）")</f>
        <v>联邦区（墨西哥）</v>
      </c>
      <c r="H3092" s="9" t="str">
        <f>IFERROR(__xludf.DUMMYFUNCTION("GOOGLETRANSLATE($A3092,""en"",""ja"")"),"連邦管区 (メキシコ)")</f>
        <v>連邦管区 (メキシコ)</v>
      </c>
      <c r="I3092" s="9" t="str">
        <f>IFERROR(__xludf.DUMMYFUNCTION("GOOGLETRANSLATE($A3092,""en"",""ko"")"),"연방 지구(멕시코)")</f>
        <v>연방 지구(멕시코)</v>
      </c>
      <c r="J3092" s="9" t="str">
        <f>IFERROR(__xludf.DUMMYFUNCTION("GOOGLETRANSLATE($A3092,""en"",""pt-BR"")"),"Distrito Federal (México)")</f>
        <v>Distrito Federal (México)</v>
      </c>
    </row>
    <row r="3093">
      <c r="A3093" s="9" t="str">
        <f>IFERROR(__xludf.DUMMYFUNCTION("""COMPUTED_VALUE"""),"México")</f>
        <v>México</v>
      </c>
      <c r="B3093" s="9" t="str">
        <f>IFERROR(__xludf.DUMMYFUNCTION("""COMPUTED_VALUE"""),"mx-mex")</f>
        <v>mx-mex</v>
      </c>
      <c r="C3093" s="9" t="str">
        <f>IFERROR(__xludf.DUMMYFUNCTION("GOOGLETRANSLATE($A3093,""en"",""de"")"),"Mexiko")</f>
        <v>Mexiko</v>
      </c>
      <c r="D3093" s="9" t="str">
        <f>IFERROR(__xludf.DUMMYFUNCTION("GOOGLETRANSLATE($A3093,""en"",""fr"")"),"Mexique")</f>
        <v>Mexique</v>
      </c>
      <c r="E3093" s="9" t="str">
        <f>IFERROR(__xludf.DUMMYFUNCTION("GOOGLETRANSLATE($A3093,""en"",""es"")"),"México")</f>
        <v>México</v>
      </c>
      <c r="F3093" s="9" t="str">
        <f>IFERROR(__xludf.DUMMYFUNCTION("GOOGLETRANSLATE($A3093,""en"",""it"")"),"Messico")</f>
        <v>Messico</v>
      </c>
      <c r="G3093" s="9" t="str">
        <f>IFERROR(__xludf.DUMMYFUNCTION("GOOGLETRANSLATE($A3093,""en"",""zh-cn"")"),"墨西哥")</f>
        <v>墨西哥</v>
      </c>
      <c r="H3093" s="9" t="str">
        <f>IFERROR(__xludf.DUMMYFUNCTION("GOOGLETRANSLATE($A3093,""en"",""ja"")"),"メキシコ")</f>
        <v>メキシコ</v>
      </c>
      <c r="I3093" s="9" t="str">
        <f>IFERROR(__xludf.DUMMYFUNCTION("GOOGLETRANSLATE($A3093,""en"",""ko"")"),"멕시코")</f>
        <v>멕시코</v>
      </c>
      <c r="J3093" s="9" t="str">
        <f>IFERROR(__xludf.DUMMYFUNCTION("GOOGLETRANSLATE($A3093,""en"",""pt-BR"")"),"México")</f>
        <v>México</v>
      </c>
    </row>
    <row r="3094">
      <c r="A3094" s="9" t="str">
        <f>IFERROR(__xludf.DUMMYFUNCTION("""COMPUTED_VALUE"""),"Querétaro")</f>
        <v>Querétaro</v>
      </c>
      <c r="B3094" s="9" t="str">
        <f>IFERROR(__xludf.DUMMYFUNCTION("""COMPUTED_VALUE"""),"mx-que")</f>
        <v>mx-que</v>
      </c>
      <c r="C3094" s="9" t="str">
        <f>IFERROR(__xludf.DUMMYFUNCTION("GOOGLETRANSLATE($A3094,""en"",""de"")"),"Querétaro")</f>
        <v>Querétaro</v>
      </c>
      <c r="D3094" s="9" t="str">
        <f>IFERROR(__xludf.DUMMYFUNCTION("GOOGLETRANSLATE($A3094,""en"",""fr"")"),"Querétaro")</f>
        <v>Querétaro</v>
      </c>
      <c r="E3094" s="9" t="str">
        <f>IFERROR(__xludf.DUMMYFUNCTION("GOOGLETRANSLATE($A3094,""en"",""es"")"),"Querétaro")</f>
        <v>Querétaro</v>
      </c>
      <c r="F3094" s="9" t="str">
        <f>IFERROR(__xludf.DUMMYFUNCTION("GOOGLETRANSLATE($A3094,""en"",""it"")"),"Querétaro")</f>
        <v>Querétaro</v>
      </c>
      <c r="G3094" s="9" t="str">
        <f>IFERROR(__xludf.DUMMYFUNCTION("GOOGLETRANSLATE($A3094,""en"",""zh-cn"")"),"克雷塔罗")</f>
        <v>克雷塔罗</v>
      </c>
      <c r="H3094" s="9" t="str">
        <f>IFERROR(__xludf.DUMMYFUNCTION("GOOGLETRANSLATE($A3094,""en"",""ja"")"),"ケレタロ")</f>
        <v>ケレタロ</v>
      </c>
      <c r="I3094" s="9" t="str">
        <f>IFERROR(__xludf.DUMMYFUNCTION("GOOGLETRANSLATE($A3094,""en"",""ko"")"),"케레타로")</f>
        <v>케레타로</v>
      </c>
      <c r="J3094" s="9" t="str">
        <f>IFERROR(__xludf.DUMMYFUNCTION("GOOGLETRANSLATE($A3094,""en"",""pt-BR"")"),"Querétaro")</f>
        <v>Querétaro</v>
      </c>
    </row>
    <row r="3095">
      <c r="A3095" s="9" t="str">
        <f>IFERROR(__xludf.DUMMYFUNCTION("""COMPUTED_VALUE"""),"Chiapas")</f>
        <v>Chiapas</v>
      </c>
      <c r="B3095" s="9" t="str">
        <f>IFERROR(__xludf.DUMMYFUNCTION("""COMPUTED_VALUE"""),"mx-chp")</f>
        <v>mx-chp</v>
      </c>
      <c r="C3095" s="9" t="str">
        <f>IFERROR(__xludf.DUMMYFUNCTION("GOOGLETRANSLATE($A3095,""en"",""de"")"),"Chiapas")</f>
        <v>Chiapas</v>
      </c>
      <c r="D3095" s="9" t="str">
        <f>IFERROR(__xludf.DUMMYFUNCTION("GOOGLETRANSLATE($A3095,""en"",""fr"")"),"Chiapas")</f>
        <v>Chiapas</v>
      </c>
      <c r="E3095" s="9" t="str">
        <f>IFERROR(__xludf.DUMMYFUNCTION("GOOGLETRANSLATE($A3095,""en"",""es"")"),"Chiapas")</f>
        <v>Chiapas</v>
      </c>
      <c r="F3095" s="9" t="str">
        <f>IFERROR(__xludf.DUMMYFUNCTION("GOOGLETRANSLATE($A3095,""en"",""it"")"),"Chiapas")</f>
        <v>Chiapas</v>
      </c>
      <c r="G3095" s="9" t="str">
        <f>IFERROR(__xludf.DUMMYFUNCTION("GOOGLETRANSLATE($A3095,""en"",""zh-cn"")"),"恰帕斯州")</f>
        <v>恰帕斯州</v>
      </c>
      <c r="H3095" s="9" t="str">
        <f>IFERROR(__xludf.DUMMYFUNCTION("GOOGLETRANSLATE($A3095,""en"",""ja"")"),"チアパス州")</f>
        <v>チアパス州</v>
      </c>
      <c r="I3095" s="9" t="str">
        <f>IFERROR(__xludf.DUMMYFUNCTION("GOOGLETRANSLATE($A3095,""en"",""ko"")"),"치아파스")</f>
        <v>치아파스</v>
      </c>
      <c r="J3095" s="9" t="str">
        <f>IFERROR(__xludf.DUMMYFUNCTION("GOOGLETRANSLATE($A3095,""en"",""pt-BR"")"),"Chiapas")</f>
        <v>Chiapas</v>
      </c>
    </row>
    <row r="3096">
      <c r="A3096" s="9" t="str">
        <f>IFERROR(__xludf.DUMMYFUNCTION("""COMPUTED_VALUE"""),"Hidalgo")</f>
        <v>Hidalgo</v>
      </c>
      <c r="B3096" s="9" t="str">
        <f>IFERROR(__xludf.DUMMYFUNCTION("""COMPUTED_VALUE"""),"mx-hid")</f>
        <v>mx-hid</v>
      </c>
      <c r="C3096" s="9" t="str">
        <f>IFERROR(__xludf.DUMMYFUNCTION("GOOGLETRANSLATE($A3096,""en"",""de"")"),"Hidalgo")</f>
        <v>Hidalgo</v>
      </c>
      <c r="D3096" s="9" t="str">
        <f>IFERROR(__xludf.DUMMYFUNCTION("GOOGLETRANSLATE($A3096,""en"",""fr"")"),"Hidalgo")</f>
        <v>Hidalgo</v>
      </c>
      <c r="E3096" s="9" t="str">
        <f>IFERROR(__xludf.DUMMYFUNCTION("GOOGLETRANSLATE($A3096,""en"",""es"")"),"Hidalgo")</f>
        <v>Hidalgo</v>
      </c>
      <c r="F3096" s="9" t="str">
        <f>IFERROR(__xludf.DUMMYFUNCTION("GOOGLETRANSLATE($A3096,""en"",""it"")"),"Hidalgo")</f>
        <v>Hidalgo</v>
      </c>
      <c r="G3096" s="9" t="str">
        <f>IFERROR(__xludf.DUMMYFUNCTION("GOOGLETRANSLATE($A3096,""en"",""zh-cn"")"),"伊达尔戈")</f>
        <v>伊达尔戈</v>
      </c>
      <c r="H3096" s="9" t="str">
        <f>IFERROR(__xludf.DUMMYFUNCTION("GOOGLETRANSLATE($A3096,""en"",""ja"")"),"イダルゴ州")</f>
        <v>イダルゴ州</v>
      </c>
      <c r="I3096" s="9" t="str">
        <f>IFERROR(__xludf.DUMMYFUNCTION("GOOGLETRANSLATE($A3096,""en"",""ko"")"),"이달고")</f>
        <v>이달고</v>
      </c>
      <c r="J3096" s="9" t="str">
        <f>IFERROR(__xludf.DUMMYFUNCTION("GOOGLETRANSLATE($A3096,""en"",""pt-BR"")"),"Hidalgo")</f>
        <v>Hidalgo</v>
      </c>
    </row>
    <row r="3097">
      <c r="A3097" s="9" t="str">
        <f>IFERROR(__xludf.DUMMYFUNCTION("""COMPUTED_VALUE"""),"Oaxaca")</f>
        <v>Oaxaca</v>
      </c>
      <c r="B3097" s="9" t="str">
        <f>IFERROR(__xludf.DUMMYFUNCTION("""COMPUTED_VALUE"""),"mx-oax")</f>
        <v>mx-oax</v>
      </c>
      <c r="C3097" s="9" t="str">
        <f>IFERROR(__xludf.DUMMYFUNCTION("GOOGLETRANSLATE($A3097,""en"",""de"")"),"Oaxaca")</f>
        <v>Oaxaca</v>
      </c>
      <c r="D3097" s="9" t="str">
        <f>IFERROR(__xludf.DUMMYFUNCTION("GOOGLETRANSLATE($A3097,""en"",""fr"")"),"Oaxaca")</f>
        <v>Oaxaca</v>
      </c>
      <c r="E3097" s="9" t="str">
        <f>IFERROR(__xludf.DUMMYFUNCTION("GOOGLETRANSLATE($A3097,""en"",""es"")"),"Oaxaca")</f>
        <v>Oaxaca</v>
      </c>
      <c r="F3097" s="9" t="str">
        <f>IFERROR(__xludf.DUMMYFUNCTION("GOOGLETRANSLATE($A3097,""en"",""it"")"),"Oaxaca")</f>
        <v>Oaxaca</v>
      </c>
      <c r="G3097" s="9" t="str">
        <f>IFERROR(__xludf.DUMMYFUNCTION("GOOGLETRANSLATE($A3097,""en"",""zh-cn"")"),"瓦哈卡州")</f>
        <v>瓦哈卡州</v>
      </c>
      <c r="H3097" s="9" t="str">
        <f>IFERROR(__xludf.DUMMYFUNCTION("GOOGLETRANSLATE($A3097,""en"",""ja"")"),"オアハカ")</f>
        <v>オアハカ</v>
      </c>
      <c r="I3097" s="9" t="str">
        <f>IFERROR(__xludf.DUMMYFUNCTION("GOOGLETRANSLATE($A3097,""en"",""ko"")"),"오악사카")</f>
        <v>오악사카</v>
      </c>
      <c r="J3097" s="9" t="str">
        <f>IFERROR(__xludf.DUMMYFUNCTION("GOOGLETRANSLATE($A3097,""en"",""pt-BR"")"),"Oaxaca")</f>
        <v>Oaxaca</v>
      </c>
    </row>
    <row r="3098">
      <c r="A3098" s="9" t="str">
        <f>IFERROR(__xludf.DUMMYFUNCTION("""COMPUTED_VALUE"""),"La Source")</f>
        <v>La Source</v>
      </c>
      <c r="B3098" s="9" t="str">
        <f>IFERROR(__xludf.DUMMYFUNCTION("""COMPUTED_VALUE"""),"mc-so")</f>
        <v>mc-so</v>
      </c>
      <c r="C3098" s="9" t="str">
        <f>IFERROR(__xludf.DUMMYFUNCTION("GOOGLETRANSLATE($A3098,""en"",""de"")"),"La Source")</f>
        <v>La Source</v>
      </c>
      <c r="D3098" s="9" t="str">
        <f>IFERROR(__xludf.DUMMYFUNCTION("GOOGLETRANSLATE($A3098,""en"",""fr"")"),"La Source")</f>
        <v>La Source</v>
      </c>
      <c r="E3098" s="9" t="str">
        <f>IFERROR(__xludf.DUMMYFUNCTION("GOOGLETRANSLATE($A3098,""en"",""es"")"),"La fuente")</f>
        <v>La fuente</v>
      </c>
      <c r="F3098" s="9" t="str">
        <f>IFERROR(__xludf.DUMMYFUNCTION("GOOGLETRANSLATE($A3098,""en"",""it"")"),"La Fonte")</f>
        <v>La Fonte</v>
      </c>
      <c r="G3098" s="9" t="str">
        <f>IFERROR(__xludf.DUMMYFUNCTION("GOOGLETRANSLATE($A3098,""en"",""zh-cn"")"),"拉苏尔斯")</f>
        <v>拉苏尔斯</v>
      </c>
      <c r="H3098" s="9" t="str">
        <f>IFERROR(__xludf.DUMMYFUNCTION("GOOGLETRANSLATE($A3098,""en"",""ja"")"),"ラ・ソース")</f>
        <v>ラ・ソース</v>
      </c>
      <c r="I3098" s="9" t="str">
        <f>IFERROR(__xludf.DUMMYFUNCTION("GOOGLETRANSLATE($A3098,""en"",""ko"")"),"라 소스")</f>
        <v>라 소스</v>
      </c>
      <c r="J3098" s="9" t="str">
        <f>IFERROR(__xludf.DUMMYFUNCTION("GOOGLETRANSLATE($A3098,""en"",""pt-BR"")"),"A fonte")</f>
        <v>A fonte</v>
      </c>
    </row>
    <row r="3099">
      <c r="A3099" s="9" t="str">
        <f>IFERROR(__xludf.DUMMYFUNCTION("""COMPUTED_VALUE"""),"Moneghetti")</f>
        <v>Moneghetti</v>
      </c>
      <c r="B3099" s="9" t="str">
        <f>IFERROR(__xludf.DUMMYFUNCTION("""COMPUTED_VALUE"""),"mc-mg")</f>
        <v>mc-mg</v>
      </c>
      <c r="C3099" s="9" t="str">
        <f>IFERROR(__xludf.DUMMYFUNCTION("GOOGLETRANSLATE($A3099,""en"",""de"")"),"Moneghetti")</f>
        <v>Moneghetti</v>
      </c>
      <c r="D3099" s="9" t="str">
        <f>IFERROR(__xludf.DUMMYFUNCTION("GOOGLETRANSLATE($A3099,""en"",""fr"")"),"Moneghetti")</f>
        <v>Moneghetti</v>
      </c>
      <c r="E3099" s="9" t="str">
        <f>IFERROR(__xludf.DUMMYFUNCTION("GOOGLETRANSLATE($A3099,""en"",""es"")"),"Moneghetti")</f>
        <v>Moneghetti</v>
      </c>
      <c r="F3099" s="9" t="str">
        <f>IFERROR(__xludf.DUMMYFUNCTION("GOOGLETRANSLATE($A3099,""en"",""it"")"),"Moneghetti")</f>
        <v>Moneghetti</v>
      </c>
      <c r="G3099" s="9" t="str">
        <f>IFERROR(__xludf.DUMMYFUNCTION("GOOGLETRANSLATE($A3099,""en"",""zh-cn"")"),"莫内盖蒂")</f>
        <v>莫内盖蒂</v>
      </c>
      <c r="H3099" s="9" t="str">
        <f>IFERROR(__xludf.DUMMYFUNCTION("GOOGLETRANSLATE($A3099,""en"",""ja"")"),"モネゲッティ")</f>
        <v>モネゲッティ</v>
      </c>
      <c r="I3099" s="9" t="str">
        <f>IFERROR(__xludf.DUMMYFUNCTION("GOOGLETRANSLATE($A3099,""en"",""ko"")"),"모네게티")</f>
        <v>모네게티</v>
      </c>
      <c r="J3099" s="9" t="str">
        <f>IFERROR(__xludf.DUMMYFUNCTION("GOOGLETRANSLATE($A3099,""en"",""pt-BR"")"),"Moneghetti")</f>
        <v>Moneghetti</v>
      </c>
    </row>
    <row r="3100">
      <c r="A3100" s="9" t="str">
        <f>IFERROR(__xludf.DUMMYFUNCTION("""COMPUTED_VALUE"""),"Vallon de la Rousse")</f>
        <v>Vallon de la Rousse</v>
      </c>
      <c r="B3100" s="9" t="str">
        <f>IFERROR(__xludf.DUMMYFUNCTION("""COMPUTED_VALUE"""),"mc-vr")</f>
        <v>mc-vr</v>
      </c>
      <c r="C3100" s="9" t="str">
        <f>IFERROR(__xludf.DUMMYFUNCTION("GOOGLETRANSLATE($A3100,""en"",""de"")"),"Vallon de la Rousse")</f>
        <v>Vallon de la Rousse</v>
      </c>
      <c r="D3100" s="9" t="str">
        <f>IFERROR(__xludf.DUMMYFUNCTION("GOOGLETRANSLATE($A3100,""en"",""fr"")"),"Vallon de la Rousse")</f>
        <v>Vallon de la Rousse</v>
      </c>
      <c r="E3100" s="9" t="str">
        <f>IFERROR(__xludf.DUMMYFUNCTION("GOOGLETRANSLATE($A3100,""en"",""es"")"),"Vallón de la Rousse")</f>
        <v>Vallón de la Rousse</v>
      </c>
      <c r="F3100" s="9" t="str">
        <f>IFERROR(__xludf.DUMMYFUNCTION("GOOGLETRANSLATE($A3100,""en"",""it"")"),"Vallon de la Rousse")</f>
        <v>Vallon de la Rousse</v>
      </c>
      <c r="G3100" s="9" t="str">
        <f>IFERROR(__xludf.DUMMYFUNCTION("GOOGLETRANSLATE($A3100,""en"",""zh-cn"")"),"瓦隆·德拉·鲁斯")</f>
        <v>瓦隆·德拉·鲁斯</v>
      </c>
      <c r="H3100" s="9" t="str">
        <f>IFERROR(__xludf.DUMMYFUNCTION("GOOGLETRANSLATE($A3100,""en"",""ja"")"),"ヴァロン・ド・ラ・ルース")</f>
        <v>ヴァロン・ド・ラ・ルース</v>
      </c>
      <c r="I3100" s="9" t="str">
        <f>IFERROR(__xludf.DUMMYFUNCTION("GOOGLETRANSLATE($A3100,""en"",""ko"")"),"발롱 드 라 루스")</f>
        <v>발롱 드 라 루스</v>
      </c>
      <c r="J3100" s="9" t="str">
        <f>IFERROR(__xludf.DUMMYFUNCTION("GOOGLETRANSLATE($A3100,""en"",""pt-BR"")"),"Vallon de la Rousse")</f>
        <v>Vallon de la Rousse</v>
      </c>
    </row>
    <row r="3101">
      <c r="A3101" s="9" t="str">
        <f>IFERROR(__xludf.DUMMYFUNCTION("""COMPUTED_VALUE"""),"Spélugues")</f>
        <v>Spélugues</v>
      </c>
      <c r="B3101" s="9" t="str">
        <f>IFERROR(__xludf.DUMMYFUNCTION("""COMPUTED_VALUE"""),"mc-sp")</f>
        <v>mc-sp</v>
      </c>
      <c r="C3101" s="9" t="str">
        <f>IFERROR(__xludf.DUMMYFUNCTION("GOOGLETRANSLATE($A3101,""en"",""de"")"),"Spélugues")</f>
        <v>Spélugues</v>
      </c>
      <c r="D3101" s="9" t="str">
        <f>IFERROR(__xludf.DUMMYFUNCTION("GOOGLETRANSLATE($A3101,""en"",""fr"")"),"Spélugues")</f>
        <v>Spélugues</v>
      </c>
      <c r="E3101" s="9" t="str">
        <f>IFERROR(__xludf.DUMMYFUNCTION("GOOGLETRANSLATE($A3101,""en"",""es"")"),"Espélugos")</f>
        <v>Espélugos</v>
      </c>
      <c r="F3101" s="9" t="str">
        <f>IFERROR(__xludf.DUMMYFUNCTION("GOOGLETRANSLATE($A3101,""en"",""it"")"),"Spélugues")</f>
        <v>Spélugues</v>
      </c>
      <c r="G3101" s="9" t="str">
        <f>IFERROR(__xludf.DUMMYFUNCTION("GOOGLETRANSLATE($A3101,""en"",""zh-cn"")"),"斯佩吕格")</f>
        <v>斯佩吕格</v>
      </c>
      <c r="H3101" s="9" t="str">
        <f>IFERROR(__xludf.DUMMYFUNCTION("GOOGLETRANSLATE($A3101,""en"",""ja"")"),"スペルーグ")</f>
        <v>スペルーグ</v>
      </c>
      <c r="I3101" s="9" t="str">
        <f>IFERROR(__xludf.DUMMYFUNCTION("GOOGLETRANSLATE($A3101,""en"",""ko"")"),"Spélugues")</f>
        <v>Spélugues</v>
      </c>
      <c r="J3101" s="9" t="str">
        <f>IFERROR(__xludf.DUMMYFUNCTION("GOOGLETRANSLATE($A3101,""en"",""pt-BR"")"),"Espélugues")</f>
        <v>Espélugues</v>
      </c>
    </row>
    <row r="3102">
      <c r="A3102" s="9" t="str">
        <f>IFERROR(__xludf.DUMMYFUNCTION("""COMPUTED_VALUE"""),"Port-Hercule")</f>
        <v>Port-Hercule</v>
      </c>
      <c r="B3102" s="9" t="str">
        <f>IFERROR(__xludf.DUMMYFUNCTION("""COMPUTED_VALUE"""),"mc-ph")</f>
        <v>mc-ph</v>
      </c>
      <c r="C3102" s="9" t="str">
        <f>IFERROR(__xludf.DUMMYFUNCTION("GOOGLETRANSLATE($A3102,""en"",""de"")"),"Port-Hercule")</f>
        <v>Port-Hercule</v>
      </c>
      <c r="D3102" s="9" t="str">
        <f>IFERROR(__xludf.DUMMYFUNCTION("GOOGLETRANSLATE($A3102,""en"",""fr"")"),"Port Hercule")</f>
        <v>Port Hercule</v>
      </c>
      <c r="E3102" s="9" t="str">
        <f>IFERROR(__xludf.DUMMYFUNCTION("GOOGLETRANSLATE($A3102,""en"",""es"")"),"Puerto-Hércules")</f>
        <v>Puerto-Hércules</v>
      </c>
      <c r="F3102" s="9" t="str">
        <f>IFERROR(__xludf.DUMMYFUNCTION("GOOGLETRANSLATE($A3102,""en"",""it"")"),"Porto-Ercole")</f>
        <v>Porto-Ercole</v>
      </c>
      <c r="G3102" s="9" t="str">
        <f>IFERROR(__xludf.DUMMYFUNCTION("GOOGLETRANSLATE($A3102,""en"",""zh-cn"")"),"赫拉克勒斯港")</f>
        <v>赫拉克勒斯港</v>
      </c>
      <c r="H3102" s="9" t="str">
        <f>IFERROR(__xludf.DUMMYFUNCTION("GOOGLETRANSLATE($A3102,""en"",""ja"")"),"ポート・エルキュール")</f>
        <v>ポート・エルキュール</v>
      </c>
      <c r="I3102" s="9" t="str">
        <f>IFERROR(__xludf.DUMMYFUNCTION("GOOGLETRANSLATE($A3102,""en"",""ko"")"),"포트-헤라클레스")</f>
        <v>포트-헤라클레스</v>
      </c>
      <c r="J3102" s="9" t="str">
        <f>IFERROR(__xludf.DUMMYFUNCTION("GOOGLETRANSLATE($A3102,""en"",""pt-BR"")"),"Porto-Hércules")</f>
        <v>Porto-Hércules</v>
      </c>
    </row>
    <row r="3103">
      <c r="A3103" s="9" t="str">
        <f>IFERROR(__xludf.DUMMYFUNCTION("""COMPUTED_VALUE"""),"Monaco-Ville")</f>
        <v>Monaco-Ville</v>
      </c>
      <c r="B3103" s="9" t="str">
        <f>IFERROR(__xludf.DUMMYFUNCTION("""COMPUTED_VALUE"""),"mc-mo")</f>
        <v>mc-mo</v>
      </c>
      <c r="C3103" s="9" t="str">
        <f>IFERROR(__xludf.DUMMYFUNCTION("GOOGLETRANSLATE($A3103,""en"",""de"")"),"Monaco-Ville")</f>
        <v>Monaco-Ville</v>
      </c>
      <c r="D3103" s="9" t="str">
        <f>IFERROR(__xludf.DUMMYFUNCTION("GOOGLETRANSLATE($A3103,""en"",""fr"")"),"Monaco Ville")</f>
        <v>Monaco Ville</v>
      </c>
      <c r="E3103" s="9" t="str">
        <f>IFERROR(__xludf.DUMMYFUNCTION("GOOGLETRANSLATE($A3103,""en"",""es"")"),"Mónaco-Ville")</f>
        <v>Mónaco-Ville</v>
      </c>
      <c r="F3103" s="9" t="str">
        <f>IFERROR(__xludf.DUMMYFUNCTION("GOOGLETRANSLATE($A3103,""en"",""it"")"),"Monaco-Ville")</f>
        <v>Monaco-Ville</v>
      </c>
      <c r="G3103" s="9" t="str">
        <f>IFERROR(__xludf.DUMMYFUNCTION("GOOGLETRANSLATE($A3103,""en"",""zh-cn"")"),"摩纳哥城")</f>
        <v>摩纳哥城</v>
      </c>
      <c r="H3103" s="9" t="str">
        <f>IFERROR(__xludf.DUMMYFUNCTION("GOOGLETRANSLATE($A3103,""en"",""ja"")"),"モナコ・ヴィル")</f>
        <v>モナコ・ヴィル</v>
      </c>
      <c r="I3103" s="9" t="str">
        <f>IFERROR(__xludf.DUMMYFUNCTION("GOOGLETRANSLATE($A3103,""en"",""ko"")"),"모나코빌")</f>
        <v>모나코빌</v>
      </c>
      <c r="J3103" s="9" t="str">
        <f>IFERROR(__xludf.DUMMYFUNCTION("GOOGLETRANSLATE($A3103,""en"",""pt-BR"")"),"Mônaco-Ville")</f>
        <v>Mônaco-Ville</v>
      </c>
    </row>
    <row r="3104">
      <c r="A3104" s="9" t="str">
        <f>IFERROR(__xludf.DUMMYFUNCTION("""COMPUTED_VALUE"""),"Saint-Roman")</f>
        <v>Saint-Roman</v>
      </c>
      <c r="B3104" s="9" t="str">
        <f>IFERROR(__xludf.DUMMYFUNCTION("""COMPUTED_VALUE"""),"mc-sr")</f>
        <v>mc-sr</v>
      </c>
      <c r="C3104" s="9" t="str">
        <f>IFERROR(__xludf.DUMMYFUNCTION("GOOGLETRANSLATE($A3104,""en"",""de"")"),"Saint-Roman")</f>
        <v>Saint-Roman</v>
      </c>
      <c r="D3104" s="9" t="str">
        <f>IFERROR(__xludf.DUMMYFUNCTION("GOOGLETRANSLATE($A3104,""en"",""fr"")"),"Saint Roman")</f>
        <v>Saint Roman</v>
      </c>
      <c r="E3104" s="9" t="str">
        <f>IFERROR(__xludf.DUMMYFUNCTION("GOOGLETRANSLATE($A3104,""en"",""es"")"),"San Román")</f>
        <v>San Román</v>
      </c>
      <c r="F3104" s="9" t="str">
        <f>IFERROR(__xludf.DUMMYFUNCTION("GOOGLETRANSLATE($A3104,""en"",""it"")"),"Saint-Roman")</f>
        <v>Saint-Roman</v>
      </c>
      <c r="G3104" s="9" t="str">
        <f>IFERROR(__xludf.DUMMYFUNCTION("GOOGLETRANSLATE($A3104,""en"",""zh-cn"")"),"圣罗马")</f>
        <v>圣罗马</v>
      </c>
      <c r="H3104" s="9" t="str">
        <f>IFERROR(__xludf.DUMMYFUNCTION("GOOGLETRANSLATE($A3104,""en"",""ja"")"),"サン・ロマン")</f>
        <v>サン・ロマン</v>
      </c>
      <c r="I3104" s="9" t="str">
        <f>IFERROR(__xludf.DUMMYFUNCTION("GOOGLETRANSLATE($A3104,""en"",""ko"")"),"생로망")</f>
        <v>생로망</v>
      </c>
      <c r="J3104" s="9" t="str">
        <f>IFERROR(__xludf.DUMMYFUNCTION("GOOGLETRANSLATE($A3104,""en"",""pt-BR"")"),"São-Romano")</f>
        <v>São-Romano</v>
      </c>
    </row>
    <row r="3105">
      <c r="A3105" s="9" t="str">
        <f>IFERROR(__xludf.DUMMYFUNCTION("""COMPUTED_VALUE"""),"Malbousquet")</f>
        <v>Malbousquet</v>
      </c>
      <c r="B3105" s="9" t="str">
        <f>IFERROR(__xludf.DUMMYFUNCTION("""COMPUTED_VALUE"""),"mc-ma")</f>
        <v>mc-ma</v>
      </c>
      <c r="C3105" s="9" t="str">
        <f>IFERROR(__xludf.DUMMYFUNCTION("GOOGLETRANSLATE($A3105,""en"",""de"")"),"Malbousquet")</f>
        <v>Malbousquet</v>
      </c>
      <c r="D3105" s="9" t="str">
        <f>IFERROR(__xludf.DUMMYFUNCTION("GOOGLETRANSLATE($A3105,""en"",""fr"")"),"Malbousquet")</f>
        <v>Malbousquet</v>
      </c>
      <c r="E3105" s="9" t="str">
        <f>IFERROR(__xludf.DUMMYFUNCTION("GOOGLETRANSLATE($A3105,""en"",""es"")"),"Malbousquet")</f>
        <v>Malbousquet</v>
      </c>
      <c r="F3105" s="9" t="str">
        <f>IFERROR(__xludf.DUMMYFUNCTION("GOOGLETRANSLATE($A3105,""en"",""it"")"),"Malbousquet")</f>
        <v>Malbousquet</v>
      </c>
      <c r="G3105" s="9" t="str">
        <f>IFERROR(__xludf.DUMMYFUNCTION("GOOGLETRANSLATE($A3105,""en"",""zh-cn"")"),"马尔布斯奎特")</f>
        <v>马尔布斯奎特</v>
      </c>
      <c r="H3105" s="9" t="str">
        <f>IFERROR(__xludf.DUMMYFUNCTION("GOOGLETRANSLATE($A3105,""en"",""ja"")"),"マルブスケ")</f>
        <v>マルブスケ</v>
      </c>
      <c r="I3105" s="9" t="str">
        <f>IFERROR(__xludf.DUMMYFUNCTION("GOOGLETRANSLATE($A3105,""en"",""ko"")"),"말부스케")</f>
        <v>말부스케</v>
      </c>
      <c r="J3105" s="9" t="str">
        <f>IFERROR(__xludf.DUMMYFUNCTION("GOOGLETRANSLATE($A3105,""en"",""pt-BR"")"),"Malbousquet")</f>
        <v>Malbousquet</v>
      </c>
    </row>
    <row r="3106">
      <c r="A3106" s="9" t="str">
        <f>IFERROR(__xludf.DUMMYFUNCTION("""COMPUTED_VALUE"""),"Fontvieille")</f>
        <v>Fontvieille</v>
      </c>
      <c r="B3106" s="9" t="str">
        <f>IFERROR(__xludf.DUMMYFUNCTION("""COMPUTED_VALUE"""),"mc-fo")</f>
        <v>mc-fo</v>
      </c>
      <c r="C3106" s="9" t="str">
        <f>IFERROR(__xludf.DUMMYFUNCTION("GOOGLETRANSLATE($A3106,""en"",""de"")"),"Fontvieille")</f>
        <v>Fontvieille</v>
      </c>
      <c r="D3106" s="9" t="str">
        <f>IFERROR(__xludf.DUMMYFUNCTION("GOOGLETRANSLATE($A3106,""en"",""fr"")"),"Fontvieille")</f>
        <v>Fontvieille</v>
      </c>
      <c r="E3106" s="9" t="str">
        <f>IFERROR(__xludf.DUMMYFUNCTION("GOOGLETRANSLATE($A3106,""en"",""es"")"),"Fontvieille")</f>
        <v>Fontvieille</v>
      </c>
      <c r="F3106" s="9" t="str">
        <f>IFERROR(__xludf.DUMMYFUNCTION("GOOGLETRANSLATE($A3106,""en"",""it"")"),"Fontvieille")</f>
        <v>Fontvieille</v>
      </c>
      <c r="G3106" s="9" t="str">
        <f>IFERROR(__xludf.DUMMYFUNCTION("GOOGLETRANSLATE($A3106,""en"",""zh-cn"")"),"丰维耶")</f>
        <v>丰维耶</v>
      </c>
      <c r="H3106" s="9" t="str">
        <f>IFERROR(__xludf.DUMMYFUNCTION("GOOGLETRANSLATE($A3106,""en"",""ja"")"),"フォンヴィエイユ")</f>
        <v>フォンヴィエイユ</v>
      </c>
      <c r="I3106" s="9" t="str">
        <f>IFERROR(__xludf.DUMMYFUNCTION("GOOGLETRANSLATE($A3106,""en"",""ko"")"),"퐁비에유")</f>
        <v>퐁비에유</v>
      </c>
      <c r="J3106" s="9" t="str">
        <f>IFERROR(__xludf.DUMMYFUNCTION("GOOGLETRANSLATE($A3106,""en"",""pt-BR"")"),"Fontvieille")</f>
        <v>Fontvieille</v>
      </c>
    </row>
    <row r="3107">
      <c r="A3107" s="9" t="str">
        <f>IFERROR(__xludf.DUMMYFUNCTION("""COMPUTED_VALUE"""),"Moulins")</f>
        <v>Moulins</v>
      </c>
      <c r="B3107" s="9" t="str">
        <f>IFERROR(__xludf.DUMMYFUNCTION("""COMPUTED_VALUE"""),"mc-mu")</f>
        <v>mc-mu</v>
      </c>
      <c r="C3107" s="9" t="str">
        <f>IFERROR(__xludf.DUMMYFUNCTION("GOOGLETRANSLATE($A3107,""en"",""de"")"),"Moulins")</f>
        <v>Moulins</v>
      </c>
      <c r="D3107" s="9" t="str">
        <f>IFERROR(__xludf.DUMMYFUNCTION("GOOGLETRANSLATE($A3107,""en"",""fr"")"),"Moulins")</f>
        <v>Moulins</v>
      </c>
      <c r="E3107" s="9" t="str">
        <f>IFERROR(__xludf.DUMMYFUNCTION("GOOGLETRANSLATE($A3107,""en"",""es"")"),"molinos")</f>
        <v>molinos</v>
      </c>
      <c r="F3107" s="9" t="str">
        <f>IFERROR(__xludf.DUMMYFUNCTION("GOOGLETRANSLATE($A3107,""en"",""it"")"),"Moulins")</f>
        <v>Moulins</v>
      </c>
      <c r="G3107" s="9" t="str">
        <f>IFERROR(__xludf.DUMMYFUNCTION("GOOGLETRANSLATE($A3107,""en"",""zh-cn"")"),"穆兰")</f>
        <v>穆兰</v>
      </c>
      <c r="H3107" s="9" t="str">
        <f>IFERROR(__xludf.DUMMYFUNCTION("GOOGLETRANSLATE($A3107,""en"",""ja"")"),"ムーラン")</f>
        <v>ムーラン</v>
      </c>
      <c r="I3107" s="9" t="str">
        <f>IFERROR(__xludf.DUMMYFUNCTION("GOOGLETRANSLATE($A3107,""en"",""ko"")"),"물랭")</f>
        <v>물랭</v>
      </c>
      <c r="J3107" s="9" t="str">
        <f>IFERROR(__xludf.DUMMYFUNCTION("GOOGLETRANSLATE($A3107,""en"",""pt-BR"")"),"Moulins")</f>
        <v>Moulins</v>
      </c>
    </row>
    <row r="3108">
      <c r="A3108" s="9" t="str">
        <f>IFERROR(__xludf.DUMMYFUNCTION("""COMPUTED_VALUE"""),"La Condamine")</f>
        <v>La Condamine</v>
      </c>
      <c r="B3108" s="9" t="str">
        <f>IFERROR(__xludf.DUMMYFUNCTION("""COMPUTED_VALUE"""),"mc-co")</f>
        <v>mc-co</v>
      </c>
      <c r="C3108" s="9" t="str">
        <f>IFERROR(__xludf.DUMMYFUNCTION("GOOGLETRANSLATE($A3108,""en"",""de"")"),"La Condamine")</f>
        <v>La Condamine</v>
      </c>
      <c r="D3108" s="9" t="str">
        <f>IFERROR(__xludf.DUMMYFUNCTION("GOOGLETRANSLATE($A3108,""en"",""fr"")"),"La Condamine")</f>
        <v>La Condamine</v>
      </c>
      <c r="E3108" s="9" t="str">
        <f>IFERROR(__xludf.DUMMYFUNCTION("GOOGLETRANSLATE($A3108,""en"",""es"")"),"La Condamine")</f>
        <v>La Condamine</v>
      </c>
      <c r="F3108" s="9" t="str">
        <f>IFERROR(__xludf.DUMMYFUNCTION("GOOGLETRANSLATE($A3108,""en"",""it"")"),"La Condamine")</f>
        <v>La Condamine</v>
      </c>
      <c r="G3108" s="9" t="str">
        <f>IFERROR(__xludf.DUMMYFUNCTION("GOOGLETRANSLATE($A3108,""en"",""zh-cn"")"),"拉康达明")</f>
        <v>拉康达明</v>
      </c>
      <c r="H3108" s="9" t="str">
        <f>IFERROR(__xludf.DUMMYFUNCTION("GOOGLETRANSLATE($A3108,""en"",""ja"")"),"ラコンダミーヌ")</f>
        <v>ラコンダミーヌ</v>
      </c>
      <c r="I3108" s="9" t="str">
        <f>IFERROR(__xludf.DUMMYFUNCTION("GOOGLETRANSLATE($A3108,""en"",""ko"")"),"라 콘다민")</f>
        <v>라 콘다민</v>
      </c>
      <c r="J3108" s="9" t="str">
        <f>IFERROR(__xludf.DUMMYFUNCTION("GOOGLETRANSLATE($A3108,""en"",""pt-BR"")"),"La Condamine")</f>
        <v>La Condamine</v>
      </c>
    </row>
    <row r="3109">
      <c r="A3109" s="9" t="str">
        <f>IFERROR(__xludf.DUMMYFUNCTION("""COMPUTED_VALUE"""),"Monte-Carlo")</f>
        <v>Monte-Carlo</v>
      </c>
      <c r="B3109" s="9" t="str">
        <f>IFERROR(__xludf.DUMMYFUNCTION("""COMPUTED_VALUE"""),"mc-mc")</f>
        <v>mc-mc</v>
      </c>
      <c r="C3109" s="9" t="str">
        <f>IFERROR(__xludf.DUMMYFUNCTION("GOOGLETRANSLATE($A3109,""en"",""de"")"),"Monte-Carlo")</f>
        <v>Monte-Carlo</v>
      </c>
      <c r="D3109" s="9" t="str">
        <f>IFERROR(__xludf.DUMMYFUNCTION("GOOGLETRANSLATE($A3109,""en"",""fr"")"),"Monte-Carlo")</f>
        <v>Monte-Carlo</v>
      </c>
      <c r="E3109" s="9" t="str">
        <f>IFERROR(__xludf.DUMMYFUNCTION("GOOGLETRANSLATE($A3109,""en"",""es"")"),"Montecarlo")</f>
        <v>Montecarlo</v>
      </c>
      <c r="F3109" s="9" t="str">
        <f>IFERROR(__xludf.DUMMYFUNCTION("GOOGLETRANSLATE($A3109,""en"",""it"")"),"Monte Carlo")</f>
        <v>Monte Carlo</v>
      </c>
      <c r="G3109" s="9" t="str">
        <f>IFERROR(__xludf.DUMMYFUNCTION("GOOGLETRANSLATE($A3109,""en"",""zh-cn"")"),"蒙特卡洛")</f>
        <v>蒙特卡洛</v>
      </c>
      <c r="H3109" s="9" t="str">
        <f>IFERROR(__xludf.DUMMYFUNCTION("GOOGLETRANSLATE($A3109,""en"",""ja"")"),"モンテカルロ")</f>
        <v>モンテカルロ</v>
      </c>
      <c r="I3109" s="9" t="str">
        <f>IFERROR(__xludf.DUMMYFUNCTION("GOOGLETRANSLATE($A3109,""en"",""ko"")"),"몬테카를로")</f>
        <v>몬테카를로</v>
      </c>
      <c r="J3109" s="9" t="str">
        <f>IFERROR(__xludf.DUMMYFUNCTION("GOOGLETRANSLATE($A3109,""en"",""pt-BR"")"),"Monte Carlo")</f>
        <v>Monte Carlo</v>
      </c>
    </row>
    <row r="3110">
      <c r="A3110" s="9" t="str">
        <f>IFERROR(__xludf.DUMMYFUNCTION("""COMPUTED_VALUE"""),"La Colle")</f>
        <v>La Colle</v>
      </c>
      <c r="B3110" s="9" t="str">
        <f>IFERROR(__xludf.DUMMYFUNCTION("""COMPUTED_VALUE"""),"mc-cl")</f>
        <v>mc-cl</v>
      </c>
      <c r="C3110" s="9" t="str">
        <f>IFERROR(__xludf.DUMMYFUNCTION("GOOGLETRANSLATE($A3110,""en"",""de"")"),"La Colle")</f>
        <v>La Colle</v>
      </c>
      <c r="D3110" s="9" t="str">
        <f>IFERROR(__xludf.DUMMYFUNCTION("GOOGLETRANSLATE($A3110,""en"",""fr"")"),"La Colle")</f>
        <v>La Colle</v>
      </c>
      <c r="E3110" s="9" t="str">
        <f>IFERROR(__xludf.DUMMYFUNCTION("GOOGLETRANSLATE($A3110,""en"",""es"")"),"La Colle")</f>
        <v>La Colle</v>
      </c>
      <c r="F3110" s="9" t="str">
        <f>IFERROR(__xludf.DUMMYFUNCTION("GOOGLETRANSLATE($A3110,""en"",""it"")"),"La Colle")</f>
        <v>La Colle</v>
      </c>
      <c r="G3110" s="9" t="str">
        <f>IFERROR(__xludf.DUMMYFUNCTION("GOOGLETRANSLATE($A3110,""en"",""zh-cn"")"),"拉科尔")</f>
        <v>拉科尔</v>
      </c>
      <c r="H3110" s="9" t="str">
        <f>IFERROR(__xludf.DUMMYFUNCTION("GOOGLETRANSLATE($A3110,""en"",""ja"")"),"ラ・コレ")</f>
        <v>ラ・コレ</v>
      </c>
      <c r="I3110" s="9" t="str">
        <f>IFERROR(__xludf.DUMMYFUNCTION("GOOGLETRANSLATE($A3110,""en"",""ko"")"),"라 콜레")</f>
        <v>라 콜레</v>
      </c>
      <c r="J3110" s="9" t="str">
        <f>IFERROR(__xludf.DUMMYFUNCTION("GOOGLETRANSLATE($A3110,""en"",""pt-BR"")"),"La Colle")</f>
        <v>La Colle</v>
      </c>
    </row>
    <row r="3111">
      <c r="A3111" s="9" t="str">
        <f>IFERROR(__xludf.DUMMYFUNCTION("""COMPUTED_VALUE"""),"La Gare")</f>
        <v>La Gare</v>
      </c>
      <c r="B3111" s="9" t="str">
        <f>IFERROR(__xludf.DUMMYFUNCTION("""COMPUTED_VALUE"""),"mc-ga")</f>
        <v>mc-ga</v>
      </c>
      <c r="C3111" s="9" t="str">
        <f>IFERROR(__xludf.DUMMYFUNCTION("GOOGLETRANSLATE($A3111,""en"",""de"")"),"La Gare")</f>
        <v>La Gare</v>
      </c>
      <c r="D3111" s="9" t="str">
        <f>IFERROR(__xludf.DUMMYFUNCTION("GOOGLETRANSLATE($A3111,""en"",""fr"")"),"La Gare")</f>
        <v>La Gare</v>
      </c>
      <c r="E3111" s="9" t="str">
        <f>IFERROR(__xludf.DUMMYFUNCTION("GOOGLETRANSLATE($A3111,""en"",""es"")"),"La estación")</f>
        <v>La estación</v>
      </c>
      <c r="F3111" s="9" t="str">
        <f>IFERROR(__xludf.DUMMYFUNCTION("GOOGLETRANSLATE($A3111,""en"",""it"")"),"La Gare")</f>
        <v>La Gare</v>
      </c>
      <c r="G3111" s="9" t="str">
        <f>IFERROR(__xludf.DUMMYFUNCTION("GOOGLETRANSLATE($A3111,""en"",""zh-cn"")"),"车站")</f>
        <v>车站</v>
      </c>
      <c r="H3111" s="9" t="str">
        <f>IFERROR(__xludf.DUMMYFUNCTION("GOOGLETRANSLATE($A3111,""en"",""ja"")"),"ラ・ガール")</f>
        <v>ラ・ガール</v>
      </c>
      <c r="I3111" s="9" t="str">
        <f>IFERROR(__xludf.DUMMYFUNCTION("GOOGLETRANSLATE($A3111,""en"",""ko"")"),"라 가르")</f>
        <v>라 가르</v>
      </c>
      <c r="J3111" s="9" t="str">
        <f>IFERROR(__xludf.DUMMYFUNCTION("GOOGLETRANSLATE($A3111,""en"",""pt-BR"")"),"La Gare")</f>
        <v>La Gare</v>
      </c>
    </row>
    <row r="3112">
      <c r="A3112" s="9" t="str">
        <f>IFERROR(__xludf.DUMMYFUNCTION("""COMPUTED_VALUE"""),"Jardin Exotique")</f>
        <v>Jardin Exotique</v>
      </c>
      <c r="B3112" s="9" t="str">
        <f>IFERROR(__xludf.DUMMYFUNCTION("""COMPUTED_VALUE"""),"mc-je")</f>
        <v>mc-je</v>
      </c>
      <c r="C3112" s="9" t="str">
        <f>IFERROR(__xludf.DUMMYFUNCTION("GOOGLETRANSLATE($A3112,""en"",""de"")"),"Exotischer Garten")</f>
        <v>Exotischer Garten</v>
      </c>
      <c r="D3112" s="9" t="str">
        <f>IFERROR(__xludf.DUMMYFUNCTION("GOOGLETRANSLATE($A3112,""en"",""fr"")"),"Jardin Exotique")</f>
        <v>Jardin Exotique</v>
      </c>
      <c r="E3112" s="9" t="str">
        <f>IFERROR(__xludf.DUMMYFUNCTION("GOOGLETRANSLATE($A3112,""en"",""es"")"),"Jardín exótico")</f>
        <v>Jardín exótico</v>
      </c>
      <c r="F3112" s="9" t="str">
        <f>IFERROR(__xludf.DUMMYFUNCTION("GOOGLETRANSLATE($A3112,""en"",""it"")"),"Giardino Esotico")</f>
        <v>Giardino Esotico</v>
      </c>
      <c r="G3112" s="9" t="str">
        <f>IFERROR(__xludf.DUMMYFUNCTION("GOOGLETRANSLATE($A3112,""en"",""zh-cn"")"),"异国情调花园")</f>
        <v>异国情调花园</v>
      </c>
      <c r="H3112" s="9" t="str">
        <f>IFERROR(__xludf.DUMMYFUNCTION("GOOGLETRANSLATE($A3112,""en"",""ja"")"),"ジャルダン エキゾティック")</f>
        <v>ジャルダン エキゾティック</v>
      </c>
      <c r="I3112" s="9" t="str">
        <f>IFERROR(__xludf.DUMMYFUNCTION("GOOGLETRANSLATE($A3112,""en"",""ko"")"),"자르댕 엑소티크")</f>
        <v>자르댕 엑소티크</v>
      </c>
      <c r="J3112" s="9" t="str">
        <f>IFERROR(__xludf.DUMMYFUNCTION("GOOGLETRANSLATE($A3112,""en"",""pt-BR"")"),"Jardim Exótico")</f>
        <v>Jardim Exótico</v>
      </c>
    </row>
    <row r="3113">
      <c r="A3113" s="9" t="str">
        <f>IFERROR(__xludf.DUMMYFUNCTION("""COMPUTED_VALUE"""),"Larvotto")</f>
        <v>Larvotto</v>
      </c>
      <c r="B3113" s="9" t="str">
        <f>IFERROR(__xludf.DUMMYFUNCTION("""COMPUTED_VALUE"""),"mc-la")</f>
        <v>mc-la</v>
      </c>
      <c r="C3113" s="9" t="str">
        <f>IFERROR(__xludf.DUMMYFUNCTION("GOOGLETRANSLATE($A3113,""en"",""de"")"),"Larvotto")</f>
        <v>Larvotto</v>
      </c>
      <c r="D3113" s="9" t="str">
        <f>IFERROR(__xludf.DUMMYFUNCTION("GOOGLETRANSLATE($A3113,""en"",""fr"")"),"Larvotto")</f>
        <v>Larvotto</v>
      </c>
      <c r="E3113" s="9" t="str">
        <f>IFERROR(__xludf.DUMMYFUNCTION("GOOGLETRANSLATE($A3113,""en"",""es"")"),"Larvotto")</f>
        <v>Larvotto</v>
      </c>
      <c r="F3113" s="9" t="str">
        <f>IFERROR(__xludf.DUMMYFUNCTION("GOOGLETRANSLATE($A3113,""en"",""it"")"),"Larvotto")</f>
        <v>Larvotto</v>
      </c>
      <c r="G3113" s="9" t="str">
        <f>IFERROR(__xludf.DUMMYFUNCTION("GOOGLETRANSLATE($A3113,""en"",""zh-cn"")"),"拉沃托")</f>
        <v>拉沃托</v>
      </c>
      <c r="H3113" s="9" t="str">
        <f>IFERROR(__xludf.DUMMYFUNCTION("GOOGLETRANSLATE($A3113,""en"",""ja"")"),"ラルボット")</f>
        <v>ラルボット</v>
      </c>
      <c r="I3113" s="9" t="str">
        <f>IFERROR(__xludf.DUMMYFUNCTION("GOOGLETRANSLATE($A3113,""en"",""ko"")"),"라보토")</f>
        <v>라보토</v>
      </c>
      <c r="J3113" s="9" t="str">
        <f>IFERROR(__xludf.DUMMYFUNCTION("GOOGLETRANSLATE($A3113,""en"",""pt-BR"")"),"Larvotto")</f>
        <v>Larvotto</v>
      </c>
    </row>
    <row r="3114">
      <c r="A3114" s="9" t="str">
        <f>IFERROR(__xludf.DUMMYFUNCTION("""COMPUTED_VALUE"""),"Sainte-Dévote")</f>
        <v>Sainte-Dévote</v>
      </c>
      <c r="B3114" s="9" t="str">
        <f>IFERROR(__xludf.DUMMYFUNCTION("""COMPUTED_VALUE"""),"mc-sd")</f>
        <v>mc-sd</v>
      </c>
      <c r="C3114" s="9" t="str">
        <f>IFERROR(__xludf.DUMMYFUNCTION("GOOGLETRANSLATE($A3114,""en"",""de"")"),"Sainte-Dévote")</f>
        <v>Sainte-Dévote</v>
      </c>
      <c r="D3114" s="9" t="str">
        <f>IFERROR(__xludf.DUMMYFUNCTION("GOOGLETRANSLATE($A3114,""en"",""fr"")"),"Sainte-Dévote")</f>
        <v>Sainte-Dévote</v>
      </c>
      <c r="E3114" s="9" t="str">
        <f>IFERROR(__xludf.DUMMYFUNCTION("GOOGLETRANSLATE($A3114,""en"",""es"")"),"Sainte-Dévote")</f>
        <v>Sainte-Dévote</v>
      </c>
      <c r="F3114" s="9" t="str">
        <f>IFERROR(__xludf.DUMMYFUNCTION("GOOGLETRANSLATE($A3114,""en"",""it"")"),"Sainte-Devote")</f>
        <v>Sainte-Devote</v>
      </c>
      <c r="G3114" s="9" t="str">
        <f>IFERROR(__xludf.DUMMYFUNCTION("GOOGLETRANSLATE($A3114,""en"",""zh-cn"")"),"圣德沃特")</f>
        <v>圣德沃特</v>
      </c>
      <c r="H3114" s="9" t="str">
        <f>IFERROR(__xludf.DUMMYFUNCTION("GOOGLETRANSLATE($A3114,""en"",""ja"")"),"サント・デヴォート")</f>
        <v>サント・デヴォート</v>
      </c>
      <c r="I3114" s="9" t="str">
        <f>IFERROR(__xludf.DUMMYFUNCTION("GOOGLETRANSLATE($A3114,""en"",""ko"")"),"생트 데보트")</f>
        <v>생트 데보트</v>
      </c>
      <c r="J3114" s="9" t="str">
        <f>IFERROR(__xludf.DUMMYFUNCTION("GOOGLETRANSLATE($A3114,""en"",""pt-BR"")"),"Sainte-Dévote")</f>
        <v>Sainte-Dévote</v>
      </c>
    </row>
    <row r="3115">
      <c r="A3115" s="9" t="str">
        <f>IFERROR(__xludf.DUMMYFUNCTION("""COMPUTED_VALUE"""),"Bulgan")</f>
        <v>Bulgan</v>
      </c>
      <c r="B3115" s="9" t="str">
        <f>IFERROR(__xludf.DUMMYFUNCTION("""COMPUTED_VALUE"""),"mn-067")</f>
        <v>mn-067</v>
      </c>
      <c r="C3115" s="9" t="str">
        <f>IFERROR(__xludf.DUMMYFUNCTION("GOOGLETRANSLATE($A3115,""en"",""de"")"),"Bulgan")</f>
        <v>Bulgan</v>
      </c>
      <c r="D3115" s="9" t="str">
        <f>IFERROR(__xludf.DUMMYFUNCTION("GOOGLETRANSLATE($A3115,""en"",""fr"")"),"Boulgan")</f>
        <v>Boulgan</v>
      </c>
      <c r="E3115" s="9" t="str">
        <f>IFERROR(__xludf.DUMMYFUNCTION("GOOGLETRANSLATE($A3115,""en"",""es"")"),"bulgan")</f>
        <v>bulgan</v>
      </c>
      <c r="F3115" s="9" t="str">
        <f>IFERROR(__xludf.DUMMYFUNCTION("GOOGLETRANSLATE($A3115,""en"",""it"")"),"Bulgan")</f>
        <v>Bulgan</v>
      </c>
      <c r="G3115" s="9" t="str">
        <f>IFERROR(__xludf.DUMMYFUNCTION("GOOGLETRANSLATE($A3115,""en"",""zh-cn"")"),"布尔干")</f>
        <v>布尔干</v>
      </c>
      <c r="H3115" s="9" t="str">
        <f>IFERROR(__xludf.DUMMYFUNCTION("GOOGLETRANSLATE($A3115,""en"",""ja"")"),"ボルガン")</f>
        <v>ボルガン</v>
      </c>
      <c r="I3115" s="9" t="str">
        <f>IFERROR(__xludf.DUMMYFUNCTION("GOOGLETRANSLATE($A3115,""en"",""ko"")"),"불간")</f>
        <v>불간</v>
      </c>
      <c r="J3115" s="9" t="str">
        <f>IFERROR(__xludf.DUMMYFUNCTION("GOOGLETRANSLATE($A3115,""en"",""pt-BR"")"),"búlgaro")</f>
        <v>búlgaro</v>
      </c>
    </row>
    <row r="3116">
      <c r="A3116" s="9" t="str">
        <f>IFERROR(__xludf.DUMMYFUNCTION("""COMPUTED_VALUE"""),"Orhon")</f>
        <v>Orhon</v>
      </c>
      <c r="B3116" s="9" t="str">
        <f>IFERROR(__xludf.DUMMYFUNCTION("""COMPUTED_VALUE"""),"mn-035")</f>
        <v>mn-035</v>
      </c>
      <c r="C3116" s="9" t="str">
        <f>IFERROR(__xludf.DUMMYFUNCTION("GOOGLETRANSLATE($A3116,""en"",""de"")"),"Orhon")</f>
        <v>Orhon</v>
      </c>
      <c r="D3116" s="9" t="str">
        <f>IFERROR(__xludf.DUMMYFUNCTION("GOOGLETRANSLATE($A3116,""en"",""fr"")"),"Orhon")</f>
        <v>Orhon</v>
      </c>
      <c r="E3116" s="9" t="str">
        <f>IFERROR(__xludf.DUMMYFUNCTION("GOOGLETRANSLATE($A3116,""en"",""es"")"),"Orhón")</f>
        <v>Orhón</v>
      </c>
      <c r="F3116" s="9" t="str">
        <f>IFERROR(__xludf.DUMMYFUNCTION("GOOGLETRANSLATE($A3116,""en"",""it"")"),"Orhon")</f>
        <v>Orhon</v>
      </c>
      <c r="G3116" s="9" t="str">
        <f>IFERROR(__xludf.DUMMYFUNCTION("GOOGLETRANSLATE($A3116,""en"",""zh-cn"")"),"奥尔洪")</f>
        <v>奥尔洪</v>
      </c>
      <c r="H3116" s="9" t="str">
        <f>IFERROR(__xludf.DUMMYFUNCTION("GOOGLETRANSLATE($A3116,""en"",""ja"")"),"オーホン")</f>
        <v>オーホン</v>
      </c>
      <c r="I3116" s="9" t="str">
        <f>IFERROR(__xludf.DUMMYFUNCTION("GOOGLETRANSLATE($A3116,""en"",""ko"")"),"오르혼")</f>
        <v>오르혼</v>
      </c>
      <c r="J3116" s="9" t="str">
        <f>IFERROR(__xludf.DUMMYFUNCTION("GOOGLETRANSLATE($A3116,""en"",""pt-BR"")"),"Orhon")</f>
        <v>Orhon</v>
      </c>
    </row>
    <row r="3117">
      <c r="A3117" s="9" t="str">
        <f>IFERROR(__xludf.DUMMYFUNCTION("""COMPUTED_VALUE"""),"Dornogovĭ")</f>
        <v>Dornogovĭ</v>
      </c>
      <c r="B3117" s="9" t="str">
        <f>IFERROR(__xludf.DUMMYFUNCTION("""COMPUTED_VALUE"""),"mn-063")</f>
        <v>mn-063</v>
      </c>
      <c r="C3117" s="9" t="str">
        <f>IFERROR(__xludf.DUMMYFUNCTION("GOOGLETRANSLATE($A3117,""en"",""de"")"),"Dornogovĭ")</f>
        <v>Dornogovĭ</v>
      </c>
      <c r="D3117" s="9" t="str">
        <f>IFERROR(__xludf.DUMMYFUNCTION("GOOGLETRANSLATE($A3117,""en"",""fr"")"),"Dornogovĭ")</f>
        <v>Dornogovĭ</v>
      </c>
      <c r="E3117" s="9" t="str">
        <f>IFERROR(__xludf.DUMMYFUNCTION("GOOGLETRANSLATE($A3117,""en"",""es"")"),"Dornogovĭ")</f>
        <v>Dornogovĭ</v>
      </c>
      <c r="F3117" s="9" t="str">
        <f>IFERROR(__xludf.DUMMYFUNCTION("GOOGLETRANSLATE($A3117,""en"",""it"")"),"Dornogovĭ")</f>
        <v>Dornogovĭ</v>
      </c>
      <c r="G3117" s="9" t="str">
        <f>IFERROR(__xludf.DUMMYFUNCTION("GOOGLETRANSLATE($A3117,""en"",""zh-cn"")"),"多尔诺戈维")</f>
        <v>多尔诺戈维</v>
      </c>
      <c r="H3117" s="9" t="str">
        <f>IFERROR(__xludf.DUMMYFUNCTION("GOOGLETRANSLATE($A3117,""en"",""ja"")"),"ドルノゴビ")</f>
        <v>ドルノゴビ</v>
      </c>
      <c r="I3117" s="9" t="str">
        <f>IFERROR(__xludf.DUMMYFUNCTION("GOOGLETRANSLATE($A3117,""en"",""ko"")"),"도르노고비")</f>
        <v>도르노고비</v>
      </c>
      <c r="J3117" s="9" t="str">
        <f>IFERROR(__xludf.DUMMYFUNCTION("GOOGLETRANSLATE($A3117,""en"",""pt-BR"")"),"Dornogovĭ")</f>
        <v>Dornogovĭ</v>
      </c>
    </row>
    <row r="3118">
      <c r="A3118" s="9" t="str">
        <f>IFERROR(__xludf.DUMMYFUNCTION("""COMPUTED_VALUE"""),"Dundgovĭ")</f>
        <v>Dundgovĭ</v>
      </c>
      <c r="B3118" s="9" t="str">
        <f>IFERROR(__xludf.DUMMYFUNCTION("""COMPUTED_VALUE"""),"mn-059")</f>
        <v>mn-059</v>
      </c>
      <c r="C3118" s="9" t="str">
        <f>IFERROR(__xludf.DUMMYFUNCTION("GOOGLETRANSLATE($A3118,""en"",""de"")"),"Dundgovĭ")</f>
        <v>Dundgovĭ</v>
      </c>
      <c r="D3118" s="9" t="str">
        <f>IFERROR(__xludf.DUMMYFUNCTION("GOOGLETRANSLATE($A3118,""en"",""fr"")"),"Dundgovĭ")</f>
        <v>Dundgovĭ</v>
      </c>
      <c r="E3118" s="9" t="str">
        <f>IFERROR(__xludf.DUMMYFUNCTION("GOOGLETRANSLATE($A3118,""en"",""es"")"),"Dundgovĭ")</f>
        <v>Dundgovĭ</v>
      </c>
      <c r="F3118" s="9" t="str">
        <f>IFERROR(__xludf.DUMMYFUNCTION("GOOGLETRANSLATE($A3118,""en"",""it"")"),"Dundgovĭ")</f>
        <v>Dundgovĭ</v>
      </c>
      <c r="G3118" s="9" t="str">
        <f>IFERROR(__xludf.DUMMYFUNCTION("GOOGLETRANSLATE($A3118,""en"",""zh-cn"")"),"邓德戈维")</f>
        <v>邓德戈维</v>
      </c>
      <c r="H3118" s="9" t="str">
        <f>IFERROR(__xludf.DUMMYFUNCTION("GOOGLETRANSLATE($A3118,""en"",""ja"")"),"ドゥンドゴヴィ")</f>
        <v>ドゥンドゴヴィ</v>
      </c>
      <c r="I3118" s="9" t="str">
        <f>IFERROR(__xludf.DUMMYFUNCTION("GOOGLETRANSLATE($A3118,""en"",""ko"")"),"던드고비")</f>
        <v>던드고비</v>
      </c>
      <c r="J3118" s="9" t="str">
        <f>IFERROR(__xludf.DUMMYFUNCTION("GOOGLETRANSLATE($A3118,""en"",""pt-BR"")"),"Dundgovĭ")</f>
        <v>Dundgovĭ</v>
      </c>
    </row>
    <row r="3119">
      <c r="A3119" s="9" t="str">
        <f>IFERROR(__xludf.DUMMYFUNCTION("""COMPUTED_VALUE"""),"Dornod")</f>
        <v>Dornod</v>
      </c>
      <c r="B3119" s="9" t="str">
        <f>IFERROR(__xludf.DUMMYFUNCTION("""COMPUTED_VALUE"""),"mn-061")</f>
        <v>mn-061</v>
      </c>
      <c r="C3119" s="9" t="str">
        <f>IFERROR(__xludf.DUMMYFUNCTION("GOOGLETRANSLATE($A3119,""en"",""de"")"),"Dornod")</f>
        <v>Dornod</v>
      </c>
      <c r="D3119" s="9" t="str">
        <f>IFERROR(__xludf.DUMMYFUNCTION("GOOGLETRANSLATE($A3119,""en"",""fr"")"),"Dornod")</f>
        <v>Dornod</v>
      </c>
      <c r="E3119" s="9" t="str">
        <f>IFERROR(__xludf.DUMMYFUNCTION("GOOGLETRANSLATE($A3119,""en"",""es"")"),"Dornod")</f>
        <v>Dornod</v>
      </c>
      <c r="F3119" s="9" t="str">
        <f>IFERROR(__xludf.DUMMYFUNCTION("GOOGLETRANSLATE($A3119,""en"",""it"")"),"Dornod")</f>
        <v>Dornod</v>
      </c>
      <c r="G3119" s="9" t="str">
        <f>IFERROR(__xludf.DUMMYFUNCTION("GOOGLETRANSLATE($A3119,""en"",""zh-cn"")"),"多诺德")</f>
        <v>多诺德</v>
      </c>
      <c r="H3119" s="9" t="str">
        <f>IFERROR(__xludf.DUMMYFUNCTION("GOOGLETRANSLATE($A3119,""en"",""ja"")"),"ドルノド")</f>
        <v>ドルノド</v>
      </c>
      <c r="I3119" s="9" t="str">
        <f>IFERROR(__xludf.DUMMYFUNCTION("GOOGLETRANSLATE($A3119,""en"",""ko"")"),"도르노드")</f>
        <v>도르노드</v>
      </c>
      <c r="J3119" s="9" t="str">
        <f>IFERROR(__xludf.DUMMYFUNCTION("GOOGLETRANSLATE($A3119,""en"",""pt-BR"")"),"Dornod")</f>
        <v>Dornod</v>
      </c>
    </row>
    <row r="3120">
      <c r="A3120" s="9" t="str">
        <f>IFERROR(__xludf.DUMMYFUNCTION("""COMPUTED_VALUE"""),"Selenge")</f>
        <v>Selenge</v>
      </c>
      <c r="B3120" s="9" t="str">
        <f>IFERROR(__xludf.DUMMYFUNCTION("""COMPUTED_VALUE"""),"mn-049")</f>
        <v>mn-049</v>
      </c>
      <c r="C3120" s="9" t="str">
        <f>IFERROR(__xludf.DUMMYFUNCTION("GOOGLETRANSLATE($A3120,""en"",""de"")"),"Selenge")</f>
        <v>Selenge</v>
      </c>
      <c r="D3120" s="9" t="str">
        <f>IFERROR(__xludf.DUMMYFUNCTION("GOOGLETRANSLATE($A3120,""en"",""fr"")"),"Selenge")</f>
        <v>Selenge</v>
      </c>
      <c r="E3120" s="9" t="str">
        <f>IFERROR(__xludf.DUMMYFUNCTION("GOOGLETRANSLATE($A3120,""en"",""es"")"),"selenge")</f>
        <v>selenge</v>
      </c>
      <c r="F3120" s="9" t="str">
        <f>IFERROR(__xludf.DUMMYFUNCTION("GOOGLETRANSLATE($A3120,""en"",""it"")"),"Selenge")</f>
        <v>Selenge</v>
      </c>
      <c r="G3120" s="9" t="str">
        <f>IFERROR(__xludf.DUMMYFUNCTION("GOOGLETRANSLATE($A3120,""en"",""zh-cn"")"),"色楞格")</f>
        <v>色楞格</v>
      </c>
      <c r="H3120" s="9" t="str">
        <f>IFERROR(__xludf.DUMMYFUNCTION("GOOGLETRANSLATE($A3120,""en"",""ja"")"),"セレンゲ")</f>
        <v>セレンゲ</v>
      </c>
      <c r="I3120" s="9" t="str">
        <f>IFERROR(__xludf.DUMMYFUNCTION("GOOGLETRANSLATE($A3120,""en"",""ko"")"),"셀렝게")</f>
        <v>셀렝게</v>
      </c>
      <c r="J3120" s="9" t="str">
        <f>IFERROR(__xludf.DUMMYFUNCTION("GOOGLETRANSLATE($A3120,""en"",""pt-BR"")"),"Selénge")</f>
        <v>Selénge</v>
      </c>
    </row>
    <row r="3121">
      <c r="A3121" s="9" t="str">
        <f>IFERROR(__xludf.DUMMYFUNCTION("""COMPUTED_VALUE"""),"Ömnögovĭ")</f>
        <v>Ömnögovĭ</v>
      </c>
      <c r="B3121" s="9" t="str">
        <f>IFERROR(__xludf.DUMMYFUNCTION("""COMPUTED_VALUE"""),"mn-053")</f>
        <v>mn-053</v>
      </c>
      <c r="C3121" s="9" t="str">
        <f>IFERROR(__xludf.DUMMYFUNCTION("GOOGLETRANSLATE($A3121,""en"",""de"")"),"Ömnögovĭ")</f>
        <v>Ömnögovĭ</v>
      </c>
      <c r="D3121" s="9" t="str">
        <f>IFERROR(__xludf.DUMMYFUNCTION("GOOGLETRANSLATE($A3121,""en"",""fr"")"),"Ömnögovĭ")</f>
        <v>Ömnögovĭ</v>
      </c>
      <c r="E3121" s="9" t="str">
        <f>IFERROR(__xludf.DUMMYFUNCTION("GOOGLETRANSLATE($A3121,""en"",""es"")"),"Ömnögovĭ")</f>
        <v>Ömnögovĭ</v>
      </c>
      <c r="F3121" s="9" t="str">
        <f>IFERROR(__xludf.DUMMYFUNCTION("GOOGLETRANSLATE($A3121,""en"",""it"")"),"Ömnögovĭ")</f>
        <v>Ömnögovĭ</v>
      </c>
      <c r="G3121" s="9" t="str">
        <f>IFERROR(__xludf.DUMMYFUNCTION("GOOGLETRANSLATE($A3121,""en"",""zh-cn"")"),"奥姆诺戈维")</f>
        <v>奥姆诺戈维</v>
      </c>
      <c r="H3121" s="9" t="str">
        <f>IFERROR(__xludf.DUMMYFUNCTION("GOOGLETRANSLATE($A3121,""en"",""ja"")"),"オムノゴヴィ")</f>
        <v>オムノゴヴィ</v>
      </c>
      <c r="I3121" s="9" t="str">
        <f>IFERROR(__xludf.DUMMYFUNCTION("GOOGLETRANSLATE($A3121,""en"",""ko"")"),"옴노고비")</f>
        <v>옴노고비</v>
      </c>
      <c r="J3121" s="9" t="str">
        <f>IFERROR(__xludf.DUMMYFUNCTION("GOOGLETRANSLATE($A3121,""en"",""pt-BR"")"),"Ömnögovĭ")</f>
        <v>Ömnögovĭ</v>
      </c>
    </row>
    <row r="3122">
      <c r="A3122" s="9" t="str">
        <f>IFERROR(__xludf.DUMMYFUNCTION("""COMPUTED_VALUE"""),"Govĭ-Sümber")</f>
        <v>Govĭ-Sümber</v>
      </c>
      <c r="B3122" s="9" t="str">
        <f>IFERROR(__xludf.DUMMYFUNCTION("""COMPUTED_VALUE"""),"mn-064")</f>
        <v>mn-064</v>
      </c>
      <c r="C3122" s="9" t="str">
        <f>IFERROR(__xludf.DUMMYFUNCTION("GOOGLETRANSLATE($A3122,""en"",""de"")"),"Govĭ-Sümber")</f>
        <v>Govĭ-Sümber</v>
      </c>
      <c r="D3122" s="9" t="str">
        <f>IFERROR(__xludf.DUMMYFUNCTION("GOOGLETRANSLATE($A3122,""en"",""fr"")"),"Govĭ-Sümber")</f>
        <v>Govĭ-Sümber</v>
      </c>
      <c r="E3122" s="9" t="str">
        <f>IFERROR(__xludf.DUMMYFUNCTION("GOOGLETRANSLATE($A3122,""en"",""es"")"),"Govĭ-Sümber")</f>
        <v>Govĭ-Sümber</v>
      </c>
      <c r="F3122" s="9" t="str">
        <f>IFERROR(__xludf.DUMMYFUNCTION("GOOGLETRANSLATE($A3122,""en"",""it"")"),"Govĭ-Sümber")</f>
        <v>Govĭ-Sümber</v>
      </c>
      <c r="G3122" s="9" t="str">
        <f>IFERROR(__xludf.DUMMYFUNCTION("GOOGLETRANSLATE($A3122,""en"",""zh-cn"")"),"政府-苏贝尔")</f>
        <v>政府-苏贝尔</v>
      </c>
      <c r="H3122" s="9" t="str">
        <f>IFERROR(__xludf.DUMMYFUNCTION("GOOGLETRANSLATE($A3122,""en"",""ja"")"),"ゴヴィ・スンベル")</f>
        <v>ゴヴィ・スンベル</v>
      </c>
      <c r="I3122" s="9" t="str">
        <f>IFERROR(__xludf.DUMMYFUNCTION("GOOGLETRANSLATE($A3122,""en"",""ko"")"),"Govĭ-Sümber")</f>
        <v>Govĭ-Sümber</v>
      </c>
      <c r="J3122" s="9" t="str">
        <f>IFERROR(__xludf.DUMMYFUNCTION("GOOGLETRANSLATE($A3122,""en"",""pt-BR"")"),"Govĭ-Sümber")</f>
        <v>Govĭ-Sümber</v>
      </c>
    </row>
    <row r="3123">
      <c r="A3123" s="9" t="str">
        <f>IFERROR(__xludf.DUMMYFUNCTION("""COMPUTED_VALUE"""),"Ulaanbaatar")</f>
        <v>Ulaanbaatar</v>
      </c>
      <c r="B3123" s="9" t="str">
        <f>IFERROR(__xludf.DUMMYFUNCTION("""COMPUTED_VALUE"""),"mn-1")</f>
        <v>mn-1</v>
      </c>
      <c r="C3123" s="9" t="str">
        <f>IFERROR(__xludf.DUMMYFUNCTION("GOOGLETRANSLATE($A3123,""en"",""de"")"),"Ulaanbaatar")</f>
        <v>Ulaanbaatar</v>
      </c>
      <c r="D3123" s="9" t="str">
        <f>IFERROR(__xludf.DUMMYFUNCTION("GOOGLETRANSLATE($A3123,""en"",""fr"")"),"Oulan-Bator")</f>
        <v>Oulan-Bator</v>
      </c>
      <c r="E3123" s="9" t="str">
        <f>IFERROR(__xludf.DUMMYFUNCTION("GOOGLETRANSLATE($A3123,""en"",""es"")"),"Ulán Bator")</f>
        <v>Ulán Bator</v>
      </c>
      <c r="F3123" s="9" t="str">
        <f>IFERROR(__xludf.DUMMYFUNCTION("GOOGLETRANSLATE($A3123,""en"",""it"")"),"Ulan Bator")</f>
        <v>Ulan Bator</v>
      </c>
      <c r="G3123" s="9" t="str">
        <f>IFERROR(__xludf.DUMMYFUNCTION("GOOGLETRANSLATE($A3123,""en"",""zh-cn"")"),"乌兰巴托")</f>
        <v>乌兰巴托</v>
      </c>
      <c r="H3123" s="9" t="str">
        <f>IFERROR(__xludf.DUMMYFUNCTION("GOOGLETRANSLATE($A3123,""en"",""ja"")"),"ウランバートル")</f>
        <v>ウランバートル</v>
      </c>
      <c r="I3123" s="9" t="str">
        <f>IFERROR(__xludf.DUMMYFUNCTION("GOOGLETRANSLATE($A3123,""en"",""ko"")"),"울란바토르")</f>
        <v>울란바토르</v>
      </c>
      <c r="J3123" s="9" t="str">
        <f>IFERROR(__xludf.DUMMYFUNCTION("GOOGLETRANSLATE($A3123,""en"",""pt-BR"")"),"Ulan Bator")</f>
        <v>Ulan Bator</v>
      </c>
    </row>
    <row r="3124">
      <c r="A3124" s="9" t="str">
        <f>IFERROR(__xludf.DUMMYFUNCTION("""COMPUTED_VALUE"""),"Hovd")</f>
        <v>Hovd</v>
      </c>
      <c r="B3124" s="9" t="str">
        <f>IFERROR(__xludf.DUMMYFUNCTION("""COMPUTED_VALUE"""),"mn-043")</f>
        <v>mn-043</v>
      </c>
      <c r="C3124" s="9" t="str">
        <f>IFERROR(__xludf.DUMMYFUNCTION("GOOGLETRANSLATE($A3124,""en"",""de"")"),"Hovd")</f>
        <v>Hovd</v>
      </c>
      <c r="D3124" s="9" t="str">
        <f>IFERROR(__xludf.DUMMYFUNCTION("GOOGLETRANSLATE($A3124,""en"",""fr"")"),"Hovd")</f>
        <v>Hovd</v>
      </c>
      <c r="E3124" s="9" t="str">
        <f>IFERROR(__xludf.DUMMYFUNCTION("GOOGLETRANSLATE($A3124,""en"",""es"")"),"Hovd")</f>
        <v>Hovd</v>
      </c>
      <c r="F3124" s="9" t="str">
        <f>IFERROR(__xludf.DUMMYFUNCTION("GOOGLETRANSLATE($A3124,""en"",""it"")"),"Hovd")</f>
        <v>Hovd</v>
      </c>
      <c r="G3124" s="9" t="str">
        <f>IFERROR(__xludf.DUMMYFUNCTION("GOOGLETRANSLATE($A3124,""en"",""zh-cn"")"),"霍夫德")</f>
        <v>霍夫德</v>
      </c>
      <c r="H3124" s="9" t="str">
        <f>IFERROR(__xludf.DUMMYFUNCTION("GOOGLETRANSLATE($A3124,""en"",""ja"")"),"ホブド")</f>
        <v>ホブド</v>
      </c>
      <c r="I3124" s="9" t="str">
        <f>IFERROR(__xludf.DUMMYFUNCTION("GOOGLETRANSLATE($A3124,""en"",""ko"")"),"호브드")</f>
        <v>호브드</v>
      </c>
      <c r="J3124" s="9" t="str">
        <f>IFERROR(__xludf.DUMMYFUNCTION("GOOGLETRANSLATE($A3124,""en"",""pt-BR"")"),"Hovd")</f>
        <v>Hovd</v>
      </c>
    </row>
    <row r="3125">
      <c r="A3125" s="9" t="str">
        <f>IFERROR(__xludf.DUMMYFUNCTION("""COMPUTED_VALUE"""),"Töv")</f>
        <v>Töv</v>
      </c>
      <c r="B3125" s="9" t="str">
        <f>IFERROR(__xludf.DUMMYFUNCTION("""COMPUTED_VALUE"""),"mn-047")</f>
        <v>mn-047</v>
      </c>
      <c r="C3125" s="9" t="str">
        <f>IFERROR(__xludf.DUMMYFUNCTION("GOOGLETRANSLATE($A3125,""en"",""de"")"),"Töv")</f>
        <v>Töv</v>
      </c>
      <c r="D3125" s="9" t="str">
        <f>IFERROR(__xludf.DUMMYFUNCTION("GOOGLETRANSLATE($A3125,""en"",""fr"")"),"Tov")</f>
        <v>Tov</v>
      </c>
      <c r="E3125" s="9" t="str">
        <f>IFERROR(__xludf.DUMMYFUNCTION("GOOGLETRANSLATE($A3125,""en"",""es"")"),"tov")</f>
        <v>tov</v>
      </c>
      <c r="F3125" s="9" t="str">
        <f>IFERROR(__xludf.DUMMYFUNCTION("GOOGLETRANSLATE($A3125,""en"",""it"")"),"Töv")</f>
        <v>Töv</v>
      </c>
      <c r="G3125" s="9" t="str">
        <f>IFERROR(__xludf.DUMMYFUNCTION("GOOGLETRANSLATE($A3125,""en"",""zh-cn"")"),"托夫")</f>
        <v>托夫</v>
      </c>
      <c r="H3125" s="9" t="str">
        <f>IFERROR(__xludf.DUMMYFUNCTION("GOOGLETRANSLATE($A3125,""en"",""ja"")"),"テフ")</f>
        <v>テフ</v>
      </c>
      <c r="I3125" s="9" t="str">
        <f>IFERROR(__xludf.DUMMYFUNCTION("GOOGLETRANSLATE($A3125,""en"",""ko"")"),"퇴브")</f>
        <v>퇴브</v>
      </c>
      <c r="J3125" s="9" t="str">
        <f>IFERROR(__xludf.DUMMYFUNCTION("GOOGLETRANSLATE($A3125,""en"",""pt-BR"")"),"Tov")</f>
        <v>Tov</v>
      </c>
    </row>
    <row r="3126">
      <c r="A3126" s="9" t="str">
        <f>IFERROR(__xludf.DUMMYFUNCTION("""COMPUTED_VALUE"""),"Dzavhan")</f>
        <v>Dzavhan</v>
      </c>
      <c r="B3126" s="9" t="str">
        <f>IFERROR(__xludf.DUMMYFUNCTION("""COMPUTED_VALUE"""),"mn-057")</f>
        <v>mn-057</v>
      </c>
      <c r="C3126" s="9" t="str">
        <f>IFERROR(__xludf.DUMMYFUNCTION("GOOGLETRANSLATE($A3126,""en"",""de"")"),"Dzavhan")</f>
        <v>Dzavhan</v>
      </c>
      <c r="D3126" s="9" t="str">
        <f>IFERROR(__xludf.DUMMYFUNCTION("GOOGLETRANSLATE($A3126,""en"",""fr"")"),"Dzavhan")</f>
        <v>Dzavhan</v>
      </c>
      <c r="E3126" s="9" t="str">
        <f>IFERROR(__xludf.DUMMYFUNCTION("GOOGLETRANSLATE($A3126,""en"",""es"")"),"Dzavhan")</f>
        <v>Dzavhan</v>
      </c>
      <c r="F3126" s="9" t="str">
        <f>IFERROR(__xludf.DUMMYFUNCTION("GOOGLETRANSLATE($A3126,""en"",""it"")"),"Dzavhan")</f>
        <v>Dzavhan</v>
      </c>
      <c r="G3126" s="9" t="str">
        <f>IFERROR(__xludf.DUMMYFUNCTION("GOOGLETRANSLATE($A3126,""en"",""zh-cn"")"),"扎夫汉")</f>
        <v>扎夫汉</v>
      </c>
      <c r="H3126" s="9" t="str">
        <f>IFERROR(__xludf.DUMMYFUNCTION("GOOGLETRANSLATE($A3126,""en"",""ja"")"),"ザヴァン")</f>
        <v>ザヴァン</v>
      </c>
      <c r="I3126" s="9" t="str">
        <f>IFERROR(__xludf.DUMMYFUNCTION("GOOGLETRANSLATE($A3126,""en"",""ko"")"),"자반")</f>
        <v>자반</v>
      </c>
      <c r="J3126" s="9" t="str">
        <f>IFERROR(__xludf.DUMMYFUNCTION("GOOGLETRANSLATE($A3126,""en"",""pt-BR"")"),"Dzavhan")</f>
        <v>Dzavhan</v>
      </c>
    </row>
    <row r="3127">
      <c r="A3127" s="9" t="str">
        <f>IFERROR(__xludf.DUMMYFUNCTION("""COMPUTED_VALUE"""),"Uvs")</f>
        <v>Uvs</v>
      </c>
      <c r="B3127" s="9" t="str">
        <f>IFERROR(__xludf.DUMMYFUNCTION("""COMPUTED_VALUE"""),"mn-046")</f>
        <v>mn-046</v>
      </c>
      <c r="C3127" s="9" t="str">
        <f>IFERROR(__xludf.DUMMYFUNCTION("GOOGLETRANSLATE($A3127,""en"",""de"")"),"UVS")</f>
        <v>UVS</v>
      </c>
      <c r="D3127" s="9" t="str">
        <f>IFERROR(__xludf.DUMMYFUNCTION("GOOGLETRANSLATE($A3127,""en"",""fr"")"),"UV")</f>
        <v>UV</v>
      </c>
      <c r="E3127" s="9" t="str">
        <f>IFERROR(__xludf.DUMMYFUNCTION("GOOGLETRANSLATE($A3127,""en"",""es"")"),"rayos ultravioleta")</f>
        <v>rayos ultravioleta</v>
      </c>
      <c r="F3127" s="9" t="str">
        <f>IFERROR(__xludf.DUMMYFUNCTION("GOOGLETRANSLATE($A3127,""en"",""it"")"),"Uv")</f>
        <v>Uv</v>
      </c>
      <c r="G3127" s="9" t="str">
        <f>IFERROR(__xludf.DUMMYFUNCTION("GOOGLETRANSLATE($A3127,""en"",""zh-cn"")"),"紫外线")</f>
        <v>紫外线</v>
      </c>
      <c r="H3127" s="9" t="str">
        <f>IFERROR(__xludf.DUMMYFUNCTION("GOOGLETRANSLATE($A3127,""en"",""ja"")"),"ウブス")</f>
        <v>ウブス</v>
      </c>
      <c r="I3127" s="9" t="str">
        <f>IFERROR(__xludf.DUMMYFUNCTION("GOOGLETRANSLATE($A3127,""en"",""ko"")"),"자외선")</f>
        <v>자외선</v>
      </c>
      <c r="J3127" s="9" t="str">
        <f>IFERROR(__xludf.DUMMYFUNCTION("GOOGLETRANSLATE($A3127,""en"",""pt-BR"")"),"UV")</f>
        <v>UV</v>
      </c>
    </row>
    <row r="3128">
      <c r="A3128" s="9" t="str">
        <f>IFERROR(__xludf.DUMMYFUNCTION("""COMPUTED_VALUE"""),"Darhan uul")</f>
        <v>Darhan uul</v>
      </c>
      <c r="B3128" s="9" t="str">
        <f>IFERROR(__xludf.DUMMYFUNCTION("""COMPUTED_VALUE"""),"mn-037")</f>
        <v>mn-037</v>
      </c>
      <c r="C3128" s="9" t="str">
        <f>IFERROR(__xludf.DUMMYFUNCTION("GOOGLETRANSLATE($A3128,""en"",""de"")"),"Darhan uul")</f>
        <v>Darhan uul</v>
      </c>
      <c r="D3128" s="9" t="str">
        <f>IFERROR(__xludf.DUMMYFUNCTION("GOOGLETRANSLATE($A3128,""en"",""fr"")"),"Darhan uul")</f>
        <v>Darhan uul</v>
      </c>
      <c r="E3128" s="9" t="str">
        <f>IFERROR(__xludf.DUMMYFUNCTION("GOOGLETRANSLATE($A3128,""en"",""es"")"),"darhan uul")</f>
        <v>darhan uul</v>
      </c>
      <c r="F3128" s="9" t="str">
        <f>IFERROR(__xludf.DUMMYFUNCTION("GOOGLETRANSLATE($A3128,""en"",""it"")"),"Darhan uul")</f>
        <v>Darhan uul</v>
      </c>
      <c r="G3128" s="9" t="str">
        <f>IFERROR(__xludf.DUMMYFUNCTION("GOOGLETRANSLATE($A3128,""en"",""zh-cn"")"),"达尔汗乌尔")</f>
        <v>达尔汗乌尔</v>
      </c>
      <c r="H3128" s="9" t="str">
        <f>IFERROR(__xludf.DUMMYFUNCTION("GOOGLETRANSLATE($A3128,""en"",""ja"")"),"ダルハン・ウル")</f>
        <v>ダルハン・ウル</v>
      </c>
      <c r="I3128" s="9" t="str">
        <f>IFERROR(__xludf.DUMMYFUNCTION("GOOGLETRANSLATE($A3128,""en"",""ko"")"),"다르한 울")</f>
        <v>다르한 울</v>
      </c>
      <c r="J3128" s="9" t="str">
        <f>IFERROR(__xludf.DUMMYFUNCTION("GOOGLETRANSLATE($A3128,""en"",""pt-BR"")"),"Darhan uul")</f>
        <v>Darhan uul</v>
      </c>
    </row>
    <row r="3129">
      <c r="A3129" s="9" t="str">
        <f>IFERROR(__xludf.DUMMYFUNCTION("""COMPUTED_VALUE"""),"Hövsgöl")</f>
        <v>Hövsgöl</v>
      </c>
      <c r="B3129" s="9" t="str">
        <f>IFERROR(__xludf.DUMMYFUNCTION("""COMPUTED_VALUE"""),"mn-041")</f>
        <v>mn-041</v>
      </c>
      <c r="C3129" s="9" t="str">
        <f>IFERROR(__xludf.DUMMYFUNCTION("GOOGLETRANSLATE($A3129,""en"",""de"")"),"Hövsgöl")</f>
        <v>Hövsgöl</v>
      </c>
      <c r="D3129" s="9" t="str">
        <f>IFERROR(__xludf.DUMMYFUNCTION("GOOGLETRANSLATE($A3129,""en"",""fr"")"),"Hövsgöl")</f>
        <v>Hövsgöl</v>
      </c>
      <c r="E3129" s="9" t="str">
        <f>IFERROR(__xludf.DUMMYFUNCTION("GOOGLETRANSLATE($A3129,""en"",""es"")"),"Hövsgöl")</f>
        <v>Hövsgöl</v>
      </c>
      <c r="F3129" s="9" t="str">
        <f>IFERROR(__xludf.DUMMYFUNCTION("GOOGLETRANSLATE($A3129,""en"",""it"")"),"Hövsgöl")</f>
        <v>Hövsgöl</v>
      </c>
      <c r="G3129" s="9" t="str">
        <f>IFERROR(__xludf.DUMMYFUNCTION("GOOGLETRANSLATE($A3129,""en"",""zh-cn"")"),"赫夫斯古尔")</f>
        <v>赫夫斯古尔</v>
      </c>
      <c r="H3129" s="9" t="str">
        <f>IFERROR(__xludf.DUMMYFUNCTION("GOOGLETRANSLATE($A3129,""en"",""ja"")"),"ホーブスゲル")</f>
        <v>ホーブスゲル</v>
      </c>
      <c r="I3129" s="9" t="str">
        <f>IFERROR(__xludf.DUMMYFUNCTION("GOOGLETRANSLATE($A3129,""en"",""ko"")"),"회브스골")</f>
        <v>회브스골</v>
      </c>
      <c r="J3129" s="9" t="str">
        <f>IFERROR(__xludf.DUMMYFUNCTION("GOOGLETRANSLATE($A3129,""en"",""pt-BR"")"),"Hövsgol")</f>
        <v>Hövsgol</v>
      </c>
    </row>
    <row r="3130">
      <c r="A3130" s="9" t="str">
        <f>IFERROR(__xludf.DUMMYFUNCTION("""COMPUTED_VALUE"""),"Sühbaatar")</f>
        <v>Sühbaatar</v>
      </c>
      <c r="B3130" s="9" t="str">
        <f>IFERROR(__xludf.DUMMYFUNCTION("""COMPUTED_VALUE"""),"mn-051")</f>
        <v>mn-051</v>
      </c>
      <c r="C3130" s="9" t="str">
        <f>IFERROR(__xludf.DUMMYFUNCTION("GOOGLETRANSLATE($A3130,""en"",""de"")"),"Süchbaatar")</f>
        <v>Süchbaatar</v>
      </c>
      <c r="D3130" s="9" t="str">
        <f>IFERROR(__xludf.DUMMYFUNCTION("GOOGLETRANSLATE($A3130,""en"",""fr"")"),"Sükhbaatar")</f>
        <v>Sükhbaatar</v>
      </c>
      <c r="E3130" s="9" t="str">
        <f>IFERROR(__xludf.DUMMYFUNCTION("GOOGLETRANSLATE($A3130,""en"",""es"")"),"Suhbaatar")</f>
        <v>Suhbaatar</v>
      </c>
      <c r="F3130" s="9" t="str">
        <f>IFERROR(__xludf.DUMMYFUNCTION("GOOGLETRANSLATE($A3130,""en"",""it"")"),"Sühbaatar")</f>
        <v>Sühbaatar</v>
      </c>
      <c r="G3130" s="9" t="str">
        <f>IFERROR(__xludf.DUMMYFUNCTION("GOOGLETRANSLATE($A3130,""en"",""zh-cn"")"),"苏赫巴托尔")</f>
        <v>苏赫巴托尔</v>
      </c>
      <c r="H3130" s="9" t="str">
        <f>IFERROR(__xludf.DUMMYFUNCTION("GOOGLETRANSLATE($A3130,""en"",""ja"")"),"スーバートル")</f>
        <v>スーバートル</v>
      </c>
      <c r="I3130" s="9" t="str">
        <f>IFERROR(__xludf.DUMMYFUNCTION("GOOGLETRANSLATE($A3130,""en"",""ko"")"),"수바타르")</f>
        <v>수바타르</v>
      </c>
      <c r="J3130" s="9" t="str">
        <f>IFERROR(__xludf.DUMMYFUNCTION("GOOGLETRANSLATE($A3130,""en"",""pt-BR"")"),"Sühbaatar")</f>
        <v>Sühbaatar</v>
      </c>
    </row>
    <row r="3131">
      <c r="A3131" s="9" t="str">
        <f>IFERROR(__xludf.DUMMYFUNCTION("""COMPUTED_VALUE"""),"Govĭ-Altay")</f>
        <v>Govĭ-Altay</v>
      </c>
      <c r="B3131" s="9" t="str">
        <f>IFERROR(__xludf.DUMMYFUNCTION("""COMPUTED_VALUE"""),"mn-065")</f>
        <v>mn-065</v>
      </c>
      <c r="C3131" s="9" t="str">
        <f>IFERROR(__xludf.DUMMYFUNCTION("GOOGLETRANSLATE($A3131,""en"",""de"")"),"Govĭ-Altay")</f>
        <v>Govĭ-Altay</v>
      </c>
      <c r="D3131" s="9" t="str">
        <f>IFERROR(__xludf.DUMMYFUNCTION("GOOGLETRANSLATE($A3131,""en"",""fr"")"),"Govĭ-Altay")</f>
        <v>Govĭ-Altay</v>
      </c>
      <c r="E3131" s="9" t="str">
        <f>IFERROR(__xludf.DUMMYFUNCTION("GOOGLETRANSLATE($A3131,""en"",""es"")"),"Govĭ-Altay")</f>
        <v>Govĭ-Altay</v>
      </c>
      <c r="F3131" s="9" t="str">
        <f>IFERROR(__xludf.DUMMYFUNCTION("GOOGLETRANSLATE($A3131,""en"",""it"")"),"Govĭ-Altay")</f>
        <v>Govĭ-Altay</v>
      </c>
      <c r="G3131" s="9" t="str">
        <f>IFERROR(__xludf.DUMMYFUNCTION("GOOGLETRANSLATE($A3131,""en"",""zh-cn"")"),"戈维阿勒泰")</f>
        <v>戈维阿勒泰</v>
      </c>
      <c r="H3131" s="9" t="str">
        <f>IFERROR(__xludf.DUMMYFUNCTION("GOOGLETRANSLATE($A3131,""en"",""ja"")"),"ゴヴィ・アルタイ")</f>
        <v>ゴヴィ・アルタイ</v>
      </c>
      <c r="I3131" s="9" t="str">
        <f>IFERROR(__xludf.DUMMYFUNCTION("GOOGLETRANSLATE($A3131,""en"",""ko"")"),"고비-알타이")</f>
        <v>고비-알타이</v>
      </c>
      <c r="J3131" s="9" t="str">
        <f>IFERROR(__xludf.DUMMYFUNCTION("GOOGLETRANSLATE($A3131,""en"",""pt-BR"")"),"Govĭ-Altay")</f>
        <v>Govĭ-Altay</v>
      </c>
    </row>
    <row r="3132">
      <c r="A3132" s="9" t="str">
        <f>IFERROR(__xludf.DUMMYFUNCTION("""COMPUTED_VALUE"""),"Bayanhongor")</f>
        <v>Bayanhongor</v>
      </c>
      <c r="B3132" s="9" t="str">
        <f>IFERROR(__xludf.DUMMYFUNCTION("""COMPUTED_VALUE"""),"mn-069")</f>
        <v>mn-069</v>
      </c>
      <c r="C3132" s="9" t="str">
        <f>IFERROR(__xludf.DUMMYFUNCTION("GOOGLETRANSLATE($A3132,""en"",""de"")"),"Bayanhongor")</f>
        <v>Bayanhongor</v>
      </c>
      <c r="D3132" s="9" t="str">
        <f>IFERROR(__xludf.DUMMYFUNCTION("GOOGLETRANSLATE($A3132,""en"",""fr"")"),"Bayanhongor")</f>
        <v>Bayanhongor</v>
      </c>
      <c r="E3132" s="9" t="str">
        <f>IFERROR(__xludf.DUMMYFUNCTION("GOOGLETRANSLATE($A3132,""en"",""es"")"),"Bayanhongor")</f>
        <v>Bayanhongor</v>
      </c>
      <c r="F3132" s="9" t="str">
        <f>IFERROR(__xludf.DUMMYFUNCTION("GOOGLETRANSLATE($A3132,""en"",""it"")"),"Bayanhongor")</f>
        <v>Bayanhongor</v>
      </c>
      <c r="G3132" s="9" t="str">
        <f>IFERROR(__xludf.DUMMYFUNCTION("GOOGLETRANSLATE($A3132,""en"",""zh-cn"")"),"巴彦洪戈尔")</f>
        <v>巴彦洪戈尔</v>
      </c>
      <c r="H3132" s="9" t="str">
        <f>IFERROR(__xludf.DUMMYFUNCTION("GOOGLETRANSLATE($A3132,""en"",""ja"")"),"バヤンホンゴル")</f>
        <v>バヤンホンゴル</v>
      </c>
      <c r="I3132" s="9" t="str">
        <f>IFERROR(__xludf.DUMMYFUNCTION("GOOGLETRANSLATE($A3132,""en"",""ko"")"),"바얀홍고르")</f>
        <v>바얀홍고르</v>
      </c>
      <c r="J3132" s="9" t="str">
        <f>IFERROR(__xludf.DUMMYFUNCTION("GOOGLETRANSLATE($A3132,""en"",""pt-BR"")"),"Bayanhongor")</f>
        <v>Bayanhongor</v>
      </c>
    </row>
    <row r="3133">
      <c r="A3133" s="9" t="str">
        <f>IFERROR(__xludf.DUMMYFUNCTION("""COMPUTED_VALUE"""),"Bayan-Ölgiy")</f>
        <v>Bayan-Ölgiy</v>
      </c>
      <c r="B3133" s="9" t="str">
        <f>IFERROR(__xludf.DUMMYFUNCTION("""COMPUTED_VALUE"""),"mn-071")</f>
        <v>mn-071</v>
      </c>
      <c r="C3133" s="9" t="str">
        <f>IFERROR(__xludf.DUMMYFUNCTION("GOOGLETRANSLATE($A3133,""en"",""de"")"),"Bayan-Ölgiy")</f>
        <v>Bayan-Ölgiy</v>
      </c>
      <c r="D3133" s="9" t="str">
        <f>IFERROR(__xludf.DUMMYFUNCTION("GOOGLETRANSLATE($A3133,""en"",""fr"")"),"Bayan-Ölgiy")</f>
        <v>Bayan-Ölgiy</v>
      </c>
      <c r="E3133" s="9" t="str">
        <f>IFERROR(__xludf.DUMMYFUNCTION("GOOGLETRANSLATE($A3133,""en"",""es"")"),"Bayan-Ölgiy")</f>
        <v>Bayan-Ölgiy</v>
      </c>
      <c r="F3133" s="9" t="str">
        <f>IFERROR(__xludf.DUMMYFUNCTION("GOOGLETRANSLATE($A3133,""en"",""it"")"),"Bayan-Ölgiy")</f>
        <v>Bayan-Ölgiy</v>
      </c>
      <c r="G3133" s="9" t="str">
        <f>IFERROR(__xludf.DUMMYFUNCTION("GOOGLETRANSLATE($A3133,""en"",""zh-cn"")"),"巴彦乌勒吉")</f>
        <v>巴彦乌勒吉</v>
      </c>
      <c r="H3133" s="9" t="str">
        <f>IFERROR(__xludf.DUMMYFUNCTION("GOOGLETRANSLATE($A3133,""en"",""ja"")"),"バヤン・オルギー")</f>
        <v>バヤン・オルギー</v>
      </c>
      <c r="I3133" s="9" t="str">
        <f>IFERROR(__xludf.DUMMYFUNCTION("GOOGLETRANSLATE($A3133,""en"",""ko"")"),"바얀올기")</f>
        <v>바얀올기</v>
      </c>
      <c r="J3133" s="9" t="str">
        <f>IFERROR(__xludf.DUMMYFUNCTION("GOOGLETRANSLATE($A3133,""en"",""pt-BR"")"),"Bayan-Ölgiy")</f>
        <v>Bayan-Ölgiy</v>
      </c>
    </row>
    <row r="3134">
      <c r="A3134" s="9" t="str">
        <f>IFERROR(__xludf.DUMMYFUNCTION("""COMPUTED_VALUE"""),"Övörhangay")</f>
        <v>Övörhangay</v>
      </c>
      <c r="B3134" s="9" t="str">
        <f>IFERROR(__xludf.DUMMYFUNCTION("""COMPUTED_VALUE"""),"mn-055")</f>
        <v>mn-055</v>
      </c>
      <c r="C3134" s="9" t="str">
        <f>IFERROR(__xludf.DUMMYFUNCTION("GOOGLETRANSLATE($A3134,""en"",""de"")"),"Övörhangay")</f>
        <v>Övörhangay</v>
      </c>
      <c r="D3134" s="9" t="str">
        <f>IFERROR(__xludf.DUMMYFUNCTION("GOOGLETRANSLATE($A3134,""en"",""fr"")"),"Övörhangay")</f>
        <v>Övörhangay</v>
      </c>
      <c r="E3134" s="9" t="str">
        <f>IFERROR(__xludf.DUMMYFUNCTION("GOOGLETRANSLATE($A3134,""en"",""es"")"),"Övörhangay")</f>
        <v>Övörhangay</v>
      </c>
      <c r="F3134" s="9" t="str">
        <f>IFERROR(__xludf.DUMMYFUNCTION("GOOGLETRANSLATE($A3134,""en"",""it"")"),"Övörhangay")</f>
        <v>Övörhangay</v>
      </c>
      <c r="G3134" s="9" t="str">
        <f>IFERROR(__xludf.DUMMYFUNCTION("GOOGLETRANSLATE($A3134,""en"",""zh-cn"")"),"奥沃尔杭爱")</f>
        <v>奥沃尔杭爱</v>
      </c>
      <c r="H3134" s="9" t="str">
        <f>IFERROR(__xludf.DUMMYFUNCTION("GOOGLETRANSLATE($A3134,""en"",""ja"")"),"オヴォルハンガイ")</f>
        <v>オヴォルハンガイ</v>
      </c>
      <c r="I3134" s="9" t="str">
        <f>IFERROR(__xludf.DUMMYFUNCTION("GOOGLETRANSLATE($A3134,""en"",""ko"")"),"외뵈르항가이")</f>
        <v>외뵈르항가이</v>
      </c>
      <c r="J3134" s="9" t="str">
        <f>IFERROR(__xludf.DUMMYFUNCTION("GOOGLETRANSLATE($A3134,""en"",""pt-BR"")"),"Övörhangay")</f>
        <v>Övörhangay</v>
      </c>
    </row>
    <row r="3135">
      <c r="A3135" s="9" t="str">
        <f>IFERROR(__xludf.DUMMYFUNCTION("""COMPUTED_VALUE"""),"Hentiy")</f>
        <v>Hentiy</v>
      </c>
      <c r="B3135" s="9" t="str">
        <f>IFERROR(__xludf.DUMMYFUNCTION("""COMPUTED_VALUE"""),"mn-039")</f>
        <v>mn-039</v>
      </c>
      <c r="C3135" s="9" t="str">
        <f>IFERROR(__xludf.DUMMYFUNCTION("GOOGLETRANSLATE($A3135,""en"",""de"")"),"Hentiy")</f>
        <v>Hentiy</v>
      </c>
      <c r="D3135" s="9" t="str">
        <f>IFERROR(__xludf.DUMMYFUNCTION("GOOGLETRANSLATE($A3135,""en"",""fr"")"),"Hentie")</f>
        <v>Hentie</v>
      </c>
      <c r="E3135" s="9" t="str">
        <f>IFERROR(__xludf.DUMMYFUNCTION("GOOGLETRANSLATE($A3135,""en"",""es"")"),"hentai")</f>
        <v>hentai</v>
      </c>
      <c r="F3135" s="9" t="str">
        <f>IFERROR(__xludf.DUMMYFUNCTION("GOOGLETRANSLATE($A3135,""en"",""it"")"),"Hentiy")</f>
        <v>Hentiy</v>
      </c>
      <c r="G3135" s="9" t="str">
        <f>IFERROR(__xludf.DUMMYFUNCTION("GOOGLETRANSLATE($A3135,""en"",""zh-cn"")"),"亨蒂")</f>
        <v>亨蒂</v>
      </c>
      <c r="H3135" s="9" t="str">
        <f>IFERROR(__xludf.DUMMYFUNCTION("GOOGLETRANSLATE($A3135,""en"",""ja"")"),"ヘンティ")</f>
        <v>ヘンティ</v>
      </c>
      <c r="I3135" s="9" t="str">
        <f>IFERROR(__xludf.DUMMYFUNCTION("GOOGLETRANSLATE($A3135,""en"",""ko"")"),"헨티")</f>
        <v>헨티</v>
      </c>
      <c r="J3135" s="9" t="str">
        <f>IFERROR(__xludf.DUMMYFUNCTION("GOOGLETRANSLATE($A3135,""en"",""pt-BR"")"),"Henty")</f>
        <v>Henty</v>
      </c>
    </row>
    <row r="3136">
      <c r="A3136" s="9" t="str">
        <f>IFERROR(__xludf.DUMMYFUNCTION("""COMPUTED_VALUE"""),"Arhangay")</f>
        <v>Arhangay</v>
      </c>
      <c r="B3136" s="9" t="str">
        <f>IFERROR(__xludf.DUMMYFUNCTION("""COMPUTED_VALUE"""),"mn-073")</f>
        <v>mn-073</v>
      </c>
      <c r="C3136" s="9" t="str">
        <f>IFERROR(__xludf.DUMMYFUNCTION("GOOGLETRANSLATE($A3136,""en"",""de"")"),"Arhangay")</f>
        <v>Arhangay</v>
      </c>
      <c r="D3136" s="9" t="str">
        <f>IFERROR(__xludf.DUMMYFUNCTION("GOOGLETRANSLATE($A3136,""en"",""fr"")"),"Arhangaï")</f>
        <v>Arhangaï</v>
      </c>
      <c r="E3136" s="9" t="str">
        <f>IFERROR(__xludf.DUMMYFUNCTION("GOOGLETRANSLATE($A3136,""en"",""es"")"),"Arhangay")</f>
        <v>Arhangay</v>
      </c>
      <c r="F3136" s="9" t="str">
        <f>IFERROR(__xludf.DUMMYFUNCTION("GOOGLETRANSLATE($A3136,""en"",""it"")"),"Arhangay")</f>
        <v>Arhangay</v>
      </c>
      <c r="G3136" s="9" t="str">
        <f>IFERROR(__xludf.DUMMYFUNCTION("GOOGLETRANSLATE($A3136,""en"",""zh-cn"")"),"阿尔杭盖")</f>
        <v>阿尔杭盖</v>
      </c>
      <c r="H3136" s="9" t="str">
        <f>IFERROR(__xludf.DUMMYFUNCTION("GOOGLETRANSLATE($A3136,""en"",""ja"")"),"アルハンガイ")</f>
        <v>アルハンガイ</v>
      </c>
      <c r="I3136" s="9" t="str">
        <f>IFERROR(__xludf.DUMMYFUNCTION("GOOGLETRANSLATE($A3136,""en"",""ko"")"),"아르항가이")</f>
        <v>아르항가이</v>
      </c>
      <c r="J3136" s="9" t="str">
        <f>IFERROR(__xludf.DUMMYFUNCTION("GOOGLETRANSLATE($A3136,""en"",""pt-BR"")"),"Arhangay")</f>
        <v>Arhangay</v>
      </c>
    </row>
    <row r="3137">
      <c r="A3137" s="9" t="str">
        <f>IFERROR(__xludf.DUMMYFUNCTION("""COMPUTED_VALUE"""),"Herceg-Novi")</f>
        <v>Herceg-Novi</v>
      </c>
      <c r="B3137" s="9" t="str">
        <f>IFERROR(__xludf.DUMMYFUNCTION("""COMPUTED_VALUE"""),"me-08")</f>
        <v>me-08</v>
      </c>
      <c r="C3137" s="9" t="str">
        <f>IFERROR(__xludf.DUMMYFUNCTION("GOOGLETRANSLATE($A3137,""en"",""de"")"),"Herceg-Novi")</f>
        <v>Herceg-Novi</v>
      </c>
      <c r="D3137" s="9" t="str">
        <f>IFERROR(__xludf.DUMMYFUNCTION("GOOGLETRANSLATE($A3137,""en"",""fr"")"),"Herceg-Novi")</f>
        <v>Herceg-Novi</v>
      </c>
      <c r="E3137" s="9" t="str">
        <f>IFERROR(__xludf.DUMMYFUNCTION("GOOGLETRANSLATE($A3137,""en"",""es"")"),"Herceg Novi")</f>
        <v>Herceg Novi</v>
      </c>
      <c r="F3137" s="9" t="str">
        <f>IFERROR(__xludf.DUMMYFUNCTION("GOOGLETRANSLATE($A3137,""en"",""it"")"),"Herceg-Novi")</f>
        <v>Herceg-Novi</v>
      </c>
      <c r="G3137" s="9" t="str">
        <f>IFERROR(__xludf.DUMMYFUNCTION("GOOGLETRANSLATE($A3137,""en"",""zh-cn"")"),"新赫尔采格")</f>
        <v>新赫尔采格</v>
      </c>
      <c r="H3137" s="9" t="str">
        <f>IFERROR(__xludf.DUMMYFUNCTION("GOOGLETRANSLATE($A3137,""en"",""ja"")"),"ヘルツェグ・ノヴィ")</f>
        <v>ヘルツェグ・ノヴィ</v>
      </c>
      <c r="I3137" s="9" t="str">
        <f>IFERROR(__xludf.DUMMYFUNCTION("GOOGLETRANSLATE($A3137,""en"",""ko"")"),"헤르체그노비")</f>
        <v>헤르체그노비</v>
      </c>
      <c r="J3137" s="9" t="str">
        <f>IFERROR(__xludf.DUMMYFUNCTION("GOOGLETRANSLATE($A3137,""en"",""pt-BR"")"),"Herceg Novi")</f>
        <v>Herceg Novi</v>
      </c>
    </row>
    <row r="3138">
      <c r="A3138" s="9" t="str">
        <f>IFERROR(__xludf.DUMMYFUNCTION("""COMPUTED_VALUE"""),"Žabljak")</f>
        <v>Žabljak</v>
      </c>
      <c r="B3138" s="9" t="str">
        <f>IFERROR(__xludf.DUMMYFUNCTION("""COMPUTED_VALUE"""),"me-21")</f>
        <v>me-21</v>
      </c>
      <c r="C3138" s="9" t="str">
        <f>IFERROR(__xludf.DUMMYFUNCTION("GOOGLETRANSLATE($A3138,""en"",""de"")"),"Žabljak")</f>
        <v>Žabljak</v>
      </c>
      <c r="D3138" s="9" t="str">
        <f>IFERROR(__xludf.DUMMYFUNCTION("GOOGLETRANSLATE($A3138,""en"",""fr"")"),"Zabljak")</f>
        <v>Zabljak</v>
      </c>
      <c r="E3138" s="9" t="str">
        <f>IFERROR(__xludf.DUMMYFUNCTION("GOOGLETRANSLATE($A3138,""en"",""es"")"),"Žabljak")</f>
        <v>Žabljak</v>
      </c>
      <c r="F3138" s="9" t="str">
        <f>IFERROR(__xludf.DUMMYFUNCTION("GOOGLETRANSLATE($A3138,""en"",""it"")"),"Žabljak")</f>
        <v>Žabljak</v>
      </c>
      <c r="G3138" s="9" t="str">
        <f>IFERROR(__xludf.DUMMYFUNCTION("GOOGLETRANSLATE($A3138,""en"",""zh-cn"")"),"扎布利亚克")</f>
        <v>扎布利亚克</v>
      </c>
      <c r="H3138" s="9" t="str">
        <f>IFERROR(__xludf.DUMMYFUNCTION("GOOGLETRANSLATE($A3138,""en"",""ja"")"),"ジャブリャク")</f>
        <v>ジャブリャク</v>
      </c>
      <c r="I3138" s="9" t="str">
        <f>IFERROR(__xludf.DUMMYFUNCTION("GOOGLETRANSLATE($A3138,""en"",""ko"")"),"자블야크")</f>
        <v>자블야크</v>
      </c>
      <c r="J3138" s="9" t="str">
        <f>IFERROR(__xludf.DUMMYFUNCTION("GOOGLETRANSLATE($A3138,""en"",""pt-BR"")"),"Žabljak")</f>
        <v>Žabljak</v>
      </c>
    </row>
    <row r="3139">
      <c r="A3139" s="9" t="str">
        <f>IFERROR(__xludf.DUMMYFUNCTION("""COMPUTED_VALUE"""),"Ulcinj")</f>
        <v>Ulcinj</v>
      </c>
      <c r="B3139" s="9" t="str">
        <f>IFERROR(__xludf.DUMMYFUNCTION("""COMPUTED_VALUE"""),"me-20")</f>
        <v>me-20</v>
      </c>
      <c r="C3139" s="9" t="str">
        <f>IFERROR(__xludf.DUMMYFUNCTION("GOOGLETRANSLATE($A3139,""en"",""de"")"),"Ulcinj")</f>
        <v>Ulcinj</v>
      </c>
      <c r="D3139" s="9" t="str">
        <f>IFERROR(__xludf.DUMMYFUNCTION("GOOGLETRANSLATE($A3139,""en"",""fr"")"),"Ulcinj")</f>
        <v>Ulcinj</v>
      </c>
      <c r="E3139" s="9" t="str">
        <f>IFERROR(__xludf.DUMMYFUNCTION("GOOGLETRANSLATE($A3139,""en"",""es"")"),"Dulcigno")</f>
        <v>Dulcigno</v>
      </c>
      <c r="F3139" s="9" t="str">
        <f>IFERROR(__xludf.DUMMYFUNCTION("GOOGLETRANSLATE($A3139,""en"",""it"")"),"Dulcigno")</f>
        <v>Dulcigno</v>
      </c>
      <c r="G3139" s="9" t="str">
        <f>IFERROR(__xludf.DUMMYFUNCTION("GOOGLETRANSLATE($A3139,""en"",""zh-cn"")"),"乌尔齐尼")</f>
        <v>乌尔齐尼</v>
      </c>
      <c r="H3139" s="9" t="str">
        <f>IFERROR(__xludf.DUMMYFUNCTION("GOOGLETRANSLATE($A3139,""en"",""ja"")"),"ウルツィニ")</f>
        <v>ウルツィニ</v>
      </c>
      <c r="I3139" s="9" t="str">
        <f>IFERROR(__xludf.DUMMYFUNCTION("GOOGLETRANSLATE($A3139,""en"",""ko"")"),"울치니")</f>
        <v>울치니</v>
      </c>
      <c r="J3139" s="9" t="str">
        <f>IFERROR(__xludf.DUMMYFUNCTION("GOOGLETRANSLATE($A3139,""en"",""pt-BR"")"),"Ulcinj")</f>
        <v>Ulcinj</v>
      </c>
    </row>
    <row r="3140">
      <c r="A3140" s="9" t="str">
        <f>IFERROR(__xludf.DUMMYFUNCTION("""COMPUTED_VALUE"""),"Plav")</f>
        <v>Plav</v>
      </c>
      <c r="B3140" s="9" t="str">
        <f>IFERROR(__xludf.DUMMYFUNCTION("""COMPUTED_VALUE"""),"me-13")</f>
        <v>me-13</v>
      </c>
      <c r="C3140" s="9" t="str">
        <f>IFERROR(__xludf.DUMMYFUNCTION("GOOGLETRANSLATE($A3140,""en"",""de"")"),"Plav")</f>
        <v>Plav</v>
      </c>
      <c r="D3140" s="9" t="str">
        <f>IFERROR(__xludf.DUMMYFUNCTION("GOOGLETRANSLATE($A3140,""en"",""fr"")"),"Plav")</f>
        <v>Plav</v>
      </c>
      <c r="E3140" s="9" t="str">
        <f>IFERROR(__xludf.DUMMYFUNCTION("GOOGLETRANSLATE($A3140,""en"",""es"")"),"Plav")</f>
        <v>Plav</v>
      </c>
      <c r="F3140" s="9" t="str">
        <f>IFERROR(__xludf.DUMMYFUNCTION("GOOGLETRANSLATE($A3140,""en"",""it"")"),"Plav")</f>
        <v>Plav</v>
      </c>
      <c r="G3140" s="9" t="str">
        <f>IFERROR(__xludf.DUMMYFUNCTION("GOOGLETRANSLATE($A3140,""en"",""zh-cn"")"),"普拉夫")</f>
        <v>普拉夫</v>
      </c>
      <c r="H3140" s="9" t="str">
        <f>IFERROR(__xludf.DUMMYFUNCTION("GOOGLETRANSLATE($A3140,""en"",""ja"")"),"プラヴ")</f>
        <v>プラヴ</v>
      </c>
      <c r="I3140" s="9" t="str">
        <f>IFERROR(__xludf.DUMMYFUNCTION("GOOGLETRANSLATE($A3140,""en"",""ko"")"),"플라브")</f>
        <v>플라브</v>
      </c>
      <c r="J3140" s="9" t="str">
        <f>IFERROR(__xludf.DUMMYFUNCTION("GOOGLETRANSLATE($A3140,""en"",""pt-BR"")"),"Plav")</f>
        <v>Plav</v>
      </c>
    </row>
    <row r="3141">
      <c r="A3141" s="9" t="str">
        <f>IFERROR(__xludf.DUMMYFUNCTION("""COMPUTED_VALUE"""),"Mojkovac")</f>
        <v>Mojkovac</v>
      </c>
      <c r="B3141" s="9" t="str">
        <f>IFERROR(__xludf.DUMMYFUNCTION("""COMPUTED_VALUE"""),"me-11")</f>
        <v>me-11</v>
      </c>
      <c r="C3141" s="9" t="str">
        <f>IFERROR(__xludf.DUMMYFUNCTION("GOOGLETRANSLATE($A3141,""en"",""de"")"),"Mojkovac")</f>
        <v>Mojkovac</v>
      </c>
      <c r="D3141" s="9" t="str">
        <f>IFERROR(__xludf.DUMMYFUNCTION("GOOGLETRANSLATE($A3141,""en"",""fr"")"),"Mojkovac")</f>
        <v>Mojkovac</v>
      </c>
      <c r="E3141" s="9" t="str">
        <f>IFERROR(__xludf.DUMMYFUNCTION("GOOGLETRANSLATE($A3141,""en"",""es"")"),"Mojkovac")</f>
        <v>Mojkovac</v>
      </c>
      <c r="F3141" s="9" t="str">
        <f>IFERROR(__xludf.DUMMYFUNCTION("GOOGLETRANSLATE($A3141,""en"",""it"")"),"Mojkovac")</f>
        <v>Mojkovac</v>
      </c>
      <c r="G3141" s="9" t="str">
        <f>IFERROR(__xludf.DUMMYFUNCTION("GOOGLETRANSLATE($A3141,""en"",""zh-cn"")"),"莫伊科瓦茨")</f>
        <v>莫伊科瓦茨</v>
      </c>
      <c r="H3141" s="9" t="str">
        <f>IFERROR(__xludf.DUMMYFUNCTION("GOOGLETRANSLATE($A3141,""en"",""ja"")"),"モイコヴァツ")</f>
        <v>モイコヴァツ</v>
      </c>
      <c r="I3141" s="9" t="str">
        <f>IFERROR(__xludf.DUMMYFUNCTION("GOOGLETRANSLATE($A3141,""en"",""ko"")"),"모이코바츠")</f>
        <v>모이코바츠</v>
      </c>
      <c r="J3141" s="9" t="str">
        <f>IFERROR(__xludf.DUMMYFUNCTION("GOOGLETRANSLATE($A3141,""en"",""pt-BR"")"),"Mojkovac")</f>
        <v>Mojkovac</v>
      </c>
    </row>
    <row r="3142">
      <c r="A3142" s="9" t="str">
        <f>IFERROR(__xludf.DUMMYFUNCTION("""COMPUTED_VALUE"""),"Cetinje")</f>
        <v>Cetinje</v>
      </c>
      <c r="B3142" s="9" t="str">
        <f>IFERROR(__xludf.DUMMYFUNCTION("""COMPUTED_VALUE"""),"me-06")</f>
        <v>me-06</v>
      </c>
      <c r="C3142" s="9" t="str">
        <f>IFERROR(__xludf.DUMMYFUNCTION("GOOGLETRANSLATE($A3142,""en"",""de"")"),"Cetinje")</f>
        <v>Cetinje</v>
      </c>
      <c r="D3142" s="9" t="str">
        <f>IFERROR(__xludf.DUMMYFUNCTION("GOOGLETRANSLATE($A3142,""en"",""fr"")"),"Cetinje")</f>
        <v>Cetinje</v>
      </c>
      <c r="E3142" s="9" t="str">
        <f>IFERROR(__xludf.DUMMYFUNCTION("GOOGLETRANSLATE($A3142,""en"",""es"")"),"Cetiña")</f>
        <v>Cetiña</v>
      </c>
      <c r="F3142" s="9" t="str">
        <f>IFERROR(__xludf.DUMMYFUNCTION("GOOGLETRANSLATE($A3142,""en"",""it"")"),"Cetinje")</f>
        <v>Cetinje</v>
      </c>
      <c r="G3142" s="9" t="str">
        <f>IFERROR(__xludf.DUMMYFUNCTION("GOOGLETRANSLATE($A3142,""en"",""zh-cn"")"),"采蒂涅")</f>
        <v>采蒂涅</v>
      </c>
      <c r="H3142" s="9" t="str">
        <f>IFERROR(__xludf.DUMMYFUNCTION("GOOGLETRANSLATE($A3142,""en"",""ja"")"),"ツェティニェ")</f>
        <v>ツェティニェ</v>
      </c>
      <c r="I3142" s="9" t="str">
        <f>IFERROR(__xludf.DUMMYFUNCTION("GOOGLETRANSLATE($A3142,""en"",""ko"")"),"세티네")</f>
        <v>세티네</v>
      </c>
      <c r="J3142" s="9" t="str">
        <f>IFERROR(__xludf.DUMMYFUNCTION("GOOGLETRANSLATE($A3142,""en"",""pt-BR"")"),"Cetinje")</f>
        <v>Cetinje</v>
      </c>
    </row>
    <row r="3143">
      <c r="A3143" s="9" t="str">
        <f>IFERROR(__xludf.DUMMYFUNCTION("""COMPUTED_VALUE"""),"Pljevlja")</f>
        <v>Pljevlja</v>
      </c>
      <c r="B3143" s="9" t="str">
        <f>IFERROR(__xludf.DUMMYFUNCTION("""COMPUTED_VALUE"""),"me-14")</f>
        <v>me-14</v>
      </c>
      <c r="C3143" s="9" t="str">
        <f>IFERROR(__xludf.DUMMYFUNCTION("GOOGLETRANSLATE($A3143,""en"",""de"")"),"Pljevlja")</f>
        <v>Pljevlja</v>
      </c>
      <c r="D3143" s="9" t="str">
        <f>IFERROR(__xludf.DUMMYFUNCTION("GOOGLETRANSLATE($A3143,""en"",""fr"")"),"Pljevlja")</f>
        <v>Pljevlja</v>
      </c>
      <c r="E3143" s="9" t="str">
        <f>IFERROR(__xludf.DUMMYFUNCTION("GOOGLETRANSLATE($A3143,""en"",""es"")"),"Pljevlja")</f>
        <v>Pljevlja</v>
      </c>
      <c r="F3143" s="9" t="str">
        <f>IFERROR(__xludf.DUMMYFUNCTION("GOOGLETRANSLATE($A3143,""en"",""it"")"),"Pljevlja")</f>
        <v>Pljevlja</v>
      </c>
      <c r="G3143" s="9" t="str">
        <f>IFERROR(__xludf.DUMMYFUNCTION("GOOGLETRANSLATE($A3143,""en"",""zh-cn"")"),"普列夫利亚")</f>
        <v>普列夫利亚</v>
      </c>
      <c r="H3143" s="9" t="str">
        <f>IFERROR(__xludf.DUMMYFUNCTION("GOOGLETRANSLATE($A3143,""en"",""ja"")"),"プリェヴリャ")</f>
        <v>プリェヴリャ</v>
      </c>
      <c r="I3143" s="9" t="str">
        <f>IFERROR(__xludf.DUMMYFUNCTION("GOOGLETRANSLATE($A3143,""en"",""ko"")"),"플레블야")</f>
        <v>플레블야</v>
      </c>
      <c r="J3143" s="9" t="str">
        <f>IFERROR(__xludf.DUMMYFUNCTION("GOOGLETRANSLATE($A3143,""en"",""pt-BR"")"),"Pljevlja")</f>
        <v>Pljevlja</v>
      </c>
    </row>
    <row r="3144">
      <c r="A3144" s="9" t="str">
        <f>IFERROR(__xludf.DUMMYFUNCTION("""COMPUTED_VALUE"""),"Danilovgrad")</f>
        <v>Danilovgrad</v>
      </c>
      <c r="B3144" s="9" t="str">
        <f>IFERROR(__xludf.DUMMYFUNCTION("""COMPUTED_VALUE"""),"me-07")</f>
        <v>me-07</v>
      </c>
      <c r="C3144" s="9" t="str">
        <f>IFERROR(__xludf.DUMMYFUNCTION("GOOGLETRANSLATE($A3144,""en"",""de"")"),"Danilowgrad")</f>
        <v>Danilowgrad</v>
      </c>
      <c r="D3144" s="9" t="str">
        <f>IFERROR(__xludf.DUMMYFUNCTION("GOOGLETRANSLATE($A3144,""en"",""fr"")"),"Danilovgrad")</f>
        <v>Danilovgrad</v>
      </c>
      <c r="E3144" s="9" t="str">
        <f>IFERROR(__xludf.DUMMYFUNCTION("GOOGLETRANSLATE($A3144,""en"",""es"")"),"Danilovgrad")</f>
        <v>Danilovgrad</v>
      </c>
      <c r="F3144" s="9" t="str">
        <f>IFERROR(__xludf.DUMMYFUNCTION("GOOGLETRANSLATE($A3144,""en"",""it"")"),"Danilovgrad")</f>
        <v>Danilovgrad</v>
      </c>
      <c r="G3144" s="9" t="str">
        <f>IFERROR(__xludf.DUMMYFUNCTION("GOOGLETRANSLATE($A3144,""en"",""zh-cn"")"),"达尼洛夫格勒")</f>
        <v>达尼洛夫格勒</v>
      </c>
      <c r="H3144" s="9" t="str">
        <f>IFERROR(__xludf.DUMMYFUNCTION("GOOGLETRANSLATE($A3144,""en"",""ja"")"),"ダニロヴグラド")</f>
        <v>ダニロヴグラド</v>
      </c>
      <c r="I3144" s="9" t="str">
        <f>IFERROR(__xludf.DUMMYFUNCTION("GOOGLETRANSLATE($A3144,""en"",""ko"")"),"다닐로브그라드")</f>
        <v>다닐로브그라드</v>
      </c>
      <c r="J3144" s="9" t="str">
        <f>IFERROR(__xludf.DUMMYFUNCTION("GOOGLETRANSLATE($A3144,""en"",""pt-BR"")"),"Danilovgrado")</f>
        <v>Danilovgrado</v>
      </c>
    </row>
    <row r="3145">
      <c r="A3145" s="9" t="str">
        <f>IFERROR(__xludf.DUMMYFUNCTION("""COMPUTED_VALUE"""),"Rožaje")</f>
        <v>Rožaje</v>
      </c>
      <c r="B3145" s="9" t="str">
        <f>IFERROR(__xludf.DUMMYFUNCTION("""COMPUTED_VALUE"""),"me-17")</f>
        <v>me-17</v>
      </c>
      <c r="C3145" s="9" t="str">
        <f>IFERROR(__xludf.DUMMYFUNCTION("GOOGLETRANSLATE($A3145,""en"",""de"")"),"Rožaje")</f>
        <v>Rožaje</v>
      </c>
      <c r="D3145" s="9" t="str">
        <f>IFERROR(__xludf.DUMMYFUNCTION("GOOGLETRANSLATE($A3145,""en"",""fr"")"),"Rožaje")</f>
        <v>Rožaje</v>
      </c>
      <c r="E3145" s="9" t="str">
        <f>IFERROR(__xludf.DUMMYFUNCTION("GOOGLETRANSLATE($A3145,""en"",""es"")"),"Rožaje")</f>
        <v>Rožaje</v>
      </c>
      <c r="F3145" s="9" t="str">
        <f>IFERROR(__xludf.DUMMYFUNCTION("GOOGLETRANSLATE($A3145,""en"",""it"")"),"Rožaje")</f>
        <v>Rožaje</v>
      </c>
      <c r="G3145" s="9" t="str">
        <f>IFERROR(__xludf.DUMMYFUNCTION("GOOGLETRANSLATE($A3145,""en"",""zh-cn"")"),"罗扎耶")</f>
        <v>罗扎耶</v>
      </c>
      <c r="H3145" s="9" t="str">
        <f>IFERROR(__xludf.DUMMYFUNCTION("GOOGLETRANSLATE($A3145,""en"",""ja"")"),"ロジャヘ")</f>
        <v>ロジャヘ</v>
      </c>
      <c r="I3145" s="9" t="str">
        <f>IFERROR(__xludf.DUMMYFUNCTION("GOOGLETRANSLATE($A3145,""en"",""ko"")"),"로자예")</f>
        <v>로자예</v>
      </c>
      <c r="J3145" s="9" t="str">
        <f>IFERROR(__xludf.DUMMYFUNCTION("GOOGLETRANSLATE($A3145,""en"",""pt-BR"")"),"Rosaje")</f>
        <v>Rosaje</v>
      </c>
    </row>
    <row r="3146">
      <c r="A3146" s="9" t="str">
        <f>IFERROR(__xludf.DUMMYFUNCTION("""COMPUTED_VALUE"""),"Kolašin")</f>
        <v>Kolašin</v>
      </c>
      <c r="B3146" s="9" t="str">
        <f>IFERROR(__xludf.DUMMYFUNCTION("""COMPUTED_VALUE"""),"me-09")</f>
        <v>me-09</v>
      </c>
      <c r="C3146" s="9" t="str">
        <f>IFERROR(__xludf.DUMMYFUNCTION("GOOGLETRANSLATE($A3146,""en"",""de"")"),"Kolašin")</f>
        <v>Kolašin</v>
      </c>
      <c r="D3146" s="9" t="str">
        <f>IFERROR(__xludf.DUMMYFUNCTION("GOOGLETRANSLATE($A3146,""en"",""fr"")"),"Kolašin")</f>
        <v>Kolašin</v>
      </c>
      <c r="E3146" s="9" t="str">
        <f>IFERROR(__xludf.DUMMYFUNCTION("GOOGLETRANSLATE($A3146,""en"",""es"")"),"Kolasin")</f>
        <v>Kolasin</v>
      </c>
      <c r="F3146" s="9" t="str">
        <f>IFERROR(__xludf.DUMMYFUNCTION("GOOGLETRANSLATE($A3146,""en"",""it"")"),"Kolasin")</f>
        <v>Kolasin</v>
      </c>
      <c r="G3146" s="9" t="str">
        <f>IFERROR(__xludf.DUMMYFUNCTION("GOOGLETRANSLATE($A3146,""en"",""zh-cn"")"),"科拉欣")</f>
        <v>科拉欣</v>
      </c>
      <c r="H3146" s="9" t="str">
        <f>IFERROR(__xludf.DUMMYFUNCTION("GOOGLETRANSLATE($A3146,""en"",""ja"")"),"コラシン")</f>
        <v>コラシン</v>
      </c>
      <c r="I3146" s="9" t="str">
        <f>IFERROR(__xludf.DUMMYFUNCTION("GOOGLETRANSLATE($A3146,""en"",""ko"")"),"콜라신")</f>
        <v>콜라신</v>
      </c>
      <c r="J3146" s="9" t="str">
        <f>IFERROR(__xludf.DUMMYFUNCTION("GOOGLETRANSLATE($A3146,""en"",""pt-BR"")"),"Kolašin")</f>
        <v>Kolašin</v>
      </c>
    </row>
    <row r="3147">
      <c r="A3147" s="9" t="str">
        <f>IFERROR(__xludf.DUMMYFUNCTION("""COMPUTED_VALUE"""),"Bar")</f>
        <v>Bar</v>
      </c>
      <c r="B3147" s="9" t="str">
        <f>IFERROR(__xludf.DUMMYFUNCTION("""COMPUTED_VALUE"""),"me-02")</f>
        <v>me-02</v>
      </c>
      <c r="C3147" s="9" t="str">
        <f>IFERROR(__xludf.DUMMYFUNCTION("GOOGLETRANSLATE($A3147,""en"",""de"")"),"Bar")</f>
        <v>Bar</v>
      </c>
      <c r="D3147" s="9" t="str">
        <f>IFERROR(__xludf.DUMMYFUNCTION("GOOGLETRANSLATE($A3147,""en"",""fr"")"),"Bar")</f>
        <v>Bar</v>
      </c>
      <c r="E3147" s="9" t="str">
        <f>IFERROR(__xludf.DUMMYFUNCTION("GOOGLETRANSLATE($A3147,""en"",""es"")"),"Bar")</f>
        <v>Bar</v>
      </c>
      <c r="F3147" s="9" t="str">
        <f>IFERROR(__xludf.DUMMYFUNCTION("GOOGLETRANSLATE($A3147,""en"",""it"")"),"Sbarra")</f>
        <v>Sbarra</v>
      </c>
      <c r="G3147" s="9" t="str">
        <f>IFERROR(__xludf.DUMMYFUNCTION("GOOGLETRANSLATE($A3147,""en"",""zh-cn"")"),"酒吧")</f>
        <v>酒吧</v>
      </c>
      <c r="H3147" s="9" t="str">
        <f>IFERROR(__xludf.DUMMYFUNCTION("GOOGLETRANSLATE($A3147,""en"",""ja"")"),"バー")</f>
        <v>バー</v>
      </c>
      <c r="I3147" s="9" t="str">
        <f>IFERROR(__xludf.DUMMYFUNCTION("GOOGLETRANSLATE($A3147,""en"",""ko"")"),"술집")</f>
        <v>술집</v>
      </c>
      <c r="J3147" s="9" t="str">
        <f>IFERROR(__xludf.DUMMYFUNCTION("GOOGLETRANSLATE($A3147,""en"",""pt-BR"")"),"Bar")</f>
        <v>Bar</v>
      </c>
    </row>
    <row r="3148">
      <c r="A3148" s="9" t="str">
        <f>IFERROR(__xludf.DUMMYFUNCTION("""COMPUTED_VALUE"""),"Andrijevica")</f>
        <v>Andrijevica</v>
      </c>
      <c r="B3148" s="9" t="str">
        <f>IFERROR(__xludf.DUMMYFUNCTION("""COMPUTED_VALUE"""),"me-01")</f>
        <v>me-01</v>
      </c>
      <c r="C3148" s="9" t="str">
        <f>IFERROR(__xludf.DUMMYFUNCTION("GOOGLETRANSLATE($A3148,""en"",""de"")"),"Andrijevica")</f>
        <v>Andrijevica</v>
      </c>
      <c r="D3148" s="9" t="str">
        <f>IFERROR(__xludf.DUMMYFUNCTION("GOOGLETRANSLATE($A3148,""en"",""fr"")"),"Andrijevica")</f>
        <v>Andrijevica</v>
      </c>
      <c r="E3148" s="9" t="str">
        <f>IFERROR(__xludf.DUMMYFUNCTION("GOOGLETRANSLATE($A3148,""en"",""es"")"),"andrijevica")</f>
        <v>andrijevica</v>
      </c>
      <c r="F3148" s="9" t="str">
        <f>IFERROR(__xludf.DUMMYFUNCTION("GOOGLETRANSLATE($A3148,""en"",""it"")"),"Andrijevica")</f>
        <v>Andrijevica</v>
      </c>
      <c r="G3148" s="9" t="str">
        <f>IFERROR(__xludf.DUMMYFUNCTION("GOOGLETRANSLATE($A3148,""en"",""zh-cn"")"),"安德里耶维察")</f>
        <v>安德里耶维察</v>
      </c>
      <c r="H3148" s="9" t="str">
        <f>IFERROR(__xludf.DUMMYFUNCTION("GOOGLETRANSLATE($A3148,""en"",""ja"")"),"アンドリエヴィツァ")</f>
        <v>アンドリエヴィツァ</v>
      </c>
      <c r="I3148" s="9" t="str">
        <f>IFERROR(__xludf.DUMMYFUNCTION("GOOGLETRANSLATE($A3148,""en"",""ko"")"),"안드리예비차")</f>
        <v>안드리예비차</v>
      </c>
      <c r="J3148" s="9" t="str">
        <f>IFERROR(__xludf.DUMMYFUNCTION("GOOGLETRANSLATE($A3148,""en"",""pt-BR"")"),"Andrijevica")</f>
        <v>Andrijevica</v>
      </c>
    </row>
    <row r="3149">
      <c r="A3149" s="9" t="str">
        <f>IFERROR(__xludf.DUMMYFUNCTION("""COMPUTED_VALUE"""),"Kotor")</f>
        <v>Kotor</v>
      </c>
      <c r="B3149" s="9" t="str">
        <f>IFERROR(__xludf.DUMMYFUNCTION("""COMPUTED_VALUE"""),"me-10")</f>
        <v>me-10</v>
      </c>
      <c r="C3149" s="9" t="str">
        <f>IFERROR(__xludf.DUMMYFUNCTION("GOOGLETRANSLATE($A3149,""en"",""de"")"),"Kotor")</f>
        <v>Kotor</v>
      </c>
      <c r="D3149" s="9" t="str">
        <f>IFERROR(__xludf.DUMMYFUNCTION("GOOGLETRANSLATE($A3149,""en"",""fr"")"),"Kotor")</f>
        <v>Kotor</v>
      </c>
      <c r="E3149" s="9" t="str">
        <f>IFERROR(__xludf.DUMMYFUNCTION("GOOGLETRANSLATE($A3149,""en"",""es"")"),"Kotor")</f>
        <v>Kotor</v>
      </c>
      <c r="F3149" s="9" t="str">
        <f>IFERROR(__xludf.DUMMYFUNCTION("GOOGLETRANSLATE($A3149,""en"",""it"")"),"Cattaro")</f>
        <v>Cattaro</v>
      </c>
      <c r="G3149" s="9" t="str">
        <f>IFERROR(__xludf.DUMMYFUNCTION("GOOGLETRANSLATE($A3149,""en"",""zh-cn"")"),"科托尔")</f>
        <v>科托尔</v>
      </c>
      <c r="H3149" s="9" t="str">
        <f>IFERROR(__xludf.DUMMYFUNCTION("GOOGLETRANSLATE($A3149,""en"",""ja"")"),"コトル")</f>
        <v>コトル</v>
      </c>
      <c r="I3149" s="9" t="str">
        <f>IFERROR(__xludf.DUMMYFUNCTION("GOOGLETRANSLATE($A3149,""en"",""ko"")"),"코토르")</f>
        <v>코토르</v>
      </c>
      <c r="J3149" s="9" t="str">
        <f>IFERROR(__xludf.DUMMYFUNCTION("GOOGLETRANSLATE($A3149,""en"",""pt-BR"")"),"Kotor")</f>
        <v>Kotor</v>
      </c>
    </row>
    <row r="3150">
      <c r="A3150" s="9" t="str">
        <f>IFERROR(__xludf.DUMMYFUNCTION("""COMPUTED_VALUE"""),"Plužine")</f>
        <v>Plužine</v>
      </c>
      <c r="B3150" s="9" t="str">
        <f>IFERROR(__xludf.DUMMYFUNCTION("""COMPUTED_VALUE"""),"me-15")</f>
        <v>me-15</v>
      </c>
      <c r="C3150" s="9" t="str">
        <f>IFERROR(__xludf.DUMMYFUNCTION("GOOGLETRANSLATE($A3150,""en"",""de"")"),"Plužine")</f>
        <v>Plužine</v>
      </c>
      <c r="D3150" s="9" t="str">
        <f>IFERROR(__xludf.DUMMYFUNCTION("GOOGLETRANSLATE($A3150,""en"",""fr"")"),"Plužine")</f>
        <v>Plužine</v>
      </c>
      <c r="E3150" s="9" t="str">
        <f>IFERROR(__xludf.DUMMYFUNCTION("GOOGLETRANSLATE($A3150,""en"",""es"")"),"Pluzine")</f>
        <v>Pluzine</v>
      </c>
      <c r="F3150" s="9" t="str">
        <f>IFERROR(__xludf.DUMMYFUNCTION("GOOGLETRANSLATE($A3150,""en"",""it"")"),"Plužine")</f>
        <v>Plužine</v>
      </c>
      <c r="G3150" s="9" t="str">
        <f>IFERROR(__xludf.DUMMYFUNCTION("GOOGLETRANSLATE($A3150,""en"",""zh-cn"")"),"普卢日内")</f>
        <v>普卢日内</v>
      </c>
      <c r="H3150" s="9" t="str">
        <f>IFERROR(__xludf.DUMMYFUNCTION("GOOGLETRANSLATE($A3150,""en"",""ja"")"),"プルジネ")</f>
        <v>プルジネ</v>
      </c>
      <c r="I3150" s="9" t="str">
        <f>IFERROR(__xludf.DUMMYFUNCTION("GOOGLETRANSLATE($A3150,""en"",""ko"")"),"플루지네")</f>
        <v>플루지네</v>
      </c>
      <c r="J3150" s="9" t="str">
        <f>IFERROR(__xludf.DUMMYFUNCTION("GOOGLETRANSLATE($A3150,""en"",""pt-BR"")"),"Pluzine")</f>
        <v>Pluzine</v>
      </c>
    </row>
    <row r="3151">
      <c r="A3151" s="9" t="str">
        <f>IFERROR(__xludf.DUMMYFUNCTION("""COMPUTED_VALUE"""),"Budva")</f>
        <v>Budva</v>
      </c>
      <c r="B3151" s="9" t="str">
        <f>IFERROR(__xludf.DUMMYFUNCTION("""COMPUTED_VALUE"""),"me-05")</f>
        <v>me-05</v>
      </c>
      <c r="C3151" s="9" t="str">
        <f>IFERROR(__xludf.DUMMYFUNCTION("GOOGLETRANSLATE($A3151,""en"",""de"")"),"Budva")</f>
        <v>Budva</v>
      </c>
      <c r="D3151" s="9" t="str">
        <f>IFERROR(__xludf.DUMMYFUNCTION("GOOGLETRANSLATE($A3151,""en"",""fr"")"),"Budva")</f>
        <v>Budva</v>
      </c>
      <c r="E3151" s="9" t="str">
        <f>IFERROR(__xludf.DUMMYFUNCTION("GOOGLETRANSLATE($A3151,""en"",""es"")"),"Budva")</f>
        <v>Budva</v>
      </c>
      <c r="F3151" s="9" t="str">
        <f>IFERROR(__xludf.DUMMYFUNCTION("GOOGLETRANSLATE($A3151,""en"",""it"")"),"Budua")</f>
        <v>Budua</v>
      </c>
      <c r="G3151" s="9" t="str">
        <f>IFERROR(__xludf.DUMMYFUNCTION("GOOGLETRANSLATE($A3151,""en"",""zh-cn"")"),"布德瓦")</f>
        <v>布德瓦</v>
      </c>
      <c r="H3151" s="9" t="str">
        <f>IFERROR(__xludf.DUMMYFUNCTION("GOOGLETRANSLATE($A3151,""en"",""ja"")"),"ブドヴァ")</f>
        <v>ブドヴァ</v>
      </c>
      <c r="I3151" s="9" t="str">
        <f>IFERROR(__xludf.DUMMYFUNCTION("GOOGLETRANSLATE($A3151,""en"",""ko"")"),"부드바")</f>
        <v>부드바</v>
      </c>
      <c r="J3151" s="9" t="str">
        <f>IFERROR(__xludf.DUMMYFUNCTION("GOOGLETRANSLATE($A3151,""en"",""pt-BR"")"),"Budva")</f>
        <v>Budva</v>
      </c>
    </row>
    <row r="3152">
      <c r="A3152" s="9" t="str">
        <f>IFERROR(__xludf.DUMMYFUNCTION("""COMPUTED_VALUE"""),"Tivat")</f>
        <v>Tivat</v>
      </c>
      <c r="B3152" s="9" t="str">
        <f>IFERROR(__xludf.DUMMYFUNCTION("""COMPUTED_VALUE"""),"me-19")</f>
        <v>me-19</v>
      </c>
      <c r="C3152" s="9" t="str">
        <f>IFERROR(__xludf.DUMMYFUNCTION("GOOGLETRANSLATE($A3152,""en"",""de"")"),"Tivat")</f>
        <v>Tivat</v>
      </c>
      <c r="D3152" s="9" t="str">
        <f>IFERROR(__xludf.DUMMYFUNCTION("GOOGLETRANSLATE($A3152,""en"",""fr"")"),"Tivat")</f>
        <v>Tivat</v>
      </c>
      <c r="E3152" s="9" t="str">
        <f>IFERROR(__xludf.DUMMYFUNCTION("GOOGLETRANSLATE($A3152,""en"",""es"")"),"tivat")</f>
        <v>tivat</v>
      </c>
      <c r="F3152" s="9" t="str">
        <f>IFERROR(__xludf.DUMMYFUNCTION("GOOGLETRANSLATE($A3152,""en"",""it"")"),"Teodo")</f>
        <v>Teodo</v>
      </c>
      <c r="G3152" s="9" t="str">
        <f>IFERROR(__xludf.DUMMYFUNCTION("GOOGLETRANSLATE($A3152,""en"",""zh-cn"")"),"蒂瓦特")</f>
        <v>蒂瓦特</v>
      </c>
      <c r="H3152" s="9" t="str">
        <f>IFERROR(__xludf.DUMMYFUNCTION("GOOGLETRANSLATE($A3152,""en"",""ja"")"),"ティヴァト")</f>
        <v>ティヴァト</v>
      </c>
      <c r="I3152" s="9" t="str">
        <f>IFERROR(__xludf.DUMMYFUNCTION("GOOGLETRANSLATE($A3152,""en"",""ko"")"),"티바트")</f>
        <v>티바트</v>
      </c>
      <c r="J3152" s="9" t="str">
        <f>IFERROR(__xludf.DUMMYFUNCTION("GOOGLETRANSLATE($A3152,""en"",""pt-BR"")"),"Tivat")</f>
        <v>Tivat</v>
      </c>
    </row>
    <row r="3153">
      <c r="A3153" s="9" t="str">
        <f>IFERROR(__xludf.DUMMYFUNCTION("""COMPUTED_VALUE"""),"Nikšić")</f>
        <v>Nikšić</v>
      </c>
      <c r="B3153" s="9" t="str">
        <f>IFERROR(__xludf.DUMMYFUNCTION("""COMPUTED_VALUE"""),"me-12")</f>
        <v>me-12</v>
      </c>
      <c r="C3153" s="9" t="str">
        <f>IFERROR(__xludf.DUMMYFUNCTION("GOOGLETRANSLATE($A3153,""en"",""de"")"),"Nikšić")</f>
        <v>Nikšić</v>
      </c>
      <c r="D3153" s="9" t="str">
        <f>IFERROR(__xludf.DUMMYFUNCTION("GOOGLETRANSLATE($A3153,""en"",""fr"")"),"Nikšić")</f>
        <v>Nikšić</v>
      </c>
      <c r="E3153" s="9" t="str">
        <f>IFERROR(__xludf.DUMMYFUNCTION("GOOGLETRANSLATE($A3153,""en"",""es"")"),"Nikšić")</f>
        <v>Nikšić</v>
      </c>
      <c r="F3153" s="9" t="str">
        <f>IFERROR(__xludf.DUMMYFUNCTION("GOOGLETRANSLATE($A3153,""en"",""it"")"),"Nikšić")</f>
        <v>Nikšić</v>
      </c>
      <c r="G3153" s="9" t="str">
        <f>IFERROR(__xludf.DUMMYFUNCTION("GOOGLETRANSLATE($A3153,""en"",""zh-cn"")"),"尼克希奇")</f>
        <v>尼克希奇</v>
      </c>
      <c r="H3153" s="9" t="str">
        <f>IFERROR(__xludf.DUMMYFUNCTION("GOOGLETRANSLATE($A3153,""en"",""ja"")"),"ニクシッチ")</f>
        <v>ニクシッチ</v>
      </c>
      <c r="I3153" s="9" t="str">
        <f>IFERROR(__xludf.DUMMYFUNCTION("GOOGLETRANSLATE($A3153,""en"",""ko"")"),"닉시치")</f>
        <v>닉시치</v>
      </c>
      <c r="J3153" s="9" t="str">
        <f>IFERROR(__xludf.DUMMYFUNCTION("GOOGLETRANSLATE($A3153,""en"",""pt-BR"")"),"Nikšić")</f>
        <v>Nikšić</v>
      </c>
    </row>
    <row r="3154">
      <c r="A3154" s="9" t="str">
        <f>IFERROR(__xludf.DUMMYFUNCTION("""COMPUTED_VALUE"""),"Berane")</f>
        <v>Berane</v>
      </c>
      <c r="B3154" s="9" t="str">
        <f>IFERROR(__xludf.DUMMYFUNCTION("""COMPUTED_VALUE"""),"me-03")</f>
        <v>me-03</v>
      </c>
      <c r="C3154" s="9" t="str">
        <f>IFERROR(__xludf.DUMMYFUNCTION("GOOGLETRANSLATE($A3154,""en"",""de"")"),"Berane")</f>
        <v>Berane</v>
      </c>
      <c r="D3154" s="9" t="str">
        <f>IFERROR(__xludf.DUMMYFUNCTION("GOOGLETRANSLATE($A3154,""en"",""fr"")"),"Bérane")</f>
        <v>Bérane</v>
      </c>
      <c r="E3154" s="9" t="str">
        <f>IFERROR(__xludf.DUMMYFUNCTION("GOOGLETRANSLATE($A3154,""en"",""es"")"),"Berane")</f>
        <v>Berane</v>
      </c>
      <c r="F3154" s="9" t="str">
        <f>IFERROR(__xludf.DUMMYFUNCTION("GOOGLETRANSLATE($A3154,""en"",""it"")"),"Berane")</f>
        <v>Berane</v>
      </c>
      <c r="G3154" s="9" t="str">
        <f>IFERROR(__xludf.DUMMYFUNCTION("GOOGLETRANSLATE($A3154,""en"",""zh-cn"")"),"贝拉内")</f>
        <v>贝拉内</v>
      </c>
      <c r="H3154" s="9" t="str">
        <f>IFERROR(__xludf.DUMMYFUNCTION("GOOGLETRANSLATE($A3154,""en"",""ja"")"),"ベラネ")</f>
        <v>ベラネ</v>
      </c>
      <c r="I3154" s="9" t="str">
        <f>IFERROR(__xludf.DUMMYFUNCTION("GOOGLETRANSLATE($A3154,""en"",""ko"")"),"베라네")</f>
        <v>베라네</v>
      </c>
      <c r="J3154" s="9" t="str">
        <f>IFERROR(__xludf.DUMMYFUNCTION("GOOGLETRANSLATE($A3154,""en"",""pt-BR"")"),"Berane")</f>
        <v>Berane</v>
      </c>
    </row>
    <row r="3155">
      <c r="A3155" s="9" t="str">
        <f>IFERROR(__xludf.DUMMYFUNCTION("""COMPUTED_VALUE"""),"Bijelo Polje")</f>
        <v>Bijelo Polje</v>
      </c>
      <c r="B3155" s="9" t="str">
        <f>IFERROR(__xludf.DUMMYFUNCTION("""COMPUTED_VALUE"""),"me-04")</f>
        <v>me-04</v>
      </c>
      <c r="C3155" s="9" t="str">
        <f>IFERROR(__xludf.DUMMYFUNCTION("GOOGLETRANSLATE($A3155,""en"",""de"")"),"Bijelo Polje")</f>
        <v>Bijelo Polje</v>
      </c>
      <c r="D3155" s="9" t="str">
        <f>IFERROR(__xludf.DUMMYFUNCTION("GOOGLETRANSLATE($A3155,""en"",""fr"")"),"Bijelo Polje")</f>
        <v>Bijelo Polje</v>
      </c>
      <c r="E3155" s="9" t="str">
        <f>IFERROR(__xludf.DUMMYFUNCTION("GOOGLETRANSLATE($A3155,""en"",""es"")"),"Bijelo Polje")</f>
        <v>Bijelo Polje</v>
      </c>
      <c r="F3155" s="9" t="str">
        <f>IFERROR(__xludf.DUMMYFUNCTION("GOOGLETRANSLATE($A3155,""en"",""it"")"),"Bijelo Polje")</f>
        <v>Bijelo Polje</v>
      </c>
      <c r="G3155" s="9" t="str">
        <f>IFERROR(__xludf.DUMMYFUNCTION("GOOGLETRANSLATE($A3155,""en"",""zh-cn"")"),"比耶洛波列")</f>
        <v>比耶洛波列</v>
      </c>
      <c r="H3155" s="9" t="str">
        <f>IFERROR(__xludf.DUMMYFUNCTION("GOOGLETRANSLATE($A3155,""en"",""ja"")"),"ビジェロ・ポリェ")</f>
        <v>ビジェロ・ポリェ</v>
      </c>
      <c r="I3155" s="9" t="str">
        <f>IFERROR(__xludf.DUMMYFUNCTION("GOOGLETRANSLATE($A3155,""en"",""ko"")"),"비젤로 폴예")</f>
        <v>비젤로 폴예</v>
      </c>
      <c r="J3155" s="9" t="str">
        <f>IFERROR(__xludf.DUMMYFUNCTION("GOOGLETRANSLATE($A3155,""en"",""pt-BR"")"),"Bijelo Polje")</f>
        <v>Bijelo Polje</v>
      </c>
    </row>
    <row r="3156">
      <c r="A3156" s="9" t="str">
        <f>IFERROR(__xludf.DUMMYFUNCTION("""COMPUTED_VALUE"""),"Podgorica")</f>
        <v>Podgorica</v>
      </c>
      <c r="B3156" s="9" t="str">
        <f>IFERROR(__xludf.DUMMYFUNCTION("""COMPUTED_VALUE"""),"me-16")</f>
        <v>me-16</v>
      </c>
      <c r="C3156" s="9" t="str">
        <f>IFERROR(__xludf.DUMMYFUNCTION("GOOGLETRANSLATE($A3156,""en"",""de"")"),"Podgorica")</f>
        <v>Podgorica</v>
      </c>
      <c r="D3156" s="9" t="str">
        <f>IFERROR(__xludf.DUMMYFUNCTION("GOOGLETRANSLATE($A3156,""en"",""fr"")"),"Podgorica")</f>
        <v>Podgorica</v>
      </c>
      <c r="E3156" s="9" t="str">
        <f>IFERROR(__xludf.DUMMYFUNCTION("GOOGLETRANSLATE($A3156,""en"",""es"")"),"Podgorica")</f>
        <v>Podgorica</v>
      </c>
      <c r="F3156" s="9" t="str">
        <f>IFERROR(__xludf.DUMMYFUNCTION("GOOGLETRANSLATE($A3156,""en"",""it"")"),"Podgorica")</f>
        <v>Podgorica</v>
      </c>
      <c r="G3156" s="9" t="str">
        <f>IFERROR(__xludf.DUMMYFUNCTION("GOOGLETRANSLATE($A3156,""en"",""zh-cn"")"),"波德戈里察")</f>
        <v>波德戈里察</v>
      </c>
      <c r="H3156" s="9" t="str">
        <f>IFERROR(__xludf.DUMMYFUNCTION("GOOGLETRANSLATE($A3156,""en"",""ja"")"),"ポドゴリツァ")</f>
        <v>ポドゴリツァ</v>
      </c>
      <c r="I3156" s="9" t="str">
        <f>IFERROR(__xludf.DUMMYFUNCTION("GOOGLETRANSLATE($A3156,""en"",""ko"")"),"포드고리차")</f>
        <v>포드고리차</v>
      </c>
      <c r="J3156" s="9" t="str">
        <f>IFERROR(__xludf.DUMMYFUNCTION("GOOGLETRANSLATE($A3156,""en"",""pt-BR"")"),"Podgorica")</f>
        <v>Podgorica</v>
      </c>
    </row>
    <row r="3157">
      <c r="A3157" s="9" t="str">
        <f>IFERROR(__xludf.DUMMYFUNCTION("""COMPUTED_VALUE"""),"Šavnik")</f>
        <v>Šavnik</v>
      </c>
      <c r="B3157" s="9" t="str">
        <f>IFERROR(__xludf.DUMMYFUNCTION("""COMPUTED_VALUE"""),"me-18")</f>
        <v>me-18</v>
      </c>
      <c r="C3157" s="9" t="str">
        <f>IFERROR(__xludf.DUMMYFUNCTION("GOOGLETRANSLATE($A3157,""en"",""de"")"),"Šavnik")</f>
        <v>Šavnik</v>
      </c>
      <c r="D3157" s="9" t="str">
        <f>IFERROR(__xludf.DUMMYFUNCTION("GOOGLETRANSLATE($A3157,""en"",""fr"")"),"Savnik")</f>
        <v>Savnik</v>
      </c>
      <c r="E3157" s="9" t="str">
        <f>IFERROR(__xludf.DUMMYFUNCTION("GOOGLETRANSLATE($A3157,""en"",""es"")"),"Šavnik")</f>
        <v>Šavnik</v>
      </c>
      <c r="F3157" s="9" t="str">
        <f>IFERROR(__xludf.DUMMYFUNCTION("GOOGLETRANSLATE($A3157,""en"",""it"")"),"Šavnik")</f>
        <v>Šavnik</v>
      </c>
      <c r="G3157" s="9" t="str">
        <f>IFERROR(__xludf.DUMMYFUNCTION("GOOGLETRANSLATE($A3157,""en"",""zh-cn"")"),"沙夫尼克")</f>
        <v>沙夫尼克</v>
      </c>
      <c r="H3157" s="9" t="str">
        <f>IFERROR(__xludf.DUMMYFUNCTION("GOOGLETRANSLATE($A3157,""en"",""ja"")"),"シャヴニク")</f>
        <v>シャヴニク</v>
      </c>
      <c r="I3157" s="9" t="str">
        <f>IFERROR(__xludf.DUMMYFUNCTION("GOOGLETRANSLATE($A3157,""en"",""ko"")"),"샤브니크")</f>
        <v>샤브니크</v>
      </c>
      <c r="J3157" s="9" t="str">
        <f>IFERROR(__xludf.DUMMYFUNCTION("GOOGLETRANSLATE($A3157,""en"",""pt-BR"")"),"Šavnik")</f>
        <v>Šavnik</v>
      </c>
    </row>
    <row r="3158">
      <c r="A3158" s="9" t="str">
        <f>IFERROR(__xludf.DUMMYFUNCTION("""COMPUTED_VALUE"""),"Meknès")</f>
        <v>Meknès</v>
      </c>
      <c r="B3158" s="9" t="str">
        <f>IFERROR(__xludf.DUMMYFUNCTION("""COMPUTED_VALUE"""),"ma-mek")</f>
        <v>ma-mek</v>
      </c>
      <c r="C3158" s="9" t="str">
        <f>IFERROR(__xludf.DUMMYFUNCTION("GOOGLETRANSLATE($A3158,""en"",""de"")"),"Meknes")</f>
        <v>Meknes</v>
      </c>
      <c r="D3158" s="9" t="str">
        <f>IFERROR(__xludf.DUMMYFUNCTION("GOOGLETRANSLATE($A3158,""en"",""fr"")"),"Meknès")</f>
        <v>Meknès</v>
      </c>
      <c r="E3158" s="9" t="str">
        <f>IFERROR(__xludf.DUMMYFUNCTION("GOOGLETRANSLATE($A3158,""en"",""es"")"),"Mequinez")</f>
        <v>Mequinez</v>
      </c>
      <c r="F3158" s="9" t="str">
        <f>IFERROR(__xludf.DUMMYFUNCTION("GOOGLETRANSLATE($A3158,""en"",""it"")"),"Meknès")</f>
        <v>Meknès</v>
      </c>
      <c r="G3158" s="9" t="str">
        <f>IFERROR(__xludf.DUMMYFUNCTION("GOOGLETRANSLATE($A3158,""en"",""zh-cn"")"),"梅克内斯")</f>
        <v>梅克内斯</v>
      </c>
      <c r="H3158" s="9" t="str">
        <f>IFERROR(__xludf.DUMMYFUNCTION("GOOGLETRANSLATE($A3158,""en"",""ja"")"),"メクネス")</f>
        <v>メクネス</v>
      </c>
      <c r="I3158" s="9" t="str">
        <f>IFERROR(__xludf.DUMMYFUNCTION("GOOGLETRANSLATE($A3158,""en"",""ko"")"),"메크네스")</f>
        <v>메크네스</v>
      </c>
      <c r="J3158" s="9" t="str">
        <f>IFERROR(__xludf.DUMMYFUNCTION("GOOGLETRANSLATE($A3158,""en"",""pt-BR"")"),"Meknès")</f>
        <v>Meknès</v>
      </c>
    </row>
    <row r="3159">
      <c r="A3159" s="9" t="str">
        <f>IFERROR(__xludf.DUMMYFUNCTION("""COMPUTED_VALUE"""),"Benslimane")</f>
        <v>Benslimane</v>
      </c>
      <c r="B3159" s="9" t="str">
        <f>IFERROR(__xludf.DUMMYFUNCTION("""COMPUTED_VALUE"""),"ma-bes")</f>
        <v>ma-bes</v>
      </c>
      <c r="C3159" s="9" t="str">
        <f>IFERROR(__xludf.DUMMYFUNCTION("GOOGLETRANSLATE($A3159,""en"",""de"")"),"Benslimane")</f>
        <v>Benslimane</v>
      </c>
      <c r="D3159" s="9" t="str">
        <f>IFERROR(__xludf.DUMMYFUNCTION("GOOGLETRANSLATE($A3159,""en"",""fr"")"),"Benslimane")</f>
        <v>Benslimane</v>
      </c>
      <c r="E3159" s="9" t="str">
        <f>IFERROR(__xludf.DUMMYFUNCTION("GOOGLETRANSLATE($A3159,""en"",""es"")"),"benslimane")</f>
        <v>benslimane</v>
      </c>
      <c r="F3159" s="9" t="str">
        <f>IFERROR(__xludf.DUMMYFUNCTION("GOOGLETRANSLATE($A3159,""en"",""it"")"),"Benslimane")</f>
        <v>Benslimane</v>
      </c>
      <c r="G3159" s="9" t="str">
        <f>IFERROR(__xludf.DUMMYFUNCTION("GOOGLETRANSLATE($A3159,""en"",""zh-cn"")"),"本斯利马内")</f>
        <v>本斯利马内</v>
      </c>
      <c r="H3159" s="9" t="str">
        <f>IFERROR(__xludf.DUMMYFUNCTION("GOOGLETRANSLATE($A3159,""en"",""ja"")"),"ベンスリマン")</f>
        <v>ベンスリマン</v>
      </c>
      <c r="I3159" s="9" t="str">
        <f>IFERROR(__xludf.DUMMYFUNCTION("GOOGLETRANSLATE($A3159,""en"",""ko"")"),"벤슬리만")</f>
        <v>벤슬리만</v>
      </c>
      <c r="J3159" s="9" t="str">
        <f>IFERROR(__xludf.DUMMYFUNCTION("GOOGLETRANSLATE($A3159,""en"",""pt-BR"")"),"Benslimane")</f>
        <v>Benslimane</v>
      </c>
    </row>
    <row r="3160">
      <c r="A3160" s="9" t="str">
        <f>IFERROR(__xludf.DUMMYFUNCTION("""COMPUTED_VALUE"""),"Casablanca")</f>
        <v>Casablanca</v>
      </c>
      <c r="B3160" s="9" t="str">
        <f>IFERROR(__xludf.DUMMYFUNCTION("""COMPUTED_VALUE"""),"ma-cas")</f>
        <v>ma-cas</v>
      </c>
      <c r="C3160" s="9" t="str">
        <f>IFERROR(__xludf.DUMMYFUNCTION("GOOGLETRANSLATE($A3160,""en"",""de"")"),"Casablanca")</f>
        <v>Casablanca</v>
      </c>
      <c r="D3160" s="9" t="str">
        <f>IFERROR(__xludf.DUMMYFUNCTION("GOOGLETRANSLATE($A3160,""en"",""fr"")"),"Casablanca")</f>
        <v>Casablanca</v>
      </c>
      <c r="E3160" s="9" t="str">
        <f>IFERROR(__xludf.DUMMYFUNCTION("GOOGLETRANSLATE($A3160,""en"",""es"")"),"Casablanca")</f>
        <v>Casablanca</v>
      </c>
      <c r="F3160" s="9" t="str">
        <f>IFERROR(__xludf.DUMMYFUNCTION("GOOGLETRANSLATE($A3160,""en"",""it"")"),"Casablanca")</f>
        <v>Casablanca</v>
      </c>
      <c r="G3160" s="9" t="str">
        <f>IFERROR(__xludf.DUMMYFUNCTION("GOOGLETRANSLATE($A3160,""en"",""zh-cn"")"),"卡萨布兰卡")</f>
        <v>卡萨布兰卡</v>
      </c>
      <c r="H3160" s="9" t="str">
        <f>IFERROR(__xludf.DUMMYFUNCTION("GOOGLETRANSLATE($A3160,""en"",""ja"")"),"カサブランカ")</f>
        <v>カサブランカ</v>
      </c>
      <c r="I3160" s="9" t="str">
        <f>IFERROR(__xludf.DUMMYFUNCTION("GOOGLETRANSLATE($A3160,""en"",""ko"")"),"카사블랑카")</f>
        <v>카사블랑카</v>
      </c>
      <c r="J3160" s="9" t="str">
        <f>IFERROR(__xludf.DUMMYFUNCTION("GOOGLETRANSLATE($A3160,""en"",""pt-BR"")"),"Casablanca")</f>
        <v>Casablanca</v>
      </c>
    </row>
    <row r="3161">
      <c r="A3161" s="9" t="str">
        <f>IFERROR(__xludf.DUMMYFUNCTION("""COMPUTED_VALUE"""),"Kénitra")</f>
        <v>Kénitra</v>
      </c>
      <c r="B3161" s="9" t="str">
        <f>IFERROR(__xludf.DUMMYFUNCTION("""COMPUTED_VALUE"""),"ma-ken")</f>
        <v>ma-ken</v>
      </c>
      <c r="C3161" s="9" t="str">
        <f>IFERROR(__xludf.DUMMYFUNCTION("GOOGLETRANSLATE($A3161,""en"",""de"")"),"Kénitra")</f>
        <v>Kénitra</v>
      </c>
      <c r="D3161" s="9" t="str">
        <f>IFERROR(__xludf.DUMMYFUNCTION("GOOGLETRANSLATE($A3161,""en"",""fr"")"),"Kénitra")</f>
        <v>Kénitra</v>
      </c>
      <c r="E3161" s="9" t="str">
        <f>IFERROR(__xludf.DUMMYFUNCTION("GOOGLETRANSLATE($A3161,""en"",""es"")"),"Kenitra")</f>
        <v>Kenitra</v>
      </c>
      <c r="F3161" s="9" t="str">
        <f>IFERROR(__xludf.DUMMYFUNCTION("GOOGLETRANSLATE($A3161,""en"",""it"")"),"Kénitra")</f>
        <v>Kénitra</v>
      </c>
      <c r="G3161" s="9" t="str">
        <f>IFERROR(__xludf.DUMMYFUNCTION("GOOGLETRANSLATE($A3161,""en"",""zh-cn"")"),"凯尼特拉")</f>
        <v>凯尼特拉</v>
      </c>
      <c r="H3161" s="9" t="str">
        <f>IFERROR(__xludf.DUMMYFUNCTION("GOOGLETRANSLATE($A3161,""en"",""ja"")"),"ケニトラ")</f>
        <v>ケニトラ</v>
      </c>
      <c r="I3161" s="9" t="str">
        <f>IFERROR(__xludf.DUMMYFUNCTION("GOOGLETRANSLATE($A3161,""en"",""ko"")"),"케니트라")</f>
        <v>케니트라</v>
      </c>
      <c r="J3161" s="9" t="str">
        <f>IFERROR(__xludf.DUMMYFUNCTION("GOOGLETRANSLATE($A3161,""en"",""pt-BR"")"),"Quenitra")</f>
        <v>Quenitra</v>
      </c>
    </row>
    <row r="3162">
      <c r="A3162" s="9" t="str">
        <f>IFERROR(__xludf.DUMMYFUNCTION("""COMPUTED_VALUE"""),"Boujdour (EH)")</f>
        <v>Boujdour (EH)</v>
      </c>
      <c r="B3162" s="9" t="str">
        <f>IFERROR(__xludf.DUMMYFUNCTION("""COMPUTED_VALUE"""),"ma-bod")</f>
        <v>ma-bod</v>
      </c>
      <c r="C3162" s="9" t="str">
        <f>IFERROR(__xludf.DUMMYFUNCTION("GOOGLETRANSLATE($A3162,""en"",""de"")"),"Boujdour (EH)")</f>
        <v>Boujdour (EH)</v>
      </c>
      <c r="D3162" s="9" t="str">
        <f>IFERROR(__xludf.DUMMYFUNCTION("GOOGLETRANSLATE($A3162,""en"",""fr"")"),"Boujdour (EH)")</f>
        <v>Boujdour (EH)</v>
      </c>
      <c r="E3162" s="9" t="str">
        <f>IFERROR(__xludf.DUMMYFUNCTION("GOOGLETRANSLATE($A3162,""en"",""es"")"),"Bojador (EH)")</f>
        <v>Bojador (EH)</v>
      </c>
      <c r="F3162" s="9" t="str">
        <f>IFERROR(__xludf.DUMMYFUNCTION("GOOGLETRANSLATE($A3162,""en"",""it"")"),"Boujdour (EH)")</f>
        <v>Boujdour (EH)</v>
      </c>
      <c r="G3162" s="9" t="str">
        <f>IFERROR(__xludf.DUMMYFUNCTION("GOOGLETRANSLATE($A3162,""en"",""zh-cn"")"),"布支杜尔 (EH)")</f>
        <v>布支杜尔 (EH)</v>
      </c>
      <c r="H3162" s="9" t="str">
        <f>IFERROR(__xludf.DUMMYFUNCTION("GOOGLETRANSLATE($A3162,""en"",""ja"")"),"ブジュドゥール (EH)")</f>
        <v>ブジュドゥール (EH)</v>
      </c>
      <c r="I3162" s="9" t="str">
        <f>IFERROR(__xludf.DUMMYFUNCTION("GOOGLETRANSLATE($A3162,""en"",""ko"")"),"부이두르(EH)")</f>
        <v>부이두르(EH)</v>
      </c>
      <c r="J3162" s="9" t="str">
        <f>IFERROR(__xludf.DUMMYFUNCTION("GOOGLETRANSLATE($A3162,""en"",""pt-BR"")"),"Bojador (EH)")</f>
        <v>Bojador (EH)</v>
      </c>
    </row>
    <row r="3163">
      <c r="A3163" s="9" t="str">
        <f>IFERROR(__xludf.DUMMYFUNCTION("""COMPUTED_VALUE"""),"Guelmim-Oued Noun (EH-partial)")</f>
        <v>Guelmim-Oued Noun (EH-partial)</v>
      </c>
      <c r="B3163" s="9" t="str">
        <f>IFERROR(__xludf.DUMMYFUNCTION("""COMPUTED_VALUE"""),"ma-10")</f>
        <v>ma-10</v>
      </c>
      <c r="C3163" s="9" t="str">
        <f>IFERROR(__xludf.DUMMYFUNCTION("GOOGLETRANSLATE($A3163,""en"",""de"")"),"Guelmim-Oued Substantiv (EH-Teil)")</f>
        <v>Guelmim-Oued Substantiv (EH-Teil)</v>
      </c>
      <c r="D3163" s="9" t="str">
        <f>IFERROR(__xludf.DUMMYFUNCTION("GOOGLETRANSLATE($A3163,""en"",""fr"")"),"Guelmim-Oued Nom (EH-partiel)")</f>
        <v>Guelmim-Oued Nom (EH-partiel)</v>
      </c>
      <c r="E3163" s="9" t="str">
        <f>IFERROR(__xludf.DUMMYFUNCTION("GOOGLETRANSLATE($A3163,""en"",""es"")"),"Guelmim-Oued Sustantivo (EH-parcial)")</f>
        <v>Guelmim-Oued Sustantivo (EH-parcial)</v>
      </c>
      <c r="F3163" s="9" t="str">
        <f>IFERROR(__xludf.DUMMYFUNCTION("GOOGLETRANSLATE($A3163,""en"",""it"")"),"Guelmim-Oued Sostantivo (EH-parziale)")</f>
        <v>Guelmim-Oued Sostantivo (EH-parziale)</v>
      </c>
      <c r="G3163" s="9" t="str">
        <f>IFERROR(__xludf.DUMMYFUNCTION("GOOGLETRANSLATE($A3163,""en"",""zh-cn"")"),"Guelmim-Oued 名词（EH-部分）")</f>
        <v>Guelmim-Oued 名词（EH-部分）</v>
      </c>
      <c r="H3163" s="9" t="str">
        <f>IFERROR(__xludf.DUMMYFUNCTION("GOOGLETRANSLATE($A3163,""en"",""ja"")"),"Guelmim-Oued 名詞 (EH 部分)")</f>
        <v>Guelmim-Oued 名詞 (EH 部分)</v>
      </c>
      <c r="I3163" s="9" t="str">
        <f>IFERROR(__xludf.DUMMYFUNCTION("GOOGLETRANSLATE($A3163,""en"",""ko"")"),"Guelmim-Oued 명사(EH-부분)")</f>
        <v>Guelmim-Oued 명사(EH-부분)</v>
      </c>
      <c r="J3163" s="9" t="str">
        <f>IFERROR(__xludf.DUMMYFUNCTION("GOOGLETRANSLATE($A3163,""en"",""pt-BR"")"),"Guelmim-Oued Substantivo (EH-parcial)")</f>
        <v>Guelmim-Oued Substantivo (EH-parcial)</v>
      </c>
    </row>
    <row r="3164">
      <c r="A3164" s="9" t="str">
        <f>IFERROR(__xludf.DUMMYFUNCTION("""COMPUTED_VALUE"""),"Guelmim")</f>
        <v>Guelmim</v>
      </c>
      <c r="B3164" s="9" t="str">
        <f>IFERROR(__xludf.DUMMYFUNCTION("""COMPUTED_VALUE"""),"ma-gue")</f>
        <v>ma-gue</v>
      </c>
      <c r="C3164" s="9" t="str">
        <f>IFERROR(__xludf.DUMMYFUNCTION("GOOGLETRANSLATE($A3164,""en"",""de"")"),"Guelmim")</f>
        <v>Guelmim</v>
      </c>
      <c r="D3164" s="9" t="str">
        <f>IFERROR(__xludf.DUMMYFUNCTION("GOOGLETRANSLATE($A3164,""en"",""fr"")"),"Guelmim")</f>
        <v>Guelmim</v>
      </c>
      <c r="E3164" s="9" t="str">
        <f>IFERROR(__xludf.DUMMYFUNCTION("GOOGLETRANSLATE($A3164,""en"",""es"")"),"Guelmim")</f>
        <v>Guelmim</v>
      </c>
      <c r="F3164" s="9" t="str">
        <f>IFERROR(__xludf.DUMMYFUNCTION("GOOGLETRANSLATE($A3164,""en"",""it"")"),"Guelmim")</f>
        <v>Guelmim</v>
      </c>
      <c r="G3164" s="9" t="str">
        <f>IFERROR(__xludf.DUMMYFUNCTION("GOOGLETRANSLATE($A3164,""en"",""zh-cn"")"),"盖勒敏")</f>
        <v>盖勒敏</v>
      </c>
      <c r="H3164" s="9" t="str">
        <f>IFERROR(__xludf.DUMMYFUNCTION("GOOGLETRANSLATE($A3164,""en"",""ja"")"),"ゲルミム")</f>
        <v>ゲルミム</v>
      </c>
      <c r="I3164" s="9" t="str">
        <f>IFERROR(__xludf.DUMMYFUNCTION("GOOGLETRANSLATE($A3164,""en"",""ko"")"),"굴밈")</f>
        <v>굴밈</v>
      </c>
      <c r="J3164" s="9" t="str">
        <f>IFERROR(__xludf.DUMMYFUNCTION("GOOGLETRANSLATE($A3164,""en"",""pt-BR"")"),"Guelmim")</f>
        <v>Guelmim</v>
      </c>
    </row>
    <row r="3165">
      <c r="A3165" s="9" t="str">
        <f>IFERROR(__xludf.DUMMYFUNCTION("""COMPUTED_VALUE"""),"Boulemane")</f>
        <v>Boulemane</v>
      </c>
      <c r="B3165" s="9" t="str">
        <f>IFERROR(__xludf.DUMMYFUNCTION("""COMPUTED_VALUE"""),"ma-bom")</f>
        <v>ma-bom</v>
      </c>
      <c r="C3165" s="9" t="str">
        <f>IFERROR(__xludf.DUMMYFUNCTION("GOOGLETRANSLATE($A3165,""en"",""de"")"),"Boulemane")</f>
        <v>Boulemane</v>
      </c>
      <c r="D3165" s="9" t="str">
        <f>IFERROR(__xludf.DUMMYFUNCTION("GOOGLETRANSLATE($A3165,""en"",""fr"")"),"Boulemane")</f>
        <v>Boulemane</v>
      </c>
      <c r="E3165" s="9" t="str">
        <f>IFERROR(__xludf.DUMMYFUNCTION("GOOGLETRANSLATE($A3165,""en"",""es"")"),"bouleman")</f>
        <v>bouleman</v>
      </c>
      <c r="F3165" s="9" t="str">
        <f>IFERROR(__xludf.DUMMYFUNCTION("GOOGLETRANSLATE($A3165,""en"",""it"")"),"Boulemane")</f>
        <v>Boulemane</v>
      </c>
      <c r="G3165" s="9" t="str">
        <f>IFERROR(__xludf.DUMMYFUNCTION("GOOGLETRANSLATE($A3165,""en"",""zh-cn"")"),"布勒曼")</f>
        <v>布勒曼</v>
      </c>
      <c r="H3165" s="9" t="str">
        <f>IFERROR(__xludf.DUMMYFUNCTION("GOOGLETRANSLATE($A3165,""en"",""ja"")"),"ブールマネ")</f>
        <v>ブールマネ</v>
      </c>
      <c r="I3165" s="9" t="str">
        <f>IFERROR(__xludf.DUMMYFUNCTION("GOOGLETRANSLATE($A3165,""en"",""ko"")"),"불레메인")</f>
        <v>불레메인</v>
      </c>
      <c r="J3165" s="9" t="str">
        <f>IFERROR(__xludf.DUMMYFUNCTION("GOOGLETRANSLATE($A3165,""en"",""pt-BR"")"),"Boulemane")</f>
        <v>Boulemane</v>
      </c>
    </row>
    <row r="3166">
      <c r="A3166" s="9" t="str">
        <f>IFERROR(__xludf.DUMMYFUNCTION("""COMPUTED_VALUE"""),"Mohammadia")</f>
        <v>Mohammadia</v>
      </c>
      <c r="B3166" s="9" t="str">
        <f>IFERROR(__xludf.DUMMYFUNCTION("""COMPUTED_VALUE"""),"ma-moh")</f>
        <v>ma-moh</v>
      </c>
      <c r="C3166" s="9" t="str">
        <f>IFERROR(__xludf.DUMMYFUNCTION("GOOGLETRANSLATE($A3166,""en"",""de"")"),"Mohammadia")</f>
        <v>Mohammadia</v>
      </c>
      <c r="D3166" s="9" t="str">
        <f>IFERROR(__xludf.DUMMYFUNCTION("GOOGLETRANSLATE($A3166,""en"",""fr"")"),"Mohammadia")</f>
        <v>Mohammadia</v>
      </c>
      <c r="E3166" s="9" t="str">
        <f>IFERROR(__xludf.DUMMYFUNCTION("GOOGLETRANSLATE($A3166,""en"",""es"")"),"mohammadia")</f>
        <v>mohammadia</v>
      </c>
      <c r="F3166" s="9" t="str">
        <f>IFERROR(__xludf.DUMMYFUNCTION("GOOGLETRANSLATE($A3166,""en"",""it"")"),"Mohammedia")</f>
        <v>Mohammedia</v>
      </c>
      <c r="G3166" s="9" t="str">
        <f>IFERROR(__xludf.DUMMYFUNCTION("GOOGLETRANSLATE($A3166,""en"",""zh-cn"")"),"穆罕默迪亚")</f>
        <v>穆罕默迪亚</v>
      </c>
      <c r="H3166" s="9" t="str">
        <f>IFERROR(__xludf.DUMMYFUNCTION("GOOGLETRANSLATE($A3166,""en"",""ja"")"),"モハマディア")</f>
        <v>モハマディア</v>
      </c>
      <c r="I3166" s="9" t="str">
        <f>IFERROR(__xludf.DUMMYFUNCTION("GOOGLETRANSLATE($A3166,""en"",""ko"")"),"모하마디아")</f>
        <v>모하마디아</v>
      </c>
      <c r="J3166" s="9" t="str">
        <f>IFERROR(__xludf.DUMMYFUNCTION("GOOGLETRANSLATE($A3166,""en"",""pt-BR"")"),"Maomédia")</f>
        <v>Maomédia</v>
      </c>
    </row>
    <row r="3167">
      <c r="A3167" s="9" t="str">
        <f>IFERROR(__xludf.DUMMYFUNCTION("""COMPUTED_VALUE"""),"Nador")</f>
        <v>Nador</v>
      </c>
      <c r="B3167" s="9" t="str">
        <f>IFERROR(__xludf.DUMMYFUNCTION("""COMPUTED_VALUE"""),"ma-nad")</f>
        <v>ma-nad</v>
      </c>
      <c r="C3167" s="9" t="str">
        <f>IFERROR(__xludf.DUMMYFUNCTION("GOOGLETRANSLATE($A3167,""en"",""de"")"),"Nador")</f>
        <v>Nador</v>
      </c>
      <c r="D3167" s="9" t="str">
        <f>IFERROR(__xludf.DUMMYFUNCTION("GOOGLETRANSLATE($A3167,""en"",""fr"")"),"Nador")</f>
        <v>Nador</v>
      </c>
      <c r="E3167" s="9" t="str">
        <f>IFERROR(__xludf.DUMMYFUNCTION("GOOGLETRANSLATE($A3167,""en"",""es"")"),"Nador")</f>
        <v>Nador</v>
      </c>
      <c r="F3167" s="9" t="str">
        <f>IFERROR(__xludf.DUMMYFUNCTION("GOOGLETRANSLATE($A3167,""en"",""it"")"),"Nador")</f>
        <v>Nador</v>
      </c>
      <c r="G3167" s="9" t="str">
        <f>IFERROR(__xludf.DUMMYFUNCTION("GOOGLETRANSLATE($A3167,""en"",""zh-cn"")"),"纳祖尔")</f>
        <v>纳祖尔</v>
      </c>
      <c r="H3167" s="9" t="str">
        <f>IFERROR(__xludf.DUMMYFUNCTION("GOOGLETRANSLATE($A3167,""en"",""ja"")"),"ナドル")</f>
        <v>ナドル</v>
      </c>
      <c r="I3167" s="9" t="str">
        <f>IFERROR(__xludf.DUMMYFUNCTION("GOOGLETRANSLATE($A3167,""en"",""ko"")"),"나도르")</f>
        <v>나도르</v>
      </c>
      <c r="J3167" s="9" t="str">
        <f>IFERROR(__xludf.DUMMYFUNCTION("GOOGLETRANSLATE($A3167,""en"",""pt-BR"")"),"Nador")</f>
        <v>Nador</v>
      </c>
    </row>
    <row r="3168">
      <c r="A3168" s="9" t="str">
        <f>IFERROR(__xludf.DUMMYFUNCTION("""COMPUTED_VALUE"""),"Aousserd (EH)")</f>
        <v>Aousserd (EH)</v>
      </c>
      <c r="B3168" s="9" t="str">
        <f>IFERROR(__xludf.DUMMYFUNCTION("""COMPUTED_VALUE"""),"ma-aou")</f>
        <v>ma-aou</v>
      </c>
      <c r="C3168" s="9" t="str">
        <f>IFERROR(__xludf.DUMMYFUNCTION("GOOGLETRANSLATE($A3168,""en"",""de"")"),"Aousserd (EH)")</f>
        <v>Aousserd (EH)</v>
      </c>
      <c r="D3168" s="9" t="str">
        <f>IFERROR(__xludf.DUMMYFUNCTION("GOOGLETRANSLATE($A3168,""en"",""fr"")"),"Aousserd (EH)")</f>
        <v>Aousserd (EH)</v>
      </c>
      <c r="E3168" s="9" t="str">
        <f>IFERROR(__xludf.DUMMYFUNCTION("GOOGLETRANSLATE($A3168,""en"",""es"")"),"Aousserd (EH)")</f>
        <v>Aousserd (EH)</v>
      </c>
      <c r="F3168" s="9" t="str">
        <f>IFERROR(__xludf.DUMMYFUNCTION("GOOGLETRANSLATE($A3168,""en"",""it"")"),"Aousserd (EH)")</f>
        <v>Aousserd (EH)</v>
      </c>
      <c r="G3168" s="9" t="str">
        <f>IFERROR(__xludf.DUMMYFUNCTION("GOOGLETRANSLATE($A3168,""en"",""zh-cn"")"),"奥塞尔 (EH)")</f>
        <v>奥塞尔 (EH)</v>
      </c>
      <c r="H3168" s="9" t="str">
        <f>IFERROR(__xludf.DUMMYFUNCTION("GOOGLETRANSLATE($A3168,""en"",""ja"")"),"オーセルド (EH)")</f>
        <v>オーセルド (EH)</v>
      </c>
      <c r="I3168" s="9" t="str">
        <f>IFERROR(__xludf.DUMMYFUNCTION("GOOGLETRANSLATE($A3168,""en"",""ko"")"),"아우세르드(EH)")</f>
        <v>아우세르드(EH)</v>
      </c>
      <c r="J3168" s="9" t="str">
        <f>IFERROR(__xludf.DUMMYFUNCTION("GOOGLETRANSLATE($A3168,""en"",""pt-BR"")"),"Aousserd (EH)")</f>
        <v>Aousserd (EH)</v>
      </c>
    </row>
    <row r="3169">
      <c r="A3169" s="9" t="str">
        <f>IFERROR(__xludf.DUMMYFUNCTION("""COMPUTED_VALUE"""),"Moulay Yacoub")</f>
        <v>Moulay Yacoub</v>
      </c>
      <c r="B3169" s="9" t="str">
        <f>IFERROR(__xludf.DUMMYFUNCTION("""COMPUTED_VALUE"""),"ma-mou")</f>
        <v>ma-mou</v>
      </c>
      <c r="C3169" s="9" t="str">
        <f>IFERROR(__xludf.DUMMYFUNCTION("GOOGLETRANSLATE($A3169,""en"",""de"")"),"Moulay Yacoub")</f>
        <v>Moulay Yacoub</v>
      </c>
      <c r="D3169" s="9" t="str">
        <f>IFERROR(__xludf.DUMMYFUNCTION("GOOGLETRANSLATE($A3169,""en"",""fr"")"),"Moulay Yacoub")</f>
        <v>Moulay Yacoub</v>
      </c>
      <c r="E3169" s="9" t="str">
        <f>IFERROR(__xludf.DUMMYFUNCTION("GOOGLETRANSLATE($A3169,""en"",""es"")"),"Moulay Yacoub")</f>
        <v>Moulay Yacoub</v>
      </c>
      <c r="F3169" s="9" t="str">
        <f>IFERROR(__xludf.DUMMYFUNCTION("GOOGLETRANSLATE($A3169,""en"",""it"")"),"Moulay Yacoub")</f>
        <v>Moulay Yacoub</v>
      </c>
      <c r="G3169" s="9" t="str">
        <f>IFERROR(__xludf.DUMMYFUNCTION("GOOGLETRANSLATE($A3169,""en"",""zh-cn"")"),"穆莱·雅各布")</f>
        <v>穆莱·雅各布</v>
      </c>
      <c r="H3169" s="9" t="str">
        <f>IFERROR(__xludf.DUMMYFUNCTION("GOOGLETRANSLATE($A3169,""en"",""ja"")"),"ムーレイ・ヤコブ")</f>
        <v>ムーレイ・ヤコブ</v>
      </c>
      <c r="I3169" s="9" t="str">
        <f>IFERROR(__xludf.DUMMYFUNCTION("GOOGLETRANSLATE($A3169,""en"",""ko"")"),"물레이 야쿠브")</f>
        <v>물레이 야쿠브</v>
      </c>
      <c r="J3169" s="9" t="str">
        <f>IFERROR(__xludf.DUMMYFUNCTION("GOOGLETRANSLATE($A3169,""en"",""pt-BR"")"),"Moulay Yacoub")</f>
        <v>Moulay Yacoub</v>
      </c>
    </row>
    <row r="3170">
      <c r="A3170" s="9" t="str">
        <f>IFERROR(__xludf.DUMMYFUNCTION("""COMPUTED_VALUE"""),"Assa-Zag (EH-partial)")</f>
        <v>Assa-Zag (EH-partial)</v>
      </c>
      <c r="B3170" s="9" t="str">
        <f>IFERROR(__xludf.DUMMYFUNCTION("""COMPUTED_VALUE"""),"ma-asz")</f>
        <v>ma-asz</v>
      </c>
      <c r="C3170" s="9" t="str">
        <f>IFERROR(__xludf.DUMMYFUNCTION("GOOGLETRANSLATE($A3170,""en"",""de"")"),"Assa-Zag (EH-teilweise)")</f>
        <v>Assa-Zag (EH-teilweise)</v>
      </c>
      <c r="D3170" s="9" t="str">
        <f>IFERROR(__xludf.DUMMYFUNCTION("GOOGLETRANSLATE($A3170,""en"",""fr"")"),"Assa-Zag (EH-partiel)")</f>
        <v>Assa-Zag (EH-partiel)</v>
      </c>
      <c r="E3170" s="9" t="str">
        <f>IFERROR(__xludf.DUMMYFUNCTION("GOOGLETRANSLATE($A3170,""en"",""es"")"),"Assa-Zag (EH-parcial)")</f>
        <v>Assa-Zag (EH-parcial)</v>
      </c>
      <c r="F3170" s="9" t="str">
        <f>IFERROR(__xludf.DUMMYFUNCTION("GOOGLETRANSLATE($A3170,""en"",""it"")"),"Assa-Zag (EH-parziale)")</f>
        <v>Assa-Zag (EH-parziale)</v>
      </c>
      <c r="G3170" s="9" t="str">
        <f>IFERROR(__xludf.DUMMYFUNCTION("GOOGLETRANSLATE($A3170,""en"",""zh-cn"")"),"Assa-Zag（EH-部分）")</f>
        <v>Assa-Zag（EH-部分）</v>
      </c>
      <c r="H3170" s="9" t="str">
        <f>IFERROR(__xludf.DUMMYFUNCTION("GOOGLETRANSLATE($A3170,""en"",""ja"")"),"アッサザグ (EH-部分)")</f>
        <v>アッサザグ (EH-部分)</v>
      </c>
      <c r="I3170" s="9" t="str">
        <f>IFERROR(__xludf.DUMMYFUNCTION("GOOGLETRANSLATE($A3170,""en"",""ko"")"),"Assa-Zag(EH-부분)")</f>
        <v>Assa-Zag(EH-부분)</v>
      </c>
      <c r="J3170" s="9" t="str">
        <f>IFERROR(__xludf.DUMMYFUNCTION("GOOGLETRANSLATE($A3170,""en"",""pt-BR"")"),"Assa-Zag (EH-parcial)")</f>
        <v>Assa-Zag (EH-parcial)</v>
      </c>
    </row>
    <row r="3171">
      <c r="A3171" s="9" t="str">
        <f>IFERROR(__xludf.DUMMYFUNCTION("""COMPUTED_VALUE"""),"Béni Mellal")</f>
        <v>Béni Mellal</v>
      </c>
      <c r="B3171" s="9" t="str">
        <f>IFERROR(__xludf.DUMMYFUNCTION("""COMPUTED_VALUE"""),"ma-bem")</f>
        <v>ma-bem</v>
      </c>
      <c r="C3171" s="9" t="str">
        <f>IFERROR(__xludf.DUMMYFUNCTION("GOOGLETRANSLATE($A3171,""en"",""de"")"),"Beni Mellal")</f>
        <v>Beni Mellal</v>
      </c>
      <c r="D3171" s="9" t="str">
        <f>IFERROR(__xludf.DUMMYFUNCTION("GOOGLETRANSLATE($A3171,""en"",""fr"")"),"Beni Mellal")</f>
        <v>Beni Mellal</v>
      </c>
      <c r="E3171" s="9" t="str">
        <f>IFERROR(__xludf.DUMMYFUNCTION("GOOGLETRANSLATE($A3171,""en"",""es"")"),"Beni Melal")</f>
        <v>Beni Melal</v>
      </c>
      <c r="F3171" s="9" t="str">
        <f>IFERROR(__xludf.DUMMYFUNCTION("GOOGLETRANSLATE($A3171,""en"",""it"")"),"Beni Mellal")</f>
        <v>Beni Mellal</v>
      </c>
      <c r="G3171" s="9" t="str">
        <f>IFERROR(__xludf.DUMMYFUNCTION("GOOGLETRANSLATE($A3171,""en"",""zh-cn"")"),"贝尼·迈拉尔")</f>
        <v>贝尼·迈拉尔</v>
      </c>
      <c r="H3171" s="9" t="str">
        <f>IFERROR(__xludf.DUMMYFUNCTION("GOOGLETRANSLATE($A3171,""en"",""ja"")"),"ベニ・メラル")</f>
        <v>ベニ・メラル</v>
      </c>
      <c r="I3171" s="9" t="str">
        <f>IFERROR(__xludf.DUMMYFUNCTION("GOOGLETRANSLATE($A3171,""en"",""ko"")"),"베니 멜랄")</f>
        <v>베니 멜랄</v>
      </c>
      <c r="J3171" s="9" t="str">
        <f>IFERROR(__xludf.DUMMYFUNCTION("GOOGLETRANSLATE($A3171,""en"",""pt-BR"")"),"Beni Mellal")</f>
        <v>Beni Mellal</v>
      </c>
    </row>
    <row r="3172">
      <c r="A3172" s="9" t="str">
        <f>IFERROR(__xludf.DUMMYFUNCTION("""COMPUTED_VALUE"""),"El Hajeb")</f>
        <v>El Hajeb</v>
      </c>
      <c r="B3172" s="9" t="str">
        <f>IFERROR(__xludf.DUMMYFUNCTION("""COMPUTED_VALUE"""),"ma-haj")</f>
        <v>ma-haj</v>
      </c>
      <c r="C3172" s="9" t="str">
        <f>IFERROR(__xludf.DUMMYFUNCTION("GOOGLETRANSLATE($A3172,""en"",""de"")"),"El Hajeb")</f>
        <v>El Hajeb</v>
      </c>
      <c r="D3172" s="9" t="str">
        <f>IFERROR(__xludf.DUMMYFUNCTION("GOOGLETRANSLATE($A3172,""en"",""fr"")"),"El Hajeb")</f>
        <v>El Hajeb</v>
      </c>
      <c r="E3172" s="9" t="str">
        <f>IFERROR(__xludf.DUMMYFUNCTION("GOOGLETRANSLATE($A3172,""en"",""es"")"),"El Hajeb")</f>
        <v>El Hajeb</v>
      </c>
      <c r="F3172" s="9" t="str">
        <f>IFERROR(__xludf.DUMMYFUNCTION("GOOGLETRANSLATE($A3172,""en"",""it"")"),"El Hajeb")</f>
        <v>El Hajeb</v>
      </c>
      <c r="G3172" s="9" t="str">
        <f>IFERROR(__xludf.DUMMYFUNCTION("GOOGLETRANSLATE($A3172,""en"",""zh-cn"")"),"埃尔哈杰布")</f>
        <v>埃尔哈杰布</v>
      </c>
      <c r="H3172" s="9" t="str">
        <f>IFERROR(__xludf.DUMMYFUNCTION("GOOGLETRANSLATE($A3172,""en"",""ja"")"),"エル・ハジェブ")</f>
        <v>エル・ハジェブ</v>
      </c>
      <c r="I3172" s="9" t="str">
        <f>IFERROR(__xludf.DUMMYFUNCTION("GOOGLETRANSLATE($A3172,""en"",""ko"")"),"엘 하제브")</f>
        <v>엘 하제브</v>
      </c>
      <c r="J3172" s="9" t="str">
        <f>IFERROR(__xludf.DUMMYFUNCTION("GOOGLETRANSLATE($A3172,""en"",""pt-BR"")"),"El Hajeb")</f>
        <v>El Hajeb</v>
      </c>
    </row>
    <row r="3173">
      <c r="A3173" s="9" t="str">
        <f>IFERROR(__xludf.DUMMYFUNCTION("""COMPUTED_VALUE"""),"Safi (MA)")</f>
        <v>Safi (MA)</v>
      </c>
      <c r="B3173" s="9" t="str">
        <f>IFERROR(__xludf.DUMMYFUNCTION("""COMPUTED_VALUE"""),"ma-saf")</f>
        <v>ma-saf</v>
      </c>
      <c r="C3173" s="9" t="str">
        <f>IFERROR(__xludf.DUMMYFUNCTION("GOOGLETRANSLATE($A3173,""en"",""de"")"),"Safi (MA)")</f>
        <v>Safi (MA)</v>
      </c>
      <c r="D3173" s="9" t="str">
        <f>IFERROR(__xludf.DUMMYFUNCTION("GOOGLETRANSLATE($A3173,""en"",""fr"")"),"Safi (MA)")</f>
        <v>Safi (MA)</v>
      </c>
      <c r="E3173" s="9" t="str">
        <f>IFERROR(__xludf.DUMMYFUNCTION("GOOGLETRANSLATE($A3173,""en"",""es"")"),"Safí (MA)")</f>
        <v>Safí (MA)</v>
      </c>
      <c r="F3173" s="9" t="str">
        <f>IFERROR(__xludf.DUMMYFUNCTION("GOOGLETRANSLATE($A3173,""en"",""it"")"),"Safi (MA)")</f>
        <v>Safi (MA)</v>
      </c>
      <c r="G3173" s="9" t="str">
        <f>IFERROR(__xludf.DUMMYFUNCTION("GOOGLETRANSLATE($A3173,""en"",""zh-cn"")"),"萨菲（马萨诸塞州）")</f>
        <v>萨菲（马萨诸塞州）</v>
      </c>
      <c r="H3173" s="9" t="str">
        <f>IFERROR(__xludf.DUMMYFUNCTION("GOOGLETRANSLATE($A3173,""en"",""ja"")"),"サフィ（マサチューセッツ州）")</f>
        <v>サフィ（マサチューセッツ州）</v>
      </c>
      <c r="I3173" s="9" t="str">
        <f>IFERROR(__xludf.DUMMYFUNCTION("GOOGLETRANSLATE($A3173,""en"",""ko"")"),"사피(MA)")</f>
        <v>사피(MA)</v>
      </c>
      <c r="J3173" s="9" t="str">
        <f>IFERROR(__xludf.DUMMYFUNCTION("GOOGLETRANSLATE($A3173,""en"",""pt-BR"")"),"Safim (MA)")</f>
        <v>Safim (MA)</v>
      </c>
    </row>
    <row r="3174">
      <c r="A3174" s="9" t="str">
        <f>IFERROR(__xludf.DUMMYFUNCTION("""COMPUTED_VALUE"""),"Al Hoceïma")</f>
        <v>Al Hoceïma</v>
      </c>
      <c r="B3174" s="9" t="str">
        <f>IFERROR(__xludf.DUMMYFUNCTION("""COMPUTED_VALUE"""),"ma-hoc")</f>
        <v>ma-hoc</v>
      </c>
      <c r="C3174" s="9" t="str">
        <f>IFERROR(__xludf.DUMMYFUNCTION("GOOGLETRANSLATE($A3174,""en"",""de"")"),"Al Hoceïma")</f>
        <v>Al Hoceïma</v>
      </c>
      <c r="D3174" s="9" t="str">
        <f>IFERROR(__xludf.DUMMYFUNCTION("GOOGLETRANSLATE($A3174,""en"",""fr"")"),"Al Hoceïma")</f>
        <v>Al Hoceïma</v>
      </c>
      <c r="E3174" s="9" t="str">
        <f>IFERROR(__xludf.DUMMYFUNCTION("GOOGLETRANSLATE($A3174,""en"",""es"")"),"Alhucemas")</f>
        <v>Alhucemas</v>
      </c>
      <c r="F3174" s="9" t="str">
        <f>IFERROR(__xludf.DUMMYFUNCTION("GOOGLETRANSLATE($A3174,""en"",""it"")"),"Al Hoceima")</f>
        <v>Al Hoceima</v>
      </c>
      <c r="G3174" s="9" t="str">
        <f>IFERROR(__xludf.DUMMYFUNCTION("GOOGLETRANSLATE($A3174,""en"",""zh-cn"")"),"胡塞马")</f>
        <v>胡塞马</v>
      </c>
      <c r="H3174" s="9" t="str">
        <f>IFERROR(__xludf.DUMMYFUNCTION("GOOGLETRANSLATE($A3174,""en"",""ja"")"),"アル・ホセイマ")</f>
        <v>アル・ホセイマ</v>
      </c>
      <c r="I3174" s="9" t="str">
        <f>IFERROR(__xludf.DUMMYFUNCTION("GOOGLETRANSLATE($A3174,""en"",""ko"")"),"알 호세이마")</f>
        <v>알 호세이마</v>
      </c>
      <c r="J3174" s="9" t="str">
        <f>IFERROR(__xludf.DUMMYFUNCTION("GOOGLETRANSLATE($A3174,""en"",""pt-BR"")"),"Al Hoceima")</f>
        <v>Al Hoceima</v>
      </c>
    </row>
    <row r="3175">
      <c r="A3175" s="9" t="str">
        <f>IFERROR(__xludf.DUMMYFUNCTION("""COMPUTED_VALUE"""),"Khémisset")</f>
        <v>Khémisset</v>
      </c>
      <c r="B3175" s="9" t="str">
        <f>IFERROR(__xludf.DUMMYFUNCTION("""COMPUTED_VALUE"""),"ma-khe")</f>
        <v>ma-khe</v>
      </c>
      <c r="C3175" s="9" t="str">
        <f>IFERROR(__xludf.DUMMYFUNCTION("GOOGLETRANSLATE($A3175,""en"",""de"")"),"Khémisset")</f>
        <v>Khémisset</v>
      </c>
      <c r="D3175" s="9" t="str">
        <f>IFERROR(__xludf.DUMMYFUNCTION("GOOGLETRANSLATE($A3175,""en"",""fr"")"),"Khémisset")</f>
        <v>Khémisset</v>
      </c>
      <c r="E3175" s="9" t="str">
        <f>IFERROR(__xludf.DUMMYFUNCTION("GOOGLETRANSLATE($A3175,""en"",""es"")"),"Khémisset")</f>
        <v>Khémisset</v>
      </c>
      <c r="F3175" s="9" t="str">
        <f>IFERROR(__xludf.DUMMYFUNCTION("GOOGLETRANSLATE($A3175,""en"",""it"")"),"Khémisset")</f>
        <v>Khémisset</v>
      </c>
      <c r="G3175" s="9" t="str">
        <f>IFERROR(__xludf.DUMMYFUNCTION("GOOGLETRANSLATE($A3175,""en"",""zh-cn"")"),"赫米塞特")</f>
        <v>赫米塞特</v>
      </c>
      <c r="H3175" s="9" t="str">
        <f>IFERROR(__xludf.DUMMYFUNCTION("GOOGLETRANSLATE($A3175,""en"",""ja"")"),"ケミセット")</f>
        <v>ケミセット</v>
      </c>
      <c r="I3175" s="9" t="str">
        <f>IFERROR(__xludf.DUMMYFUNCTION("GOOGLETRANSLATE($A3175,""en"",""ko"")"),"케미세트")</f>
        <v>케미세트</v>
      </c>
      <c r="J3175" s="9" t="str">
        <f>IFERROR(__xludf.DUMMYFUNCTION("GOOGLETRANSLATE($A3175,""en"",""pt-BR"")"),"Khémisset")</f>
        <v>Khémisset</v>
      </c>
    </row>
    <row r="3176">
      <c r="A3176" s="9" t="str">
        <f>IFERROR(__xludf.DUMMYFUNCTION("""COMPUTED_VALUE"""),"Fahs-Anjra")</f>
        <v>Fahs-Anjra</v>
      </c>
      <c r="B3176" s="9" t="str">
        <f>IFERROR(__xludf.DUMMYFUNCTION("""COMPUTED_VALUE"""),"ma-fah")</f>
        <v>ma-fah</v>
      </c>
      <c r="C3176" s="9" t="str">
        <f>IFERROR(__xludf.DUMMYFUNCTION("GOOGLETRANSLATE($A3176,""en"",""de"")"),"Fahs-Anjra")</f>
        <v>Fahs-Anjra</v>
      </c>
      <c r="D3176" s="9" t="str">
        <f>IFERROR(__xludf.DUMMYFUNCTION("GOOGLETRANSLATE($A3176,""en"",""fr"")"),"Fahs-Anjra")</f>
        <v>Fahs-Anjra</v>
      </c>
      <c r="E3176" s="9" t="str">
        <f>IFERROR(__xludf.DUMMYFUNCTION("GOOGLETRANSLATE($A3176,""en"",""es"")"),"Fahs-Anjra")</f>
        <v>Fahs-Anjra</v>
      </c>
      <c r="F3176" s="9" t="str">
        <f>IFERROR(__xludf.DUMMYFUNCTION("GOOGLETRANSLATE($A3176,""en"",""it"")"),"Fahs-Anjra")</f>
        <v>Fahs-Anjra</v>
      </c>
      <c r="G3176" s="9" t="str">
        <f>IFERROR(__xludf.DUMMYFUNCTION("GOOGLETRANSLATE($A3176,""en"",""zh-cn"")"),"法赫斯-安吉拉")</f>
        <v>法赫斯-安吉拉</v>
      </c>
      <c r="H3176" s="9" t="str">
        <f>IFERROR(__xludf.DUMMYFUNCTION("GOOGLETRANSLATE($A3176,""en"",""ja"")"),"ファス・アンジュラ")</f>
        <v>ファス・アンジュラ</v>
      </c>
      <c r="I3176" s="9" t="str">
        <f>IFERROR(__xludf.DUMMYFUNCTION("GOOGLETRANSLATE($A3176,""en"",""ko"")"),"파스-안즈라")</f>
        <v>파스-안즈라</v>
      </c>
      <c r="J3176" s="9" t="str">
        <f>IFERROR(__xludf.DUMMYFUNCTION("GOOGLETRANSLATE($A3176,""en"",""pt-BR"")"),"Fahs-Anjra")</f>
        <v>Fahs-Anjra</v>
      </c>
    </row>
    <row r="3177">
      <c r="A3177" s="9" t="str">
        <f>IFERROR(__xludf.DUMMYFUNCTION("""COMPUTED_VALUE"""),"Chtouka-Ait Baha")</f>
        <v>Chtouka-Ait Baha</v>
      </c>
      <c r="B3177" s="9" t="str">
        <f>IFERROR(__xludf.DUMMYFUNCTION("""COMPUTED_VALUE"""),"ma-cht")</f>
        <v>ma-cht</v>
      </c>
      <c r="C3177" s="9" t="str">
        <f>IFERROR(__xludf.DUMMYFUNCTION("GOOGLETRANSLATE($A3177,""en"",""de"")"),"Chtouka-Ait Baha")</f>
        <v>Chtouka-Ait Baha</v>
      </c>
      <c r="D3177" s="9" t="str">
        <f>IFERROR(__xludf.DUMMYFUNCTION("GOOGLETRANSLATE($A3177,""en"",""fr"")"),"Chtouka-Aït Baha")</f>
        <v>Chtouka-Aït Baha</v>
      </c>
      <c r="E3177" s="9" t="str">
        <f>IFERROR(__xludf.DUMMYFUNCTION("GOOGLETRANSLATE($A3177,""en"",""es"")"),"Chtouka-Ait Baha")</f>
        <v>Chtouka-Ait Baha</v>
      </c>
      <c r="F3177" s="9" t="str">
        <f>IFERROR(__xludf.DUMMYFUNCTION("GOOGLETRANSLATE($A3177,""en"",""it"")"),"Chtouka-Ait Baha")</f>
        <v>Chtouka-Ait Baha</v>
      </c>
      <c r="G3177" s="9" t="str">
        <f>IFERROR(__xludf.DUMMYFUNCTION("GOOGLETRANSLATE($A3177,""en"",""zh-cn"")"),"奇图卡·艾特·巴哈")</f>
        <v>奇图卡·艾特·巴哈</v>
      </c>
      <c r="H3177" s="9" t="str">
        <f>IFERROR(__xludf.DUMMYFUNCTION("GOOGLETRANSLATE($A3177,""en"",""ja"")"),"チョトゥカ・アイト・バハ")</f>
        <v>チョトゥカ・アイト・バハ</v>
      </c>
      <c r="I3177" s="9" t="str">
        <f>IFERROR(__xludf.DUMMYFUNCTION("GOOGLETRANSLATE($A3177,""en"",""ko"")"),"추토카-아이트 바하")</f>
        <v>추토카-아이트 바하</v>
      </c>
      <c r="J3177" s="9" t="str">
        <f>IFERROR(__xludf.DUMMYFUNCTION("GOOGLETRANSLATE($A3177,""en"",""pt-BR"")"),"Chtouka-Ait Baha")</f>
        <v>Chtouka-Ait Baha</v>
      </c>
    </row>
    <row r="3178">
      <c r="A3178" s="9" t="str">
        <f>IFERROR(__xludf.DUMMYFUNCTION("""COMPUTED_VALUE"""),"Dakhla-Oued Ed-Dahab (EH)")</f>
        <v>Dakhla-Oued Ed-Dahab (EH)</v>
      </c>
      <c r="B3178" s="9" t="str">
        <f>IFERROR(__xludf.DUMMYFUNCTION("""COMPUTED_VALUE"""),"ma-12")</f>
        <v>ma-12</v>
      </c>
      <c r="C3178" s="9" t="str">
        <f>IFERROR(__xludf.DUMMYFUNCTION("GOOGLETRANSLATE($A3178,""en"",""de"")"),"Dakhla-Oued Ed-Dahab (EH)")</f>
        <v>Dakhla-Oued Ed-Dahab (EH)</v>
      </c>
      <c r="D3178" s="9" t="str">
        <f>IFERROR(__xludf.DUMMYFUNCTION("GOOGLETRANSLATE($A3178,""en"",""fr"")"),"Dakhla-Oued Ed-Dahab (EH)")</f>
        <v>Dakhla-Oued Ed-Dahab (EH)</v>
      </c>
      <c r="E3178" s="9" t="str">
        <f>IFERROR(__xludf.DUMMYFUNCTION("GOOGLETRANSLATE($A3178,""en"",""es"")"),"Dajla-Ued Ed-Dahab (EH)")</f>
        <v>Dajla-Ued Ed-Dahab (EH)</v>
      </c>
      <c r="F3178" s="9" t="str">
        <f>IFERROR(__xludf.DUMMYFUNCTION("GOOGLETRANSLATE($A3178,""en"",""it"")"),"Dakhla-Oued Ed-Dahab (EH)")</f>
        <v>Dakhla-Oued Ed-Dahab (EH)</v>
      </c>
      <c r="G3178" s="9" t="str">
        <f>IFERROR(__xludf.DUMMYFUNCTION("GOOGLETRANSLATE($A3178,""en"",""zh-cn"")"),"达赫拉-瓦埃德-达哈布 (EH)")</f>
        <v>达赫拉-瓦埃德-达哈布 (EH)</v>
      </c>
      <c r="H3178" s="9" t="str">
        <f>IFERROR(__xludf.DUMMYFUNCTION("GOOGLETRANSLATE($A3178,""en"",""ja"")"),"ダクラ・ウエド・エド・ダハブ (EH)")</f>
        <v>ダクラ・ウエド・エド・ダハブ (EH)</v>
      </c>
      <c r="I3178" s="9" t="str">
        <f>IFERROR(__xludf.DUMMYFUNCTION("GOOGLETRANSLATE($A3178,""en"",""ko"")"),"다클라우드에드다합(EH)")</f>
        <v>다클라우드에드다합(EH)</v>
      </c>
      <c r="J3178" s="9" t="str">
        <f>IFERROR(__xludf.DUMMYFUNCTION("GOOGLETRANSLATE($A3178,""en"",""pt-BR"")"),"Dakhla-Oued Ed-Dahab (EH)")</f>
        <v>Dakhla-Oued Ed-Dahab (EH)</v>
      </c>
    </row>
    <row r="3179">
      <c r="A3179" s="9" t="str">
        <f>IFERROR(__xludf.DUMMYFUNCTION("""COMPUTED_VALUE"""),"Salé")</f>
        <v>Salé</v>
      </c>
      <c r="B3179" s="9" t="str">
        <f>IFERROR(__xludf.DUMMYFUNCTION("""COMPUTED_VALUE"""),"ma-sal")</f>
        <v>ma-sal</v>
      </c>
      <c r="C3179" s="9" t="str">
        <f>IFERROR(__xludf.DUMMYFUNCTION("GOOGLETRANSLATE($A3179,""en"",""de"")"),"Verkauf")</f>
        <v>Verkauf</v>
      </c>
      <c r="D3179" s="9" t="str">
        <f>IFERROR(__xludf.DUMMYFUNCTION("GOOGLETRANSLATE($A3179,""en"",""fr"")"),"Vente")</f>
        <v>Vente</v>
      </c>
      <c r="E3179" s="9" t="str">
        <f>IFERROR(__xludf.DUMMYFUNCTION("GOOGLETRANSLATE($A3179,""en"",""es"")"),"Venta")</f>
        <v>Venta</v>
      </c>
      <c r="F3179" s="9" t="str">
        <f>IFERROR(__xludf.DUMMYFUNCTION("GOOGLETRANSLATE($A3179,""en"",""it"")"),"Vendita")</f>
        <v>Vendita</v>
      </c>
      <c r="G3179" s="9" t="str">
        <f>IFERROR(__xludf.DUMMYFUNCTION("GOOGLETRANSLATE($A3179,""en"",""zh-cn"")"),"销售")</f>
        <v>销售</v>
      </c>
      <c r="H3179" s="9" t="str">
        <f>IFERROR(__xludf.DUMMYFUNCTION("GOOGLETRANSLATE($A3179,""en"",""ja"")"),"販売")</f>
        <v>販売</v>
      </c>
      <c r="I3179" s="9" t="str">
        <f>IFERROR(__xludf.DUMMYFUNCTION("GOOGLETRANSLATE($A3179,""en"",""ko"")"),"판매")</f>
        <v>판매</v>
      </c>
      <c r="J3179" s="9" t="str">
        <f>IFERROR(__xludf.DUMMYFUNCTION("GOOGLETRANSLATE($A3179,""en"",""pt-BR"")"),"Oferta")</f>
        <v>Oferta</v>
      </c>
    </row>
    <row r="3180">
      <c r="A3180" s="9" t="str">
        <f>IFERROR(__xludf.DUMMYFUNCTION("""COMPUTED_VALUE"""),"L'Oriental")</f>
        <v>L'Oriental</v>
      </c>
      <c r="B3180" s="9" t="str">
        <f>IFERROR(__xludf.DUMMYFUNCTION("""COMPUTED_VALUE"""),"ma-02")</f>
        <v>ma-02</v>
      </c>
      <c r="C3180" s="9" t="str">
        <f>IFERROR(__xludf.DUMMYFUNCTION("GOOGLETRANSLATE($A3180,""en"",""de"")"),"L'Oriental")</f>
        <v>L'Oriental</v>
      </c>
      <c r="D3180" s="9" t="str">
        <f>IFERROR(__xludf.DUMMYFUNCTION("GOOGLETRANSLATE($A3180,""en"",""fr"")"),"L'Oriental")</f>
        <v>L'Oriental</v>
      </c>
      <c r="E3180" s="9" t="str">
        <f>IFERROR(__xludf.DUMMYFUNCTION("GOOGLETRANSLATE($A3180,""en"",""es"")"),"El Oriental")</f>
        <v>El Oriental</v>
      </c>
      <c r="F3180" s="9" t="str">
        <f>IFERROR(__xludf.DUMMYFUNCTION("GOOGLETRANSLATE($A3180,""en"",""it"")"),"L'Orientale")</f>
        <v>L'Orientale</v>
      </c>
      <c r="G3180" s="9" t="str">
        <f>IFERROR(__xludf.DUMMYFUNCTION("GOOGLETRANSLATE($A3180,""en"",""zh-cn"")"),"东方集团")</f>
        <v>东方集团</v>
      </c>
      <c r="H3180" s="9" t="str">
        <f>IFERROR(__xludf.DUMMYFUNCTION("GOOGLETRANSLATE($A3180,""en"",""ja"")"),"ロリエンタル")</f>
        <v>ロリエンタル</v>
      </c>
      <c r="I3180" s="9" t="str">
        <f>IFERROR(__xludf.DUMMYFUNCTION("GOOGLETRANSLATE($A3180,""en"",""ko"")"),"로오리엔탈")</f>
        <v>로오리엔탈</v>
      </c>
      <c r="J3180" s="9" t="str">
        <f>IFERROR(__xludf.DUMMYFUNCTION("GOOGLETRANSLATE($A3180,""en"",""pt-BR"")"),"L'Oriental")</f>
        <v>L'Oriental</v>
      </c>
    </row>
    <row r="3181">
      <c r="A3181" s="9" t="str">
        <f>IFERROR(__xludf.DUMMYFUNCTION("""COMPUTED_VALUE"""),"Tanger-Tétouan-Al Hoceïma")</f>
        <v>Tanger-Tétouan-Al Hoceïma</v>
      </c>
      <c r="B3181" s="9" t="str">
        <f>IFERROR(__xludf.DUMMYFUNCTION("""COMPUTED_VALUE"""),"ma-01")</f>
        <v>ma-01</v>
      </c>
      <c r="C3181" s="9" t="str">
        <f>IFERROR(__xludf.DUMMYFUNCTION("GOOGLETRANSLATE($A3181,""en"",""de"")"),"Tanger-Tétouan-Al Hoceïma")</f>
        <v>Tanger-Tétouan-Al Hoceïma</v>
      </c>
      <c r="D3181" s="9" t="str">
        <f>IFERROR(__xludf.DUMMYFUNCTION("GOOGLETRANSLATE($A3181,""en"",""fr"")"),"Tanger-Tétouan-Al Hoceïma")</f>
        <v>Tanger-Tétouan-Al Hoceïma</v>
      </c>
      <c r="E3181" s="9" t="str">
        <f>IFERROR(__xludf.DUMMYFUNCTION("GOOGLETRANSLATE($A3181,""en"",""es"")"),"Tánger-Tetuán-Alhucemas")</f>
        <v>Tánger-Tetuán-Alhucemas</v>
      </c>
      <c r="F3181" s="9" t="str">
        <f>IFERROR(__xludf.DUMMYFUNCTION("GOOGLETRANSLATE($A3181,""en"",""it"")"),"Tangeri-Tétouan-Al Hoceïma")</f>
        <v>Tangeri-Tétouan-Al Hoceïma</v>
      </c>
      <c r="G3181" s="9" t="str">
        <f>IFERROR(__xludf.DUMMYFUNCTION("GOOGLETRANSLATE($A3181,""en"",""zh-cn"")"),"丹吉尔-得土安-胡塞马")</f>
        <v>丹吉尔-得土安-胡塞马</v>
      </c>
      <c r="H3181" s="9" t="str">
        <f>IFERROR(__xludf.DUMMYFUNCTION("GOOGLETRANSLATE($A3181,""en"",""ja"")"),"タンジェ - テトゥアン - アル ホセイマ")</f>
        <v>タンジェ - テトゥアン - アル ホセイマ</v>
      </c>
      <c r="I3181" s="9" t="str">
        <f>IFERROR(__xludf.DUMMYFUNCTION("GOOGLETRANSLATE($A3181,""en"",""ko"")"),"탕헤르-테투안-알 호세이마")</f>
        <v>탕헤르-테투안-알 호세이마</v>
      </c>
      <c r="J3181" s="9" t="str">
        <f>IFERROR(__xludf.DUMMYFUNCTION("GOOGLETRANSLATE($A3181,""en"",""pt-BR"")"),"Tânger-Tétouan-Al Hoceima")</f>
        <v>Tânger-Tétouan-Al Hoceima</v>
      </c>
    </row>
    <row r="3182">
      <c r="A3182" s="9" t="str">
        <f>IFERROR(__xludf.DUMMYFUNCTION("""COMPUTED_VALUE"""),"Marrakech-Menara")</f>
        <v>Marrakech-Menara</v>
      </c>
      <c r="B3182" s="9" t="str">
        <f>IFERROR(__xludf.DUMMYFUNCTION("""COMPUTED_VALUE"""),"ma-mmn")</f>
        <v>ma-mmn</v>
      </c>
      <c r="C3182" s="9" t="str">
        <f>IFERROR(__xludf.DUMMYFUNCTION("GOOGLETRANSLATE($A3182,""en"",""de"")"),"Marrakesch-Menara")</f>
        <v>Marrakesch-Menara</v>
      </c>
      <c r="D3182" s="9" t="str">
        <f>IFERROR(__xludf.DUMMYFUNCTION("GOOGLETRANSLATE($A3182,""en"",""fr"")"),"Marrakech-Menara")</f>
        <v>Marrakech-Menara</v>
      </c>
      <c r="E3182" s="9" t="str">
        <f>IFERROR(__xludf.DUMMYFUNCTION("GOOGLETRANSLATE($A3182,""en"",""es"")"),"Marrakech-Menara")</f>
        <v>Marrakech-Menara</v>
      </c>
      <c r="F3182" s="9" t="str">
        <f>IFERROR(__xludf.DUMMYFUNCTION("GOOGLETRANSLATE($A3182,""en"",""it"")"),"Marrakech-Menara")</f>
        <v>Marrakech-Menara</v>
      </c>
      <c r="G3182" s="9" t="str">
        <f>IFERROR(__xludf.DUMMYFUNCTION("GOOGLETRANSLATE($A3182,""en"",""zh-cn"")"),"马拉喀什-梅纳拉")</f>
        <v>马拉喀什-梅纳拉</v>
      </c>
      <c r="H3182" s="9" t="str">
        <f>IFERROR(__xludf.DUMMYFUNCTION("GOOGLETRANSLATE($A3182,""en"",""ja"")"),"マラケシュ・メナラ")</f>
        <v>マラケシュ・メナラ</v>
      </c>
      <c r="I3182" s="9" t="str">
        <f>IFERROR(__xludf.DUMMYFUNCTION("GOOGLETRANSLATE($A3182,""en"",""ko"")"),"마라케시-메나라")</f>
        <v>마라케시-메나라</v>
      </c>
      <c r="J3182" s="9" t="str">
        <f>IFERROR(__xludf.DUMMYFUNCTION("GOOGLETRANSLATE($A3182,""en"",""pt-BR"")"),"Marraquexe-Menara")</f>
        <v>Marraquexe-Menara</v>
      </c>
    </row>
    <row r="3183">
      <c r="A3183" s="9" t="str">
        <f>IFERROR(__xludf.DUMMYFUNCTION("""COMPUTED_VALUE"""),"Midelt")</f>
        <v>Midelt</v>
      </c>
      <c r="B3183" s="9" t="str">
        <f>IFERROR(__xludf.DUMMYFUNCTION("""COMPUTED_VALUE"""),"ma-mid")</f>
        <v>ma-mid</v>
      </c>
      <c r="C3183" s="9" t="str">
        <f>IFERROR(__xludf.DUMMYFUNCTION("GOOGLETRANSLATE($A3183,""en"",""de"")"),"Midelt")</f>
        <v>Midelt</v>
      </c>
      <c r="D3183" s="9" t="str">
        <f>IFERROR(__xludf.DUMMYFUNCTION("GOOGLETRANSLATE($A3183,""en"",""fr"")"),"Midelt")</f>
        <v>Midelt</v>
      </c>
      <c r="E3183" s="9" t="str">
        <f>IFERROR(__xludf.DUMMYFUNCTION("GOOGLETRANSLATE($A3183,""en"",""es"")"),"Midelt")</f>
        <v>Midelt</v>
      </c>
      <c r="F3183" s="9" t="str">
        <f>IFERROR(__xludf.DUMMYFUNCTION("GOOGLETRANSLATE($A3183,""en"",""it"")"),"Midelt")</f>
        <v>Midelt</v>
      </c>
      <c r="G3183" s="9" t="str">
        <f>IFERROR(__xludf.DUMMYFUNCTION("GOOGLETRANSLATE($A3183,""en"",""zh-cn"")"),"米德尔特")</f>
        <v>米德尔特</v>
      </c>
      <c r="H3183" s="9" t="str">
        <f>IFERROR(__xludf.DUMMYFUNCTION("GOOGLETRANSLATE($A3183,""en"",""ja"")"),"ミデルト")</f>
        <v>ミデルト</v>
      </c>
      <c r="I3183" s="9" t="str">
        <f>IFERROR(__xludf.DUMMYFUNCTION("GOOGLETRANSLATE($A3183,""en"",""ko"")"),"미델트")</f>
        <v>미델트</v>
      </c>
      <c r="J3183" s="9" t="str">
        <f>IFERROR(__xludf.DUMMYFUNCTION("GOOGLETRANSLATE($A3183,""en"",""pt-BR"")"),"Midelt")</f>
        <v>Midelt</v>
      </c>
    </row>
    <row r="3184">
      <c r="A3184" s="9" t="str">
        <f>IFERROR(__xludf.DUMMYFUNCTION("""COMPUTED_VALUE"""),"Marrakech")</f>
        <v>Marrakech</v>
      </c>
      <c r="B3184" s="9" t="str">
        <f>IFERROR(__xludf.DUMMYFUNCTION("""COMPUTED_VALUE"""),"ma-mar")</f>
        <v>ma-mar</v>
      </c>
      <c r="C3184" s="9" t="str">
        <f>IFERROR(__xludf.DUMMYFUNCTION("GOOGLETRANSLATE($A3184,""en"",""de"")"),"Marrakesch")</f>
        <v>Marrakesch</v>
      </c>
      <c r="D3184" s="9" t="str">
        <f>IFERROR(__xludf.DUMMYFUNCTION("GOOGLETRANSLATE($A3184,""en"",""fr"")"),"Marrakech")</f>
        <v>Marrakech</v>
      </c>
      <c r="E3184" s="9" t="str">
        <f>IFERROR(__xludf.DUMMYFUNCTION("GOOGLETRANSLATE($A3184,""en"",""es"")"),"Marrakesh")</f>
        <v>Marrakesh</v>
      </c>
      <c r="F3184" s="9" t="str">
        <f>IFERROR(__xludf.DUMMYFUNCTION("GOOGLETRANSLATE($A3184,""en"",""it"")"),"Marrakech")</f>
        <v>Marrakech</v>
      </c>
      <c r="G3184" s="9" t="str">
        <f>IFERROR(__xludf.DUMMYFUNCTION("GOOGLETRANSLATE($A3184,""en"",""zh-cn"")"),"马拉喀什")</f>
        <v>马拉喀什</v>
      </c>
      <c r="H3184" s="9" t="str">
        <f>IFERROR(__xludf.DUMMYFUNCTION("GOOGLETRANSLATE($A3184,""en"",""ja"")"),"マラケシュ")</f>
        <v>マラケシュ</v>
      </c>
      <c r="I3184" s="9" t="str">
        <f>IFERROR(__xludf.DUMMYFUNCTION("GOOGLETRANSLATE($A3184,""en"",""ko"")"),"마라케시")</f>
        <v>마라케시</v>
      </c>
      <c r="J3184" s="9" t="str">
        <f>IFERROR(__xludf.DUMMYFUNCTION("GOOGLETRANSLATE($A3184,""en"",""pt-BR"")"),"Marraquexe")</f>
        <v>Marraquexe</v>
      </c>
    </row>
    <row r="3185">
      <c r="A3185" s="9" t="str">
        <f>IFERROR(__xludf.DUMMYFUNCTION("""COMPUTED_VALUE"""),"Fès")</f>
        <v>Fès</v>
      </c>
      <c r="B3185" s="9" t="str">
        <f>IFERROR(__xludf.DUMMYFUNCTION("""COMPUTED_VALUE"""),"ma-fes")</f>
        <v>ma-fes</v>
      </c>
      <c r="C3185" s="9" t="str">
        <f>IFERROR(__xludf.DUMMYFUNCTION("GOOGLETRANSLATE($A3185,""en"",""de"")"),"Fès")</f>
        <v>Fès</v>
      </c>
      <c r="D3185" s="9" t="str">
        <f>IFERROR(__xludf.DUMMYFUNCTION("GOOGLETRANSLATE($A3185,""en"",""fr"")"),"Fès")</f>
        <v>Fès</v>
      </c>
      <c r="E3185" s="9" t="str">
        <f>IFERROR(__xludf.DUMMYFUNCTION("GOOGLETRANSLATE($A3185,""en"",""es"")"),"Fez")</f>
        <v>Fez</v>
      </c>
      <c r="F3185" s="9" t="str">
        <f>IFERROR(__xludf.DUMMYFUNCTION("GOOGLETRANSLATE($A3185,""en"",""it"")"),"Fes")</f>
        <v>Fes</v>
      </c>
      <c r="G3185" s="9" t="str">
        <f>IFERROR(__xludf.DUMMYFUNCTION("GOOGLETRANSLATE($A3185,""en"",""zh-cn"")"),"非斯")</f>
        <v>非斯</v>
      </c>
      <c r="H3185" s="9" t="str">
        <f>IFERROR(__xludf.DUMMYFUNCTION("GOOGLETRANSLATE($A3185,""en"",""ja"")"),"フェズ")</f>
        <v>フェズ</v>
      </c>
      <c r="I3185" s="9" t="str">
        <f>IFERROR(__xludf.DUMMYFUNCTION("GOOGLETRANSLATE($A3185,""en"",""ko"")"),"페스")</f>
        <v>페스</v>
      </c>
      <c r="J3185" s="9" t="str">
        <f>IFERROR(__xludf.DUMMYFUNCTION("GOOGLETRANSLATE($A3185,""en"",""pt-BR"")"),"Fez")</f>
        <v>Fez</v>
      </c>
    </row>
    <row r="3186">
      <c r="A3186" s="9" t="str">
        <f>IFERROR(__xludf.DUMMYFUNCTION("""COMPUTED_VALUE"""),"Jerada")</f>
        <v>Jerada</v>
      </c>
      <c r="B3186" s="9" t="str">
        <f>IFERROR(__xludf.DUMMYFUNCTION("""COMPUTED_VALUE"""),"ma-jra")</f>
        <v>ma-jra</v>
      </c>
      <c r="C3186" s="9" t="str">
        <f>IFERROR(__xludf.DUMMYFUNCTION("GOOGLETRANSLATE($A3186,""en"",""de"")"),"Jerada")</f>
        <v>Jerada</v>
      </c>
      <c r="D3186" s="9" t="str">
        <f>IFERROR(__xludf.DUMMYFUNCTION("GOOGLETRANSLATE($A3186,""en"",""fr"")"),"Jerada")</f>
        <v>Jerada</v>
      </c>
      <c r="E3186" s="9" t="str">
        <f>IFERROR(__xludf.DUMMYFUNCTION("GOOGLETRANSLATE($A3186,""en"",""es"")"),"Jerada")</f>
        <v>Jerada</v>
      </c>
      <c r="F3186" s="9" t="str">
        <f>IFERROR(__xludf.DUMMYFUNCTION("GOOGLETRANSLATE($A3186,""en"",""it"")"),"Jerada")</f>
        <v>Jerada</v>
      </c>
      <c r="G3186" s="9" t="str">
        <f>IFERROR(__xludf.DUMMYFUNCTION("GOOGLETRANSLATE($A3186,""en"",""zh-cn"")"),"杰拉达")</f>
        <v>杰拉达</v>
      </c>
      <c r="H3186" s="9" t="str">
        <f>IFERROR(__xludf.DUMMYFUNCTION("GOOGLETRANSLATE($A3186,""en"",""ja"")"),"ジェラダ")</f>
        <v>ジェラダ</v>
      </c>
      <c r="I3186" s="9" t="str">
        <f>IFERROR(__xludf.DUMMYFUNCTION("GOOGLETRANSLATE($A3186,""en"",""ko"")"),"제라다")</f>
        <v>제라다</v>
      </c>
      <c r="J3186" s="9" t="str">
        <f>IFERROR(__xludf.DUMMYFUNCTION("GOOGLETRANSLATE($A3186,""en"",""pt-BR"")"),"Jerada")</f>
        <v>Jerada</v>
      </c>
    </row>
    <row r="3187">
      <c r="A3187" s="9" t="str">
        <f>IFERROR(__xludf.DUMMYFUNCTION("""COMPUTED_VALUE"""),"Driouch")</f>
        <v>Driouch</v>
      </c>
      <c r="B3187" s="9" t="str">
        <f>IFERROR(__xludf.DUMMYFUNCTION("""COMPUTED_VALUE"""),"ma-dri")</f>
        <v>ma-dri</v>
      </c>
      <c r="C3187" s="9" t="str">
        <f>IFERROR(__xludf.DUMMYFUNCTION("GOOGLETRANSLATE($A3187,""en"",""de"")"),"Driouch")</f>
        <v>Driouch</v>
      </c>
      <c r="D3187" s="9" t="str">
        <f>IFERROR(__xludf.DUMMYFUNCTION("GOOGLETRANSLATE($A3187,""en"",""fr"")"),"Driouch")</f>
        <v>Driouch</v>
      </c>
      <c r="E3187" s="9" t="str">
        <f>IFERROR(__xludf.DUMMYFUNCTION("GOOGLETRANSLATE($A3187,""en"",""es"")"),"Driuch")</f>
        <v>Driuch</v>
      </c>
      <c r="F3187" s="9" t="str">
        <f>IFERROR(__xludf.DUMMYFUNCTION("GOOGLETRANSLATE($A3187,""en"",""it"")"),"Driouch")</f>
        <v>Driouch</v>
      </c>
      <c r="G3187" s="9" t="str">
        <f>IFERROR(__xludf.DUMMYFUNCTION("GOOGLETRANSLATE($A3187,""en"",""zh-cn"")"),"德里乌什")</f>
        <v>德里乌什</v>
      </c>
      <c r="H3187" s="9" t="str">
        <f>IFERROR(__xludf.DUMMYFUNCTION("GOOGLETRANSLATE($A3187,""en"",""ja"")"),"ドリシュ")</f>
        <v>ドリシュ</v>
      </c>
      <c r="I3187" s="9" t="str">
        <f>IFERROR(__xludf.DUMMYFUNCTION("GOOGLETRANSLATE($A3187,""en"",""ko"")"),"드리우치")</f>
        <v>드리우치</v>
      </c>
      <c r="J3187" s="9" t="str">
        <f>IFERROR(__xludf.DUMMYFUNCTION("GOOGLETRANSLATE($A3187,""en"",""pt-BR"")"),"Driouch")</f>
        <v>Driouch</v>
      </c>
    </row>
    <row r="3188">
      <c r="A3188" s="9" t="str">
        <f>IFERROR(__xludf.DUMMYFUNCTION("""COMPUTED_VALUE"""),"Guercif")</f>
        <v>Guercif</v>
      </c>
      <c r="B3188" s="9" t="str">
        <f>IFERROR(__xludf.DUMMYFUNCTION("""COMPUTED_VALUE"""),"ma-guf")</f>
        <v>ma-guf</v>
      </c>
      <c r="C3188" s="9" t="str">
        <f>IFERROR(__xludf.DUMMYFUNCTION("GOOGLETRANSLATE($A3188,""en"",""de"")"),"Guercif")</f>
        <v>Guercif</v>
      </c>
      <c r="D3188" s="9" t="str">
        <f>IFERROR(__xludf.DUMMYFUNCTION("GOOGLETRANSLATE($A3188,""en"",""fr"")"),"Guercif")</f>
        <v>Guercif</v>
      </c>
      <c r="E3188" s="9" t="str">
        <f>IFERROR(__xludf.DUMMYFUNCTION("GOOGLETRANSLATE($A3188,""en"",""es"")"),"Guercif")</f>
        <v>Guercif</v>
      </c>
      <c r="F3188" s="9" t="str">
        <f>IFERROR(__xludf.DUMMYFUNCTION("GOOGLETRANSLATE($A3188,""en"",""it"")"),"Guercif")</f>
        <v>Guercif</v>
      </c>
      <c r="G3188" s="9" t="str">
        <f>IFERROR(__xludf.DUMMYFUNCTION("GOOGLETRANSLATE($A3188,""en"",""zh-cn"")"),"盖尔西夫")</f>
        <v>盖尔西夫</v>
      </c>
      <c r="H3188" s="9" t="str">
        <f>IFERROR(__xludf.DUMMYFUNCTION("GOOGLETRANSLATE($A3188,""en"",""ja"")"),"ゲルシフ")</f>
        <v>ゲルシフ</v>
      </c>
      <c r="I3188" s="9" t="str">
        <f>IFERROR(__xludf.DUMMYFUNCTION("GOOGLETRANSLATE($A3188,""en"",""ko"")"),"구에르시프")</f>
        <v>구에르시프</v>
      </c>
      <c r="J3188" s="9" t="str">
        <f>IFERROR(__xludf.DUMMYFUNCTION("GOOGLETRANSLATE($A3188,""en"",""pt-BR"")"),"Guercif")</f>
        <v>Guercif</v>
      </c>
    </row>
    <row r="3189">
      <c r="A3189" s="9" t="str">
        <f>IFERROR(__xludf.DUMMYFUNCTION("""COMPUTED_VALUE"""),"Settat")</f>
        <v>Settat</v>
      </c>
      <c r="B3189" s="9" t="str">
        <f>IFERROR(__xludf.DUMMYFUNCTION("""COMPUTED_VALUE"""),"ma-set")</f>
        <v>ma-set</v>
      </c>
      <c r="C3189" s="9" t="str">
        <f>IFERROR(__xludf.DUMMYFUNCTION("GOOGLETRANSLATE($A3189,""en"",""de"")"),"Settat")</f>
        <v>Settat</v>
      </c>
      <c r="D3189" s="9" t="str">
        <f>IFERROR(__xludf.DUMMYFUNCTION("GOOGLETRANSLATE($A3189,""en"",""fr"")"),"Settat")</f>
        <v>Settat</v>
      </c>
      <c r="E3189" s="9" t="str">
        <f>IFERROR(__xludf.DUMMYFUNCTION("GOOGLETRANSLATE($A3189,""en"",""es"")"),"Settat")</f>
        <v>Settat</v>
      </c>
      <c r="F3189" s="9" t="str">
        <f>IFERROR(__xludf.DUMMYFUNCTION("GOOGLETRANSLATE($A3189,""en"",""it"")"),"Settat")</f>
        <v>Settat</v>
      </c>
      <c r="G3189" s="9" t="str">
        <f>IFERROR(__xludf.DUMMYFUNCTION("GOOGLETRANSLATE($A3189,""en"",""zh-cn"")"),"塞塔特")</f>
        <v>塞塔特</v>
      </c>
      <c r="H3189" s="9" t="str">
        <f>IFERROR(__xludf.DUMMYFUNCTION("GOOGLETRANSLATE($A3189,""en"",""ja"")"),"セッタット")</f>
        <v>セッタット</v>
      </c>
      <c r="I3189" s="9" t="str">
        <f>IFERROR(__xludf.DUMMYFUNCTION("GOOGLETRANSLATE($A3189,""en"",""ko"")"),"세타트")</f>
        <v>세타트</v>
      </c>
      <c r="J3189" s="9" t="str">
        <f>IFERROR(__xludf.DUMMYFUNCTION("GOOGLETRANSLATE($A3189,""en"",""pt-BR"")"),"Definir")</f>
        <v>Definir</v>
      </c>
    </row>
    <row r="3190">
      <c r="A3190" s="9" t="str">
        <f>IFERROR(__xludf.DUMMYFUNCTION("""COMPUTED_VALUE"""),"Fquih Ben Salah")</f>
        <v>Fquih Ben Salah</v>
      </c>
      <c r="B3190" s="9" t="str">
        <f>IFERROR(__xludf.DUMMYFUNCTION("""COMPUTED_VALUE"""),"ma-fqh")</f>
        <v>ma-fqh</v>
      </c>
      <c r="C3190" s="9" t="str">
        <f>IFERROR(__xludf.DUMMYFUNCTION("GOOGLETRANSLATE($A3190,""en"",""de"")"),"Fquih Ben Salah")</f>
        <v>Fquih Ben Salah</v>
      </c>
      <c r="D3190" s="9" t="str">
        <f>IFERROR(__xludf.DUMMYFUNCTION("GOOGLETRANSLATE($A3190,""en"",""fr"")"),"Fquih Ben Salah")</f>
        <v>Fquih Ben Salah</v>
      </c>
      <c r="E3190" s="9" t="str">
        <f>IFERROR(__xludf.DUMMYFUNCTION("GOOGLETRANSLATE($A3190,""en"",""es"")"),"Fquih Ben Salah")</f>
        <v>Fquih Ben Salah</v>
      </c>
      <c r="F3190" s="9" t="str">
        <f>IFERROR(__xludf.DUMMYFUNCTION("GOOGLETRANSLATE($A3190,""en"",""it"")"),"Fquih Ben Salah")</f>
        <v>Fquih Ben Salah</v>
      </c>
      <c r="G3190" s="9" t="str">
        <f>IFERROR(__xludf.DUMMYFUNCTION("GOOGLETRANSLATE($A3190,""en"",""zh-cn"")"),"弗奎赫·本·萨拉赫")</f>
        <v>弗奎赫·本·萨拉赫</v>
      </c>
      <c r="H3190" s="9" t="str">
        <f>IFERROR(__xludf.DUMMYFUNCTION("GOOGLETRANSLATE($A3190,""en"",""ja"")"),"フクイ・ベン・サラー")</f>
        <v>フクイ・ベン・サラー</v>
      </c>
      <c r="I3190" s="9" t="str">
        <f>IFERROR(__xludf.DUMMYFUNCTION("GOOGLETRANSLATE($A3190,""en"",""ko"")"),"프퀴 벤 살라")</f>
        <v>프퀴 벤 살라</v>
      </c>
      <c r="J3190" s="9" t="str">
        <f>IFERROR(__xludf.DUMMYFUNCTION("GOOGLETRANSLATE($A3190,""en"",""pt-BR"")"),"Fquih Ben Salah")</f>
        <v>Fquih Ben Salah</v>
      </c>
    </row>
    <row r="3191">
      <c r="A3191" s="9" t="str">
        <f>IFERROR(__xludf.DUMMYFUNCTION("""COMPUTED_VALUE"""),"Marrakech-Medina")</f>
        <v>Marrakech-Medina</v>
      </c>
      <c r="B3191" s="9" t="str">
        <f>IFERROR(__xludf.DUMMYFUNCTION("""COMPUTED_VALUE"""),"ma-mmd")</f>
        <v>ma-mmd</v>
      </c>
      <c r="C3191" s="9" t="str">
        <f>IFERROR(__xludf.DUMMYFUNCTION("GOOGLETRANSLATE($A3191,""en"",""de"")"),"Marrakesch-Medina")</f>
        <v>Marrakesch-Medina</v>
      </c>
      <c r="D3191" s="9" t="str">
        <f>IFERROR(__xludf.DUMMYFUNCTION("GOOGLETRANSLATE($A3191,""en"",""fr"")"),"Marrakech-Médina")</f>
        <v>Marrakech-Médina</v>
      </c>
      <c r="E3191" s="9" t="str">
        <f>IFERROR(__xludf.DUMMYFUNCTION("GOOGLETRANSLATE($A3191,""en"",""es"")"),"Marrakech-Medina")</f>
        <v>Marrakech-Medina</v>
      </c>
      <c r="F3191" s="9" t="str">
        <f>IFERROR(__xludf.DUMMYFUNCTION("GOOGLETRANSLATE($A3191,""en"",""it"")"),"Marrakech-Medina")</f>
        <v>Marrakech-Medina</v>
      </c>
      <c r="G3191" s="9" t="str">
        <f>IFERROR(__xludf.DUMMYFUNCTION("GOOGLETRANSLATE($A3191,""en"",""zh-cn"")"),"马拉喀什-麦地那")</f>
        <v>马拉喀什-麦地那</v>
      </c>
      <c r="H3191" s="9" t="str">
        <f>IFERROR(__xludf.DUMMYFUNCTION("GOOGLETRANSLATE($A3191,""en"",""ja"")"),"マラケシュ-メディナ")</f>
        <v>マラケシュ-メディナ</v>
      </c>
      <c r="I3191" s="9" t="str">
        <f>IFERROR(__xludf.DUMMYFUNCTION("GOOGLETRANSLATE($A3191,""en"",""ko"")"),"마라케시-메디나")</f>
        <v>마라케시-메디나</v>
      </c>
      <c r="J3191" s="9" t="str">
        <f>IFERROR(__xludf.DUMMYFUNCTION("GOOGLETRANSLATE($A3191,""en"",""pt-BR"")"),"Marraquexe-Medina")</f>
        <v>Marraquexe-Medina</v>
      </c>
    </row>
    <row r="3192">
      <c r="A3192" s="9" t="str">
        <f>IFERROR(__xludf.DUMMYFUNCTION("""COMPUTED_VALUE"""),"Berrechid")</f>
        <v>Berrechid</v>
      </c>
      <c r="B3192" s="9" t="str">
        <f>IFERROR(__xludf.DUMMYFUNCTION("""COMPUTED_VALUE"""),"ma-brr")</f>
        <v>ma-brr</v>
      </c>
      <c r="C3192" s="9" t="str">
        <f>IFERROR(__xludf.DUMMYFUNCTION("GOOGLETRANSLATE($A3192,""en"",""de"")"),"Berrechid")</f>
        <v>Berrechid</v>
      </c>
      <c r="D3192" s="9" t="str">
        <f>IFERROR(__xludf.DUMMYFUNCTION("GOOGLETRANSLATE($A3192,""en"",""fr"")"),"Berrechid")</f>
        <v>Berrechid</v>
      </c>
      <c r="E3192" s="9" t="str">
        <f>IFERROR(__xludf.DUMMYFUNCTION("GOOGLETRANSLATE($A3192,""en"",""es"")"),"Berrechid")</f>
        <v>Berrechid</v>
      </c>
      <c r="F3192" s="9" t="str">
        <f>IFERROR(__xludf.DUMMYFUNCTION("GOOGLETRANSLATE($A3192,""en"",""it"")"),"Berrechid")</f>
        <v>Berrechid</v>
      </c>
      <c r="G3192" s="9" t="str">
        <f>IFERROR(__xludf.DUMMYFUNCTION("GOOGLETRANSLATE($A3192,""en"",""zh-cn"")"),"拜赖希德")</f>
        <v>拜赖希德</v>
      </c>
      <c r="H3192" s="9" t="str">
        <f>IFERROR(__xludf.DUMMYFUNCTION("GOOGLETRANSLATE($A3192,""en"",""ja"")"),"ベレキッド")</f>
        <v>ベレキッド</v>
      </c>
      <c r="I3192" s="9" t="str">
        <f>IFERROR(__xludf.DUMMYFUNCTION("GOOGLETRANSLATE($A3192,""en"",""ko"")"),"베레시드")</f>
        <v>베레시드</v>
      </c>
      <c r="J3192" s="9" t="str">
        <f>IFERROR(__xludf.DUMMYFUNCTION("GOOGLETRANSLATE($A3192,""en"",""pt-BR"")"),"Berrechid")</f>
        <v>Berrechid</v>
      </c>
    </row>
    <row r="3193">
      <c r="A3193" s="9" t="str">
        <f>IFERROR(__xludf.DUMMYFUNCTION("""COMPUTED_VALUE"""),"Al Haouz")</f>
        <v>Al Haouz</v>
      </c>
      <c r="B3193" s="9" t="str">
        <f>IFERROR(__xludf.DUMMYFUNCTION("""COMPUTED_VALUE"""),"ma-hao")</f>
        <v>ma-hao</v>
      </c>
      <c r="C3193" s="9" t="str">
        <f>IFERROR(__xludf.DUMMYFUNCTION("GOOGLETRANSLATE($A3193,""en"",""de"")"),"Al Haouz")</f>
        <v>Al Haouz</v>
      </c>
      <c r="D3193" s="9" t="str">
        <f>IFERROR(__xludf.DUMMYFUNCTION("GOOGLETRANSLATE($A3193,""en"",""fr"")"),"Al Haouz")</f>
        <v>Al Haouz</v>
      </c>
      <c r="E3193" s="9" t="str">
        <f>IFERROR(__xludf.DUMMYFUNCTION("GOOGLETRANSLATE($A3193,""en"",""es"")"),"Al Hauz")</f>
        <v>Al Hauz</v>
      </c>
      <c r="F3193" s="9" t="str">
        <f>IFERROR(__xludf.DUMMYFUNCTION("GOOGLETRANSLATE($A3193,""en"",""it"")"),"Al Haouz")</f>
        <v>Al Haouz</v>
      </c>
      <c r="G3193" s="9" t="str">
        <f>IFERROR(__xludf.DUMMYFUNCTION("GOOGLETRANSLATE($A3193,""en"",""zh-cn"")"),"豪兹")</f>
        <v>豪兹</v>
      </c>
      <c r="H3193" s="9" t="str">
        <f>IFERROR(__xludf.DUMMYFUNCTION("GOOGLETRANSLATE($A3193,""en"",""ja"")"),"アル・ハウズ")</f>
        <v>アル・ハウズ</v>
      </c>
      <c r="I3193" s="9" t="str">
        <f>IFERROR(__xludf.DUMMYFUNCTION("GOOGLETRANSLATE($A3193,""en"",""ko"")"),"알 하우즈")</f>
        <v>알 하우즈</v>
      </c>
      <c r="J3193" s="9" t="str">
        <f>IFERROR(__xludf.DUMMYFUNCTION("GOOGLETRANSLATE($A3193,""en"",""pt-BR"")"),"Al Haouz")</f>
        <v>Al Haouz</v>
      </c>
    </row>
    <row r="3194">
      <c r="A3194" s="9" t="str">
        <f>IFERROR(__xludf.DUMMYFUNCTION("""COMPUTED_VALUE"""),"Ouarzazate")</f>
        <v>Ouarzazate</v>
      </c>
      <c r="B3194" s="9" t="str">
        <f>IFERROR(__xludf.DUMMYFUNCTION("""COMPUTED_VALUE"""),"ma-oua")</f>
        <v>ma-oua</v>
      </c>
      <c r="C3194" s="9" t="str">
        <f>IFERROR(__xludf.DUMMYFUNCTION("GOOGLETRANSLATE($A3194,""en"",""de"")"),"Ouarzazate")</f>
        <v>Ouarzazate</v>
      </c>
      <c r="D3194" s="9" t="str">
        <f>IFERROR(__xludf.DUMMYFUNCTION("GOOGLETRANSLATE($A3194,""en"",""fr"")"),"Ouarzazate")</f>
        <v>Ouarzazate</v>
      </c>
      <c r="E3194" s="9" t="str">
        <f>IFERROR(__xludf.DUMMYFUNCTION("GOOGLETRANSLATE($A3194,""en"",""es"")"),"Uarzazat")</f>
        <v>Uarzazat</v>
      </c>
      <c r="F3194" s="9" t="str">
        <f>IFERROR(__xludf.DUMMYFUNCTION("GOOGLETRANSLATE($A3194,""en"",""it"")"),"Ouarzazate")</f>
        <v>Ouarzazate</v>
      </c>
      <c r="G3194" s="9" t="str">
        <f>IFERROR(__xludf.DUMMYFUNCTION("GOOGLETRANSLATE($A3194,""en"",""zh-cn"")"),"瓦尔扎扎特")</f>
        <v>瓦尔扎扎特</v>
      </c>
      <c r="H3194" s="9" t="str">
        <f>IFERROR(__xludf.DUMMYFUNCTION("GOOGLETRANSLATE($A3194,""en"",""ja"")"),"ワルザザート")</f>
        <v>ワルザザート</v>
      </c>
      <c r="I3194" s="9" t="str">
        <f>IFERROR(__xludf.DUMMYFUNCTION("GOOGLETRANSLATE($A3194,""en"",""ko"")"),"와르자자트")</f>
        <v>와르자자트</v>
      </c>
      <c r="J3194" s="9" t="str">
        <f>IFERROR(__xludf.DUMMYFUNCTION("GOOGLETRANSLATE($A3194,""en"",""pt-BR"")"),"Ouarzazate")</f>
        <v>Ouarzazate</v>
      </c>
    </row>
    <row r="3195">
      <c r="A3195" s="9" t="str">
        <f>IFERROR(__xludf.DUMMYFUNCTION("""COMPUTED_VALUE"""),"Casablanca-Settat")</f>
        <v>Casablanca-Settat</v>
      </c>
      <c r="B3195" s="9" t="str">
        <f>IFERROR(__xludf.DUMMYFUNCTION("""COMPUTED_VALUE"""),"ma-06")</f>
        <v>ma-06</v>
      </c>
      <c r="C3195" s="9" t="str">
        <f>IFERROR(__xludf.DUMMYFUNCTION("GOOGLETRANSLATE($A3195,""en"",""de"")"),"Casablanca-Settat")</f>
        <v>Casablanca-Settat</v>
      </c>
      <c r="D3195" s="9" t="str">
        <f>IFERROR(__xludf.DUMMYFUNCTION("GOOGLETRANSLATE($A3195,""en"",""fr"")"),"Casablanca-Settat")</f>
        <v>Casablanca-Settat</v>
      </c>
      <c r="E3195" s="9" t="str">
        <f>IFERROR(__xludf.DUMMYFUNCTION("GOOGLETRANSLATE($A3195,""en"",""es"")"),"Casablanca-Settat")</f>
        <v>Casablanca-Settat</v>
      </c>
      <c r="F3195" s="9" t="str">
        <f>IFERROR(__xludf.DUMMYFUNCTION("GOOGLETRANSLATE($A3195,""en"",""it"")"),"Casablanca-Settat")</f>
        <v>Casablanca-Settat</v>
      </c>
      <c r="G3195" s="9" t="str">
        <f>IFERROR(__xludf.DUMMYFUNCTION("GOOGLETRANSLATE($A3195,""en"",""zh-cn"")"),"卡萨布兰卡塞塔特")</f>
        <v>卡萨布兰卡塞塔特</v>
      </c>
      <c r="H3195" s="9" t="str">
        <f>IFERROR(__xludf.DUMMYFUNCTION("GOOGLETRANSLATE($A3195,""en"",""ja"")"),"カサブランカ-セタット")</f>
        <v>カサブランカ-セタット</v>
      </c>
      <c r="I3195" s="9" t="str">
        <f>IFERROR(__xludf.DUMMYFUNCTION("GOOGLETRANSLATE($A3195,""en"",""ko"")"),"카사블랑카-세타트")</f>
        <v>카사블랑카-세타트</v>
      </c>
      <c r="J3195" s="9" t="str">
        <f>IFERROR(__xludf.DUMMYFUNCTION("GOOGLETRANSLATE($A3195,""en"",""pt-BR"")"),"Casablanca-Settat")</f>
        <v>Casablanca-Settat</v>
      </c>
    </row>
    <row r="3196">
      <c r="A3196" s="9" t="str">
        <f>IFERROR(__xludf.DUMMYFUNCTION("""COMPUTED_VALUE"""),"Sidi Ifni")</f>
        <v>Sidi Ifni</v>
      </c>
      <c r="B3196" s="9" t="str">
        <f>IFERROR(__xludf.DUMMYFUNCTION("""COMPUTED_VALUE"""),"ma-sif")</f>
        <v>ma-sif</v>
      </c>
      <c r="C3196" s="9" t="str">
        <f>IFERROR(__xludf.DUMMYFUNCTION("GOOGLETRANSLATE($A3196,""en"",""de"")"),"Sidi Ifni")</f>
        <v>Sidi Ifni</v>
      </c>
      <c r="D3196" s="9" t="str">
        <f>IFERROR(__xludf.DUMMYFUNCTION("GOOGLETRANSLATE($A3196,""en"",""fr"")"),"Sidi Ifni")</f>
        <v>Sidi Ifni</v>
      </c>
      <c r="E3196" s="9" t="str">
        <f>IFERROR(__xludf.DUMMYFUNCTION("GOOGLETRANSLATE($A3196,""en"",""es"")"),"Sidi Ifni")</f>
        <v>Sidi Ifni</v>
      </c>
      <c r="F3196" s="9" t="str">
        <f>IFERROR(__xludf.DUMMYFUNCTION("GOOGLETRANSLATE($A3196,""en"",""it"")"),"Sidi Ifni")</f>
        <v>Sidi Ifni</v>
      </c>
      <c r="G3196" s="9" t="str">
        <f>IFERROR(__xludf.DUMMYFUNCTION("GOOGLETRANSLATE($A3196,""en"",""zh-cn"")"),"西迪·伊夫尼")</f>
        <v>西迪·伊夫尼</v>
      </c>
      <c r="H3196" s="9" t="str">
        <f>IFERROR(__xludf.DUMMYFUNCTION("GOOGLETRANSLATE($A3196,""en"",""ja"")"),"シディ・イフニ")</f>
        <v>シディ・イフニ</v>
      </c>
      <c r="I3196" s="9" t="str">
        <f>IFERROR(__xludf.DUMMYFUNCTION("GOOGLETRANSLATE($A3196,""en"",""ko"")"),"시디 이프니")</f>
        <v>시디 이프니</v>
      </c>
      <c r="J3196" s="9" t="str">
        <f>IFERROR(__xludf.DUMMYFUNCTION("GOOGLETRANSLATE($A3196,""en"",""pt-BR"")"),"Sidi Ifni")</f>
        <v>Sidi Ifni</v>
      </c>
    </row>
    <row r="3197">
      <c r="A3197" s="9" t="str">
        <f>IFERROR(__xludf.DUMMYFUNCTION("""COMPUTED_VALUE"""),"Sidi Bennour")</f>
        <v>Sidi Bennour</v>
      </c>
      <c r="B3197" s="9" t="str">
        <f>IFERROR(__xludf.DUMMYFUNCTION("""COMPUTED_VALUE"""),"ma-sib")</f>
        <v>ma-sib</v>
      </c>
      <c r="C3197" s="9" t="str">
        <f>IFERROR(__xludf.DUMMYFUNCTION("GOOGLETRANSLATE($A3197,""en"",""de"")"),"Sidi Bennour")</f>
        <v>Sidi Bennour</v>
      </c>
      <c r="D3197" s="9" t="str">
        <f>IFERROR(__xludf.DUMMYFUNCTION("GOOGLETRANSLATE($A3197,""en"",""fr"")"),"Sidi Bennour")</f>
        <v>Sidi Bennour</v>
      </c>
      <c r="E3197" s="9" t="str">
        <f>IFERROR(__xludf.DUMMYFUNCTION("GOOGLETRANSLATE($A3197,""en"",""es"")"),"Sidi Bennour")</f>
        <v>Sidi Bennour</v>
      </c>
      <c r="F3197" s="9" t="str">
        <f>IFERROR(__xludf.DUMMYFUNCTION("GOOGLETRANSLATE($A3197,""en"",""it"")"),"Sidi Bennour")</f>
        <v>Sidi Bennour</v>
      </c>
      <c r="G3197" s="9" t="str">
        <f>IFERROR(__xludf.DUMMYFUNCTION("GOOGLETRANSLATE($A3197,""en"",""zh-cn"")"),"西迪·本努尔")</f>
        <v>西迪·本努尔</v>
      </c>
      <c r="H3197" s="9" t="str">
        <f>IFERROR(__xludf.DUMMYFUNCTION("GOOGLETRANSLATE($A3197,""en"",""ja"")"),"シディ・ベヌール")</f>
        <v>シディ・ベヌール</v>
      </c>
      <c r="I3197" s="9" t="str">
        <f>IFERROR(__xludf.DUMMYFUNCTION("GOOGLETRANSLATE($A3197,""en"",""ko"")"),"시디 베누르")</f>
        <v>시디 베누르</v>
      </c>
      <c r="J3197" s="9" t="str">
        <f>IFERROR(__xludf.DUMMYFUNCTION("GOOGLETRANSLATE($A3197,""en"",""pt-BR"")"),"Sidi Bennour")</f>
        <v>Sidi Bennour</v>
      </c>
    </row>
    <row r="3198">
      <c r="A3198" s="9" t="str">
        <f>IFERROR(__xludf.DUMMYFUNCTION("""COMPUTED_VALUE"""),"Sidi Slimane")</f>
        <v>Sidi Slimane</v>
      </c>
      <c r="B3198" s="9" t="str">
        <f>IFERROR(__xludf.DUMMYFUNCTION("""COMPUTED_VALUE"""),"ma-sil")</f>
        <v>ma-sil</v>
      </c>
      <c r="C3198" s="9" t="str">
        <f>IFERROR(__xludf.DUMMYFUNCTION("GOOGLETRANSLATE($A3198,""en"",""de"")"),"Sidi Slimane")</f>
        <v>Sidi Slimane</v>
      </c>
      <c r="D3198" s="9" t="str">
        <f>IFERROR(__xludf.DUMMYFUNCTION("GOOGLETRANSLATE($A3198,""en"",""fr"")"),"Sidi Slimane")</f>
        <v>Sidi Slimane</v>
      </c>
      <c r="E3198" s="9" t="str">
        <f>IFERROR(__xludf.DUMMYFUNCTION("GOOGLETRANSLATE($A3198,""en"",""es"")"),"Sidi Slimane")</f>
        <v>Sidi Slimane</v>
      </c>
      <c r="F3198" s="9" t="str">
        <f>IFERROR(__xludf.DUMMYFUNCTION("GOOGLETRANSLATE($A3198,""en"",""it"")"),"Sidi Slimane")</f>
        <v>Sidi Slimane</v>
      </c>
      <c r="G3198" s="9" t="str">
        <f>IFERROR(__xludf.DUMMYFUNCTION("GOOGLETRANSLATE($A3198,""en"",""zh-cn"")"),"西迪·斯里曼")</f>
        <v>西迪·斯里曼</v>
      </c>
      <c r="H3198" s="9" t="str">
        <f>IFERROR(__xludf.DUMMYFUNCTION("GOOGLETRANSLATE($A3198,""en"",""ja"")"),"シディ・スリマン")</f>
        <v>シディ・スリマン</v>
      </c>
      <c r="I3198" s="9" t="str">
        <f>IFERROR(__xludf.DUMMYFUNCTION("GOOGLETRANSLATE($A3198,""en"",""ko"")"),"시디 슬리먼")</f>
        <v>시디 슬리먼</v>
      </c>
      <c r="J3198" s="9" t="str">
        <f>IFERROR(__xludf.DUMMYFUNCTION("GOOGLETRANSLATE($A3198,""en"",""pt-BR"")"),"Sidi Slimane")</f>
        <v>Sidi Slimane</v>
      </c>
    </row>
    <row r="3199">
      <c r="A3199" s="9" t="str">
        <f>IFERROR(__xludf.DUMMYFUNCTION("""COMPUTED_VALUE"""),"M’diq-Fnideq")</f>
        <v>M’diq-Fnideq</v>
      </c>
      <c r="B3199" s="9" t="str">
        <f>IFERROR(__xludf.DUMMYFUNCTION("""COMPUTED_VALUE"""),"ma-mdf")</f>
        <v>ma-mdf</v>
      </c>
      <c r="C3199" s="9" t="str">
        <f>IFERROR(__xludf.DUMMYFUNCTION("GOOGLETRANSLATE($A3199,""en"",""de"")"),"M’diq-Fnideq")</f>
        <v>M’diq-Fnideq</v>
      </c>
      <c r="D3199" s="9" t="str">
        <f>IFERROR(__xludf.DUMMYFUNCTION("GOOGLETRANSLATE($A3199,""en"",""fr"")"),"M'diq-Fnideq")</f>
        <v>M'diq-Fnideq</v>
      </c>
      <c r="E3199" s="9" t="str">
        <f>IFERROR(__xludf.DUMMYFUNCTION("GOOGLETRANSLATE($A3199,""en"",""es"")"),"M'diq-Fnideq")</f>
        <v>M'diq-Fnideq</v>
      </c>
      <c r="F3199" s="9" t="str">
        <f>IFERROR(__xludf.DUMMYFUNCTION("GOOGLETRANSLATE($A3199,""en"",""it"")"),"M’diq-Fnideq")</f>
        <v>M’diq-Fnideq</v>
      </c>
      <c r="G3199" s="9" t="str">
        <f>IFERROR(__xludf.DUMMYFUNCTION("GOOGLETRANSLATE($A3199,""en"",""zh-cn"")"),"米迪克-弗尼迪克")</f>
        <v>米迪克-弗尼迪克</v>
      </c>
      <c r="H3199" s="9" t="str">
        <f>IFERROR(__xludf.DUMMYFUNCTION("GOOGLETRANSLATE($A3199,""en"",""ja"")"),"メディク・フニデク")</f>
        <v>メディク・フニデク</v>
      </c>
      <c r="I3199" s="9" t="str">
        <f>IFERROR(__xludf.DUMMYFUNCTION("GOOGLETRANSLATE($A3199,""en"",""ko"")"),"음디크-프니데크")</f>
        <v>음디크-프니데크</v>
      </c>
      <c r="J3199" s="9" t="str">
        <f>IFERROR(__xludf.DUMMYFUNCTION("GOOGLETRANSLATE($A3199,""en"",""pt-BR"")"),"M'diq-Fnideq")</f>
        <v>M'diq-Fnideq</v>
      </c>
    </row>
    <row r="3200">
      <c r="A3200" s="9" t="str">
        <f>IFERROR(__xludf.DUMMYFUNCTION("""COMPUTED_VALUE"""),"Rehamna")</f>
        <v>Rehamna</v>
      </c>
      <c r="B3200" s="9" t="str">
        <f>IFERROR(__xludf.DUMMYFUNCTION("""COMPUTED_VALUE"""),"ma-reh")</f>
        <v>ma-reh</v>
      </c>
      <c r="C3200" s="9" t="str">
        <f>IFERROR(__xludf.DUMMYFUNCTION("GOOGLETRANSLATE($A3200,""en"",""de"")"),"Rehamna")</f>
        <v>Rehamna</v>
      </c>
      <c r="D3200" s="9" t="str">
        <f>IFERROR(__xludf.DUMMYFUNCTION("GOOGLETRANSLATE($A3200,""en"",""fr"")"),"Réhamna")</f>
        <v>Réhamna</v>
      </c>
      <c r="E3200" s="9" t="str">
        <f>IFERROR(__xludf.DUMMYFUNCTION("GOOGLETRANSLATE($A3200,""en"",""es"")"),"Rehamna")</f>
        <v>Rehamna</v>
      </c>
      <c r="F3200" s="9" t="str">
        <f>IFERROR(__xludf.DUMMYFUNCTION("GOOGLETRANSLATE($A3200,""en"",""it"")"),"Rehamna")</f>
        <v>Rehamna</v>
      </c>
      <c r="G3200" s="9" t="str">
        <f>IFERROR(__xludf.DUMMYFUNCTION("GOOGLETRANSLATE($A3200,""en"",""zh-cn"")"),"雷哈姆纳")</f>
        <v>雷哈姆纳</v>
      </c>
      <c r="H3200" s="9" t="str">
        <f>IFERROR(__xludf.DUMMYFUNCTION("GOOGLETRANSLATE($A3200,""en"",""ja"")"),"レハムナ")</f>
        <v>レハムナ</v>
      </c>
      <c r="I3200" s="9" t="str">
        <f>IFERROR(__xludf.DUMMYFUNCTION("GOOGLETRANSLATE($A3200,""en"",""ko"")"),"레함나")</f>
        <v>레함나</v>
      </c>
      <c r="J3200" s="9" t="str">
        <f>IFERROR(__xludf.DUMMYFUNCTION("GOOGLETRANSLATE($A3200,""en"",""pt-BR"")"),"Rehamna")</f>
        <v>Rehamna</v>
      </c>
    </row>
    <row r="3201">
      <c r="A3201" s="9" t="str">
        <f>IFERROR(__xludf.DUMMYFUNCTION("""COMPUTED_VALUE"""),"Ouezzane")</f>
        <v>Ouezzane</v>
      </c>
      <c r="B3201" s="9" t="str">
        <f>IFERROR(__xludf.DUMMYFUNCTION("""COMPUTED_VALUE"""),"ma-ouz")</f>
        <v>ma-ouz</v>
      </c>
      <c r="C3201" s="9" t="str">
        <f>IFERROR(__xludf.DUMMYFUNCTION("GOOGLETRANSLATE($A3201,""en"",""de"")"),"Ouezzane")</f>
        <v>Ouezzane</v>
      </c>
      <c r="D3201" s="9" t="str">
        <f>IFERROR(__xludf.DUMMYFUNCTION("GOOGLETRANSLATE($A3201,""en"",""fr"")"),"Ouezzane")</f>
        <v>Ouezzane</v>
      </c>
      <c r="E3201" s="9" t="str">
        <f>IFERROR(__xludf.DUMMYFUNCTION("GOOGLETRANSLATE($A3201,""en"",""es"")"),"Uezane")</f>
        <v>Uezane</v>
      </c>
      <c r="F3201" s="9" t="str">
        <f>IFERROR(__xludf.DUMMYFUNCTION("GOOGLETRANSLATE($A3201,""en"",""it"")"),"Ouezzane")</f>
        <v>Ouezzane</v>
      </c>
      <c r="G3201" s="9" t="str">
        <f>IFERROR(__xludf.DUMMYFUNCTION("GOOGLETRANSLATE($A3201,""en"",""zh-cn"")"),"韦扎内")</f>
        <v>韦扎内</v>
      </c>
      <c r="H3201" s="9" t="str">
        <f>IFERROR(__xludf.DUMMYFUNCTION("GOOGLETRANSLATE($A3201,""en"",""ja"")"),"ウエザヌ")</f>
        <v>ウエザヌ</v>
      </c>
      <c r="I3201" s="9" t="str">
        <f>IFERROR(__xludf.DUMMYFUNCTION("GOOGLETRANSLATE($A3201,""en"",""ko"")"),"우에잔")</f>
        <v>우에잔</v>
      </c>
      <c r="J3201" s="9" t="str">
        <f>IFERROR(__xludf.DUMMYFUNCTION("GOOGLETRANSLATE($A3201,""en"",""pt-BR"")"),"Ouezzane")</f>
        <v>Ouezzane</v>
      </c>
    </row>
    <row r="3202">
      <c r="A3202" s="9" t="str">
        <f>IFERROR(__xludf.DUMMYFUNCTION("""COMPUTED_VALUE"""),"Laâyoune-Boujdour-Sakia el Hamra")</f>
        <v>Laâyoune-Boujdour-Sakia el Hamra</v>
      </c>
      <c r="B3202" s="9" t="str">
        <f>IFERROR(__xludf.DUMMYFUNCTION("""COMPUTED_VALUE"""),"ma-15")</f>
        <v>ma-15</v>
      </c>
      <c r="C3202" s="9" t="str">
        <f>IFERROR(__xludf.DUMMYFUNCTION("GOOGLETRANSLATE($A3202,""en"",""de"")"),"Laâyoune-Boujdour-Sakia el Hamra")</f>
        <v>Laâyoune-Boujdour-Sakia el Hamra</v>
      </c>
      <c r="D3202" s="9" t="str">
        <f>IFERROR(__xludf.DUMMYFUNCTION("GOOGLETRANSLATE($A3202,""en"",""fr"")"),"Laâyoune-Boujdour-Sakia el Hamra")</f>
        <v>Laâyoune-Boujdour-Sakia el Hamra</v>
      </c>
      <c r="E3202" s="9" t="str">
        <f>IFERROR(__xludf.DUMMYFUNCTION("GOOGLETRANSLATE($A3202,""en"",""es"")"),"El Aaiún-Bojador-Saguia el Hamra")</f>
        <v>El Aaiún-Bojador-Saguia el Hamra</v>
      </c>
      <c r="F3202" s="9" t="str">
        <f>IFERROR(__xludf.DUMMYFUNCTION("GOOGLETRANSLATE($A3202,""en"",""it"")"),"Laâyoune-Boujdour-Sakia el Hamra")</f>
        <v>Laâyoune-Boujdour-Sakia el Hamra</v>
      </c>
      <c r="G3202" s="9" t="str">
        <f>IFERROR(__xludf.DUMMYFUNCTION("GOOGLETRANSLATE($A3202,""en"",""zh-cn"")"),"阿尤恩-布支杜尔-萨基亚·哈姆拉")</f>
        <v>阿尤恩-布支杜尔-萨基亚·哈姆拉</v>
      </c>
      <c r="H3202" s="9" t="str">
        <f>IFERROR(__xludf.DUMMYFUNCTION("GOOGLETRANSLATE($A3202,""en"",""ja"")"),"ラユーヌ・ブジュドゥール・サキア・エル・ハムラ")</f>
        <v>ラユーヌ・ブジュドゥール・サキア・エル・ハムラ</v>
      </c>
      <c r="I3202" s="9" t="str">
        <f>IFERROR(__xludf.DUMMYFUNCTION("GOOGLETRANSLATE($A3202,""en"",""ko"")"),"라윤-부즈두르-사키아 엘 함라")</f>
        <v>라윤-부즈두르-사키아 엘 함라</v>
      </c>
      <c r="J3202" s="9" t="str">
        <f>IFERROR(__xludf.DUMMYFUNCTION("GOOGLETRANSLATE($A3202,""en"",""pt-BR"")"),"Laâyoune-Bojador-Sakia el Hamra")</f>
        <v>Laâyoune-Bojador-Sakia el Hamra</v>
      </c>
    </row>
    <row r="3203">
      <c r="A3203" s="9" t="str">
        <f>IFERROR(__xludf.DUMMYFUNCTION("""COMPUTED_VALUE"""),"Berkane")</f>
        <v>Berkane</v>
      </c>
      <c r="B3203" s="9" t="str">
        <f>IFERROR(__xludf.DUMMYFUNCTION("""COMPUTED_VALUE"""),"ma-ber")</f>
        <v>ma-ber</v>
      </c>
      <c r="C3203" s="9" t="str">
        <f>IFERROR(__xludf.DUMMYFUNCTION("GOOGLETRANSLATE($A3203,""en"",""de"")"),"Berkane")</f>
        <v>Berkane</v>
      </c>
      <c r="D3203" s="9" t="str">
        <f>IFERROR(__xludf.DUMMYFUNCTION("GOOGLETRANSLATE($A3203,""en"",""fr"")"),"Berkane")</f>
        <v>Berkane</v>
      </c>
      <c r="E3203" s="9" t="str">
        <f>IFERROR(__xludf.DUMMYFUNCTION("GOOGLETRANSLATE($A3203,""en"",""es"")"),"Berkan")</f>
        <v>Berkan</v>
      </c>
      <c r="F3203" s="9" t="str">
        <f>IFERROR(__xludf.DUMMYFUNCTION("GOOGLETRANSLATE($A3203,""en"",""it"")"),"Berkane")</f>
        <v>Berkane</v>
      </c>
      <c r="G3203" s="9" t="str">
        <f>IFERROR(__xludf.DUMMYFUNCTION("GOOGLETRANSLATE($A3203,""en"",""zh-cn"")"),"贝尔坎")</f>
        <v>贝尔坎</v>
      </c>
      <c r="H3203" s="9" t="str">
        <f>IFERROR(__xludf.DUMMYFUNCTION("GOOGLETRANSLATE($A3203,""en"",""ja"")"),"ベルカンヌ")</f>
        <v>ベルカンヌ</v>
      </c>
      <c r="I3203" s="9" t="str">
        <f>IFERROR(__xludf.DUMMYFUNCTION("GOOGLETRANSLATE($A3203,""en"",""ko"")"),"베르카네")</f>
        <v>베르카네</v>
      </c>
      <c r="J3203" s="9" t="str">
        <f>IFERROR(__xludf.DUMMYFUNCTION("GOOGLETRANSLATE($A3203,""en"",""pt-BR"")"),"Berkane")</f>
        <v>Berkane</v>
      </c>
    </row>
    <row r="3204">
      <c r="A3204" s="9" t="str">
        <f>IFERROR(__xludf.DUMMYFUNCTION("""COMPUTED_VALUE"""),"El Kelâa des Sraghna")</f>
        <v>El Kelâa des Sraghna</v>
      </c>
      <c r="B3204" s="9" t="str">
        <f>IFERROR(__xludf.DUMMYFUNCTION("""COMPUTED_VALUE"""),"ma-kes")</f>
        <v>ma-kes</v>
      </c>
      <c r="C3204" s="9" t="str">
        <f>IFERROR(__xludf.DUMMYFUNCTION("GOOGLETRANSLATE($A3204,""en"",""de"")"),"El Kelâa des Sraghna")</f>
        <v>El Kelâa des Sraghna</v>
      </c>
      <c r="D3204" s="9" t="str">
        <f>IFERROR(__xludf.DUMMYFUNCTION("GOOGLETRANSLATE($A3204,""en"",""fr"")"),"El Kelâa des Sraghna")</f>
        <v>El Kelâa des Sraghna</v>
      </c>
      <c r="E3204" s="9" t="str">
        <f>IFERROR(__xludf.DUMMYFUNCTION("GOOGLETRANSLATE($A3204,""en"",""es"")"),"El Kelaa des Sraghna")</f>
        <v>El Kelaa des Sraghna</v>
      </c>
      <c r="F3204" s="9" t="str">
        <f>IFERROR(__xludf.DUMMYFUNCTION("GOOGLETRANSLATE($A3204,""en"",""it"")"),"El Kelâa des Sraghna")</f>
        <v>El Kelâa des Sraghna</v>
      </c>
      <c r="G3204" s="9" t="str">
        <f>IFERROR(__xludf.DUMMYFUNCTION("GOOGLETRANSLATE($A3204,""en"",""zh-cn"")"),"埃尔卡拉·德·斯拉格纳")</f>
        <v>埃尔卡拉·德·斯拉格纳</v>
      </c>
      <c r="H3204" s="9" t="str">
        <f>IFERROR(__xludf.DUMMYFUNCTION("GOOGLETRANSLATE($A3204,""en"",""ja"")"),"エル ケラア デス スラグナ")</f>
        <v>エル ケラア デス スラグナ</v>
      </c>
      <c r="I3204" s="9" t="str">
        <f>IFERROR(__xludf.DUMMYFUNCTION("GOOGLETRANSLATE($A3204,""en"",""ko"")"),"엘 켈라 데 스라그나")</f>
        <v>엘 켈라 데 스라그나</v>
      </c>
      <c r="J3204" s="9" t="str">
        <f>IFERROR(__xludf.DUMMYFUNCTION("GOOGLETRANSLATE($A3204,""en"",""pt-BR"")"),"El Kelâa des Sraghna")</f>
        <v>El Kelâa des Sraghna</v>
      </c>
    </row>
    <row r="3205">
      <c r="A3205" s="9" t="str">
        <f>IFERROR(__xludf.DUMMYFUNCTION("""COMPUTED_VALUE"""),"Rabat-Salé-Kénitra")</f>
        <v>Rabat-Salé-Kénitra</v>
      </c>
      <c r="B3205" s="9" t="str">
        <f>IFERROR(__xludf.DUMMYFUNCTION("""COMPUTED_VALUE"""),"ma-04")</f>
        <v>ma-04</v>
      </c>
      <c r="C3205" s="9" t="str">
        <f>IFERROR(__xludf.DUMMYFUNCTION("GOOGLETRANSLATE($A3205,""en"",""de"")"),"Rabat-Salé-Kénitra")</f>
        <v>Rabat-Salé-Kénitra</v>
      </c>
      <c r="D3205" s="9" t="str">
        <f>IFERROR(__xludf.DUMMYFUNCTION("GOOGLETRANSLATE($A3205,""en"",""fr"")"),"Rabat-Salé-Kénitra")</f>
        <v>Rabat-Salé-Kénitra</v>
      </c>
      <c r="E3205" s="9" t="str">
        <f>IFERROR(__xludf.DUMMYFUNCTION("GOOGLETRANSLATE($A3205,""en"",""es"")"),"Rabat-Salé-Kénitra")</f>
        <v>Rabat-Salé-Kénitra</v>
      </c>
      <c r="F3205" s="9" t="str">
        <f>IFERROR(__xludf.DUMMYFUNCTION("GOOGLETRANSLATE($A3205,""en"",""it"")"),"Rabat-Salé-Kénitra")</f>
        <v>Rabat-Salé-Kénitra</v>
      </c>
      <c r="G3205" s="9" t="str">
        <f>IFERROR(__xludf.DUMMYFUNCTION("GOOGLETRANSLATE($A3205,""en"",""zh-cn"")"),"拉巴特-萨雷-凯尼特拉")</f>
        <v>拉巴特-萨雷-凯尼特拉</v>
      </c>
      <c r="H3205" s="9" t="str">
        <f>IFERROR(__xludf.DUMMYFUNCTION("GOOGLETRANSLATE($A3205,""en"",""ja"")"),"ラバト・サレ・ケニトラ")</f>
        <v>ラバト・サレ・ケニトラ</v>
      </c>
      <c r="I3205" s="9" t="str">
        <f>IFERROR(__xludf.DUMMYFUNCTION("GOOGLETRANSLATE($A3205,""en"",""ko"")"),"라바트-살레-케니트라")</f>
        <v>라바트-살레-케니트라</v>
      </c>
      <c r="J3205" s="9" t="str">
        <f>IFERROR(__xludf.DUMMYFUNCTION("GOOGLETRANSLATE($A3205,""en"",""pt-BR"")"),"Rabat-Salé-Kénitra")</f>
        <v>Rabat-Salé-Kénitra</v>
      </c>
    </row>
    <row r="3206">
      <c r="A3206" s="9" t="str">
        <f>IFERROR(__xludf.DUMMYFUNCTION("""COMPUTED_VALUE"""),"Ifrane")</f>
        <v>Ifrane</v>
      </c>
      <c r="B3206" s="9" t="str">
        <f>IFERROR(__xludf.DUMMYFUNCTION("""COMPUTED_VALUE"""),"ma-ifr")</f>
        <v>ma-ifr</v>
      </c>
      <c r="C3206" s="9" t="str">
        <f>IFERROR(__xludf.DUMMYFUNCTION("GOOGLETRANSLATE($A3206,""en"",""de"")"),"Ifrane")</f>
        <v>Ifrane</v>
      </c>
      <c r="D3206" s="9" t="str">
        <f>IFERROR(__xludf.DUMMYFUNCTION("GOOGLETRANSLATE($A3206,""en"",""fr"")"),"Ifrane")</f>
        <v>Ifrane</v>
      </c>
      <c r="E3206" s="9" t="str">
        <f>IFERROR(__xludf.DUMMYFUNCTION("GOOGLETRANSLATE($A3206,""en"",""es"")"),"Ifrane")</f>
        <v>Ifrane</v>
      </c>
      <c r="F3206" s="9" t="str">
        <f>IFERROR(__xludf.DUMMYFUNCTION("GOOGLETRANSLATE($A3206,""en"",""it"")"),"Ifrane")</f>
        <v>Ifrane</v>
      </c>
      <c r="G3206" s="9" t="str">
        <f>IFERROR(__xludf.DUMMYFUNCTION("GOOGLETRANSLATE($A3206,""en"",""zh-cn"")"),"伊夫兰")</f>
        <v>伊夫兰</v>
      </c>
      <c r="H3206" s="9" t="str">
        <f>IFERROR(__xludf.DUMMYFUNCTION("GOOGLETRANSLATE($A3206,""en"",""ja"")"),"イフレン")</f>
        <v>イフレン</v>
      </c>
      <c r="I3206" s="9" t="str">
        <f>IFERROR(__xludf.DUMMYFUNCTION("GOOGLETRANSLATE($A3206,""en"",""ko"")"),"이프란")</f>
        <v>이프란</v>
      </c>
      <c r="J3206" s="9" t="str">
        <f>IFERROR(__xludf.DUMMYFUNCTION("GOOGLETRANSLATE($A3206,""en"",""pt-BR"")"),"Ifrane")</f>
        <v>Ifrane</v>
      </c>
    </row>
    <row r="3207">
      <c r="A3207" s="9" t="str">
        <f>IFERROR(__xludf.DUMMYFUNCTION("""COMPUTED_VALUE"""),"Rabat")</f>
        <v>Rabat</v>
      </c>
      <c r="B3207" s="9" t="str">
        <f>IFERROR(__xludf.DUMMYFUNCTION("""COMPUTED_VALUE"""),"ma-rab")</f>
        <v>ma-rab</v>
      </c>
      <c r="C3207" s="9" t="str">
        <f>IFERROR(__xludf.DUMMYFUNCTION("GOOGLETRANSLATE($A3207,""en"",""de"")"),"Rabat")</f>
        <v>Rabat</v>
      </c>
      <c r="D3207" s="9" t="str">
        <f>IFERROR(__xludf.DUMMYFUNCTION("GOOGLETRANSLATE($A3207,""en"",""fr"")"),"Rabat")</f>
        <v>Rabat</v>
      </c>
      <c r="E3207" s="9" t="str">
        <f>IFERROR(__xludf.DUMMYFUNCTION("GOOGLETRANSLATE($A3207,""en"",""es"")"),"Rabat")</f>
        <v>Rabat</v>
      </c>
      <c r="F3207" s="9" t="str">
        <f>IFERROR(__xludf.DUMMYFUNCTION("GOOGLETRANSLATE($A3207,""en"",""it"")"),"Rabat")</f>
        <v>Rabat</v>
      </c>
      <c r="G3207" s="9" t="str">
        <f>IFERROR(__xludf.DUMMYFUNCTION("GOOGLETRANSLATE($A3207,""en"",""zh-cn"")"),"拉巴特")</f>
        <v>拉巴特</v>
      </c>
      <c r="H3207" s="9" t="str">
        <f>IFERROR(__xludf.DUMMYFUNCTION("GOOGLETRANSLATE($A3207,""en"",""ja"")"),"ラバト")</f>
        <v>ラバト</v>
      </c>
      <c r="I3207" s="9" t="str">
        <f>IFERROR(__xludf.DUMMYFUNCTION("GOOGLETRANSLATE($A3207,""en"",""ko"")"),"라바트")</f>
        <v>라바트</v>
      </c>
      <c r="J3207" s="9" t="str">
        <f>IFERROR(__xludf.DUMMYFUNCTION("GOOGLETRANSLATE($A3207,""en"",""pt-BR"")"),"Rabate")</f>
        <v>Rabate</v>
      </c>
    </row>
    <row r="3208">
      <c r="A3208" s="9" t="str">
        <f>IFERROR(__xludf.DUMMYFUNCTION("""COMPUTED_VALUE"""),"Skhirate-Témara")</f>
        <v>Skhirate-Témara</v>
      </c>
      <c r="B3208" s="9" t="str">
        <f>IFERROR(__xludf.DUMMYFUNCTION("""COMPUTED_VALUE"""),"ma-skh")</f>
        <v>ma-skh</v>
      </c>
      <c r="C3208" s="9" t="str">
        <f>IFERROR(__xludf.DUMMYFUNCTION("GOOGLETRANSLATE($A3208,""en"",""de"")"),"Skhirate-Témara")</f>
        <v>Skhirate-Témara</v>
      </c>
      <c r="D3208" s="9" t="str">
        <f>IFERROR(__xludf.DUMMYFUNCTION("GOOGLETRANSLATE($A3208,""en"",""fr"")"),"Skhirate-Témara")</f>
        <v>Skhirate-Témara</v>
      </c>
      <c r="E3208" s="9" t="str">
        <f>IFERROR(__xludf.DUMMYFUNCTION("GOOGLETRANSLATE($A3208,""en"",""es"")"),"Sjirate-Temara")</f>
        <v>Sjirate-Temara</v>
      </c>
      <c r="F3208" s="9" t="str">
        <f>IFERROR(__xludf.DUMMYFUNCTION("GOOGLETRANSLATE($A3208,""en"",""it"")"),"Skhirate-Temara")</f>
        <v>Skhirate-Temara</v>
      </c>
      <c r="G3208" s="9" t="str">
        <f>IFERROR(__xludf.DUMMYFUNCTION("GOOGLETRANSLATE($A3208,""en"",""zh-cn"")"),"斯基拉特-特马拉")</f>
        <v>斯基拉特-特马拉</v>
      </c>
      <c r="H3208" s="9" t="str">
        <f>IFERROR(__xludf.DUMMYFUNCTION("GOOGLETRANSLATE($A3208,""en"",""ja"")"),"スキラテ・テマラ")</f>
        <v>スキラテ・テマラ</v>
      </c>
      <c r="I3208" s="9" t="str">
        <f>IFERROR(__xludf.DUMMYFUNCTION("GOOGLETRANSLATE($A3208,""en"",""ko"")"),"스키라테-테마라")</f>
        <v>스키라테-테마라</v>
      </c>
      <c r="J3208" s="9" t="str">
        <f>IFERROR(__xludf.DUMMYFUNCTION("GOOGLETRANSLATE($A3208,""en"",""pt-BR"")"),"Skhirat-Témara")</f>
        <v>Skhirat-Témara</v>
      </c>
    </row>
    <row r="3209">
      <c r="A3209" s="9" t="str">
        <f>IFERROR(__xludf.DUMMYFUNCTION("""COMPUTED_VALUE"""),"Oued ed Dahab-Lagouira")</f>
        <v>Oued ed Dahab-Lagouira</v>
      </c>
      <c r="B3209" s="9" t="str">
        <f>IFERROR(__xludf.DUMMYFUNCTION("""COMPUTED_VALUE"""),"ma-16")</f>
        <v>ma-16</v>
      </c>
      <c r="C3209" s="9" t="str">
        <f>IFERROR(__xludf.DUMMYFUNCTION("GOOGLETRANSLATE($A3209,""en"",""de"")"),"Oued ed Dahab-Lagouira")</f>
        <v>Oued ed Dahab-Lagouira</v>
      </c>
      <c r="D3209" s="9" t="str">
        <f>IFERROR(__xludf.DUMMYFUNCTION("GOOGLETRANSLATE($A3209,""en"",""fr"")"),"Oued ed Dahab-Lagouira")</f>
        <v>Oued ed Dahab-Lagouira</v>
      </c>
      <c r="E3209" s="9" t="str">
        <f>IFERROR(__xludf.DUMMYFUNCTION("GOOGLETRANSLATE($A3209,""en"",""es"")"),"Oued ed Dahab-Lagouira")</f>
        <v>Oued ed Dahab-Lagouira</v>
      </c>
      <c r="F3209" s="9" t="str">
        <f>IFERROR(__xludf.DUMMYFUNCTION("GOOGLETRANSLATE($A3209,""en"",""it"")"),"Oued ed Dahab-Lagouira")</f>
        <v>Oued ed Dahab-Lagouira</v>
      </c>
      <c r="G3209" s="9" t="str">
        <f>IFERROR(__xludf.DUMMYFUNCTION("GOOGLETRANSLATE($A3209,""en"",""zh-cn"")"),"瓦埃德达哈布-拉古伊拉")</f>
        <v>瓦埃德达哈布-拉古伊拉</v>
      </c>
      <c r="H3209" s="9" t="str">
        <f>IFERROR(__xludf.DUMMYFUNCTION("GOOGLETRANSLATE($A3209,""en"",""ja"")"),"ウェド エド ダハブ ラグイラ")</f>
        <v>ウェド エド ダハブ ラグイラ</v>
      </c>
      <c r="I3209" s="9" t="str">
        <f>IFERROR(__xludf.DUMMYFUNCTION("GOOGLETRANSLATE($A3209,""en"",""ko"")"),"우에드 다합-라고우이라")</f>
        <v>우에드 다합-라고우이라</v>
      </c>
      <c r="J3209" s="9" t="str">
        <f>IFERROR(__xludf.DUMMYFUNCTION("GOOGLETRANSLATE($A3209,""en"",""pt-BR"")"),"Oued ed Dahab-Lagouira")</f>
        <v>Oued ed Dahab-Lagouira</v>
      </c>
    </row>
    <row r="3210">
      <c r="A3210" s="9" t="str">
        <f>IFERROR(__xludf.DUMMYFUNCTION("""COMPUTED_VALUE"""),"Agadir-Ida-Ou-Tanane")</f>
        <v>Agadir-Ida-Ou-Tanane</v>
      </c>
      <c r="B3210" s="9" t="str">
        <f>IFERROR(__xludf.DUMMYFUNCTION("""COMPUTED_VALUE"""),"ma-agd")</f>
        <v>ma-agd</v>
      </c>
      <c r="C3210" s="9" t="str">
        <f>IFERROR(__xludf.DUMMYFUNCTION("GOOGLETRANSLATE($A3210,""en"",""de"")"),"Agadir-Ida-Ou-Tanane")</f>
        <v>Agadir-Ida-Ou-Tanane</v>
      </c>
      <c r="D3210" s="9" t="str">
        <f>IFERROR(__xludf.DUMMYFUNCTION("GOOGLETRANSLATE($A3210,""en"",""fr"")"),"Agadir-Ida-Ou-Tanane")</f>
        <v>Agadir-Ida-Ou-Tanane</v>
      </c>
      <c r="E3210" s="9" t="str">
        <f>IFERROR(__xludf.DUMMYFUNCTION("GOOGLETRANSLATE($A3210,""en"",""es"")"),"Agadir-Ida-Ou-Tanane")</f>
        <v>Agadir-Ida-Ou-Tanane</v>
      </c>
      <c r="F3210" s="9" t="str">
        <f>IFERROR(__xludf.DUMMYFUNCTION("GOOGLETRANSLATE($A3210,""en"",""it"")"),"Agadir-Ida-Ou-Tanane")</f>
        <v>Agadir-Ida-Ou-Tanane</v>
      </c>
      <c r="G3210" s="9" t="str">
        <f>IFERROR(__xludf.DUMMYFUNCTION("GOOGLETRANSLATE($A3210,""en"",""zh-cn"")"),"阿加迪尔-艾达-乌塔纳内")</f>
        <v>阿加迪尔-艾达-乌塔纳内</v>
      </c>
      <c r="H3210" s="9" t="str">
        <f>IFERROR(__xludf.DUMMYFUNCTION("GOOGLETRANSLATE($A3210,""en"",""ja"")"),"アガディール・イダ・ウー・タネ")</f>
        <v>アガディール・イダ・ウー・タネ</v>
      </c>
      <c r="I3210" s="9" t="str">
        <f>IFERROR(__xludf.DUMMYFUNCTION("GOOGLETRANSLATE($A3210,""en"",""ko"")"),"아가디르-이다-오우-타나네")</f>
        <v>아가디르-이다-오우-타나네</v>
      </c>
      <c r="J3210" s="9" t="str">
        <f>IFERROR(__xludf.DUMMYFUNCTION("GOOGLETRANSLATE($A3210,""en"",""pt-BR"")"),"Agadir-Ida-Ou-Tanane")</f>
        <v>Agadir-Ida-Ou-Tanane</v>
      </c>
    </row>
    <row r="3211">
      <c r="A3211" s="9" t="str">
        <f>IFERROR(__xludf.DUMMYFUNCTION("""COMPUTED_VALUE"""),"Sidi Kacem")</f>
        <v>Sidi Kacem</v>
      </c>
      <c r="B3211" s="9" t="str">
        <f>IFERROR(__xludf.DUMMYFUNCTION("""COMPUTED_VALUE"""),"ma-sik")</f>
        <v>ma-sik</v>
      </c>
      <c r="C3211" s="9" t="str">
        <f>IFERROR(__xludf.DUMMYFUNCTION("GOOGLETRANSLATE($A3211,""en"",""de"")"),"Sidi Kacem")</f>
        <v>Sidi Kacem</v>
      </c>
      <c r="D3211" s="9" t="str">
        <f>IFERROR(__xludf.DUMMYFUNCTION("GOOGLETRANSLATE($A3211,""en"",""fr"")"),"Sidi Kacem")</f>
        <v>Sidi Kacem</v>
      </c>
      <c r="E3211" s="9" t="str">
        <f>IFERROR(__xludf.DUMMYFUNCTION("GOOGLETRANSLATE($A3211,""en"",""es"")"),"Sidi Kacem")</f>
        <v>Sidi Kacem</v>
      </c>
      <c r="F3211" s="9" t="str">
        <f>IFERROR(__xludf.DUMMYFUNCTION("GOOGLETRANSLATE($A3211,""en"",""it"")"),"Sidi Kacem")</f>
        <v>Sidi Kacem</v>
      </c>
      <c r="G3211" s="9" t="str">
        <f>IFERROR(__xludf.DUMMYFUNCTION("GOOGLETRANSLATE($A3211,""en"",""zh-cn"")"),"西迪卡塞姆")</f>
        <v>西迪卡塞姆</v>
      </c>
      <c r="H3211" s="9" t="str">
        <f>IFERROR(__xludf.DUMMYFUNCTION("GOOGLETRANSLATE($A3211,""en"",""ja"")"),"シディ・カセム")</f>
        <v>シディ・カセム</v>
      </c>
      <c r="I3211" s="9" t="str">
        <f>IFERROR(__xludf.DUMMYFUNCTION("GOOGLETRANSLATE($A3211,""en"",""ko"")"),"시디 카젬")</f>
        <v>시디 카젬</v>
      </c>
      <c r="J3211" s="9" t="str">
        <f>IFERROR(__xludf.DUMMYFUNCTION("GOOGLETRANSLATE($A3211,""en"",""pt-BR"")"),"Sidi Kacem")</f>
        <v>Sidi Kacem</v>
      </c>
    </row>
    <row r="3212">
      <c r="A3212" s="9" t="str">
        <f>IFERROR(__xludf.DUMMYFUNCTION("""COMPUTED_VALUE"""),"El Jadida")</f>
        <v>El Jadida</v>
      </c>
      <c r="B3212" s="9" t="str">
        <f>IFERROR(__xludf.DUMMYFUNCTION("""COMPUTED_VALUE"""),"ma-jdi")</f>
        <v>ma-jdi</v>
      </c>
      <c r="C3212" s="9" t="str">
        <f>IFERROR(__xludf.DUMMYFUNCTION("GOOGLETRANSLATE($A3212,""en"",""de"")"),"El Jadida")</f>
        <v>El Jadida</v>
      </c>
      <c r="D3212" s="9" t="str">
        <f>IFERROR(__xludf.DUMMYFUNCTION("GOOGLETRANSLATE($A3212,""en"",""fr"")"),"El-Jadida")</f>
        <v>El-Jadida</v>
      </c>
      <c r="E3212" s="9" t="str">
        <f>IFERROR(__xludf.DUMMYFUNCTION("GOOGLETRANSLATE($A3212,""en"",""es"")"),"El Yadida")</f>
        <v>El Yadida</v>
      </c>
      <c r="F3212" s="9" t="str">
        <f>IFERROR(__xludf.DUMMYFUNCTION("GOOGLETRANSLATE($A3212,""en"",""it"")"),"El Jadida")</f>
        <v>El Jadida</v>
      </c>
      <c r="G3212" s="9" t="str">
        <f>IFERROR(__xludf.DUMMYFUNCTION("GOOGLETRANSLATE($A3212,""en"",""zh-cn"")"),"杰迪代")</f>
        <v>杰迪代</v>
      </c>
      <c r="H3212" s="9" t="str">
        <f>IFERROR(__xludf.DUMMYFUNCTION("GOOGLETRANSLATE($A3212,""en"",""ja"")"),"エル・ジャディーダ")</f>
        <v>エル・ジャディーダ</v>
      </c>
      <c r="I3212" s="9" t="str">
        <f>IFERROR(__xludf.DUMMYFUNCTION("GOOGLETRANSLATE($A3212,""en"",""ko"")"),"엘 자디다")</f>
        <v>엘 자디다</v>
      </c>
      <c r="J3212" s="9" t="str">
        <f>IFERROR(__xludf.DUMMYFUNCTION("GOOGLETRANSLATE($A3212,""en"",""pt-BR"")"),"El Jadida")</f>
        <v>El Jadida</v>
      </c>
    </row>
    <row r="3213">
      <c r="A3213" s="9" t="str">
        <f>IFERROR(__xludf.DUMMYFUNCTION("""COMPUTED_VALUE"""),"Inezgane-Ait Melloul")</f>
        <v>Inezgane-Ait Melloul</v>
      </c>
      <c r="B3213" s="9" t="str">
        <f>IFERROR(__xludf.DUMMYFUNCTION("""COMPUTED_VALUE"""),"ma-ine")</f>
        <v>ma-ine</v>
      </c>
      <c r="C3213" s="9" t="str">
        <f>IFERROR(__xludf.DUMMYFUNCTION("GOOGLETRANSLATE($A3213,""en"",""de"")"),"Inezgane-Ait Melloul")</f>
        <v>Inezgane-Ait Melloul</v>
      </c>
      <c r="D3213" s="9" t="str">
        <f>IFERROR(__xludf.DUMMYFUNCTION("GOOGLETRANSLATE($A3213,""en"",""fr"")"),"Inezgane-Aït Melloul")</f>
        <v>Inezgane-Aït Melloul</v>
      </c>
      <c r="E3213" s="9" t="str">
        <f>IFERROR(__xludf.DUMMYFUNCTION("GOOGLETRANSLATE($A3213,""en"",""es"")"),"Inezgane-Ait Melloul")</f>
        <v>Inezgane-Ait Melloul</v>
      </c>
      <c r="F3213" s="9" t="str">
        <f>IFERROR(__xludf.DUMMYFUNCTION("GOOGLETRANSLATE($A3213,""en"",""it"")"),"Inezgane-Ait Melloul")</f>
        <v>Inezgane-Ait Melloul</v>
      </c>
      <c r="G3213" s="9" t="str">
        <f>IFERROR(__xludf.DUMMYFUNCTION("GOOGLETRANSLATE($A3213,""en"",""zh-cn"")"),"伊内兹甘-艾特·梅鲁尔")</f>
        <v>伊内兹甘-艾特·梅鲁尔</v>
      </c>
      <c r="H3213" s="9" t="str">
        <f>IFERROR(__xludf.DUMMYFUNCTION("GOOGLETRANSLATE($A3213,""en"",""ja"")"),"イネスガネ＝アイト・メルール")</f>
        <v>イネスガネ＝アイト・メルール</v>
      </c>
      <c r="I3213" s="9" t="str">
        <f>IFERROR(__xludf.DUMMYFUNCTION("GOOGLETRANSLATE($A3213,""en"",""ko"")"),"이네즈가네-아이트 멜로울")</f>
        <v>이네즈가네-아이트 멜로울</v>
      </c>
      <c r="J3213" s="9" t="str">
        <f>IFERROR(__xludf.DUMMYFUNCTION("GOOGLETRANSLATE($A3213,""en"",""pt-BR"")"),"Inezgane-Ait Melloul")</f>
        <v>Inezgane-Ait Melloul</v>
      </c>
    </row>
    <row r="3214">
      <c r="A3214" s="9" t="str">
        <f>IFERROR(__xludf.DUMMYFUNCTION("""COMPUTED_VALUE"""),"Souss-Massa")</f>
        <v>Souss-Massa</v>
      </c>
      <c r="B3214" s="9" t="str">
        <f>IFERROR(__xludf.DUMMYFUNCTION("""COMPUTED_VALUE"""),"ma-09")</f>
        <v>ma-09</v>
      </c>
      <c r="C3214" s="9" t="str">
        <f>IFERROR(__xludf.DUMMYFUNCTION("GOOGLETRANSLATE($A3214,""en"",""de"")"),"Souss-Massa")</f>
        <v>Souss-Massa</v>
      </c>
      <c r="D3214" s="9" t="str">
        <f>IFERROR(__xludf.DUMMYFUNCTION("GOOGLETRANSLATE($A3214,""en"",""fr"")"),"Souss Massa")</f>
        <v>Souss Massa</v>
      </c>
      <c r="E3214" s="9" t="str">
        <f>IFERROR(__xludf.DUMMYFUNCTION("GOOGLETRANSLATE($A3214,""en"",""es"")"),"Sus-Masa")</f>
        <v>Sus-Masa</v>
      </c>
      <c r="F3214" s="9" t="str">
        <f>IFERROR(__xludf.DUMMYFUNCTION("GOOGLETRANSLATE($A3214,""en"",""it"")"),"Souss-Massa")</f>
        <v>Souss-Massa</v>
      </c>
      <c r="G3214" s="9" t="str">
        <f>IFERROR(__xludf.DUMMYFUNCTION("GOOGLETRANSLATE($A3214,""en"",""zh-cn"")"),"苏斯-马萨")</f>
        <v>苏斯-马萨</v>
      </c>
      <c r="H3214" s="9" t="str">
        <f>IFERROR(__xludf.DUMMYFUNCTION("GOOGLETRANSLATE($A3214,""en"",""ja"")"),"スースマッサ")</f>
        <v>スースマッサ</v>
      </c>
      <c r="I3214" s="9" t="str">
        <f>IFERROR(__xludf.DUMMYFUNCTION("GOOGLETRANSLATE($A3214,""en"",""ko"")"),"수스 마사")</f>
        <v>수스 마사</v>
      </c>
      <c r="J3214" s="9" t="str">
        <f>IFERROR(__xludf.DUMMYFUNCTION("GOOGLETRANSLATE($A3214,""en"",""pt-BR"")"),"Sous-Massa")</f>
        <v>Sous-Massa</v>
      </c>
    </row>
    <row r="3215">
      <c r="A3215" s="9" t="str">
        <f>IFERROR(__xludf.DUMMYFUNCTION("""COMPUTED_VALUE"""),"Azilal")</f>
        <v>Azilal</v>
      </c>
      <c r="B3215" s="9" t="str">
        <f>IFERROR(__xludf.DUMMYFUNCTION("""COMPUTED_VALUE"""),"ma-azi")</f>
        <v>ma-azi</v>
      </c>
      <c r="C3215" s="9" t="str">
        <f>IFERROR(__xludf.DUMMYFUNCTION("GOOGLETRANSLATE($A3215,""en"",""de"")"),"Azilal")</f>
        <v>Azilal</v>
      </c>
      <c r="D3215" s="9" t="str">
        <f>IFERROR(__xludf.DUMMYFUNCTION("GOOGLETRANSLATE($A3215,""en"",""fr"")"),"Azilal")</f>
        <v>Azilal</v>
      </c>
      <c r="E3215" s="9" t="str">
        <f>IFERROR(__xludf.DUMMYFUNCTION("GOOGLETRANSLATE($A3215,""en"",""es"")"),"Azilal")</f>
        <v>Azilal</v>
      </c>
      <c r="F3215" s="9" t="str">
        <f>IFERROR(__xludf.DUMMYFUNCTION("GOOGLETRANSLATE($A3215,""en"",""it"")"),"Azilal")</f>
        <v>Azilal</v>
      </c>
      <c r="G3215" s="9" t="str">
        <f>IFERROR(__xludf.DUMMYFUNCTION("GOOGLETRANSLATE($A3215,""en"",""zh-cn"")"),"阿齐拉尔")</f>
        <v>阿齐拉尔</v>
      </c>
      <c r="H3215" s="9" t="str">
        <f>IFERROR(__xludf.DUMMYFUNCTION("GOOGLETRANSLATE($A3215,""en"",""ja"")"),"アジラル")</f>
        <v>アジラル</v>
      </c>
      <c r="I3215" s="9" t="str">
        <f>IFERROR(__xludf.DUMMYFUNCTION("GOOGLETRANSLATE($A3215,""en"",""ko"")"),"아질랄")</f>
        <v>아질랄</v>
      </c>
      <c r="J3215" s="9" t="str">
        <f>IFERROR(__xludf.DUMMYFUNCTION("GOOGLETRANSLATE($A3215,""en"",""pt-BR"")"),"Azilal")</f>
        <v>Azilal</v>
      </c>
    </row>
    <row r="3216">
      <c r="A3216" s="9" t="str">
        <f>IFERROR(__xludf.DUMMYFUNCTION("""COMPUTED_VALUE"""),"Guelmim-Es Smara")</f>
        <v>Guelmim-Es Smara</v>
      </c>
      <c r="B3216" s="9" t="str">
        <f>IFERROR(__xludf.DUMMYFUNCTION("""COMPUTED_VALUE"""),"ma-14")</f>
        <v>ma-14</v>
      </c>
      <c r="C3216" s="9" t="str">
        <f>IFERROR(__xludf.DUMMYFUNCTION("GOOGLETRANSLATE($A3216,""en"",""de"")"),"Guelmim-Es Smara")</f>
        <v>Guelmim-Es Smara</v>
      </c>
      <c r="D3216" s="9" t="str">
        <f>IFERROR(__xludf.DUMMYFUNCTION("GOOGLETRANSLATE($A3216,""en"",""fr"")"),"Guelmim-Es Smara")</f>
        <v>Guelmim-Es Smara</v>
      </c>
      <c r="E3216" s="9" t="str">
        <f>IFERROR(__xludf.DUMMYFUNCTION("GOOGLETRANSLATE($A3216,""en"",""es"")"),"Guelmim-Es Esmara")</f>
        <v>Guelmim-Es Esmara</v>
      </c>
      <c r="F3216" s="9" t="str">
        <f>IFERROR(__xludf.DUMMYFUNCTION("GOOGLETRANSLATE($A3216,""en"",""it"")"),"Guelmim-Es Smara")</f>
        <v>Guelmim-Es Smara</v>
      </c>
      <c r="G3216" s="9" t="str">
        <f>IFERROR(__xludf.DUMMYFUNCTION("GOOGLETRANSLATE($A3216,""en"",""zh-cn"")"),"盖勒敏-斯马拉")</f>
        <v>盖勒敏-斯马拉</v>
      </c>
      <c r="H3216" s="9" t="str">
        <f>IFERROR(__xludf.DUMMYFUNCTION("GOOGLETRANSLATE($A3216,""en"",""ja"")"),"ゲルミム・エス・スマラ")</f>
        <v>ゲルミム・エス・スマラ</v>
      </c>
      <c r="I3216" s="9" t="str">
        <f>IFERROR(__xludf.DUMMYFUNCTION("GOOGLETRANSLATE($A3216,""en"",""ko"")"),"구엘밈-에스 스마라")</f>
        <v>구엘밈-에스 스마라</v>
      </c>
      <c r="J3216" s="9" t="str">
        <f>IFERROR(__xludf.DUMMYFUNCTION("GOOGLETRANSLATE($A3216,""en"",""pt-BR"")"),"Guelmim-Es Smara")</f>
        <v>Guelmim-Es Smara</v>
      </c>
    </row>
    <row r="3217">
      <c r="A3217" s="9" t="str">
        <f>IFERROR(__xludf.DUMMYFUNCTION("""COMPUTED_VALUE"""),"Médiouna")</f>
        <v>Médiouna</v>
      </c>
      <c r="B3217" s="9" t="str">
        <f>IFERROR(__xludf.DUMMYFUNCTION("""COMPUTED_VALUE"""),"ma-med")</f>
        <v>ma-med</v>
      </c>
      <c r="C3217" s="9" t="str">
        <f>IFERROR(__xludf.DUMMYFUNCTION("GOOGLETRANSLATE($A3217,""en"",""de"")"),"Médiouna")</f>
        <v>Médiouna</v>
      </c>
      <c r="D3217" s="9" t="str">
        <f>IFERROR(__xludf.DUMMYFUNCTION("GOOGLETRANSLATE($A3217,""en"",""fr"")"),"Médiouna")</f>
        <v>Médiouna</v>
      </c>
      <c r="E3217" s="9" t="str">
        <f>IFERROR(__xludf.DUMMYFUNCTION("GOOGLETRANSLATE($A3217,""en"",""es"")"),"Médiouna")</f>
        <v>Médiouna</v>
      </c>
      <c r="F3217" s="9" t="str">
        <f>IFERROR(__xludf.DUMMYFUNCTION("GOOGLETRANSLATE($A3217,""en"",""it"")"),"Mediouna")</f>
        <v>Mediouna</v>
      </c>
      <c r="G3217" s="9" t="str">
        <f>IFERROR(__xludf.DUMMYFUNCTION("GOOGLETRANSLATE($A3217,""en"",""zh-cn"")"),"梅迪乌纳")</f>
        <v>梅迪乌纳</v>
      </c>
      <c r="H3217" s="9" t="str">
        <f>IFERROR(__xludf.DUMMYFUNCTION("GOOGLETRANSLATE($A3217,""en"",""ja"")"),"メディウナ")</f>
        <v>メディウナ</v>
      </c>
      <c r="I3217" s="9" t="str">
        <f>IFERROR(__xludf.DUMMYFUNCTION("GOOGLETRANSLATE($A3217,""en"",""ko"")"),"메디우나")</f>
        <v>메디우나</v>
      </c>
      <c r="J3217" s="9" t="str">
        <f>IFERROR(__xludf.DUMMYFUNCTION("GOOGLETRANSLATE($A3217,""en"",""pt-BR"")"),"Médiouna")</f>
        <v>Médiouna</v>
      </c>
    </row>
    <row r="3218">
      <c r="A3218" s="9" t="str">
        <f>IFERROR(__xludf.DUMMYFUNCTION("""COMPUTED_VALUE"""),"Figuig")</f>
        <v>Figuig</v>
      </c>
      <c r="B3218" s="9" t="str">
        <f>IFERROR(__xludf.DUMMYFUNCTION("""COMPUTED_VALUE"""),"ma-fig")</f>
        <v>ma-fig</v>
      </c>
      <c r="C3218" s="9" t="str">
        <f>IFERROR(__xludf.DUMMYFUNCTION("GOOGLETRANSLATE($A3218,""en"",""de"")"),"Figuig")</f>
        <v>Figuig</v>
      </c>
      <c r="D3218" s="9" t="str">
        <f>IFERROR(__xludf.DUMMYFUNCTION("GOOGLETRANSLATE($A3218,""en"",""fr"")"),"Figuig")</f>
        <v>Figuig</v>
      </c>
      <c r="E3218" s="9" t="str">
        <f>IFERROR(__xludf.DUMMYFUNCTION("GOOGLETRANSLATE($A3218,""en"",""es"")"),"figuig")</f>
        <v>figuig</v>
      </c>
      <c r="F3218" s="9" t="str">
        <f>IFERROR(__xludf.DUMMYFUNCTION("GOOGLETRANSLATE($A3218,""en"",""it"")"),"Figuig")</f>
        <v>Figuig</v>
      </c>
      <c r="G3218" s="9" t="str">
        <f>IFERROR(__xludf.DUMMYFUNCTION("GOOGLETRANSLATE($A3218,""en"",""zh-cn"")"),"菲吉格")</f>
        <v>菲吉格</v>
      </c>
      <c r="H3218" s="9" t="str">
        <f>IFERROR(__xludf.DUMMYFUNCTION("GOOGLETRANSLATE($A3218,""en"",""ja"")"),"フィギグ")</f>
        <v>フィギグ</v>
      </c>
      <c r="I3218" s="9" t="str">
        <f>IFERROR(__xludf.DUMMYFUNCTION("GOOGLETRANSLATE($A3218,""en"",""ko"")"),"피기그")</f>
        <v>피기그</v>
      </c>
      <c r="J3218" s="9" t="str">
        <f>IFERROR(__xludf.DUMMYFUNCTION("GOOGLETRANSLATE($A3218,""en"",""pt-BR"")"),"Figuig")</f>
        <v>Figuig</v>
      </c>
    </row>
    <row r="3219">
      <c r="A3219" s="9" t="str">
        <f>IFERROR(__xludf.DUMMYFUNCTION("""COMPUTED_VALUE"""),"Béni Mellal-Khénifra")</f>
        <v>Béni Mellal-Khénifra</v>
      </c>
      <c r="B3219" s="9" t="str">
        <f>IFERROR(__xludf.DUMMYFUNCTION("""COMPUTED_VALUE"""),"ma-05")</f>
        <v>ma-05</v>
      </c>
      <c r="C3219" s="9" t="str">
        <f>IFERROR(__xludf.DUMMYFUNCTION("GOOGLETRANSLATE($A3219,""en"",""de"")"),"Beni Mellal-Khénifra")</f>
        <v>Beni Mellal-Khénifra</v>
      </c>
      <c r="D3219" s="9" t="str">
        <f>IFERROR(__xludf.DUMMYFUNCTION("GOOGLETRANSLATE($A3219,""en"",""fr"")"),"Béni Mellal-Khénifra")</f>
        <v>Béni Mellal-Khénifra</v>
      </c>
      <c r="E3219" s="9" t="str">
        <f>IFERROR(__xludf.DUMMYFUNCTION("GOOGLETRANSLATE($A3219,""en"",""es"")"),"Beni Mellal-Jenifra")</f>
        <v>Beni Mellal-Jenifra</v>
      </c>
      <c r="F3219" s="9" t="str">
        <f>IFERROR(__xludf.DUMMYFUNCTION("GOOGLETRANSLATE($A3219,""en"",""it"")"),"Béni Mellal-Khénifra")</f>
        <v>Béni Mellal-Khénifra</v>
      </c>
      <c r="G3219" s="9" t="str">
        <f>IFERROR(__xludf.DUMMYFUNCTION("GOOGLETRANSLATE($A3219,""en"",""zh-cn"")"),"贝尼·迈拉勒-赫尼夫拉")</f>
        <v>贝尼·迈拉勒-赫尼夫拉</v>
      </c>
      <c r="H3219" s="9" t="str">
        <f>IFERROR(__xludf.DUMMYFUNCTION("GOOGLETRANSLATE($A3219,""en"",""ja"")"),"ベニ・メラル＝ケニフラ")</f>
        <v>ベニ・メラル＝ケニフラ</v>
      </c>
      <c r="I3219" s="9" t="str">
        <f>IFERROR(__xludf.DUMMYFUNCTION("GOOGLETRANSLATE($A3219,""en"",""ko"")"),"베니 멜랄-케니프라")</f>
        <v>베니 멜랄-케니프라</v>
      </c>
      <c r="J3219" s="9" t="str">
        <f>IFERROR(__xludf.DUMMYFUNCTION("GOOGLETRANSLATE($A3219,""en"",""pt-BR"")"),"Beni Mellal-Khenifra")</f>
        <v>Beni Mellal-Khenifra</v>
      </c>
    </row>
    <row r="3220">
      <c r="A3220" s="9" t="str">
        <f>IFERROR(__xludf.DUMMYFUNCTION("""COMPUTED_VALUE"""),"Marrakech-Safi")</f>
        <v>Marrakech-Safi</v>
      </c>
      <c r="B3220" s="9" t="str">
        <f>IFERROR(__xludf.DUMMYFUNCTION("""COMPUTED_VALUE"""),"ma-07")</f>
        <v>ma-07</v>
      </c>
      <c r="C3220" s="9" t="str">
        <f>IFERROR(__xludf.DUMMYFUNCTION("GOOGLETRANSLATE($A3220,""en"",""de"")"),"Marrakesch-Safi")</f>
        <v>Marrakesch-Safi</v>
      </c>
      <c r="D3220" s="9" t="str">
        <f>IFERROR(__xludf.DUMMYFUNCTION("GOOGLETRANSLATE($A3220,""en"",""fr"")"),"Marrakech-Safi")</f>
        <v>Marrakech-Safi</v>
      </c>
      <c r="E3220" s="9" t="str">
        <f>IFERROR(__xludf.DUMMYFUNCTION("GOOGLETRANSLATE($A3220,""en"",""es"")"),"Marrakech-Safi")</f>
        <v>Marrakech-Safi</v>
      </c>
      <c r="F3220" s="9" t="str">
        <f>IFERROR(__xludf.DUMMYFUNCTION("GOOGLETRANSLATE($A3220,""en"",""it"")"),"Marrakech-Safi")</f>
        <v>Marrakech-Safi</v>
      </c>
      <c r="G3220" s="9" t="str">
        <f>IFERROR(__xludf.DUMMYFUNCTION("GOOGLETRANSLATE($A3220,""en"",""zh-cn"")"),"马拉喀什-萨菲")</f>
        <v>马拉喀什-萨菲</v>
      </c>
      <c r="H3220" s="9" t="str">
        <f>IFERROR(__xludf.DUMMYFUNCTION("GOOGLETRANSLATE($A3220,""en"",""ja"")"),"マラケシュ-サフィ")</f>
        <v>マラケシュ-サフィ</v>
      </c>
      <c r="I3220" s="9" t="str">
        <f>IFERROR(__xludf.DUMMYFUNCTION("GOOGLETRANSLATE($A3220,""en"",""ko"")"),"마라케시-사피")</f>
        <v>마라케시-사피</v>
      </c>
      <c r="J3220" s="9" t="str">
        <f>IFERROR(__xludf.DUMMYFUNCTION("GOOGLETRANSLATE($A3220,""en"",""pt-BR"")"),"Marraquexe-Safim")</f>
        <v>Marraquexe-Safim</v>
      </c>
    </row>
    <row r="3221">
      <c r="A3221" s="9" t="str">
        <f>IFERROR(__xludf.DUMMYFUNCTION("""COMPUTED_VALUE"""),"Es-Semara (EH-partial)")</f>
        <v>Es-Semara (EH-partial)</v>
      </c>
      <c r="B3221" s="9" t="str">
        <f>IFERROR(__xludf.DUMMYFUNCTION("""COMPUTED_VALUE"""),"ma-esm")</f>
        <v>ma-esm</v>
      </c>
      <c r="C3221" s="9" t="str">
        <f>IFERROR(__xludf.DUMMYFUNCTION("GOOGLETRANSLATE($A3221,""en"",""de"")"),"Es-Semara (EH-teilweise)")</f>
        <v>Es-Semara (EH-teilweise)</v>
      </c>
      <c r="D3221" s="9" t="str">
        <f>IFERROR(__xludf.DUMMYFUNCTION("GOOGLETRANSLATE($A3221,""en"",""fr"")"),"Es-Semara (EH-partiel)")</f>
        <v>Es-Semara (EH-partiel)</v>
      </c>
      <c r="E3221" s="9" t="str">
        <f>IFERROR(__xludf.DUMMYFUNCTION("GOOGLETRANSLATE($A3221,""en"",""es"")"),"Es-Semara (EH-parcial)")</f>
        <v>Es-Semara (EH-parcial)</v>
      </c>
      <c r="F3221" s="9" t="str">
        <f>IFERROR(__xludf.DUMMYFUNCTION("GOOGLETRANSLATE($A3221,""en"",""it"")"),"Es-Semara (EH-parziale)")</f>
        <v>Es-Semara (EH-parziale)</v>
      </c>
      <c r="G3221" s="9" t="str">
        <f>IFERROR(__xludf.DUMMYFUNCTION("GOOGLETRANSLATE($A3221,""en"",""zh-cn"")"),"Es-Semara（EH-部分）")</f>
        <v>Es-Semara（EH-部分）</v>
      </c>
      <c r="H3221" s="9" t="str">
        <f>IFERROR(__xludf.DUMMYFUNCTION("GOOGLETRANSLATE($A3221,""en"",""ja"")"),"エス・セマラ (EH-部分)")</f>
        <v>エス・セマラ (EH-部分)</v>
      </c>
      <c r="I3221" s="9" t="str">
        <f>IFERROR(__xludf.DUMMYFUNCTION("GOOGLETRANSLATE($A3221,""en"",""ko"")"),"에스-세마라(EH-부분)")</f>
        <v>에스-세마라(EH-부분)</v>
      </c>
      <c r="J3221" s="9" t="str">
        <f>IFERROR(__xludf.DUMMYFUNCTION("GOOGLETRANSLATE($A3221,""en"",""pt-BR"")"),"Es-Semara (EH-parcial)")</f>
        <v>Es-Semara (EH-parcial)</v>
      </c>
    </row>
    <row r="3222">
      <c r="A3222" s="9" t="str">
        <f>IFERROR(__xludf.DUMMYFUNCTION("""COMPUTED_VALUE"""),"Sous-Massa-Draa")</f>
        <v>Sous-Massa-Draa</v>
      </c>
      <c r="B3222" s="9" t="str">
        <f>IFERROR(__xludf.DUMMYFUNCTION("""COMPUTED_VALUE"""),"ma-13")</f>
        <v>ma-13</v>
      </c>
      <c r="C3222" s="9" t="str">
        <f>IFERROR(__xludf.DUMMYFUNCTION("GOOGLETRANSLATE($A3222,""en"",""de"")"),"Sous-Massa-Draa")</f>
        <v>Sous-Massa-Draa</v>
      </c>
      <c r="D3222" s="9" t="str">
        <f>IFERROR(__xludf.DUMMYFUNCTION("GOOGLETRANSLATE($A3222,""en"",""fr"")"),"Sous-Massa-Draa")</f>
        <v>Sous-Massa-Draa</v>
      </c>
      <c r="E3222" s="9" t="str">
        <f>IFERROR(__xludf.DUMMYFUNCTION("GOOGLETRANSLATE($A3222,""en"",""es"")"),"Sous-Massa-Draa")</f>
        <v>Sous-Massa-Draa</v>
      </c>
      <c r="F3222" s="9" t="str">
        <f>IFERROR(__xludf.DUMMYFUNCTION("GOOGLETRANSLATE($A3222,""en"",""it"")"),"Sous-Massa-Draa")</f>
        <v>Sous-Massa-Draa</v>
      </c>
      <c r="G3222" s="9" t="str">
        <f>IFERROR(__xludf.DUMMYFUNCTION("GOOGLETRANSLATE($A3222,""en"",""zh-cn"")"),"苏马萨德拉")</f>
        <v>苏马萨德拉</v>
      </c>
      <c r="H3222" s="9" t="str">
        <f>IFERROR(__xludf.DUMMYFUNCTION("GOOGLETRANSLATE($A3222,""en"",""ja"")"),"ス・マッサ・ドラー")</f>
        <v>ス・マッサ・ドラー</v>
      </c>
      <c r="I3222" s="9" t="str">
        <f>IFERROR(__xludf.DUMMYFUNCTION("GOOGLETRANSLATE($A3222,""en"",""ko"")"),"수마사드라")</f>
        <v>수마사드라</v>
      </c>
      <c r="J3222" s="9" t="str">
        <f>IFERROR(__xludf.DUMMYFUNCTION("GOOGLETRANSLATE($A3222,""en"",""pt-BR"")"),"Sous-Massa-Draa")</f>
        <v>Sous-Massa-Draa</v>
      </c>
    </row>
    <row r="3223">
      <c r="A3223" s="9" t="str">
        <f>IFERROR(__xludf.DUMMYFUNCTION("""COMPUTED_VALUE"""),"Errachidia")</f>
        <v>Errachidia</v>
      </c>
      <c r="B3223" s="9" t="str">
        <f>IFERROR(__xludf.DUMMYFUNCTION("""COMPUTED_VALUE"""),"ma-err")</f>
        <v>ma-err</v>
      </c>
      <c r="C3223" s="9" t="str">
        <f>IFERROR(__xludf.DUMMYFUNCTION("GOOGLETRANSLATE($A3223,""en"",""de"")"),"Errachidien")</f>
        <v>Errachidien</v>
      </c>
      <c r="D3223" s="9" t="str">
        <f>IFERROR(__xludf.DUMMYFUNCTION("GOOGLETRANSLATE($A3223,""en"",""fr"")"),"Errachidie")</f>
        <v>Errachidie</v>
      </c>
      <c r="E3223" s="9" t="str">
        <f>IFERROR(__xludf.DUMMYFUNCTION("GOOGLETRANSLATE($A3223,""en"",""es"")"),"Errachidía")</f>
        <v>Errachidía</v>
      </c>
      <c r="F3223" s="9" t="str">
        <f>IFERROR(__xludf.DUMMYFUNCTION("GOOGLETRANSLATE($A3223,""en"",""it"")"),"Errachidi")</f>
        <v>Errachidi</v>
      </c>
      <c r="G3223" s="9" t="str">
        <f>IFERROR(__xludf.DUMMYFUNCTION("GOOGLETRANSLATE($A3223,""en"",""zh-cn"")"),"埃拉契迪亚")</f>
        <v>埃拉契迪亚</v>
      </c>
      <c r="H3223" s="9" t="str">
        <f>IFERROR(__xludf.DUMMYFUNCTION("GOOGLETRANSLATE($A3223,""en"",""ja"")"),"エルラシディア")</f>
        <v>エルラシディア</v>
      </c>
      <c r="I3223" s="9" t="str">
        <f>IFERROR(__xludf.DUMMYFUNCTION("GOOGLETRANSLATE($A3223,""en"",""ko"")"),"에라시디아")</f>
        <v>에라시디아</v>
      </c>
      <c r="J3223" s="9" t="str">
        <f>IFERROR(__xludf.DUMMYFUNCTION("GOOGLETRANSLATE($A3223,""en"",""pt-BR"")"),"Erraquídia")</f>
        <v>Erraquídia</v>
      </c>
    </row>
    <row r="3224">
      <c r="A3224" s="9" t="str">
        <f>IFERROR(__xludf.DUMMYFUNCTION("""COMPUTED_VALUE"""),"Sefrou")</f>
        <v>Sefrou</v>
      </c>
      <c r="B3224" s="9" t="str">
        <f>IFERROR(__xludf.DUMMYFUNCTION("""COMPUTED_VALUE"""),"ma-sef")</f>
        <v>ma-sef</v>
      </c>
      <c r="C3224" s="9" t="str">
        <f>IFERROR(__xludf.DUMMYFUNCTION("GOOGLETRANSLATE($A3224,""en"",""de"")"),"Sefrou")</f>
        <v>Sefrou</v>
      </c>
      <c r="D3224" s="9" t="str">
        <f>IFERROR(__xludf.DUMMYFUNCTION("GOOGLETRANSLATE($A3224,""en"",""fr"")"),"Séfrou")</f>
        <v>Séfrou</v>
      </c>
      <c r="E3224" s="9" t="str">
        <f>IFERROR(__xludf.DUMMYFUNCTION("GOOGLETRANSLATE($A3224,""en"",""es"")"),"Sefrú")</f>
        <v>Sefrú</v>
      </c>
      <c r="F3224" s="9" t="str">
        <f>IFERROR(__xludf.DUMMYFUNCTION("GOOGLETRANSLATE($A3224,""en"",""it"")"),"Sefrou")</f>
        <v>Sefrou</v>
      </c>
      <c r="G3224" s="9" t="str">
        <f>IFERROR(__xludf.DUMMYFUNCTION("GOOGLETRANSLATE($A3224,""en"",""zh-cn"")"),"塞夫鲁")</f>
        <v>塞夫鲁</v>
      </c>
      <c r="H3224" s="9" t="str">
        <f>IFERROR(__xludf.DUMMYFUNCTION("GOOGLETRANSLATE($A3224,""en"",""ja"")"),"セフル")</f>
        <v>セフル</v>
      </c>
      <c r="I3224" s="9" t="str">
        <f>IFERROR(__xludf.DUMMYFUNCTION("GOOGLETRANSLATE($A3224,""en"",""ko"")"),"세프로")</f>
        <v>세프로</v>
      </c>
      <c r="J3224" s="9" t="str">
        <f>IFERROR(__xludf.DUMMYFUNCTION("GOOGLETRANSLATE($A3224,""en"",""pt-BR"")"),"Sefru")</f>
        <v>Sefru</v>
      </c>
    </row>
    <row r="3225">
      <c r="A3225" s="9" t="str">
        <f>IFERROR(__xludf.DUMMYFUNCTION("""COMPUTED_VALUE"""),"Essaouira")</f>
        <v>Essaouira</v>
      </c>
      <c r="B3225" s="9" t="str">
        <f>IFERROR(__xludf.DUMMYFUNCTION("""COMPUTED_VALUE"""),"ma-esi")</f>
        <v>ma-esi</v>
      </c>
      <c r="C3225" s="9" t="str">
        <f>IFERROR(__xludf.DUMMYFUNCTION("GOOGLETRANSLATE($A3225,""en"",""de"")"),"Essaouira")</f>
        <v>Essaouira</v>
      </c>
      <c r="D3225" s="9" t="str">
        <f>IFERROR(__xludf.DUMMYFUNCTION("GOOGLETRANSLATE($A3225,""en"",""fr"")"),"Essaouira")</f>
        <v>Essaouira</v>
      </c>
      <c r="E3225" s="9" t="str">
        <f>IFERROR(__xludf.DUMMYFUNCTION("GOOGLETRANSLATE($A3225,""en"",""es"")"),"Esauira")</f>
        <v>Esauira</v>
      </c>
      <c r="F3225" s="9" t="str">
        <f>IFERROR(__xludf.DUMMYFUNCTION("GOOGLETRANSLATE($A3225,""en"",""it"")"),"Essaouira")</f>
        <v>Essaouira</v>
      </c>
      <c r="G3225" s="9" t="str">
        <f>IFERROR(__xludf.DUMMYFUNCTION("GOOGLETRANSLATE($A3225,""en"",""zh-cn"")"),"索维拉")</f>
        <v>索维拉</v>
      </c>
      <c r="H3225" s="9" t="str">
        <f>IFERROR(__xludf.DUMMYFUNCTION("GOOGLETRANSLATE($A3225,""en"",""ja"")"),"エッサウィラ")</f>
        <v>エッサウィラ</v>
      </c>
      <c r="I3225" s="9" t="str">
        <f>IFERROR(__xludf.DUMMYFUNCTION("GOOGLETRANSLATE($A3225,""en"",""ko"")"),"에사우이라")</f>
        <v>에사우이라</v>
      </c>
      <c r="J3225" s="9" t="str">
        <f>IFERROR(__xludf.DUMMYFUNCTION("GOOGLETRANSLATE($A3225,""en"",""pt-BR"")"),"Essaouira")</f>
        <v>Essaouira</v>
      </c>
    </row>
    <row r="3226">
      <c r="A3226" s="9" t="str">
        <f>IFERROR(__xludf.DUMMYFUNCTION("""COMPUTED_VALUE"""),"Fès-Meknès")</f>
        <v>Fès-Meknès</v>
      </c>
      <c r="B3226" s="9" t="str">
        <f>IFERROR(__xludf.DUMMYFUNCTION("""COMPUTED_VALUE"""),"ma-03")</f>
        <v>ma-03</v>
      </c>
      <c r="C3226" s="9" t="str">
        <f>IFERROR(__xludf.DUMMYFUNCTION("GOOGLETRANSLATE($A3226,""en"",""de"")"),"Fès-Meknès")</f>
        <v>Fès-Meknès</v>
      </c>
      <c r="D3226" s="9" t="str">
        <f>IFERROR(__xludf.DUMMYFUNCTION("GOOGLETRANSLATE($A3226,""en"",""fr"")"),"Fès-Meknès")</f>
        <v>Fès-Meknès</v>
      </c>
      <c r="E3226" s="9" t="str">
        <f>IFERROR(__xludf.DUMMYFUNCTION("GOOGLETRANSLATE($A3226,""en"",""es"")"),"Fez-Mequinez")</f>
        <v>Fez-Mequinez</v>
      </c>
      <c r="F3226" s="9" t="str">
        <f>IFERROR(__xludf.DUMMYFUNCTION("GOOGLETRANSLATE($A3226,""en"",""it"")"),"Fès-Meknès")</f>
        <v>Fès-Meknès</v>
      </c>
      <c r="G3226" s="9" t="str">
        <f>IFERROR(__xludf.DUMMYFUNCTION("GOOGLETRANSLATE($A3226,""en"",""zh-cn"")"),"非斯-梅克内斯")</f>
        <v>非斯-梅克内斯</v>
      </c>
      <c r="H3226" s="9" t="str">
        <f>IFERROR(__xludf.DUMMYFUNCTION("GOOGLETRANSLATE($A3226,""en"",""ja"")"),"フェズ・メクネス")</f>
        <v>フェズ・メクネス</v>
      </c>
      <c r="I3226" s="9" t="str">
        <f>IFERROR(__xludf.DUMMYFUNCTION("GOOGLETRANSLATE($A3226,""en"",""ko"")"),"페스-메크네스")</f>
        <v>페스-메크네스</v>
      </c>
      <c r="J3226" s="9" t="str">
        <f>IFERROR(__xludf.DUMMYFUNCTION("GOOGLETRANSLATE($A3226,""en"",""pt-BR"")"),"Fez-Meknès")</f>
        <v>Fez-Meknès</v>
      </c>
    </row>
    <row r="3227">
      <c r="A3227" s="9" t="str">
        <f>IFERROR(__xludf.DUMMYFUNCTION("""COMPUTED_VALUE"""),"Oujda-Angad")</f>
        <v>Oujda-Angad</v>
      </c>
      <c r="B3227" s="9" t="str">
        <f>IFERROR(__xludf.DUMMYFUNCTION("""COMPUTED_VALUE"""),"ma-ouj")</f>
        <v>ma-ouj</v>
      </c>
      <c r="C3227" s="9" t="str">
        <f>IFERROR(__xludf.DUMMYFUNCTION("GOOGLETRANSLATE($A3227,""en"",""de"")"),"Oujda-Angad")</f>
        <v>Oujda-Angad</v>
      </c>
      <c r="D3227" s="9" t="str">
        <f>IFERROR(__xludf.DUMMYFUNCTION("GOOGLETRANSLATE($A3227,""en"",""fr"")"),"Oujda-Angad")</f>
        <v>Oujda-Angad</v>
      </c>
      <c r="E3227" s="9" t="str">
        <f>IFERROR(__xludf.DUMMYFUNCTION("GOOGLETRANSLATE($A3227,""en"",""es"")"),"Uchda-Angad")</f>
        <v>Uchda-Angad</v>
      </c>
      <c r="F3227" s="9" t="str">
        <f>IFERROR(__xludf.DUMMYFUNCTION("GOOGLETRANSLATE($A3227,""en"",""it"")"),"Oujda-Angad")</f>
        <v>Oujda-Angad</v>
      </c>
      <c r="G3227" s="9" t="str">
        <f>IFERROR(__xludf.DUMMYFUNCTION("GOOGLETRANSLATE($A3227,""en"",""zh-cn"")"),"乌季达-安加德")</f>
        <v>乌季达-安加德</v>
      </c>
      <c r="H3227" s="9" t="str">
        <f>IFERROR(__xludf.DUMMYFUNCTION("GOOGLETRANSLATE($A3227,""en"",""ja"")"),"ウジダ・アンガド")</f>
        <v>ウジダ・アンガド</v>
      </c>
      <c r="I3227" s="9" t="str">
        <f>IFERROR(__xludf.DUMMYFUNCTION("GOOGLETRANSLATE($A3227,""en"",""ko"")"),"우이다앙가드")</f>
        <v>우이다앙가드</v>
      </c>
      <c r="J3227" s="9" t="str">
        <f>IFERROR(__xludf.DUMMYFUNCTION("GOOGLETRANSLATE($A3227,""en"",""pt-BR"")"),"Oujda-Angad")</f>
        <v>Oujda-Angad</v>
      </c>
    </row>
    <row r="3228">
      <c r="A3228" s="9" t="str">
        <f>IFERROR(__xludf.DUMMYFUNCTION("""COMPUTED_VALUE"""),"Larache")</f>
        <v>Larache</v>
      </c>
      <c r="B3228" s="9" t="str">
        <f>IFERROR(__xludf.DUMMYFUNCTION("""COMPUTED_VALUE"""),"ma-lar")</f>
        <v>ma-lar</v>
      </c>
      <c r="C3228" s="9" t="str">
        <f>IFERROR(__xludf.DUMMYFUNCTION("GOOGLETRANSLATE($A3228,""en"",""de"")"),"Larache")</f>
        <v>Larache</v>
      </c>
      <c r="D3228" s="9" t="str">
        <f>IFERROR(__xludf.DUMMYFUNCTION("GOOGLETRANSLATE($A3228,""en"",""fr"")"),"Larache")</f>
        <v>Larache</v>
      </c>
      <c r="E3228" s="9" t="str">
        <f>IFERROR(__xludf.DUMMYFUNCTION("GOOGLETRANSLATE($A3228,""en"",""es"")"),"Larache")</f>
        <v>Larache</v>
      </c>
      <c r="F3228" s="9" t="str">
        <f>IFERROR(__xludf.DUMMYFUNCTION("GOOGLETRANSLATE($A3228,""en"",""it"")"),"Larache")</f>
        <v>Larache</v>
      </c>
      <c r="G3228" s="9" t="str">
        <f>IFERROR(__xludf.DUMMYFUNCTION("GOOGLETRANSLATE($A3228,""en"",""zh-cn"")"),"拉腊什")</f>
        <v>拉腊什</v>
      </c>
      <c r="H3228" s="9" t="str">
        <f>IFERROR(__xludf.DUMMYFUNCTION("GOOGLETRANSLATE($A3228,""en"",""ja"")"),"ララシュ")</f>
        <v>ララシュ</v>
      </c>
      <c r="I3228" s="9" t="str">
        <f>IFERROR(__xludf.DUMMYFUNCTION("GOOGLETRANSLATE($A3228,""en"",""ko"")"),"라라쉬")</f>
        <v>라라쉬</v>
      </c>
      <c r="J3228" s="9" t="str">
        <f>IFERROR(__xludf.DUMMYFUNCTION("GOOGLETRANSLATE($A3228,""en"",""pt-BR"")"),"Larache")</f>
        <v>Larache</v>
      </c>
    </row>
    <row r="3229">
      <c r="A3229" s="9" t="str">
        <f>IFERROR(__xludf.DUMMYFUNCTION("""COMPUTED_VALUE"""),"Nouaceur")</f>
        <v>Nouaceur</v>
      </c>
      <c r="B3229" s="9" t="str">
        <f>IFERROR(__xludf.DUMMYFUNCTION("""COMPUTED_VALUE"""),"ma-nou")</f>
        <v>ma-nou</v>
      </c>
      <c r="C3229" s="9" t="str">
        <f>IFERROR(__xludf.DUMMYFUNCTION("GOOGLETRANSLATE($A3229,""en"",""de"")"),"Nouaceur")</f>
        <v>Nouaceur</v>
      </c>
      <c r="D3229" s="9" t="str">
        <f>IFERROR(__xludf.DUMMYFUNCTION("GOOGLETRANSLATE($A3229,""en"",""fr"")"),"Nouaceur")</f>
        <v>Nouaceur</v>
      </c>
      <c r="E3229" s="9" t="str">
        <f>IFERROR(__xludf.DUMMYFUNCTION("GOOGLETRANSLATE($A3229,""en"",""es"")"),"Nouaceur")</f>
        <v>Nouaceur</v>
      </c>
      <c r="F3229" s="9" t="str">
        <f>IFERROR(__xludf.DUMMYFUNCTION("GOOGLETRANSLATE($A3229,""en"",""it"")"),"Nouaceur")</f>
        <v>Nouaceur</v>
      </c>
      <c r="G3229" s="9" t="str">
        <f>IFERROR(__xludf.DUMMYFUNCTION("GOOGLETRANSLATE($A3229,""en"",""zh-cn"")"),"努瓦瑟尔")</f>
        <v>努瓦瑟尔</v>
      </c>
      <c r="H3229" s="9" t="str">
        <f>IFERROR(__xludf.DUMMYFUNCTION("GOOGLETRANSLATE($A3229,""en"",""ja"")"),"ナウサー")</f>
        <v>ナウサー</v>
      </c>
      <c r="I3229" s="9" t="str">
        <f>IFERROR(__xludf.DUMMYFUNCTION("GOOGLETRANSLATE($A3229,""en"",""ko"")"),"누아쇠르")</f>
        <v>누아쇠르</v>
      </c>
      <c r="J3229" s="9" t="str">
        <f>IFERROR(__xludf.DUMMYFUNCTION("GOOGLETRANSLATE($A3229,""en"",""pt-BR"")"),"Nouaceur")</f>
        <v>Nouaceur</v>
      </c>
    </row>
    <row r="3230">
      <c r="A3230" s="9" t="str">
        <f>IFERROR(__xludf.DUMMYFUNCTION("""COMPUTED_VALUE"""),"Drâa-Tafilalet")</f>
        <v>Drâa-Tafilalet</v>
      </c>
      <c r="B3230" s="9" t="str">
        <f>IFERROR(__xludf.DUMMYFUNCTION("""COMPUTED_VALUE"""),"ma-08")</f>
        <v>ma-08</v>
      </c>
      <c r="C3230" s="9" t="str">
        <f>IFERROR(__xludf.DUMMYFUNCTION("GOOGLETRANSLATE($A3230,""en"",""de"")"),"Drâa-Tafilalet")</f>
        <v>Drâa-Tafilalet</v>
      </c>
      <c r="D3230" s="9" t="str">
        <f>IFERROR(__xludf.DUMMYFUNCTION("GOOGLETRANSLATE($A3230,""en"",""fr"")"),"Drâa-Tafilalet")</f>
        <v>Drâa-Tafilalet</v>
      </c>
      <c r="E3230" s="9" t="str">
        <f>IFERROR(__xludf.DUMMYFUNCTION("GOOGLETRANSLATE($A3230,""en"",""es"")"),"Draa-Tafilalet")</f>
        <v>Draa-Tafilalet</v>
      </c>
      <c r="F3230" s="9" t="str">
        <f>IFERROR(__xludf.DUMMYFUNCTION("GOOGLETRANSLATE($A3230,""en"",""it"")"),"Draa-Tafilalet")</f>
        <v>Draa-Tafilalet</v>
      </c>
      <c r="G3230" s="9" t="str">
        <f>IFERROR(__xludf.DUMMYFUNCTION("GOOGLETRANSLATE($A3230,""en"",""zh-cn"")"),"德拉-塔菲拉勒特")</f>
        <v>德拉-塔菲拉勒特</v>
      </c>
      <c r="H3230" s="9" t="str">
        <f>IFERROR(__xludf.DUMMYFUNCTION("GOOGLETRANSLATE($A3230,""en"",""ja"")"),"ドラア・タフィラレット")</f>
        <v>ドラア・タフィラレット</v>
      </c>
      <c r="I3230" s="9" t="str">
        <f>IFERROR(__xludf.DUMMYFUNCTION("GOOGLETRANSLATE($A3230,""en"",""ko"")"),"Drâa-Tafilalet")</f>
        <v>Drâa-Tafilalet</v>
      </c>
      <c r="J3230" s="9" t="str">
        <f>IFERROR(__xludf.DUMMYFUNCTION("GOOGLETRANSLATE($A3230,""en"",""pt-BR"")"),"Drâa-Tafilalet")</f>
        <v>Drâa-Tafilalet</v>
      </c>
    </row>
    <row r="3231">
      <c r="A3231" s="9" t="str">
        <f>IFERROR(__xludf.DUMMYFUNCTION("""COMPUTED_VALUE"""),"Chichaoua")</f>
        <v>Chichaoua</v>
      </c>
      <c r="B3231" s="9" t="str">
        <f>IFERROR(__xludf.DUMMYFUNCTION("""COMPUTED_VALUE"""),"ma-chi")</f>
        <v>ma-chi</v>
      </c>
      <c r="C3231" s="9" t="str">
        <f>IFERROR(__xludf.DUMMYFUNCTION("GOOGLETRANSLATE($A3231,""en"",""de"")"),"Chichaoua")</f>
        <v>Chichaoua</v>
      </c>
      <c r="D3231" s="9" t="str">
        <f>IFERROR(__xludf.DUMMYFUNCTION("GOOGLETRANSLATE($A3231,""en"",""fr"")"),"Chichaoua")</f>
        <v>Chichaoua</v>
      </c>
      <c r="E3231" s="9" t="str">
        <f>IFERROR(__xludf.DUMMYFUNCTION("GOOGLETRANSLATE($A3231,""en"",""es"")"),"chichaoua")</f>
        <v>chichaoua</v>
      </c>
      <c r="F3231" s="9" t="str">
        <f>IFERROR(__xludf.DUMMYFUNCTION("GOOGLETRANSLATE($A3231,""en"",""it"")"),"Chichaoua")</f>
        <v>Chichaoua</v>
      </c>
      <c r="G3231" s="9" t="str">
        <f>IFERROR(__xludf.DUMMYFUNCTION("GOOGLETRANSLATE($A3231,""en"",""zh-cn"")"),"奇查瓦")</f>
        <v>奇查瓦</v>
      </c>
      <c r="H3231" s="9" t="str">
        <f>IFERROR(__xludf.DUMMYFUNCTION("GOOGLETRANSLATE($A3231,""en"",""ja"")"),"チチャウア")</f>
        <v>チチャウア</v>
      </c>
      <c r="I3231" s="9" t="str">
        <f>IFERROR(__xludf.DUMMYFUNCTION("GOOGLETRANSLATE($A3231,""en"",""ko"")"),"치차우아")</f>
        <v>치차우아</v>
      </c>
      <c r="J3231" s="9" t="str">
        <f>IFERROR(__xludf.DUMMYFUNCTION("GOOGLETRANSLATE($A3231,""en"",""pt-BR"")"),"Chichaoua")</f>
        <v>Chichaoua</v>
      </c>
    </row>
    <row r="3232">
      <c r="A3232" s="9" t="str">
        <f>IFERROR(__xludf.DUMMYFUNCTION("""COMPUTED_VALUE"""),"Laâyoune-Sakia El Hamra (EH-partial)")</f>
        <v>Laâyoune-Sakia El Hamra (EH-partial)</v>
      </c>
      <c r="B3232" s="9" t="str">
        <f>IFERROR(__xludf.DUMMYFUNCTION("""COMPUTED_VALUE"""),"ma-11")</f>
        <v>ma-11</v>
      </c>
      <c r="C3232" s="9" t="str">
        <f>IFERROR(__xludf.DUMMYFUNCTION("GOOGLETRANSLATE($A3232,""en"",""de"")"),"Laâyoune-Sakia El Hamra (EH-teilweise)")</f>
        <v>Laâyoune-Sakia El Hamra (EH-teilweise)</v>
      </c>
      <c r="D3232" s="9" t="str">
        <f>IFERROR(__xludf.DUMMYFUNCTION("GOOGLETRANSLATE($A3232,""en"",""fr"")"),"Laâyoune-Sakia El Hamra (EH-partiel)")</f>
        <v>Laâyoune-Sakia El Hamra (EH-partiel)</v>
      </c>
      <c r="E3232" s="9" t="str">
        <f>IFERROR(__xludf.DUMMYFUNCTION("GOOGLETRANSLATE($A3232,""en"",""es"")"),"El Aaiún-Saguia El Hamra (EH-parcial)")</f>
        <v>El Aaiún-Saguia El Hamra (EH-parcial)</v>
      </c>
      <c r="F3232" s="9" t="str">
        <f>IFERROR(__xludf.DUMMYFUNCTION("GOOGLETRANSLATE($A3232,""en"",""it"")"),"Laâyoune-Sakia El Hamra (EH-parziale)")</f>
        <v>Laâyoune-Sakia El Hamra (EH-parziale)</v>
      </c>
      <c r="G3232" s="9" t="str">
        <f>IFERROR(__xludf.DUMMYFUNCTION("GOOGLETRANSLATE($A3232,""en"",""zh-cn"")"),"阿尤恩-萨基亚·哈姆拉 (EH-部分)")</f>
        <v>阿尤恩-萨基亚·哈姆拉 (EH-部分)</v>
      </c>
      <c r="H3232" s="9" t="str">
        <f>IFERROR(__xludf.DUMMYFUNCTION("GOOGLETRANSLATE($A3232,""en"",""ja"")"),"ラユーヌ・サキア・エル・ハムラ (EH-部分)")</f>
        <v>ラユーヌ・サキア・エル・ハムラ (EH-部分)</v>
      </c>
      <c r="I3232" s="9" t="str">
        <f>IFERROR(__xludf.DUMMYFUNCTION("GOOGLETRANSLATE($A3232,""en"",""ko"")"),"Laâyoune-Sakia El Hamra(EH-부분)")</f>
        <v>Laâyoune-Sakia El Hamra(EH-부분)</v>
      </c>
      <c r="J3232" s="9" t="str">
        <f>IFERROR(__xludf.DUMMYFUNCTION("GOOGLETRANSLATE($A3232,""en"",""pt-BR"")"),"Laâyoune-Sakia El Hamra (EH-parcial)")</f>
        <v>Laâyoune-Sakia El Hamra (EH-parcial)</v>
      </c>
    </row>
    <row r="3233">
      <c r="A3233" s="9" t="str">
        <f>IFERROR(__xludf.DUMMYFUNCTION("""COMPUTED_VALUE"""),"Oued Ed-Dahab (EH)")</f>
        <v>Oued Ed-Dahab (EH)</v>
      </c>
      <c r="B3233" s="9" t="str">
        <f>IFERROR(__xludf.DUMMYFUNCTION("""COMPUTED_VALUE"""),"ma-oud")</f>
        <v>ma-oud</v>
      </c>
      <c r="C3233" s="9" t="str">
        <f>IFERROR(__xludf.DUMMYFUNCTION("GOOGLETRANSLATE($A3233,""en"",""de"")"),"Oued Ed-Dahab (EH)")</f>
        <v>Oued Ed-Dahab (EH)</v>
      </c>
      <c r="D3233" s="9" t="str">
        <f>IFERROR(__xludf.DUMMYFUNCTION("GOOGLETRANSLATE($A3233,""en"",""fr"")"),"Oued Ed-Dahab (EH)")</f>
        <v>Oued Ed-Dahab (EH)</v>
      </c>
      <c r="E3233" s="9" t="str">
        <f>IFERROR(__xludf.DUMMYFUNCTION("GOOGLETRANSLATE($A3233,""en"",""es"")"),"Oued Ed-Dahab (EH)")</f>
        <v>Oued Ed-Dahab (EH)</v>
      </c>
      <c r="F3233" s="9" t="str">
        <f>IFERROR(__xludf.DUMMYFUNCTION("GOOGLETRANSLATE($A3233,""en"",""it"")"),"Oued Ed-Dahab (EH)")</f>
        <v>Oued Ed-Dahab (EH)</v>
      </c>
      <c r="G3233" s="9" t="str">
        <f>IFERROR(__xludf.DUMMYFUNCTION("GOOGLETRANSLATE($A3233,""en"",""zh-cn"")"),"瓦埃德达哈布 (EH)")</f>
        <v>瓦埃德达哈布 (EH)</v>
      </c>
      <c r="H3233" s="9" t="str">
        <f>IFERROR(__xludf.DUMMYFUNCTION("GOOGLETRANSLATE($A3233,""en"",""ja"")"),"ウェド エド ダハブ (EH)")</f>
        <v>ウェド エド ダハブ (EH)</v>
      </c>
      <c r="I3233" s="9" t="str">
        <f>IFERROR(__xludf.DUMMYFUNCTION("GOOGLETRANSLATE($A3233,""en"",""ko"")"),"Oued Ed-Dahab (EH)")</f>
        <v>Oued Ed-Dahab (EH)</v>
      </c>
      <c r="J3233" s="9" t="str">
        <f>IFERROR(__xludf.DUMMYFUNCTION("GOOGLETRANSLATE($A3233,""en"",""pt-BR"")"),"Oued Ed-Dahab (EH)")</f>
        <v>Oued Ed-Dahab (EH)</v>
      </c>
    </row>
    <row r="3234">
      <c r="A3234" s="9" t="str">
        <f>IFERROR(__xludf.DUMMYFUNCTION("""COMPUTED_VALUE"""),"Khouribga")</f>
        <v>Khouribga</v>
      </c>
      <c r="B3234" s="9" t="str">
        <f>IFERROR(__xludf.DUMMYFUNCTION("""COMPUTED_VALUE"""),"ma-kho")</f>
        <v>ma-kho</v>
      </c>
      <c r="C3234" s="9" t="str">
        <f>IFERROR(__xludf.DUMMYFUNCTION("GOOGLETRANSLATE($A3234,""en"",""de"")"),"Khouribga")</f>
        <v>Khouribga</v>
      </c>
      <c r="D3234" s="9" t="str">
        <f>IFERROR(__xludf.DUMMYFUNCTION("GOOGLETRANSLATE($A3234,""en"",""fr"")"),"Khouribga")</f>
        <v>Khouribga</v>
      </c>
      <c r="E3234" s="9" t="str">
        <f>IFERROR(__xludf.DUMMYFUNCTION("GOOGLETRANSLATE($A3234,""en"",""es"")"),"Juribga")</f>
        <v>Juribga</v>
      </c>
      <c r="F3234" s="9" t="str">
        <f>IFERROR(__xludf.DUMMYFUNCTION("GOOGLETRANSLATE($A3234,""en"",""it"")"),"Khouribga")</f>
        <v>Khouribga</v>
      </c>
      <c r="G3234" s="9" t="str">
        <f>IFERROR(__xludf.DUMMYFUNCTION("GOOGLETRANSLATE($A3234,""en"",""zh-cn"")"),"胡日布加")</f>
        <v>胡日布加</v>
      </c>
      <c r="H3234" s="9" t="str">
        <f>IFERROR(__xludf.DUMMYFUNCTION("GOOGLETRANSLATE($A3234,""en"",""ja"")"),"クーリブガ")</f>
        <v>クーリブガ</v>
      </c>
      <c r="I3234" s="9" t="str">
        <f>IFERROR(__xludf.DUMMYFUNCTION("GOOGLETRANSLATE($A3234,""en"",""ko"")"),"쿠리브가")</f>
        <v>쿠리브가</v>
      </c>
      <c r="J3234" s="9" t="str">
        <f>IFERROR(__xludf.DUMMYFUNCTION("GOOGLETRANSLATE($A3234,""en"",""pt-BR"")"),"Khouribga")</f>
        <v>Khouribga</v>
      </c>
    </row>
    <row r="3235">
      <c r="A3235" s="9" t="str">
        <f>IFERROR(__xludf.DUMMYFUNCTION("""COMPUTED_VALUE"""),"Khénifra")</f>
        <v>Khénifra</v>
      </c>
      <c r="B3235" s="9" t="str">
        <f>IFERROR(__xludf.DUMMYFUNCTION("""COMPUTED_VALUE"""),"ma-khn")</f>
        <v>ma-khn</v>
      </c>
      <c r="C3235" s="9" t="str">
        <f>IFERROR(__xludf.DUMMYFUNCTION("GOOGLETRANSLATE($A3235,""en"",""de"")"),"Khénifra")</f>
        <v>Khénifra</v>
      </c>
      <c r="D3235" s="9" t="str">
        <f>IFERROR(__xludf.DUMMYFUNCTION("GOOGLETRANSLATE($A3235,""en"",""fr"")"),"Khénifra")</f>
        <v>Khénifra</v>
      </c>
      <c r="E3235" s="9" t="str">
        <f>IFERROR(__xludf.DUMMYFUNCTION("GOOGLETRANSLATE($A3235,""en"",""es"")"),"Jenifra")</f>
        <v>Jenifra</v>
      </c>
      <c r="F3235" s="9" t="str">
        <f>IFERROR(__xludf.DUMMYFUNCTION("GOOGLETRANSLATE($A3235,""en"",""it"")"),"Khénifra")</f>
        <v>Khénifra</v>
      </c>
      <c r="G3235" s="9" t="str">
        <f>IFERROR(__xludf.DUMMYFUNCTION("GOOGLETRANSLATE($A3235,""en"",""zh-cn"")"),"海尼夫拉")</f>
        <v>海尼夫拉</v>
      </c>
      <c r="H3235" s="9" t="str">
        <f>IFERROR(__xludf.DUMMYFUNCTION("GOOGLETRANSLATE($A3235,""en"",""ja"")"),"ケニフラ")</f>
        <v>ケニフラ</v>
      </c>
      <c r="I3235" s="9" t="str">
        <f>IFERROR(__xludf.DUMMYFUNCTION("GOOGLETRANSLATE($A3235,""en"",""ko"")"),"케니프라")</f>
        <v>케니프라</v>
      </c>
      <c r="J3235" s="9" t="str">
        <f>IFERROR(__xludf.DUMMYFUNCTION("GOOGLETRANSLATE($A3235,""en"",""pt-BR"")"),"Quenifra")</f>
        <v>Quenifra</v>
      </c>
    </row>
    <row r="3236">
      <c r="A3236" s="9" t="str">
        <f>IFERROR(__xludf.DUMMYFUNCTION("""COMPUTED_VALUE"""),"Laâyoune (EH)")</f>
        <v>Laâyoune (EH)</v>
      </c>
      <c r="B3236" s="9" t="str">
        <f>IFERROR(__xludf.DUMMYFUNCTION("""COMPUTED_VALUE"""),"ma-laa")</f>
        <v>ma-laa</v>
      </c>
      <c r="C3236" s="9" t="str">
        <f>IFERROR(__xludf.DUMMYFUNCTION("GOOGLETRANSLATE($A3236,""en"",""de"")"),"Laâyoune (EH)")</f>
        <v>Laâyoune (EH)</v>
      </c>
      <c r="D3236" s="9" t="str">
        <f>IFERROR(__xludf.DUMMYFUNCTION("GOOGLETRANSLATE($A3236,""en"",""fr"")"),"Laâyoune (EH)")</f>
        <v>Laâyoune (EH)</v>
      </c>
      <c r="E3236" s="9" t="str">
        <f>IFERROR(__xludf.DUMMYFUNCTION("GOOGLETRANSLATE($A3236,""en"",""es"")"),"El Aaiún (EH)")</f>
        <v>El Aaiún (EH)</v>
      </c>
      <c r="F3236" s="9" t="str">
        <f>IFERROR(__xludf.DUMMYFUNCTION("GOOGLETRANSLATE($A3236,""en"",""it"")"),"Laâyoune (EH)")</f>
        <v>Laâyoune (EH)</v>
      </c>
      <c r="G3236" s="9" t="str">
        <f>IFERROR(__xludf.DUMMYFUNCTION("GOOGLETRANSLATE($A3236,""en"",""zh-cn"")"),"阿尤恩 (EH)")</f>
        <v>阿尤恩 (EH)</v>
      </c>
      <c r="H3236" s="9" t="str">
        <f>IFERROR(__xludf.DUMMYFUNCTION("GOOGLETRANSLATE($A3236,""en"",""ja"")"),"ラユーヌ (EH)")</f>
        <v>ラユーヌ (EH)</v>
      </c>
      <c r="I3236" s="9" t="str">
        <f>IFERROR(__xludf.DUMMYFUNCTION("GOOGLETRANSLATE($A3236,""en"",""ko"")"),"라윤(EH)")</f>
        <v>라윤(EH)</v>
      </c>
      <c r="J3236" s="9" t="str">
        <f>IFERROR(__xludf.DUMMYFUNCTION("GOOGLETRANSLATE($A3236,""en"",""pt-BR"")"),"Laâyoune (EH)")</f>
        <v>Laâyoune (EH)</v>
      </c>
    </row>
    <row r="3237">
      <c r="A3237" s="9" t="str">
        <f>IFERROR(__xludf.DUMMYFUNCTION("""COMPUTED_VALUE"""),"Chefchaouen")</f>
        <v>Chefchaouen</v>
      </c>
      <c r="B3237" s="9" t="str">
        <f>IFERROR(__xludf.DUMMYFUNCTION("""COMPUTED_VALUE"""),"ma-che")</f>
        <v>ma-che</v>
      </c>
      <c r="C3237" s="9" t="str">
        <f>IFERROR(__xludf.DUMMYFUNCTION("GOOGLETRANSLATE($A3237,""en"",""de"")"),"Chefchaouen")</f>
        <v>Chefchaouen</v>
      </c>
      <c r="D3237" s="9" t="str">
        <f>IFERROR(__xludf.DUMMYFUNCTION("GOOGLETRANSLATE($A3237,""en"",""fr"")"),"Chefchaouen")</f>
        <v>Chefchaouen</v>
      </c>
      <c r="E3237" s="9" t="str">
        <f>IFERROR(__xludf.DUMMYFUNCTION("GOOGLETRANSLATE($A3237,""en"",""es"")"),"Chefchauen")</f>
        <v>Chefchauen</v>
      </c>
      <c r="F3237" s="9" t="str">
        <f>IFERROR(__xludf.DUMMYFUNCTION("GOOGLETRANSLATE($A3237,""en"",""it"")"),"Chefchaouen")</f>
        <v>Chefchaouen</v>
      </c>
      <c r="G3237" s="9" t="str">
        <f>IFERROR(__xludf.DUMMYFUNCTION("GOOGLETRANSLATE($A3237,""en"",""zh-cn"")"),"舍夫沙万")</f>
        <v>舍夫沙万</v>
      </c>
      <c r="H3237" s="9" t="str">
        <f>IFERROR(__xludf.DUMMYFUNCTION("GOOGLETRANSLATE($A3237,""en"",""ja"")"),"シャウエン")</f>
        <v>シャウエン</v>
      </c>
      <c r="I3237" s="9" t="str">
        <f>IFERROR(__xludf.DUMMYFUNCTION("GOOGLETRANSLATE($A3237,""en"",""ko"")"),"쉐프샤우엔")</f>
        <v>쉐프샤우엔</v>
      </c>
      <c r="J3237" s="9" t="str">
        <f>IFERROR(__xludf.DUMMYFUNCTION("GOOGLETRANSLATE($A3237,""en"",""pt-BR"")"),"Xexuão")</f>
        <v>Xexuão</v>
      </c>
    </row>
    <row r="3238">
      <c r="A3238" s="9" t="str">
        <f>IFERROR(__xludf.DUMMYFUNCTION("""COMPUTED_VALUE"""),"Taza")</f>
        <v>Taza</v>
      </c>
      <c r="B3238" s="9" t="str">
        <f>IFERROR(__xludf.DUMMYFUNCTION("""COMPUTED_VALUE"""),"ma-taz")</f>
        <v>ma-taz</v>
      </c>
      <c r="C3238" s="9" t="str">
        <f>IFERROR(__xludf.DUMMYFUNCTION("GOOGLETRANSLATE($A3238,""en"",""de"")"),"Taza")</f>
        <v>Taza</v>
      </c>
      <c r="D3238" s="9" t="str">
        <f>IFERROR(__xludf.DUMMYFUNCTION("GOOGLETRANSLATE($A3238,""en"",""fr"")"),"Taza")</f>
        <v>Taza</v>
      </c>
      <c r="E3238" s="9" t="str">
        <f>IFERROR(__xludf.DUMMYFUNCTION("GOOGLETRANSLATE($A3238,""en"",""es"")"),"taza")</f>
        <v>taza</v>
      </c>
      <c r="F3238" s="9" t="str">
        <f>IFERROR(__xludf.DUMMYFUNCTION("GOOGLETRANSLATE($A3238,""en"",""it"")"),"Taza")</f>
        <v>Taza</v>
      </c>
      <c r="G3238" s="9" t="str">
        <f>IFERROR(__xludf.DUMMYFUNCTION("GOOGLETRANSLATE($A3238,""en"",""zh-cn"")"),"塔扎")</f>
        <v>塔扎</v>
      </c>
      <c r="H3238" s="9" t="str">
        <f>IFERROR(__xludf.DUMMYFUNCTION("GOOGLETRANSLATE($A3238,""en"",""ja"")"),"タザ")</f>
        <v>タザ</v>
      </c>
      <c r="I3238" s="9" t="str">
        <f>IFERROR(__xludf.DUMMYFUNCTION("GOOGLETRANSLATE($A3238,""en"",""ko"")"),"타자")</f>
        <v>타자</v>
      </c>
      <c r="J3238" s="9" t="str">
        <f>IFERROR(__xludf.DUMMYFUNCTION("GOOGLETRANSLATE($A3238,""en"",""pt-BR"")"),"Taza")</f>
        <v>Taza</v>
      </c>
    </row>
    <row r="3239">
      <c r="A3239" s="9" t="str">
        <f>IFERROR(__xludf.DUMMYFUNCTION("""COMPUTED_VALUE"""),"Tanger-Assilah")</f>
        <v>Tanger-Assilah</v>
      </c>
      <c r="B3239" s="9" t="str">
        <f>IFERROR(__xludf.DUMMYFUNCTION("""COMPUTED_VALUE"""),"ma-tng")</f>
        <v>ma-tng</v>
      </c>
      <c r="C3239" s="9" t="str">
        <f>IFERROR(__xludf.DUMMYFUNCTION("GOOGLETRANSLATE($A3239,""en"",""de"")"),"Tanger-Asilah")</f>
        <v>Tanger-Asilah</v>
      </c>
      <c r="D3239" s="9" t="str">
        <f>IFERROR(__xludf.DUMMYFUNCTION("GOOGLETRANSLATE($A3239,""en"",""fr"")"),"Tanger-Assilah")</f>
        <v>Tanger-Assilah</v>
      </c>
      <c r="E3239" s="9" t="str">
        <f>IFERROR(__xludf.DUMMYFUNCTION("GOOGLETRANSLATE($A3239,""en"",""es"")"),"Tánger-Arcila")</f>
        <v>Tánger-Arcila</v>
      </c>
      <c r="F3239" s="9" t="str">
        <f>IFERROR(__xludf.DUMMYFUNCTION("GOOGLETRANSLATE($A3239,""en"",""it"")"),"Tangeri-Assilah")</f>
        <v>Tangeri-Assilah</v>
      </c>
      <c r="G3239" s="9" t="str">
        <f>IFERROR(__xludf.DUMMYFUNCTION("GOOGLETRANSLATE($A3239,""en"",""zh-cn"")"),"丹吉尔-艾西拉")</f>
        <v>丹吉尔-艾西拉</v>
      </c>
      <c r="H3239" s="9" t="str">
        <f>IFERROR(__xludf.DUMMYFUNCTION("GOOGLETRANSLATE($A3239,""en"",""ja"")"),"タンジェ・アシラ")</f>
        <v>タンジェ・アシラ</v>
      </c>
      <c r="I3239" s="9" t="str">
        <f>IFERROR(__xludf.DUMMYFUNCTION("GOOGLETRANSLATE($A3239,""en"",""ko"")"),"탕헤르-아실라")</f>
        <v>탕헤르-아실라</v>
      </c>
      <c r="J3239" s="9" t="str">
        <f>IFERROR(__xludf.DUMMYFUNCTION("GOOGLETRANSLATE($A3239,""en"",""pt-BR"")"),"Tânger-Assilah")</f>
        <v>Tânger-Assilah</v>
      </c>
    </row>
    <row r="3240">
      <c r="A3240" s="9" t="str">
        <f>IFERROR(__xludf.DUMMYFUNCTION("""COMPUTED_VALUE"""),"Tan-Tan (EH-partial)")</f>
        <v>Tan-Tan (EH-partial)</v>
      </c>
      <c r="B3240" s="9" t="str">
        <f>IFERROR(__xludf.DUMMYFUNCTION("""COMPUTED_VALUE"""),"ma-tnt")</f>
        <v>ma-tnt</v>
      </c>
      <c r="C3240" s="9" t="str">
        <f>IFERROR(__xludf.DUMMYFUNCTION("GOOGLETRANSLATE($A3240,""en"",""de"")"),"Tan-Tan (EH-teilweise)")</f>
        <v>Tan-Tan (EH-teilweise)</v>
      </c>
      <c r="D3240" s="9" t="str">
        <f>IFERROR(__xludf.DUMMYFUNCTION("GOOGLETRANSLATE($A3240,""en"",""fr"")"),"Tan-Tan (EH-partiel)")</f>
        <v>Tan-Tan (EH-partiel)</v>
      </c>
      <c r="E3240" s="9" t="str">
        <f>IFERROR(__xludf.DUMMYFUNCTION("GOOGLETRANSLATE($A3240,""en"",""es"")"),"Tan-Tan (EH-parcial)")</f>
        <v>Tan-Tan (EH-parcial)</v>
      </c>
      <c r="F3240" s="9" t="str">
        <f>IFERROR(__xludf.DUMMYFUNCTION("GOOGLETRANSLATE($A3240,""en"",""it"")"),"Tan-Tan (EH-parziale)")</f>
        <v>Tan-Tan (EH-parziale)</v>
      </c>
      <c r="G3240" s="9" t="str">
        <f>IFERROR(__xludf.DUMMYFUNCTION("GOOGLETRANSLATE($A3240,""en"",""zh-cn"")"),"Tan-Tan（EH-部分）")</f>
        <v>Tan-Tan（EH-部分）</v>
      </c>
      <c r="H3240" s="9" t="str">
        <f>IFERROR(__xludf.DUMMYFUNCTION("GOOGLETRANSLATE($A3240,""en"",""ja"")"),"タンタン(EH-部分)")</f>
        <v>タンタン(EH-部分)</v>
      </c>
      <c r="I3240" s="9" t="str">
        <f>IFERROR(__xludf.DUMMYFUNCTION("GOOGLETRANSLATE($A3240,""en"",""ko"")"),"탄탄(EH-부분)")</f>
        <v>탄탄(EH-부분)</v>
      </c>
      <c r="J3240" s="9" t="str">
        <f>IFERROR(__xludf.DUMMYFUNCTION("GOOGLETRANSLATE($A3240,""en"",""pt-BR"")"),"Tan-Tan (EH-parcial)")</f>
        <v>Tan-Tan (EH-parcial)</v>
      </c>
    </row>
    <row r="3241">
      <c r="A3241" s="9" t="str">
        <f>IFERROR(__xludf.DUMMYFUNCTION("""COMPUTED_VALUE"""),"Zagora")</f>
        <v>Zagora</v>
      </c>
      <c r="B3241" s="9" t="str">
        <f>IFERROR(__xludf.DUMMYFUNCTION("""COMPUTED_VALUE"""),"ma-zag")</f>
        <v>ma-zag</v>
      </c>
      <c r="C3241" s="9" t="str">
        <f>IFERROR(__xludf.DUMMYFUNCTION("GOOGLETRANSLATE($A3241,""en"",""de"")"),"Zagora")</f>
        <v>Zagora</v>
      </c>
      <c r="D3241" s="9" t="str">
        <f>IFERROR(__xludf.DUMMYFUNCTION("GOOGLETRANSLATE($A3241,""en"",""fr"")"),"Zagora")</f>
        <v>Zagora</v>
      </c>
      <c r="E3241" s="9" t="str">
        <f>IFERROR(__xludf.DUMMYFUNCTION("GOOGLETRANSLATE($A3241,""en"",""es"")"),"Zagora")</f>
        <v>Zagora</v>
      </c>
      <c r="F3241" s="9" t="str">
        <f>IFERROR(__xludf.DUMMYFUNCTION("GOOGLETRANSLATE($A3241,""en"",""it"")"),"Zagora")</f>
        <v>Zagora</v>
      </c>
      <c r="G3241" s="9" t="str">
        <f>IFERROR(__xludf.DUMMYFUNCTION("GOOGLETRANSLATE($A3241,""en"",""zh-cn"")"),"扎戈拉")</f>
        <v>扎戈拉</v>
      </c>
      <c r="H3241" s="9" t="str">
        <f>IFERROR(__xludf.DUMMYFUNCTION("GOOGLETRANSLATE($A3241,""en"",""ja"")"),"ザゴラ")</f>
        <v>ザゴラ</v>
      </c>
      <c r="I3241" s="9" t="str">
        <f>IFERROR(__xludf.DUMMYFUNCTION("GOOGLETRANSLATE($A3241,""en"",""ko"")"),"자고라")</f>
        <v>자고라</v>
      </c>
      <c r="J3241" s="9" t="str">
        <f>IFERROR(__xludf.DUMMYFUNCTION("GOOGLETRANSLATE($A3241,""en"",""pt-BR"")"),"Zagora")</f>
        <v>Zagora</v>
      </c>
    </row>
    <row r="3242">
      <c r="A3242" s="9" t="str">
        <f>IFERROR(__xludf.DUMMYFUNCTION("""COMPUTED_VALUE"""),"Tiznit")</f>
        <v>Tiznit</v>
      </c>
      <c r="B3242" s="9" t="str">
        <f>IFERROR(__xludf.DUMMYFUNCTION("""COMPUTED_VALUE"""),"ma-tiz")</f>
        <v>ma-tiz</v>
      </c>
      <c r="C3242" s="9" t="str">
        <f>IFERROR(__xludf.DUMMYFUNCTION("GOOGLETRANSLATE($A3242,""en"",""de"")"),"Tiznit")</f>
        <v>Tiznit</v>
      </c>
      <c r="D3242" s="9" t="str">
        <f>IFERROR(__xludf.DUMMYFUNCTION("GOOGLETRANSLATE($A3242,""en"",""fr"")"),"Tiznit")</f>
        <v>Tiznit</v>
      </c>
      <c r="E3242" s="9" t="str">
        <f>IFERROR(__xludf.DUMMYFUNCTION("GOOGLETRANSLATE($A3242,""en"",""es"")"),"Tiznit")</f>
        <v>Tiznit</v>
      </c>
      <c r="F3242" s="9" t="str">
        <f>IFERROR(__xludf.DUMMYFUNCTION("GOOGLETRANSLATE($A3242,""en"",""it"")"),"Tiznit")</f>
        <v>Tiznit</v>
      </c>
      <c r="G3242" s="9" t="str">
        <f>IFERROR(__xludf.DUMMYFUNCTION("GOOGLETRANSLATE($A3242,""en"",""zh-cn"")"),"提兹尼特")</f>
        <v>提兹尼特</v>
      </c>
      <c r="H3242" s="9" t="str">
        <f>IFERROR(__xludf.DUMMYFUNCTION("GOOGLETRANSLATE($A3242,""en"",""ja"")"),"ティズニット")</f>
        <v>ティズニット</v>
      </c>
      <c r="I3242" s="9" t="str">
        <f>IFERROR(__xludf.DUMMYFUNCTION("GOOGLETRANSLATE($A3242,""en"",""ko"")"),"티즈니트")</f>
        <v>티즈니트</v>
      </c>
      <c r="J3242" s="9" t="str">
        <f>IFERROR(__xludf.DUMMYFUNCTION("GOOGLETRANSLATE($A3242,""en"",""pt-BR"")"),"Tiznit")</f>
        <v>Tiznit</v>
      </c>
    </row>
    <row r="3243">
      <c r="A3243" s="9" t="str">
        <f>IFERROR(__xludf.DUMMYFUNCTION("""COMPUTED_VALUE"""),"Taourirt")</f>
        <v>Taourirt</v>
      </c>
      <c r="B3243" s="9" t="str">
        <f>IFERROR(__xludf.DUMMYFUNCTION("""COMPUTED_VALUE"""),"ma-tai")</f>
        <v>ma-tai</v>
      </c>
      <c r="C3243" s="9" t="str">
        <f>IFERROR(__xludf.DUMMYFUNCTION("GOOGLETRANSLATE($A3243,""en"",""de"")"),"Taourirt")</f>
        <v>Taourirt</v>
      </c>
      <c r="D3243" s="9" t="str">
        <f>IFERROR(__xludf.DUMMYFUNCTION("GOOGLETRANSLATE($A3243,""en"",""fr"")"),"Taourirt")</f>
        <v>Taourirt</v>
      </c>
      <c r="E3243" s="9" t="str">
        <f>IFERROR(__xludf.DUMMYFUNCTION("GOOGLETRANSLATE($A3243,""en"",""es"")"),"Taourirt")</f>
        <v>Taourirt</v>
      </c>
      <c r="F3243" s="9" t="str">
        <f>IFERROR(__xludf.DUMMYFUNCTION("GOOGLETRANSLATE($A3243,""en"",""it"")"),"Taourirt")</f>
        <v>Taourirt</v>
      </c>
      <c r="G3243" s="9" t="str">
        <f>IFERROR(__xludf.DUMMYFUNCTION("GOOGLETRANSLATE($A3243,""en"",""zh-cn"")"),"陶里尔特")</f>
        <v>陶里尔特</v>
      </c>
      <c r="H3243" s="9" t="str">
        <f>IFERROR(__xludf.DUMMYFUNCTION("GOOGLETRANSLATE($A3243,""en"",""ja"")"),"タウリルト")</f>
        <v>タウリルト</v>
      </c>
      <c r="I3243" s="9" t="str">
        <f>IFERROR(__xludf.DUMMYFUNCTION("GOOGLETRANSLATE($A3243,""en"",""ko"")"),"타우리르트")</f>
        <v>타우리르트</v>
      </c>
      <c r="J3243" s="9" t="str">
        <f>IFERROR(__xludf.DUMMYFUNCTION("GOOGLETRANSLATE($A3243,""en"",""pt-BR"")"),"Taourirt")</f>
        <v>Taourirt</v>
      </c>
    </row>
    <row r="3244">
      <c r="A3244" s="9" t="str">
        <f>IFERROR(__xludf.DUMMYFUNCTION("""COMPUTED_VALUE"""),"Tata")</f>
        <v>Tata</v>
      </c>
      <c r="B3244" s="9" t="str">
        <f>IFERROR(__xludf.DUMMYFUNCTION("""COMPUTED_VALUE"""),"ma-tat")</f>
        <v>ma-tat</v>
      </c>
      <c r="C3244" s="9" t="str">
        <f>IFERROR(__xludf.DUMMYFUNCTION("GOOGLETRANSLATE($A3244,""en"",""de"")"),"Tata")</f>
        <v>Tata</v>
      </c>
      <c r="D3244" s="9" t="str">
        <f>IFERROR(__xludf.DUMMYFUNCTION("GOOGLETRANSLATE($A3244,""en"",""fr"")"),"Tata")</f>
        <v>Tata</v>
      </c>
      <c r="E3244" s="9" t="str">
        <f>IFERROR(__xludf.DUMMYFUNCTION("GOOGLETRANSLATE($A3244,""en"",""es"")"),"tata")</f>
        <v>tata</v>
      </c>
      <c r="F3244" s="9" t="str">
        <f>IFERROR(__xludf.DUMMYFUNCTION("GOOGLETRANSLATE($A3244,""en"",""it"")"),"Tata")</f>
        <v>Tata</v>
      </c>
      <c r="G3244" s="9" t="str">
        <f>IFERROR(__xludf.DUMMYFUNCTION("GOOGLETRANSLATE($A3244,""en"",""zh-cn"")"),"塔塔")</f>
        <v>塔塔</v>
      </c>
      <c r="H3244" s="9" t="str">
        <f>IFERROR(__xludf.DUMMYFUNCTION("GOOGLETRANSLATE($A3244,""en"",""ja"")"),"タタ")</f>
        <v>タタ</v>
      </c>
      <c r="I3244" s="9" t="str">
        <f>IFERROR(__xludf.DUMMYFUNCTION("GOOGLETRANSLATE($A3244,""en"",""ko"")"),"안녕")</f>
        <v>안녕</v>
      </c>
      <c r="J3244" s="9" t="str">
        <f>IFERROR(__xludf.DUMMYFUNCTION("GOOGLETRANSLATE($A3244,""en"",""pt-BR"")"),"Tatá")</f>
        <v>Tatá</v>
      </c>
    </row>
    <row r="3245">
      <c r="A3245" s="9" t="str">
        <f>IFERROR(__xludf.DUMMYFUNCTION("""COMPUTED_VALUE"""),"Youssoufia")</f>
        <v>Youssoufia</v>
      </c>
      <c r="B3245" s="9" t="str">
        <f>IFERROR(__xludf.DUMMYFUNCTION("""COMPUTED_VALUE"""),"ma-yus")</f>
        <v>ma-yus</v>
      </c>
      <c r="C3245" s="9" t="str">
        <f>IFERROR(__xludf.DUMMYFUNCTION("GOOGLETRANSLATE($A3245,""en"",""de"")"),"Youssoufia")</f>
        <v>Youssoufia</v>
      </c>
      <c r="D3245" s="9" t="str">
        <f>IFERROR(__xludf.DUMMYFUNCTION("GOOGLETRANSLATE($A3245,""en"",""fr"")"),"Youssoufia")</f>
        <v>Youssoufia</v>
      </c>
      <c r="E3245" s="9" t="str">
        <f>IFERROR(__xludf.DUMMYFUNCTION("GOOGLETRANSLATE($A3245,""en"",""es"")"),"Youssoufia")</f>
        <v>Youssoufia</v>
      </c>
      <c r="F3245" s="9" t="str">
        <f>IFERROR(__xludf.DUMMYFUNCTION("GOOGLETRANSLATE($A3245,""en"",""it"")"),"Youssoufia")</f>
        <v>Youssoufia</v>
      </c>
      <c r="G3245" s="9" t="str">
        <f>IFERROR(__xludf.DUMMYFUNCTION("GOOGLETRANSLATE($A3245,""en"",""zh-cn"")"),"尤索菲亚")</f>
        <v>尤索菲亚</v>
      </c>
      <c r="H3245" s="9" t="str">
        <f>IFERROR(__xludf.DUMMYFUNCTION("GOOGLETRANSLATE($A3245,""en"",""ja"")"),"ユスーフィア")</f>
        <v>ユスーフィア</v>
      </c>
      <c r="I3245" s="9" t="str">
        <f>IFERROR(__xludf.DUMMYFUNCTION("GOOGLETRANSLATE($A3245,""en"",""ko"")"),"유수피아")</f>
        <v>유수피아</v>
      </c>
      <c r="J3245" s="9" t="str">
        <f>IFERROR(__xludf.DUMMYFUNCTION("GOOGLETRANSLATE($A3245,""en"",""pt-BR"")"),"Youssoufia")</f>
        <v>Youssoufia</v>
      </c>
    </row>
    <row r="3246">
      <c r="A3246" s="9" t="str">
        <f>IFERROR(__xludf.DUMMYFUNCTION("""COMPUTED_VALUE"""),"Tinghir")</f>
        <v>Tinghir</v>
      </c>
      <c r="B3246" s="9" t="str">
        <f>IFERROR(__xludf.DUMMYFUNCTION("""COMPUTED_VALUE"""),"ma-tin")</f>
        <v>ma-tin</v>
      </c>
      <c r="C3246" s="9" t="str">
        <f>IFERROR(__xludf.DUMMYFUNCTION("GOOGLETRANSLATE($A3246,""en"",""de"")"),"Tinghir")</f>
        <v>Tinghir</v>
      </c>
      <c r="D3246" s="9" t="str">
        <f>IFERROR(__xludf.DUMMYFUNCTION("GOOGLETRANSLATE($A3246,""en"",""fr"")"),"Tinghir")</f>
        <v>Tinghir</v>
      </c>
      <c r="E3246" s="9" t="str">
        <f>IFERROR(__xludf.DUMMYFUNCTION("GOOGLETRANSLATE($A3246,""en"",""es"")"),"Tinerhir")</f>
        <v>Tinerhir</v>
      </c>
      <c r="F3246" s="9" t="str">
        <f>IFERROR(__xludf.DUMMYFUNCTION("GOOGLETRANSLATE($A3246,""en"",""it"")"),"Tinghir")</f>
        <v>Tinghir</v>
      </c>
      <c r="G3246" s="9" t="str">
        <f>IFERROR(__xludf.DUMMYFUNCTION("GOOGLETRANSLATE($A3246,""en"",""zh-cn"")"),"廷吉尔")</f>
        <v>廷吉尔</v>
      </c>
      <c r="H3246" s="9" t="str">
        <f>IFERROR(__xludf.DUMMYFUNCTION("GOOGLETRANSLATE($A3246,""en"",""ja"")"),"ティンギル")</f>
        <v>ティンギル</v>
      </c>
      <c r="I3246" s="9" t="str">
        <f>IFERROR(__xludf.DUMMYFUNCTION("GOOGLETRANSLATE($A3246,""en"",""ko"")"),"팅히르")</f>
        <v>팅히르</v>
      </c>
      <c r="J3246" s="9" t="str">
        <f>IFERROR(__xludf.DUMMYFUNCTION("GOOGLETRANSLATE($A3246,""en"",""pt-BR"")"),"Tinghir")</f>
        <v>Tinghir</v>
      </c>
    </row>
    <row r="3247">
      <c r="A3247" s="9" t="str">
        <f>IFERROR(__xludf.DUMMYFUNCTION("""COMPUTED_VALUE"""),"Tarfaya (EH-partial)")</f>
        <v>Tarfaya (EH-partial)</v>
      </c>
      <c r="B3247" s="9" t="str">
        <f>IFERROR(__xludf.DUMMYFUNCTION("""COMPUTED_VALUE"""),"ma-taf")</f>
        <v>ma-taf</v>
      </c>
      <c r="C3247" s="9" t="str">
        <f>IFERROR(__xludf.DUMMYFUNCTION("GOOGLETRANSLATE($A3247,""en"",""de"")"),"Tarfaya (EH-teilweise)")</f>
        <v>Tarfaya (EH-teilweise)</v>
      </c>
      <c r="D3247" s="9" t="str">
        <f>IFERROR(__xludf.DUMMYFUNCTION("GOOGLETRANSLATE($A3247,""en"",""fr"")"),"Tarfaya (EH-partiel)")</f>
        <v>Tarfaya (EH-partiel)</v>
      </c>
      <c r="E3247" s="9" t="str">
        <f>IFERROR(__xludf.DUMMYFUNCTION("GOOGLETRANSLATE($A3247,""en"",""es"")"),"Tarfaya (EH-parcial)")</f>
        <v>Tarfaya (EH-parcial)</v>
      </c>
      <c r="F3247" s="9" t="str">
        <f>IFERROR(__xludf.DUMMYFUNCTION("GOOGLETRANSLATE($A3247,""en"",""it"")"),"Tarfaya (EH-parziale)")</f>
        <v>Tarfaya (EH-parziale)</v>
      </c>
      <c r="G3247" s="9" t="str">
        <f>IFERROR(__xludf.DUMMYFUNCTION("GOOGLETRANSLATE($A3247,""en"",""zh-cn"")"),"塔尔法亚（EH-部分）")</f>
        <v>塔尔法亚（EH-部分）</v>
      </c>
      <c r="H3247" s="9" t="str">
        <f>IFERROR(__xludf.DUMMYFUNCTION("GOOGLETRANSLATE($A3247,""en"",""ja"")"),"タルファヤ (EH-部分)")</f>
        <v>タルファヤ (EH-部分)</v>
      </c>
      <c r="I3247" s="9" t="str">
        <f>IFERROR(__xludf.DUMMYFUNCTION("GOOGLETRANSLATE($A3247,""en"",""ko"")"),"타르파야(EH-부분)")</f>
        <v>타르파야(EH-부분)</v>
      </c>
      <c r="J3247" s="9" t="str">
        <f>IFERROR(__xludf.DUMMYFUNCTION("GOOGLETRANSLATE($A3247,""en"",""pt-BR"")"),"Tarfaya (EH-parcial)")</f>
        <v>Tarfaya (EH-parcial)</v>
      </c>
    </row>
    <row r="3248">
      <c r="A3248" s="9" t="str">
        <f>IFERROR(__xludf.DUMMYFUNCTION("""COMPUTED_VALUE"""),"Taounate")</f>
        <v>Taounate</v>
      </c>
      <c r="B3248" s="9" t="str">
        <f>IFERROR(__xludf.DUMMYFUNCTION("""COMPUTED_VALUE"""),"ma-tao")</f>
        <v>ma-tao</v>
      </c>
      <c r="C3248" s="9" t="str">
        <f>IFERROR(__xludf.DUMMYFUNCTION("GOOGLETRANSLATE($A3248,""en"",""de"")"),"Taounate")</f>
        <v>Taounate</v>
      </c>
      <c r="D3248" s="9" t="str">
        <f>IFERROR(__xludf.DUMMYFUNCTION("GOOGLETRANSLATE($A3248,""en"",""fr"")"),"Taounate")</f>
        <v>Taounate</v>
      </c>
      <c r="E3248" s="9" t="str">
        <f>IFERROR(__xludf.DUMMYFUNCTION("GOOGLETRANSLATE($A3248,""en"",""es"")"),"Taounate")</f>
        <v>Taounate</v>
      </c>
      <c r="F3248" s="9" t="str">
        <f>IFERROR(__xludf.DUMMYFUNCTION("GOOGLETRANSLATE($A3248,""en"",""it"")"),"Taounate")</f>
        <v>Taounate</v>
      </c>
      <c r="G3248" s="9" t="str">
        <f>IFERROR(__xludf.DUMMYFUNCTION("GOOGLETRANSLATE($A3248,""en"",""zh-cn"")"),"陶纳特")</f>
        <v>陶纳特</v>
      </c>
      <c r="H3248" s="9" t="str">
        <f>IFERROR(__xludf.DUMMYFUNCTION("GOOGLETRANSLATE($A3248,""en"",""ja"")"),"タウナテ")</f>
        <v>タウナテ</v>
      </c>
      <c r="I3248" s="9" t="str">
        <f>IFERROR(__xludf.DUMMYFUNCTION("GOOGLETRANSLATE($A3248,""en"",""ko"")"),"타우네이트")</f>
        <v>타우네이트</v>
      </c>
      <c r="J3248" s="9" t="str">
        <f>IFERROR(__xludf.DUMMYFUNCTION("GOOGLETRANSLATE($A3248,""en"",""pt-BR"")"),"Taounate")</f>
        <v>Taounate</v>
      </c>
    </row>
    <row r="3249">
      <c r="A3249" s="9" t="str">
        <f>IFERROR(__xludf.DUMMYFUNCTION("""COMPUTED_VALUE"""),"Tétouan")</f>
        <v>Tétouan</v>
      </c>
      <c r="B3249" s="9" t="str">
        <f>IFERROR(__xludf.DUMMYFUNCTION("""COMPUTED_VALUE"""),"ma-tet")</f>
        <v>ma-tet</v>
      </c>
      <c r="C3249" s="9" t="str">
        <f>IFERROR(__xludf.DUMMYFUNCTION("GOOGLETRANSLATE($A3249,""en"",""de"")"),"Tetouan")</f>
        <v>Tetouan</v>
      </c>
      <c r="D3249" s="9" t="str">
        <f>IFERROR(__xludf.DUMMYFUNCTION("GOOGLETRANSLATE($A3249,""en"",""fr"")"),"Tétouan")</f>
        <v>Tétouan</v>
      </c>
      <c r="E3249" s="9" t="str">
        <f>IFERROR(__xludf.DUMMYFUNCTION("GOOGLETRANSLATE($A3249,""en"",""es"")"),"Tetuán")</f>
        <v>Tetuán</v>
      </c>
      <c r="F3249" s="9" t="str">
        <f>IFERROR(__xludf.DUMMYFUNCTION("GOOGLETRANSLATE($A3249,""en"",""it"")"),"Tétouan")</f>
        <v>Tétouan</v>
      </c>
      <c r="G3249" s="9" t="str">
        <f>IFERROR(__xludf.DUMMYFUNCTION("GOOGLETRANSLATE($A3249,""en"",""zh-cn"")"),"得土安")</f>
        <v>得土安</v>
      </c>
      <c r="H3249" s="9" t="str">
        <f>IFERROR(__xludf.DUMMYFUNCTION("GOOGLETRANSLATE($A3249,""en"",""ja"")"),"テトゥアン")</f>
        <v>テトゥアン</v>
      </c>
      <c r="I3249" s="9" t="str">
        <f>IFERROR(__xludf.DUMMYFUNCTION("GOOGLETRANSLATE($A3249,""en"",""ko"")"),"테투안")</f>
        <v>테투안</v>
      </c>
      <c r="J3249" s="9" t="str">
        <f>IFERROR(__xludf.DUMMYFUNCTION("GOOGLETRANSLATE($A3249,""en"",""pt-BR"")"),"Tetuão")</f>
        <v>Tetuão</v>
      </c>
    </row>
    <row r="3250">
      <c r="A3250" s="9" t="str">
        <f>IFERROR(__xludf.DUMMYFUNCTION("""COMPUTED_VALUE"""),"Taroudannt")</f>
        <v>Taroudannt</v>
      </c>
      <c r="B3250" s="9" t="str">
        <f>IFERROR(__xludf.DUMMYFUNCTION("""COMPUTED_VALUE"""),"ma-tar")</f>
        <v>ma-tar</v>
      </c>
      <c r="C3250" s="9" t="str">
        <f>IFERROR(__xludf.DUMMYFUNCTION("GOOGLETRANSLATE($A3250,""en"",""de"")"),"Taroudannt")</f>
        <v>Taroudannt</v>
      </c>
      <c r="D3250" s="9" t="str">
        <f>IFERROR(__xludf.DUMMYFUNCTION("GOOGLETRANSLATE($A3250,""en"",""fr"")"),"Taroudant")</f>
        <v>Taroudant</v>
      </c>
      <c r="E3250" s="9" t="str">
        <f>IFERROR(__xludf.DUMMYFUNCTION("GOOGLETRANSLATE($A3250,""en"",""es"")"),"Tarudant")</f>
        <v>Tarudant</v>
      </c>
      <c r="F3250" s="9" t="str">
        <f>IFERROR(__xludf.DUMMYFUNCTION("GOOGLETRANSLATE($A3250,""en"",""it"")"),"Taroudant")</f>
        <v>Taroudant</v>
      </c>
      <c r="G3250" s="9" t="str">
        <f>IFERROR(__xludf.DUMMYFUNCTION("GOOGLETRANSLATE($A3250,""en"",""zh-cn"")"),"塔鲁丹特")</f>
        <v>塔鲁丹特</v>
      </c>
      <c r="H3250" s="9" t="str">
        <f>IFERROR(__xludf.DUMMYFUNCTION("GOOGLETRANSLATE($A3250,""en"",""ja"")"),"タルーダント")</f>
        <v>タルーダント</v>
      </c>
      <c r="I3250" s="9" t="str">
        <f>IFERROR(__xludf.DUMMYFUNCTION("GOOGLETRANSLATE($A3250,""en"",""ko"")"),"타로단트")</f>
        <v>타로단트</v>
      </c>
      <c r="J3250" s="9" t="str">
        <f>IFERROR(__xludf.DUMMYFUNCTION("GOOGLETRANSLATE($A3250,""en"",""pt-BR"")"),"Tarudante")</f>
        <v>Tarudante</v>
      </c>
    </row>
    <row r="3251">
      <c r="A3251" s="9" t="str">
        <f>IFERROR(__xludf.DUMMYFUNCTION("""COMPUTED_VALUE"""),"Sidi Youssef Ben Ali")</f>
        <v>Sidi Youssef Ben Ali</v>
      </c>
      <c r="B3251" s="9" t="str">
        <f>IFERROR(__xludf.DUMMYFUNCTION("""COMPUTED_VALUE"""),"ma-syb")</f>
        <v>ma-syb</v>
      </c>
      <c r="C3251" s="9" t="str">
        <f>IFERROR(__xludf.DUMMYFUNCTION("GOOGLETRANSLATE($A3251,""en"",""de"")"),"Sidi Youssef Ben Ali")</f>
        <v>Sidi Youssef Ben Ali</v>
      </c>
      <c r="D3251" s="9" t="str">
        <f>IFERROR(__xludf.DUMMYFUNCTION("GOOGLETRANSLATE($A3251,""en"",""fr"")"),"Sidi Youssef Ben Ali")</f>
        <v>Sidi Youssef Ben Ali</v>
      </c>
      <c r="E3251" s="9" t="str">
        <f>IFERROR(__xludf.DUMMYFUNCTION("GOOGLETRANSLATE($A3251,""en"",""es"")"),"Sidi Youssef Ben Ali")</f>
        <v>Sidi Youssef Ben Ali</v>
      </c>
      <c r="F3251" s="9" t="str">
        <f>IFERROR(__xludf.DUMMYFUNCTION("GOOGLETRANSLATE($A3251,""en"",""it"")"),"Sidi Youssef Ben Ali")</f>
        <v>Sidi Youssef Ben Ali</v>
      </c>
      <c r="G3251" s="9" t="str">
        <f>IFERROR(__xludf.DUMMYFUNCTION("GOOGLETRANSLATE($A3251,""en"",""zh-cn"")"),"西迪·优素福·本·阿里")</f>
        <v>西迪·优素福·本·阿里</v>
      </c>
      <c r="H3251" s="9" t="str">
        <f>IFERROR(__xludf.DUMMYFUNCTION("GOOGLETRANSLATE($A3251,""en"",""ja"")"),"シディ・ユセフ・ベン・アリ")</f>
        <v>シディ・ユセフ・ベン・アリ</v>
      </c>
      <c r="I3251" s="9" t="str">
        <f>IFERROR(__xludf.DUMMYFUNCTION("GOOGLETRANSLATE($A3251,""en"",""ko"")"),"시디 유세프 벤 알리")</f>
        <v>시디 유세프 벤 알리</v>
      </c>
      <c r="J3251" s="9" t="str">
        <f>IFERROR(__xludf.DUMMYFUNCTION("GOOGLETRANSLATE($A3251,""en"",""pt-BR"")"),"Sidi Youssef Ben Ali")</f>
        <v>Sidi Youssef Ben Ali</v>
      </c>
    </row>
    <row r="3252">
      <c r="A3252" s="9" t="str">
        <f>IFERROR(__xludf.DUMMYFUNCTION("""COMPUTED_VALUE"""),"Maputo city")</f>
        <v>Maputo city</v>
      </c>
      <c r="B3252" s="9" t="str">
        <f>IFERROR(__xludf.DUMMYFUNCTION("""COMPUTED_VALUE"""),"mz-mpm")</f>
        <v>mz-mpm</v>
      </c>
      <c r="C3252" s="9" t="str">
        <f>IFERROR(__xludf.DUMMYFUNCTION("GOOGLETRANSLATE($A3252,""en"",""de"")"),"Maputo-Stadt")</f>
        <v>Maputo-Stadt</v>
      </c>
      <c r="D3252" s="9" t="str">
        <f>IFERROR(__xludf.DUMMYFUNCTION("GOOGLETRANSLATE($A3252,""en"",""fr"")"),"Ville de Maputo")</f>
        <v>Ville de Maputo</v>
      </c>
      <c r="E3252" s="9" t="str">
        <f>IFERROR(__xludf.DUMMYFUNCTION("GOOGLETRANSLATE($A3252,""en"",""es"")"),"ciudad de maputo")</f>
        <v>ciudad de maputo</v>
      </c>
      <c r="F3252" s="9" t="str">
        <f>IFERROR(__xludf.DUMMYFUNCTION("GOOGLETRANSLATE($A3252,""en"",""it"")"),"Città di Maputo")</f>
        <v>Città di Maputo</v>
      </c>
      <c r="G3252" s="9" t="str">
        <f>IFERROR(__xludf.DUMMYFUNCTION("GOOGLETRANSLATE($A3252,""en"",""zh-cn"")"),"马普托市")</f>
        <v>马普托市</v>
      </c>
      <c r="H3252" s="9" t="str">
        <f>IFERROR(__xludf.DUMMYFUNCTION("GOOGLETRANSLATE($A3252,""en"",""ja"")"),"マプト市")</f>
        <v>マプト市</v>
      </c>
      <c r="I3252" s="9" t="str">
        <f>IFERROR(__xludf.DUMMYFUNCTION("GOOGLETRANSLATE($A3252,""en"",""ko"")"),"마푸토시")</f>
        <v>마푸토시</v>
      </c>
      <c r="J3252" s="9" t="str">
        <f>IFERROR(__xludf.DUMMYFUNCTION("GOOGLETRANSLATE($A3252,""en"",""pt-BR"")"),"Cidade de Maputo")</f>
        <v>Cidade de Maputo</v>
      </c>
    </row>
    <row r="3253">
      <c r="A3253" s="9" t="str">
        <f>IFERROR(__xludf.DUMMYFUNCTION("""COMPUTED_VALUE"""),"Tete")</f>
        <v>Tete</v>
      </c>
      <c r="B3253" s="9" t="str">
        <f>IFERROR(__xludf.DUMMYFUNCTION("""COMPUTED_VALUE"""),"mz-t")</f>
        <v>mz-t</v>
      </c>
      <c r="C3253" s="9" t="str">
        <f>IFERROR(__xludf.DUMMYFUNCTION("GOOGLETRANSLATE($A3253,""en"",""de"")"),"Tête")</f>
        <v>Tête</v>
      </c>
      <c r="D3253" s="9" t="str">
        <f>IFERROR(__xludf.DUMMYFUNCTION("GOOGLETRANSLATE($A3253,""en"",""fr"")"),"Tête")</f>
        <v>Tête</v>
      </c>
      <c r="E3253" s="9" t="str">
        <f>IFERROR(__xludf.DUMMYFUNCTION("GOOGLETRANSLATE($A3253,""en"",""es"")"),"teté")</f>
        <v>teté</v>
      </c>
      <c r="F3253" s="9" t="str">
        <f>IFERROR(__xludf.DUMMYFUNCTION("GOOGLETRANSLATE($A3253,""en"",""it"")"),"Tete")</f>
        <v>Tete</v>
      </c>
      <c r="G3253" s="9" t="str">
        <f>IFERROR(__xludf.DUMMYFUNCTION("GOOGLETRANSLATE($A3253,""en"",""zh-cn"")"),"太特")</f>
        <v>太特</v>
      </c>
      <c r="H3253" s="9" t="str">
        <f>IFERROR(__xludf.DUMMYFUNCTION("GOOGLETRANSLATE($A3253,""en"",""ja"")"),"テテ")</f>
        <v>テテ</v>
      </c>
      <c r="I3253" s="9" t="str">
        <f>IFERROR(__xludf.DUMMYFUNCTION("GOOGLETRANSLATE($A3253,""en"",""ko"")"),"테테")</f>
        <v>테테</v>
      </c>
      <c r="J3253" s="9" t="str">
        <f>IFERROR(__xludf.DUMMYFUNCTION("GOOGLETRANSLATE($A3253,""en"",""pt-BR"")"),"Tete")</f>
        <v>Tete</v>
      </c>
    </row>
    <row r="3254">
      <c r="A3254" s="9" t="str">
        <f>IFERROR(__xludf.DUMMYFUNCTION("""COMPUTED_VALUE"""),"Sofala")</f>
        <v>Sofala</v>
      </c>
      <c r="B3254" s="9" t="str">
        <f>IFERROR(__xludf.DUMMYFUNCTION("""COMPUTED_VALUE"""),"mz-s")</f>
        <v>mz-s</v>
      </c>
      <c r="C3254" s="9" t="str">
        <f>IFERROR(__xludf.DUMMYFUNCTION("GOOGLETRANSLATE($A3254,""en"",""de"")"),"Sofala")</f>
        <v>Sofala</v>
      </c>
      <c r="D3254" s="9" t="str">
        <f>IFERROR(__xludf.DUMMYFUNCTION("GOOGLETRANSLATE($A3254,""en"",""fr"")"),"Canapéla")</f>
        <v>Canapéla</v>
      </c>
      <c r="E3254" s="9" t="str">
        <f>IFERROR(__xludf.DUMMYFUNCTION("GOOGLETRANSLATE($A3254,""en"",""es"")"),"sofála")</f>
        <v>sofála</v>
      </c>
      <c r="F3254" s="9" t="str">
        <f>IFERROR(__xludf.DUMMYFUNCTION("GOOGLETRANSLATE($A3254,""en"",""it"")"),"Sofala")</f>
        <v>Sofala</v>
      </c>
      <c r="G3254" s="9" t="str">
        <f>IFERROR(__xludf.DUMMYFUNCTION("GOOGLETRANSLATE($A3254,""en"",""zh-cn"")"),"索法拉")</f>
        <v>索法拉</v>
      </c>
      <c r="H3254" s="9" t="str">
        <f>IFERROR(__xludf.DUMMYFUNCTION("GOOGLETRANSLATE($A3254,""en"",""ja"")"),"ソファラ")</f>
        <v>ソファラ</v>
      </c>
      <c r="I3254" s="9" t="str">
        <f>IFERROR(__xludf.DUMMYFUNCTION("GOOGLETRANSLATE($A3254,""en"",""ko"")"),"소파팔라")</f>
        <v>소파팔라</v>
      </c>
      <c r="J3254" s="9" t="str">
        <f>IFERROR(__xludf.DUMMYFUNCTION("GOOGLETRANSLATE($A3254,""en"",""pt-BR"")"),"Sofala")</f>
        <v>Sofala</v>
      </c>
    </row>
    <row r="3255">
      <c r="A3255" s="9" t="str">
        <f>IFERROR(__xludf.DUMMYFUNCTION("""COMPUTED_VALUE"""),"Manica")</f>
        <v>Manica</v>
      </c>
      <c r="B3255" s="9" t="str">
        <f>IFERROR(__xludf.DUMMYFUNCTION("""COMPUTED_VALUE"""),"mz-b")</f>
        <v>mz-b</v>
      </c>
      <c r="C3255" s="9" t="str">
        <f>IFERROR(__xludf.DUMMYFUNCTION("GOOGLETRANSLATE($A3255,""en"",""de"")"),"Manica")</f>
        <v>Manica</v>
      </c>
      <c r="D3255" s="9" t="str">
        <f>IFERROR(__xludf.DUMMYFUNCTION("GOOGLETRANSLATE($A3255,""en"",""fr"")"),"Manique")</f>
        <v>Manique</v>
      </c>
      <c r="E3255" s="9" t="str">
        <f>IFERROR(__xludf.DUMMYFUNCTION("GOOGLETRANSLATE($A3255,""en"",""es"")"),"Manica")</f>
        <v>Manica</v>
      </c>
      <c r="F3255" s="9" t="str">
        <f>IFERROR(__xludf.DUMMYFUNCTION("GOOGLETRANSLATE($A3255,""en"",""it"")"),"Manica")</f>
        <v>Manica</v>
      </c>
      <c r="G3255" s="9" t="str">
        <f>IFERROR(__xludf.DUMMYFUNCTION("GOOGLETRANSLATE($A3255,""en"",""zh-cn"")"),"马尼卡")</f>
        <v>马尼卡</v>
      </c>
      <c r="H3255" s="9" t="str">
        <f>IFERROR(__xludf.DUMMYFUNCTION("GOOGLETRANSLATE($A3255,""en"",""ja"")"),"マニカ")</f>
        <v>マニカ</v>
      </c>
      <c r="I3255" s="9" t="str">
        <f>IFERROR(__xludf.DUMMYFUNCTION("GOOGLETRANSLATE($A3255,""en"",""ko"")"),"마니카")</f>
        <v>마니카</v>
      </c>
      <c r="J3255" s="9" t="str">
        <f>IFERROR(__xludf.DUMMYFUNCTION("GOOGLETRANSLATE($A3255,""en"",""pt-BR"")"),"Manica")</f>
        <v>Manica</v>
      </c>
    </row>
    <row r="3256">
      <c r="A3256" s="9" t="str">
        <f>IFERROR(__xludf.DUMMYFUNCTION("""COMPUTED_VALUE"""),"Maputo province")</f>
        <v>Maputo province</v>
      </c>
      <c r="B3256" s="9" t="str">
        <f>IFERROR(__xludf.DUMMYFUNCTION("""COMPUTED_VALUE"""),"mz-l")</f>
        <v>mz-l</v>
      </c>
      <c r="C3256" s="9" t="str">
        <f>IFERROR(__xludf.DUMMYFUNCTION("GOOGLETRANSLATE($A3256,""en"",""de"")"),"Provinz Maputo")</f>
        <v>Provinz Maputo</v>
      </c>
      <c r="D3256" s="9" t="str">
        <f>IFERROR(__xludf.DUMMYFUNCTION("GOOGLETRANSLATE($A3256,""en"",""fr"")"),"Province de Maputo")</f>
        <v>Province de Maputo</v>
      </c>
      <c r="E3256" s="9" t="str">
        <f>IFERROR(__xludf.DUMMYFUNCTION("GOOGLETRANSLATE($A3256,""en"",""es"")"),"provincia de maputo")</f>
        <v>provincia de maputo</v>
      </c>
      <c r="F3256" s="9" t="str">
        <f>IFERROR(__xludf.DUMMYFUNCTION("GOOGLETRANSLATE($A3256,""en"",""it"")"),"Provincia di Maputo")</f>
        <v>Provincia di Maputo</v>
      </c>
      <c r="G3256" s="9" t="str">
        <f>IFERROR(__xludf.DUMMYFUNCTION("GOOGLETRANSLATE($A3256,""en"",""zh-cn"")"),"马普托省")</f>
        <v>马普托省</v>
      </c>
      <c r="H3256" s="9" t="str">
        <f>IFERROR(__xludf.DUMMYFUNCTION("GOOGLETRANSLATE($A3256,""en"",""ja"")"),"マプト県")</f>
        <v>マプト県</v>
      </c>
      <c r="I3256" s="9" t="str">
        <f>IFERROR(__xludf.DUMMYFUNCTION("GOOGLETRANSLATE($A3256,""en"",""ko"")"),"마푸토 지방")</f>
        <v>마푸토 지방</v>
      </c>
      <c r="J3256" s="9" t="str">
        <f>IFERROR(__xludf.DUMMYFUNCTION("GOOGLETRANSLATE($A3256,""en"",""pt-BR"")"),"Província de Maputo")</f>
        <v>Província de Maputo</v>
      </c>
    </row>
    <row r="3257">
      <c r="A3257" s="9" t="str">
        <f>IFERROR(__xludf.DUMMYFUNCTION("""COMPUTED_VALUE"""),"Niassa")</f>
        <v>Niassa</v>
      </c>
      <c r="B3257" s="9" t="str">
        <f>IFERROR(__xludf.DUMMYFUNCTION("""COMPUTED_VALUE"""),"mz-a")</f>
        <v>mz-a</v>
      </c>
      <c r="C3257" s="9" t="str">
        <f>IFERROR(__xludf.DUMMYFUNCTION("GOOGLETRANSLATE($A3257,""en"",""de"")"),"Niassa")</f>
        <v>Niassa</v>
      </c>
      <c r="D3257" s="9" t="str">
        <f>IFERROR(__xludf.DUMMYFUNCTION("GOOGLETRANSLATE($A3257,""en"",""fr"")"),"Niassa")</f>
        <v>Niassa</v>
      </c>
      <c r="E3257" s="9" t="str">
        <f>IFERROR(__xludf.DUMMYFUNCTION("GOOGLETRANSLATE($A3257,""en"",""es"")"),"niasa")</f>
        <v>niasa</v>
      </c>
      <c r="F3257" s="9" t="str">
        <f>IFERROR(__xludf.DUMMYFUNCTION("GOOGLETRANSLATE($A3257,""en"",""it"")"),"Niassa")</f>
        <v>Niassa</v>
      </c>
      <c r="G3257" s="9" t="str">
        <f>IFERROR(__xludf.DUMMYFUNCTION("GOOGLETRANSLATE($A3257,""en"",""zh-cn"")"),"尼亚萨")</f>
        <v>尼亚萨</v>
      </c>
      <c r="H3257" s="9" t="str">
        <f>IFERROR(__xludf.DUMMYFUNCTION("GOOGLETRANSLATE($A3257,""en"",""ja"")"),"ニアッサ")</f>
        <v>ニアッサ</v>
      </c>
      <c r="I3257" s="9" t="str">
        <f>IFERROR(__xludf.DUMMYFUNCTION("GOOGLETRANSLATE($A3257,""en"",""ko"")"),"니아사")</f>
        <v>니아사</v>
      </c>
      <c r="J3257" s="9" t="str">
        <f>IFERROR(__xludf.DUMMYFUNCTION("GOOGLETRANSLATE($A3257,""en"",""pt-BR"")"),"Niassa")</f>
        <v>Niassa</v>
      </c>
    </row>
    <row r="3258">
      <c r="A3258" s="9" t="str">
        <f>IFERROR(__xludf.DUMMYFUNCTION("""COMPUTED_VALUE"""),"Nampula")</f>
        <v>Nampula</v>
      </c>
      <c r="B3258" s="9" t="str">
        <f>IFERROR(__xludf.DUMMYFUNCTION("""COMPUTED_VALUE"""),"mz-n")</f>
        <v>mz-n</v>
      </c>
      <c r="C3258" s="9" t="str">
        <f>IFERROR(__xludf.DUMMYFUNCTION("GOOGLETRANSLATE($A3258,""en"",""de"")"),"Nampula")</f>
        <v>Nampula</v>
      </c>
      <c r="D3258" s="9" t="str">
        <f>IFERROR(__xludf.DUMMYFUNCTION("GOOGLETRANSLATE($A3258,""en"",""fr"")"),"Namula")</f>
        <v>Namula</v>
      </c>
      <c r="E3258" s="9" t="str">
        <f>IFERROR(__xludf.DUMMYFUNCTION("GOOGLETRANSLATE($A3258,""en"",""es"")"),"Nampula")</f>
        <v>Nampula</v>
      </c>
      <c r="F3258" s="9" t="str">
        <f>IFERROR(__xludf.DUMMYFUNCTION("GOOGLETRANSLATE($A3258,""en"",""it"")"),"Nampula")</f>
        <v>Nampula</v>
      </c>
      <c r="G3258" s="9" t="str">
        <f>IFERROR(__xludf.DUMMYFUNCTION("GOOGLETRANSLATE($A3258,""en"",""zh-cn"")"),"楠普拉")</f>
        <v>楠普拉</v>
      </c>
      <c r="H3258" s="9" t="str">
        <f>IFERROR(__xludf.DUMMYFUNCTION("GOOGLETRANSLATE($A3258,""en"",""ja"")"),"ナンプラ")</f>
        <v>ナンプラ</v>
      </c>
      <c r="I3258" s="9" t="str">
        <f>IFERROR(__xludf.DUMMYFUNCTION("GOOGLETRANSLATE($A3258,""en"",""ko"")"),"남풀라")</f>
        <v>남풀라</v>
      </c>
      <c r="J3258" s="9" t="str">
        <f>IFERROR(__xludf.DUMMYFUNCTION("GOOGLETRANSLATE($A3258,""en"",""pt-BR"")"),"Nampula")</f>
        <v>Nampula</v>
      </c>
    </row>
    <row r="3259">
      <c r="A3259" s="9" t="str">
        <f>IFERROR(__xludf.DUMMYFUNCTION("""COMPUTED_VALUE"""),"Cabo Delgado")</f>
        <v>Cabo Delgado</v>
      </c>
      <c r="B3259" s="9" t="str">
        <f>IFERROR(__xludf.DUMMYFUNCTION("""COMPUTED_VALUE"""),"mz-p")</f>
        <v>mz-p</v>
      </c>
      <c r="C3259" s="9" t="str">
        <f>IFERROR(__xludf.DUMMYFUNCTION("GOOGLETRANSLATE($A3259,""en"",""de"")"),"Cabo Delgado")</f>
        <v>Cabo Delgado</v>
      </c>
      <c r="D3259" s="9" t="str">
        <f>IFERROR(__xludf.DUMMYFUNCTION("GOOGLETRANSLATE($A3259,""en"",""fr"")"),"Cap Delgado")</f>
        <v>Cap Delgado</v>
      </c>
      <c r="E3259" s="9" t="str">
        <f>IFERROR(__xludf.DUMMYFUNCTION("GOOGLETRANSLATE($A3259,""en"",""es"")"),"Cabo Delgado")</f>
        <v>Cabo Delgado</v>
      </c>
      <c r="F3259" s="9" t="str">
        <f>IFERROR(__xludf.DUMMYFUNCTION("GOOGLETRANSLATE($A3259,""en"",""it"")"),"Cabo Delgado")</f>
        <v>Cabo Delgado</v>
      </c>
      <c r="G3259" s="9" t="str">
        <f>IFERROR(__xludf.DUMMYFUNCTION("GOOGLETRANSLATE($A3259,""en"",""zh-cn"")"),"德尔加杜角")</f>
        <v>德尔加杜角</v>
      </c>
      <c r="H3259" s="9" t="str">
        <f>IFERROR(__xludf.DUMMYFUNCTION("GOOGLETRANSLATE($A3259,""en"",""ja"")"),"カボ デルガド")</f>
        <v>カボ デルガド</v>
      </c>
      <c r="I3259" s="9" t="str">
        <f>IFERROR(__xludf.DUMMYFUNCTION("GOOGLETRANSLATE($A3259,""en"",""ko"")"),"카보 델가도")</f>
        <v>카보 델가도</v>
      </c>
      <c r="J3259" s="9" t="str">
        <f>IFERROR(__xludf.DUMMYFUNCTION("GOOGLETRANSLATE($A3259,""en"",""pt-BR"")"),"Cabo Delgado")</f>
        <v>Cabo Delgado</v>
      </c>
    </row>
    <row r="3260">
      <c r="A3260" s="9" t="str">
        <f>IFERROR(__xludf.DUMMYFUNCTION("""COMPUTED_VALUE"""),"Inhambane")</f>
        <v>Inhambane</v>
      </c>
      <c r="B3260" s="9" t="str">
        <f>IFERROR(__xludf.DUMMYFUNCTION("""COMPUTED_VALUE"""),"mz-i")</f>
        <v>mz-i</v>
      </c>
      <c r="C3260" s="9" t="str">
        <f>IFERROR(__xludf.DUMMYFUNCTION("GOOGLETRANSLATE($A3260,""en"",""de"")"),"Inhambane")</f>
        <v>Inhambane</v>
      </c>
      <c r="D3260" s="9" t="str">
        <f>IFERROR(__xludf.DUMMYFUNCTION("GOOGLETRANSLATE($A3260,""en"",""fr"")"),"Inhambane")</f>
        <v>Inhambane</v>
      </c>
      <c r="E3260" s="9" t="str">
        <f>IFERROR(__xludf.DUMMYFUNCTION("GOOGLETRANSLATE($A3260,""en"",""es"")"),"Inhambane")</f>
        <v>Inhambane</v>
      </c>
      <c r="F3260" s="9" t="str">
        <f>IFERROR(__xludf.DUMMYFUNCTION("GOOGLETRANSLATE($A3260,""en"",""it"")"),"Inhambane")</f>
        <v>Inhambane</v>
      </c>
      <c r="G3260" s="9" t="str">
        <f>IFERROR(__xludf.DUMMYFUNCTION("GOOGLETRANSLATE($A3260,""en"",""zh-cn"")"),"伊尼扬巴内")</f>
        <v>伊尼扬巴内</v>
      </c>
      <c r="H3260" s="9" t="str">
        <f>IFERROR(__xludf.DUMMYFUNCTION("GOOGLETRANSLATE($A3260,""en"",""ja"")"),"イニャンバネ")</f>
        <v>イニャンバネ</v>
      </c>
      <c r="I3260" s="9" t="str">
        <f>IFERROR(__xludf.DUMMYFUNCTION("GOOGLETRANSLATE($A3260,""en"",""ko"")"),"인함바네")</f>
        <v>인함바네</v>
      </c>
      <c r="J3260" s="9" t="str">
        <f>IFERROR(__xludf.DUMMYFUNCTION("GOOGLETRANSLATE($A3260,""en"",""pt-BR"")"),"Inhambane")</f>
        <v>Inhambane</v>
      </c>
    </row>
    <row r="3261">
      <c r="A3261" s="9" t="str">
        <f>IFERROR(__xludf.DUMMYFUNCTION("""COMPUTED_VALUE"""),"Gaza (MZ)")</f>
        <v>Gaza (MZ)</v>
      </c>
      <c r="B3261" s="9" t="str">
        <f>IFERROR(__xludf.DUMMYFUNCTION("""COMPUTED_VALUE"""),"mz-g")</f>
        <v>mz-g</v>
      </c>
      <c r="C3261" s="9" t="str">
        <f>IFERROR(__xludf.DUMMYFUNCTION("GOOGLETRANSLATE($A3261,""en"",""de"")"),"Gaza (MZ)")</f>
        <v>Gaza (MZ)</v>
      </c>
      <c r="D3261" s="9" t="str">
        <f>IFERROR(__xludf.DUMMYFUNCTION("GOOGLETRANSLATE($A3261,""en"",""fr"")"),"Gaza (MZ)")</f>
        <v>Gaza (MZ)</v>
      </c>
      <c r="E3261" s="9" t="str">
        <f>IFERROR(__xludf.DUMMYFUNCTION("GOOGLETRANSLATE($A3261,""en"",""es"")"),"Gaza (MZ)")</f>
        <v>Gaza (MZ)</v>
      </c>
      <c r="F3261" s="9" t="str">
        <f>IFERROR(__xludf.DUMMYFUNCTION("GOOGLETRANSLATE($A3261,""en"",""it"")"),"Gaza (MZ)")</f>
        <v>Gaza (MZ)</v>
      </c>
      <c r="G3261" s="9" t="str">
        <f>IFERROR(__xludf.DUMMYFUNCTION("GOOGLETRANSLATE($A3261,""en"",""zh-cn"")"),"加沙 (MZ)")</f>
        <v>加沙 (MZ)</v>
      </c>
      <c r="H3261" s="9" t="str">
        <f>IFERROR(__xludf.DUMMYFUNCTION("GOOGLETRANSLATE($A3261,""en"",""ja"")"),"ガザ (MZ)")</f>
        <v>ガザ (MZ)</v>
      </c>
      <c r="I3261" s="9" t="str">
        <f>IFERROR(__xludf.DUMMYFUNCTION("GOOGLETRANSLATE($A3261,""en"",""ko"")"),"가자(MZ)")</f>
        <v>가자(MZ)</v>
      </c>
      <c r="J3261" s="9" t="str">
        <f>IFERROR(__xludf.DUMMYFUNCTION("GOOGLETRANSLATE($A3261,""en"",""pt-BR"")"),"Gaza (MZ)")</f>
        <v>Gaza (MZ)</v>
      </c>
    </row>
    <row r="3262">
      <c r="A3262" s="9" t="str">
        <f>IFERROR(__xludf.DUMMYFUNCTION("""COMPUTED_VALUE"""),"Zambézia")</f>
        <v>Zambézia</v>
      </c>
      <c r="B3262" s="9" t="str">
        <f>IFERROR(__xludf.DUMMYFUNCTION("""COMPUTED_VALUE"""),"mz-q")</f>
        <v>mz-q</v>
      </c>
      <c r="C3262" s="9" t="str">
        <f>IFERROR(__xludf.DUMMYFUNCTION("GOOGLETRANSLATE($A3262,""en"",""de"")"),"Zambézia")</f>
        <v>Zambézia</v>
      </c>
      <c r="D3262" s="9" t="str">
        <f>IFERROR(__xludf.DUMMYFUNCTION("GOOGLETRANSLATE($A3262,""en"",""fr"")"),"Zambézie")</f>
        <v>Zambézie</v>
      </c>
      <c r="E3262" s="9" t="str">
        <f>IFERROR(__xludf.DUMMYFUNCTION("GOOGLETRANSLATE($A3262,""en"",""es"")"),"Zambezia")</f>
        <v>Zambezia</v>
      </c>
      <c r="F3262" s="9" t="str">
        <f>IFERROR(__xludf.DUMMYFUNCTION("GOOGLETRANSLATE($A3262,""en"",""it"")"),"Zambezia")</f>
        <v>Zambezia</v>
      </c>
      <c r="G3262" s="9" t="str">
        <f>IFERROR(__xludf.DUMMYFUNCTION("GOOGLETRANSLATE($A3262,""en"",""zh-cn"")"),"赞比西亚")</f>
        <v>赞比西亚</v>
      </c>
      <c r="H3262" s="9" t="str">
        <f>IFERROR(__xludf.DUMMYFUNCTION("GOOGLETRANSLATE($A3262,""en"",""ja"")"),"ザンベジア")</f>
        <v>ザンベジア</v>
      </c>
      <c r="I3262" s="9" t="str">
        <f>IFERROR(__xludf.DUMMYFUNCTION("GOOGLETRANSLATE($A3262,""en"",""ko"")"),"잠베지아")</f>
        <v>잠베지아</v>
      </c>
      <c r="J3262" s="9" t="str">
        <f>IFERROR(__xludf.DUMMYFUNCTION("GOOGLETRANSLATE($A3262,""en"",""pt-BR"")"),"Zambézia")</f>
        <v>Zambézia</v>
      </c>
    </row>
    <row r="3263">
      <c r="A3263" s="9" t="str">
        <f>IFERROR(__xludf.DUMMYFUNCTION("""COMPUTED_VALUE"""),"Kayin")</f>
        <v>Kayin</v>
      </c>
      <c r="B3263" s="9" t="str">
        <f>IFERROR(__xludf.DUMMYFUNCTION("""COMPUTED_VALUE"""),"mm-13")</f>
        <v>mm-13</v>
      </c>
      <c r="C3263" s="9" t="str">
        <f>IFERROR(__xludf.DUMMYFUNCTION("GOOGLETRANSLATE($A3263,""en"",""de"")"),"Kayin")</f>
        <v>Kayin</v>
      </c>
      <c r="D3263" s="9" t="str">
        <f>IFERROR(__xludf.DUMMYFUNCTION("GOOGLETRANSLATE($A3263,""en"",""fr"")"),"Kayin")</f>
        <v>Kayin</v>
      </c>
      <c r="E3263" s="9" t="str">
        <f>IFERROR(__xludf.DUMMYFUNCTION("GOOGLETRANSLATE($A3263,""en"",""es"")"),"kayin")</f>
        <v>kayin</v>
      </c>
      <c r="F3263" s="9" t="str">
        <f>IFERROR(__xludf.DUMMYFUNCTION("GOOGLETRANSLATE($A3263,""en"",""it"")"),"Kayin")</f>
        <v>Kayin</v>
      </c>
      <c r="G3263" s="9" t="str">
        <f>IFERROR(__xludf.DUMMYFUNCTION("GOOGLETRANSLATE($A3263,""en"",""zh-cn"")"),"克伦语")</f>
        <v>克伦语</v>
      </c>
      <c r="H3263" s="9" t="str">
        <f>IFERROR(__xludf.DUMMYFUNCTION("GOOGLETRANSLATE($A3263,""en"",""ja"")"),"カレン")</f>
        <v>カレン</v>
      </c>
      <c r="I3263" s="9" t="str">
        <f>IFERROR(__xludf.DUMMYFUNCTION("GOOGLETRANSLATE($A3263,""en"",""ko"")"),"카인")</f>
        <v>카인</v>
      </c>
      <c r="J3263" s="9" t="str">
        <f>IFERROR(__xludf.DUMMYFUNCTION("GOOGLETRANSLATE($A3263,""en"",""pt-BR"")"),"Kayin")</f>
        <v>Kayin</v>
      </c>
    </row>
    <row r="3264">
      <c r="A3264" s="9" t="str">
        <f>IFERROR(__xludf.DUMMYFUNCTION("""COMPUTED_VALUE"""),"Mon")</f>
        <v>Mon</v>
      </c>
      <c r="B3264" s="9" t="str">
        <f>IFERROR(__xludf.DUMMYFUNCTION("""COMPUTED_VALUE"""),"mm-15")</f>
        <v>mm-15</v>
      </c>
      <c r="C3264" s="9" t="str">
        <f>IFERROR(__xludf.DUMMYFUNCTION("GOOGLETRANSLATE($A3264,""en"",""de"")"),"Mo")</f>
        <v>Mo</v>
      </c>
      <c r="D3264" s="9" t="str">
        <f>IFERROR(__xludf.DUMMYFUNCTION("GOOGLETRANSLATE($A3264,""en"",""fr"")"),"Lun")</f>
        <v>Lun</v>
      </c>
      <c r="E3264" s="9" t="str">
        <f>IFERROR(__xludf.DUMMYFUNCTION("GOOGLETRANSLATE($A3264,""en"",""es"")"),"Lun")</f>
        <v>Lun</v>
      </c>
      <c r="F3264" s="9" t="str">
        <f>IFERROR(__xludf.DUMMYFUNCTION("GOOGLETRANSLATE($A3264,""en"",""it"")"),"Lun")</f>
        <v>Lun</v>
      </c>
      <c r="G3264" s="9" t="str">
        <f>IFERROR(__xludf.DUMMYFUNCTION("GOOGLETRANSLATE($A3264,""en"",""zh-cn"")"),"周一")</f>
        <v>周一</v>
      </c>
      <c r="H3264" s="9" t="str">
        <f>IFERROR(__xludf.DUMMYFUNCTION("GOOGLETRANSLATE($A3264,""en"",""ja"")"),"月")</f>
        <v>月</v>
      </c>
      <c r="I3264" s="9" t="str">
        <f>IFERROR(__xludf.DUMMYFUNCTION("GOOGLETRANSLATE($A3264,""en"",""ko"")"),"월")</f>
        <v>월</v>
      </c>
      <c r="J3264" s="9" t="str">
        <f>IFERROR(__xludf.DUMMYFUNCTION("GOOGLETRANSLATE($A3264,""en"",""pt-BR"")"),"seg")</f>
        <v>seg</v>
      </c>
    </row>
    <row r="3265">
      <c r="A3265" s="9" t="str">
        <f>IFERROR(__xludf.DUMMYFUNCTION("""COMPUTED_VALUE"""),"Rakhine")</f>
        <v>Rakhine</v>
      </c>
      <c r="B3265" s="9" t="str">
        <f>IFERROR(__xludf.DUMMYFUNCTION("""COMPUTED_VALUE"""),"mm-16")</f>
        <v>mm-16</v>
      </c>
      <c r="C3265" s="9" t="str">
        <f>IFERROR(__xludf.DUMMYFUNCTION("GOOGLETRANSLATE($A3265,""en"",""de"")"),"Rakhine")</f>
        <v>Rakhine</v>
      </c>
      <c r="D3265" s="9" t="str">
        <f>IFERROR(__xludf.DUMMYFUNCTION("GOOGLETRANSLATE($A3265,""en"",""fr"")"),"Rakhine")</f>
        <v>Rakhine</v>
      </c>
      <c r="E3265" s="9" t="str">
        <f>IFERROR(__xludf.DUMMYFUNCTION("GOOGLETRANSLATE($A3265,""en"",""es"")"),"Rakáin")</f>
        <v>Rakáin</v>
      </c>
      <c r="F3265" s="9" t="str">
        <f>IFERROR(__xludf.DUMMYFUNCTION("GOOGLETRANSLATE($A3265,""en"",""it"")"),"Rakhine")</f>
        <v>Rakhine</v>
      </c>
      <c r="G3265" s="9" t="str">
        <f>IFERROR(__xludf.DUMMYFUNCTION("GOOGLETRANSLATE($A3265,""en"",""zh-cn"")"),"若开邦")</f>
        <v>若开邦</v>
      </c>
      <c r="H3265" s="9" t="str">
        <f>IFERROR(__xludf.DUMMYFUNCTION("GOOGLETRANSLATE($A3265,""en"",""ja"")"),"ラカイン州")</f>
        <v>ラカイン州</v>
      </c>
      <c r="I3265" s="9" t="str">
        <f>IFERROR(__xludf.DUMMYFUNCTION("GOOGLETRANSLATE($A3265,""en"",""ko"")"),"라카인")</f>
        <v>라카인</v>
      </c>
      <c r="J3265" s="9" t="str">
        <f>IFERROR(__xludf.DUMMYFUNCTION("GOOGLETRANSLATE($A3265,""en"",""pt-BR"")"),"Rakhine")</f>
        <v>Rakhine</v>
      </c>
    </row>
    <row r="3266">
      <c r="A3266" s="9" t="str">
        <f>IFERROR(__xludf.DUMMYFUNCTION("""COMPUTED_VALUE"""),"Kayah")</f>
        <v>Kayah</v>
      </c>
      <c r="B3266" s="9" t="str">
        <f>IFERROR(__xludf.DUMMYFUNCTION("""COMPUTED_VALUE"""),"mm-12")</f>
        <v>mm-12</v>
      </c>
      <c r="C3266" s="9" t="str">
        <f>IFERROR(__xludf.DUMMYFUNCTION("GOOGLETRANSLATE($A3266,""en"",""de"")"),"Kayah")</f>
        <v>Kayah</v>
      </c>
      <c r="D3266" s="9" t="str">
        <f>IFERROR(__xludf.DUMMYFUNCTION("GOOGLETRANSLATE($A3266,""en"",""fr"")"),"Kayah")</f>
        <v>Kayah</v>
      </c>
      <c r="E3266" s="9" t="str">
        <f>IFERROR(__xludf.DUMMYFUNCTION("GOOGLETRANSLATE($A3266,""en"",""es"")"),"kaya")</f>
        <v>kaya</v>
      </c>
      <c r="F3266" s="9" t="str">
        <f>IFERROR(__xludf.DUMMYFUNCTION("GOOGLETRANSLATE($A3266,""en"",""it"")"),"Kayah")</f>
        <v>Kayah</v>
      </c>
      <c r="G3266" s="9" t="str">
        <f>IFERROR(__xludf.DUMMYFUNCTION("GOOGLETRANSLATE($A3266,""en"",""zh-cn"")"),"克耶族")</f>
        <v>克耶族</v>
      </c>
      <c r="H3266" s="9" t="str">
        <f>IFERROR(__xludf.DUMMYFUNCTION("GOOGLETRANSLATE($A3266,""en"",""ja"")"),"カヤー")</f>
        <v>カヤー</v>
      </c>
      <c r="I3266" s="9" t="str">
        <f>IFERROR(__xludf.DUMMYFUNCTION("GOOGLETRANSLATE($A3266,""en"",""ko"")"),"카야")</f>
        <v>카야</v>
      </c>
      <c r="J3266" s="9" t="str">
        <f>IFERROR(__xludf.DUMMYFUNCTION("GOOGLETRANSLATE($A3266,""en"",""pt-BR"")"),"Kayah")</f>
        <v>Kayah</v>
      </c>
    </row>
    <row r="3267">
      <c r="A3267" s="9" t="str">
        <f>IFERROR(__xludf.DUMMYFUNCTION("""COMPUTED_VALUE"""),"Sagaing")</f>
        <v>Sagaing</v>
      </c>
      <c r="B3267" s="9" t="str">
        <f>IFERROR(__xludf.DUMMYFUNCTION("""COMPUTED_VALUE"""),"mm-01")</f>
        <v>mm-01</v>
      </c>
      <c r="C3267" s="9" t="str">
        <f>IFERROR(__xludf.DUMMYFUNCTION("GOOGLETRANSLATE($A3267,""en"",""de"")"),"Sagaing")</f>
        <v>Sagaing</v>
      </c>
      <c r="D3267" s="9" t="str">
        <f>IFERROR(__xludf.DUMMYFUNCTION("GOOGLETRANSLATE($A3267,""en"",""fr"")"),"Sagaing")</f>
        <v>Sagaing</v>
      </c>
      <c r="E3267" s="9" t="str">
        <f>IFERROR(__xludf.DUMMYFUNCTION("GOOGLETRANSLATE($A3267,""en"",""es"")"),"sagaing")</f>
        <v>sagaing</v>
      </c>
      <c r="F3267" s="9" t="str">
        <f>IFERROR(__xludf.DUMMYFUNCTION("GOOGLETRANSLATE($A3267,""en"",""it"")"),"Sagaing")</f>
        <v>Sagaing</v>
      </c>
      <c r="G3267" s="9" t="str">
        <f>IFERROR(__xludf.DUMMYFUNCTION("GOOGLETRANSLATE($A3267,""en"",""zh-cn"")"),"实皆")</f>
        <v>实皆</v>
      </c>
      <c r="H3267" s="9" t="str">
        <f>IFERROR(__xludf.DUMMYFUNCTION("GOOGLETRANSLATE($A3267,""en"",""ja"")"),"ザガイン")</f>
        <v>ザガイン</v>
      </c>
      <c r="I3267" s="9" t="str">
        <f>IFERROR(__xludf.DUMMYFUNCTION("GOOGLETRANSLATE($A3267,""en"",""ko"")"),"사가잉")</f>
        <v>사가잉</v>
      </c>
      <c r="J3267" s="9" t="str">
        <f>IFERROR(__xludf.DUMMYFUNCTION("GOOGLETRANSLATE($A3267,""en"",""pt-BR"")"),"Sagaing")</f>
        <v>Sagaing</v>
      </c>
    </row>
    <row r="3268">
      <c r="A3268" s="9" t="str">
        <f>IFERROR(__xludf.DUMMYFUNCTION("""COMPUTED_VALUE"""),"Yangon")</f>
        <v>Yangon</v>
      </c>
      <c r="B3268" s="9" t="str">
        <f>IFERROR(__xludf.DUMMYFUNCTION("""COMPUTED_VALUE"""),"mm-06")</f>
        <v>mm-06</v>
      </c>
      <c r="C3268" s="9" t="str">
        <f>IFERROR(__xludf.DUMMYFUNCTION("GOOGLETRANSLATE($A3268,""en"",""de"")"),"Yangon")</f>
        <v>Yangon</v>
      </c>
      <c r="D3268" s="9" t="str">
        <f>IFERROR(__xludf.DUMMYFUNCTION("GOOGLETRANSLATE($A3268,""en"",""fr"")"),"Rangoun")</f>
        <v>Rangoun</v>
      </c>
      <c r="E3268" s="9" t="str">
        <f>IFERROR(__xludf.DUMMYFUNCTION("GOOGLETRANSLATE($A3268,""en"",""es"")"),"Rangún")</f>
        <v>Rangún</v>
      </c>
      <c r="F3268" s="9" t="str">
        <f>IFERROR(__xludf.DUMMYFUNCTION("GOOGLETRANSLATE($A3268,""en"",""it"")"),"Rangoon")</f>
        <v>Rangoon</v>
      </c>
      <c r="G3268" s="9" t="str">
        <f>IFERROR(__xludf.DUMMYFUNCTION("GOOGLETRANSLATE($A3268,""en"",""zh-cn"")"),"仰光")</f>
        <v>仰光</v>
      </c>
      <c r="H3268" s="9" t="str">
        <f>IFERROR(__xludf.DUMMYFUNCTION("GOOGLETRANSLATE($A3268,""en"",""ja"")"),"ヤンゴン")</f>
        <v>ヤンゴン</v>
      </c>
      <c r="I3268" s="9" t="str">
        <f>IFERROR(__xludf.DUMMYFUNCTION("GOOGLETRANSLATE($A3268,""en"",""ko"")"),"양곤")</f>
        <v>양곤</v>
      </c>
      <c r="J3268" s="9" t="str">
        <f>IFERROR(__xludf.DUMMYFUNCTION("GOOGLETRANSLATE($A3268,""en"",""pt-BR"")"),"Rangum")</f>
        <v>Rangum</v>
      </c>
    </row>
    <row r="3269">
      <c r="A3269" s="9" t="str">
        <f>IFERROR(__xludf.DUMMYFUNCTION("""COMPUTED_VALUE"""),"Kachin")</f>
        <v>Kachin</v>
      </c>
      <c r="B3269" s="9" t="str">
        <f>IFERROR(__xludf.DUMMYFUNCTION("""COMPUTED_VALUE"""),"mm-11")</f>
        <v>mm-11</v>
      </c>
      <c r="C3269" s="9" t="str">
        <f>IFERROR(__xludf.DUMMYFUNCTION("GOOGLETRANSLATE($A3269,""en"",""de"")"),"Kachin")</f>
        <v>Kachin</v>
      </c>
      <c r="D3269" s="9" t="str">
        <f>IFERROR(__xludf.DUMMYFUNCTION("GOOGLETRANSLATE($A3269,""en"",""fr"")"),"Kachin")</f>
        <v>Kachin</v>
      </c>
      <c r="E3269" s="9" t="str">
        <f>IFERROR(__xludf.DUMMYFUNCTION("GOOGLETRANSLATE($A3269,""en"",""es"")"),"Kachin")</f>
        <v>Kachin</v>
      </c>
      <c r="F3269" s="9" t="str">
        <f>IFERROR(__xludf.DUMMYFUNCTION("GOOGLETRANSLATE($A3269,""en"",""it"")"),"Kachin")</f>
        <v>Kachin</v>
      </c>
      <c r="G3269" s="9" t="str">
        <f>IFERROR(__xludf.DUMMYFUNCTION("GOOGLETRANSLATE($A3269,""en"",""zh-cn"")"),"克钦族")</f>
        <v>克钦族</v>
      </c>
      <c r="H3269" s="9" t="str">
        <f>IFERROR(__xludf.DUMMYFUNCTION("GOOGLETRANSLATE($A3269,""en"",""ja"")"),"カチン")</f>
        <v>カチン</v>
      </c>
      <c r="I3269" s="9" t="str">
        <f>IFERROR(__xludf.DUMMYFUNCTION("GOOGLETRANSLATE($A3269,""en"",""ko"")"),"카친")</f>
        <v>카친</v>
      </c>
      <c r="J3269" s="9" t="str">
        <f>IFERROR(__xludf.DUMMYFUNCTION("GOOGLETRANSLATE($A3269,""en"",""pt-BR"")"),"Kachin")</f>
        <v>Kachin</v>
      </c>
    </row>
    <row r="3270">
      <c r="A3270" s="9" t="str">
        <f>IFERROR(__xludf.DUMMYFUNCTION("""COMPUTED_VALUE"""),"Tanintharyi")</f>
        <v>Tanintharyi</v>
      </c>
      <c r="B3270" s="9" t="str">
        <f>IFERROR(__xludf.DUMMYFUNCTION("""COMPUTED_VALUE"""),"mm-05")</f>
        <v>mm-05</v>
      </c>
      <c r="C3270" s="9" t="str">
        <f>IFERROR(__xludf.DUMMYFUNCTION("GOOGLETRANSLATE($A3270,""en"",""de"")"),"Tanintharyi")</f>
        <v>Tanintharyi</v>
      </c>
      <c r="D3270" s="9" t="str">
        <f>IFERROR(__xludf.DUMMYFUNCTION("GOOGLETRANSLATE($A3270,""en"",""fr"")"),"Tanintharyi")</f>
        <v>Tanintharyi</v>
      </c>
      <c r="E3270" s="9" t="str">
        <f>IFERROR(__xludf.DUMMYFUNCTION("GOOGLETRANSLATE($A3270,""en"",""es"")"),"Tanintharyi")</f>
        <v>Tanintharyi</v>
      </c>
      <c r="F3270" s="9" t="str">
        <f>IFERROR(__xludf.DUMMYFUNCTION("GOOGLETRANSLATE($A3270,""en"",""it"")"),"Tanintharyi")</f>
        <v>Tanintharyi</v>
      </c>
      <c r="G3270" s="9" t="str">
        <f>IFERROR(__xludf.DUMMYFUNCTION("GOOGLETRANSLATE($A3270,""en"",""zh-cn"")"),"德林达依")</f>
        <v>德林达依</v>
      </c>
      <c r="H3270" s="9" t="str">
        <f>IFERROR(__xludf.DUMMYFUNCTION("GOOGLETRANSLATE($A3270,""en"",""ja"")"),"タニンダーリ")</f>
        <v>タニンダーリ</v>
      </c>
      <c r="I3270" s="9" t="str">
        <f>IFERROR(__xludf.DUMMYFUNCTION("GOOGLETRANSLATE($A3270,""en"",""ko"")"),"타닌타리")</f>
        <v>타닌타리</v>
      </c>
      <c r="J3270" s="9" t="str">
        <f>IFERROR(__xludf.DUMMYFUNCTION("GOOGLETRANSLATE($A3270,""en"",""pt-BR"")"),"Tanintharyi")</f>
        <v>Tanintharyi</v>
      </c>
    </row>
    <row r="3271">
      <c r="A3271" s="9" t="str">
        <f>IFERROR(__xludf.DUMMYFUNCTION("""COMPUTED_VALUE"""),"Chin")</f>
        <v>Chin</v>
      </c>
      <c r="B3271" s="9" t="str">
        <f>IFERROR(__xludf.DUMMYFUNCTION("""COMPUTED_VALUE"""),"mm-14")</f>
        <v>mm-14</v>
      </c>
      <c r="C3271" s="9" t="str">
        <f>IFERROR(__xludf.DUMMYFUNCTION("GOOGLETRANSLATE($A3271,""en"",""de"")"),"Kinn")</f>
        <v>Kinn</v>
      </c>
      <c r="D3271" s="9" t="str">
        <f>IFERROR(__xludf.DUMMYFUNCTION("GOOGLETRANSLATE($A3271,""en"",""fr"")"),"Menton")</f>
        <v>Menton</v>
      </c>
      <c r="E3271" s="9" t="str">
        <f>IFERROR(__xludf.DUMMYFUNCTION("GOOGLETRANSLATE($A3271,""en"",""es"")"),"Mentón")</f>
        <v>Mentón</v>
      </c>
      <c r="F3271" s="9" t="str">
        <f>IFERROR(__xludf.DUMMYFUNCTION("GOOGLETRANSLATE($A3271,""en"",""it"")"),"Mento")</f>
        <v>Mento</v>
      </c>
      <c r="G3271" s="9" t="str">
        <f>IFERROR(__xludf.DUMMYFUNCTION("GOOGLETRANSLATE($A3271,""en"",""zh-cn"")"),"下巴")</f>
        <v>下巴</v>
      </c>
      <c r="H3271" s="9" t="str">
        <f>IFERROR(__xludf.DUMMYFUNCTION("GOOGLETRANSLATE($A3271,""en"",""ja"")"),"顎")</f>
        <v>顎</v>
      </c>
      <c r="I3271" s="9" t="str">
        <f>IFERROR(__xludf.DUMMYFUNCTION("GOOGLETRANSLATE($A3271,""en"",""ko"")"),"턱")</f>
        <v>턱</v>
      </c>
      <c r="J3271" s="9" t="str">
        <f>IFERROR(__xludf.DUMMYFUNCTION("GOOGLETRANSLATE($A3271,""en"",""pt-BR"")"),"Queixo")</f>
        <v>Queixo</v>
      </c>
    </row>
    <row r="3272">
      <c r="A3272" s="9" t="str">
        <f>IFERROR(__xludf.DUMMYFUNCTION("""COMPUTED_VALUE"""),"Shan")</f>
        <v>Shan</v>
      </c>
      <c r="B3272" s="9" t="str">
        <f>IFERROR(__xludf.DUMMYFUNCTION("""COMPUTED_VALUE"""),"mm-17")</f>
        <v>mm-17</v>
      </c>
      <c r="C3272" s="9" t="str">
        <f>IFERROR(__xludf.DUMMYFUNCTION("GOOGLETRANSLATE($A3272,""en"",""de"")"),"Shan")</f>
        <v>Shan</v>
      </c>
      <c r="D3272" s="9" t="str">
        <f>IFERROR(__xludf.DUMMYFUNCTION("GOOGLETRANSLATE($A3272,""en"",""fr"")"),"Shan")</f>
        <v>Shan</v>
      </c>
      <c r="E3272" s="9" t="str">
        <f>IFERROR(__xludf.DUMMYFUNCTION("GOOGLETRANSLATE($A3272,""en"",""es"")"),"shan")</f>
        <v>shan</v>
      </c>
      <c r="F3272" s="9" t="str">
        <f>IFERROR(__xludf.DUMMYFUNCTION("GOOGLETRANSLATE($A3272,""en"",""it"")"),"Shan")</f>
        <v>Shan</v>
      </c>
      <c r="G3272" s="9" t="str">
        <f>IFERROR(__xludf.DUMMYFUNCTION("GOOGLETRANSLATE($A3272,""en"",""zh-cn"")"),"山")</f>
        <v>山</v>
      </c>
      <c r="H3272" s="9" t="str">
        <f>IFERROR(__xludf.DUMMYFUNCTION("GOOGLETRANSLATE($A3272,""en"",""ja"")"),"シャン")</f>
        <v>シャン</v>
      </c>
      <c r="I3272" s="9" t="str">
        <f>IFERROR(__xludf.DUMMYFUNCTION("GOOGLETRANSLATE($A3272,""en"",""ko"")"),"샨")</f>
        <v>샨</v>
      </c>
      <c r="J3272" s="9" t="str">
        <f>IFERROR(__xludf.DUMMYFUNCTION("GOOGLETRANSLATE($A3272,""en"",""pt-BR"")"),"Shan")</f>
        <v>Shan</v>
      </c>
    </row>
    <row r="3273">
      <c r="A3273" s="9" t="str">
        <f>IFERROR(__xludf.DUMMYFUNCTION("""COMPUTED_VALUE"""),"Mandalay")</f>
        <v>Mandalay</v>
      </c>
      <c r="B3273" s="9" t="str">
        <f>IFERROR(__xludf.DUMMYFUNCTION("""COMPUTED_VALUE"""),"mm-04")</f>
        <v>mm-04</v>
      </c>
      <c r="C3273" s="9" t="str">
        <f>IFERROR(__xludf.DUMMYFUNCTION("GOOGLETRANSLATE($A3273,""en"",""de"")"),"Mandalay")</f>
        <v>Mandalay</v>
      </c>
      <c r="D3273" s="9" t="str">
        <f>IFERROR(__xludf.DUMMYFUNCTION("GOOGLETRANSLATE($A3273,""en"",""fr"")"),"Mandalay")</f>
        <v>Mandalay</v>
      </c>
      <c r="E3273" s="9" t="str">
        <f>IFERROR(__xludf.DUMMYFUNCTION("GOOGLETRANSLATE($A3273,""en"",""es"")"),"Mandalay")</f>
        <v>Mandalay</v>
      </c>
      <c r="F3273" s="9" t="str">
        <f>IFERROR(__xludf.DUMMYFUNCTION("GOOGLETRANSLATE($A3273,""en"",""it"")"),"Mandalay")</f>
        <v>Mandalay</v>
      </c>
      <c r="G3273" s="9" t="str">
        <f>IFERROR(__xludf.DUMMYFUNCTION("GOOGLETRANSLATE($A3273,""en"",""zh-cn"")"),"曼德勒")</f>
        <v>曼德勒</v>
      </c>
      <c r="H3273" s="9" t="str">
        <f>IFERROR(__xludf.DUMMYFUNCTION("GOOGLETRANSLATE($A3273,""en"",""ja"")"),"マンダレー")</f>
        <v>マンダレー</v>
      </c>
      <c r="I3273" s="9" t="str">
        <f>IFERROR(__xludf.DUMMYFUNCTION("GOOGLETRANSLATE($A3273,""en"",""ko"")"),"만달레이")</f>
        <v>만달레이</v>
      </c>
      <c r="J3273" s="9" t="str">
        <f>IFERROR(__xludf.DUMMYFUNCTION("GOOGLETRANSLATE($A3273,""en"",""pt-BR"")"),"Mandalai")</f>
        <v>Mandalai</v>
      </c>
    </row>
    <row r="3274">
      <c r="A3274" s="9" t="str">
        <f>IFERROR(__xludf.DUMMYFUNCTION("""COMPUTED_VALUE"""),"Ayeyarwady")</f>
        <v>Ayeyarwady</v>
      </c>
      <c r="B3274" s="9" t="str">
        <f>IFERROR(__xludf.DUMMYFUNCTION("""COMPUTED_VALUE"""),"mm-07")</f>
        <v>mm-07</v>
      </c>
      <c r="C3274" s="9" t="str">
        <f>IFERROR(__xludf.DUMMYFUNCTION("GOOGLETRANSLATE($A3274,""en"",""de"")"),"Ayeyarwady")</f>
        <v>Ayeyarwady</v>
      </c>
      <c r="D3274" s="9" t="str">
        <f>IFERROR(__xludf.DUMMYFUNCTION("GOOGLETRANSLATE($A3274,""en"",""fr"")"),"Ayeyarwady")</f>
        <v>Ayeyarwady</v>
      </c>
      <c r="E3274" s="9" t="str">
        <f>IFERROR(__xludf.DUMMYFUNCTION("GOOGLETRANSLATE($A3274,""en"",""es"")"),"Ayeyarwady")</f>
        <v>Ayeyarwady</v>
      </c>
      <c r="F3274" s="9" t="str">
        <f>IFERROR(__xludf.DUMMYFUNCTION("GOOGLETRANSLATE($A3274,""en"",""it"")"),"Ayeyarwady")</f>
        <v>Ayeyarwady</v>
      </c>
      <c r="G3274" s="9" t="str">
        <f>IFERROR(__xludf.DUMMYFUNCTION("GOOGLETRANSLATE($A3274,""en"",""zh-cn"")"),"伊洛瓦底江")</f>
        <v>伊洛瓦底江</v>
      </c>
      <c r="H3274" s="9" t="str">
        <f>IFERROR(__xludf.DUMMYFUNCTION("GOOGLETRANSLATE($A3274,""en"",""ja"")"),"エーヤワディ")</f>
        <v>エーヤワディ</v>
      </c>
      <c r="I3274" s="9" t="str">
        <f>IFERROR(__xludf.DUMMYFUNCTION("GOOGLETRANSLATE($A3274,""en"",""ko"")"),"에야와디")</f>
        <v>에야와디</v>
      </c>
      <c r="J3274" s="9" t="str">
        <f>IFERROR(__xludf.DUMMYFUNCTION("GOOGLETRANSLATE($A3274,""en"",""pt-BR"")"),"Ayeyarwady")</f>
        <v>Ayeyarwady</v>
      </c>
    </row>
    <row r="3275">
      <c r="A3275" s="9" t="str">
        <f>IFERROR(__xludf.DUMMYFUNCTION("""COMPUTED_VALUE"""),"Magway")</f>
        <v>Magway</v>
      </c>
      <c r="B3275" s="9" t="str">
        <f>IFERROR(__xludf.DUMMYFUNCTION("""COMPUTED_VALUE"""),"mm-03")</f>
        <v>mm-03</v>
      </c>
      <c r="C3275" s="9" t="str">
        <f>IFERROR(__xludf.DUMMYFUNCTION("GOOGLETRANSLATE($A3275,""en"",""de"")"),"Magway")</f>
        <v>Magway</v>
      </c>
      <c r="D3275" s="9" t="str">
        <f>IFERROR(__xludf.DUMMYFUNCTION("GOOGLETRANSLATE($A3275,""en"",""fr"")"),"Magway")</f>
        <v>Magway</v>
      </c>
      <c r="E3275" s="9" t="str">
        <f>IFERROR(__xludf.DUMMYFUNCTION("GOOGLETRANSLATE($A3275,""en"",""es"")"),"Magway")</f>
        <v>Magway</v>
      </c>
      <c r="F3275" s="9" t="str">
        <f>IFERROR(__xludf.DUMMYFUNCTION("GOOGLETRANSLATE($A3275,""en"",""it"")"),"Magway")</f>
        <v>Magway</v>
      </c>
      <c r="G3275" s="9" t="str">
        <f>IFERROR(__xludf.DUMMYFUNCTION("GOOGLETRANSLATE($A3275,""en"",""zh-cn"")"),"马圭")</f>
        <v>马圭</v>
      </c>
      <c r="H3275" s="9" t="str">
        <f>IFERROR(__xludf.DUMMYFUNCTION("GOOGLETRANSLATE($A3275,""en"",""ja"")"),"マグウェ")</f>
        <v>マグウェ</v>
      </c>
      <c r="I3275" s="9" t="str">
        <f>IFERROR(__xludf.DUMMYFUNCTION("GOOGLETRANSLATE($A3275,""en"",""ko"")"),"마그웨이")</f>
        <v>마그웨이</v>
      </c>
      <c r="J3275" s="9" t="str">
        <f>IFERROR(__xludf.DUMMYFUNCTION("GOOGLETRANSLATE($A3275,""en"",""pt-BR"")"),"Magway")</f>
        <v>Magway</v>
      </c>
    </row>
    <row r="3276">
      <c r="A3276" s="9" t="str">
        <f>IFERROR(__xludf.DUMMYFUNCTION("""COMPUTED_VALUE"""),"Bago")</f>
        <v>Bago</v>
      </c>
      <c r="B3276" s="9" t="str">
        <f>IFERROR(__xludf.DUMMYFUNCTION("""COMPUTED_VALUE"""),"mm-02")</f>
        <v>mm-02</v>
      </c>
      <c r="C3276" s="9" t="str">
        <f>IFERROR(__xludf.DUMMYFUNCTION("GOOGLETRANSLATE($A3276,""en"",""de"")"),"Bago")</f>
        <v>Bago</v>
      </c>
      <c r="D3276" s="9" t="str">
        <f>IFERROR(__xludf.DUMMYFUNCTION("GOOGLETRANSLATE($A3276,""en"",""fr"")"),"Bago")</f>
        <v>Bago</v>
      </c>
      <c r="E3276" s="9" t="str">
        <f>IFERROR(__xludf.DUMMYFUNCTION("GOOGLETRANSLATE($A3276,""en"",""es"")"),"bagó")</f>
        <v>bagó</v>
      </c>
      <c r="F3276" s="9" t="str">
        <f>IFERROR(__xludf.DUMMYFUNCTION("GOOGLETRANSLATE($A3276,""en"",""it"")"),"Bago")</f>
        <v>Bago</v>
      </c>
      <c r="G3276" s="9" t="str">
        <f>IFERROR(__xludf.DUMMYFUNCTION("GOOGLETRANSLATE($A3276,""en"",""zh-cn"")"),"巴戈")</f>
        <v>巴戈</v>
      </c>
      <c r="H3276" s="9" t="str">
        <f>IFERROR(__xludf.DUMMYFUNCTION("GOOGLETRANSLATE($A3276,""en"",""ja"")"),"バゴー")</f>
        <v>バゴー</v>
      </c>
      <c r="I3276" s="9" t="str">
        <f>IFERROR(__xludf.DUMMYFUNCTION("GOOGLETRANSLATE($A3276,""en"",""ko"")"),"바고")</f>
        <v>바고</v>
      </c>
      <c r="J3276" s="9" t="str">
        <f>IFERROR(__xludf.DUMMYFUNCTION("GOOGLETRANSLATE($A3276,""en"",""pt-BR"")"),"Bago")</f>
        <v>Bago</v>
      </c>
    </row>
    <row r="3277">
      <c r="A3277" s="9" t="str">
        <f>IFERROR(__xludf.DUMMYFUNCTION("""COMPUTED_VALUE"""),"Oshikoto")</f>
        <v>Oshikoto</v>
      </c>
      <c r="B3277" s="9" t="str">
        <f>IFERROR(__xludf.DUMMYFUNCTION("""COMPUTED_VALUE"""),"na-ot")</f>
        <v>na-ot</v>
      </c>
      <c r="C3277" s="9" t="str">
        <f>IFERROR(__xludf.DUMMYFUNCTION("GOOGLETRANSLATE($A3277,""en"",""de"")"),"Oshikoto")</f>
        <v>Oshikoto</v>
      </c>
      <c r="D3277" s="9" t="str">
        <f>IFERROR(__xludf.DUMMYFUNCTION("GOOGLETRANSLATE($A3277,""en"",""fr"")"),"Ōshikoto")</f>
        <v>Ōshikoto</v>
      </c>
      <c r="E3277" s="9" t="str">
        <f>IFERROR(__xludf.DUMMYFUNCTION("GOOGLETRANSLATE($A3277,""en"",""es"")"),"oshikoto")</f>
        <v>oshikoto</v>
      </c>
      <c r="F3277" s="9" t="str">
        <f>IFERROR(__xludf.DUMMYFUNCTION("GOOGLETRANSLATE($A3277,""en"",""it"")"),"Oshikoto")</f>
        <v>Oshikoto</v>
      </c>
      <c r="G3277" s="9" t="str">
        <f>IFERROR(__xludf.DUMMYFUNCTION("GOOGLETRANSLATE($A3277,""en"",""zh-cn"")"),"押琴")</f>
        <v>押琴</v>
      </c>
      <c r="H3277" s="9" t="str">
        <f>IFERROR(__xludf.DUMMYFUNCTION("GOOGLETRANSLATE($A3277,""en"",""ja"")"),"おしこと")</f>
        <v>おしこと</v>
      </c>
      <c r="I3277" s="9" t="str">
        <f>IFERROR(__xludf.DUMMYFUNCTION("GOOGLETRANSLATE($A3277,""en"",""ko"")"),"오시코토")</f>
        <v>오시코토</v>
      </c>
      <c r="J3277" s="9" t="str">
        <f>IFERROR(__xludf.DUMMYFUNCTION("GOOGLETRANSLATE($A3277,""en"",""pt-BR"")"),"Oshikoto")</f>
        <v>Oshikoto</v>
      </c>
    </row>
    <row r="3278">
      <c r="A3278" s="9" t="str">
        <f>IFERROR(__xludf.DUMMYFUNCTION("""COMPUTED_VALUE"""),"Erongo")</f>
        <v>Erongo</v>
      </c>
      <c r="B3278" s="9" t="str">
        <f>IFERROR(__xludf.DUMMYFUNCTION("""COMPUTED_VALUE"""),"na-er")</f>
        <v>na-er</v>
      </c>
      <c r="C3278" s="9" t="str">
        <f>IFERROR(__xludf.DUMMYFUNCTION("GOOGLETRANSLATE($A3278,""en"",""de"")"),"Erongo")</f>
        <v>Erongo</v>
      </c>
      <c r="D3278" s="9" t="str">
        <f>IFERROR(__xludf.DUMMYFUNCTION("GOOGLETRANSLATE($A3278,""en"",""fr"")"),"Erongo")</f>
        <v>Erongo</v>
      </c>
      <c r="E3278" s="9" t="str">
        <f>IFERROR(__xludf.DUMMYFUNCTION("GOOGLETRANSLATE($A3278,""en"",""es"")"),"Erongo")</f>
        <v>Erongo</v>
      </c>
      <c r="F3278" s="9" t="str">
        <f>IFERROR(__xludf.DUMMYFUNCTION("GOOGLETRANSLATE($A3278,""en"",""it"")"),"Erongo")</f>
        <v>Erongo</v>
      </c>
      <c r="G3278" s="9" t="str">
        <f>IFERROR(__xludf.DUMMYFUNCTION("GOOGLETRANSLATE($A3278,""en"",""zh-cn"")"),"埃龙戈")</f>
        <v>埃龙戈</v>
      </c>
      <c r="H3278" s="9" t="str">
        <f>IFERROR(__xludf.DUMMYFUNCTION("GOOGLETRANSLATE($A3278,""en"",""ja"")"),"エロンゴ")</f>
        <v>エロンゴ</v>
      </c>
      <c r="I3278" s="9" t="str">
        <f>IFERROR(__xludf.DUMMYFUNCTION("GOOGLETRANSLATE($A3278,""en"",""ko"")"),"에롱고")</f>
        <v>에롱고</v>
      </c>
      <c r="J3278" s="9" t="str">
        <f>IFERROR(__xludf.DUMMYFUNCTION("GOOGLETRANSLATE($A3278,""en"",""pt-BR"")"),"Erongo")</f>
        <v>Erongo</v>
      </c>
    </row>
    <row r="3279">
      <c r="A3279" s="9" t="str">
        <f>IFERROR(__xludf.DUMMYFUNCTION("""COMPUTED_VALUE"""),"Kunene")</f>
        <v>Kunene</v>
      </c>
      <c r="B3279" s="9" t="str">
        <f>IFERROR(__xludf.DUMMYFUNCTION("""COMPUTED_VALUE"""),"na-ku")</f>
        <v>na-ku</v>
      </c>
      <c r="C3279" s="9" t="str">
        <f>IFERROR(__xludf.DUMMYFUNCTION("GOOGLETRANSLATE($A3279,""en"",""de"")"),"Kunene")</f>
        <v>Kunene</v>
      </c>
      <c r="D3279" s="9" t="str">
        <f>IFERROR(__xludf.DUMMYFUNCTION("GOOGLETRANSLATE($A3279,""en"",""fr"")"),"Kunène")</f>
        <v>Kunène</v>
      </c>
      <c r="E3279" s="9" t="str">
        <f>IFERROR(__xludf.DUMMYFUNCTION("GOOGLETRANSLATE($A3279,""en"",""es"")"),"kunene")</f>
        <v>kunene</v>
      </c>
      <c r="F3279" s="9" t="str">
        <f>IFERROR(__xludf.DUMMYFUNCTION("GOOGLETRANSLATE($A3279,""en"",""it"")"),"Kunene")</f>
        <v>Kunene</v>
      </c>
      <c r="G3279" s="9" t="str">
        <f>IFERROR(__xludf.DUMMYFUNCTION("GOOGLETRANSLATE($A3279,""en"",""zh-cn"")"),"库内内")</f>
        <v>库内内</v>
      </c>
      <c r="H3279" s="9" t="str">
        <f>IFERROR(__xludf.DUMMYFUNCTION("GOOGLETRANSLATE($A3279,""en"",""ja"")"),"クネネ")</f>
        <v>クネネ</v>
      </c>
      <c r="I3279" s="9" t="str">
        <f>IFERROR(__xludf.DUMMYFUNCTION("GOOGLETRANSLATE($A3279,""en"",""ko"")"),"쿠네네")</f>
        <v>쿠네네</v>
      </c>
      <c r="J3279" s="9" t="str">
        <f>IFERROR(__xludf.DUMMYFUNCTION("GOOGLETRANSLATE($A3279,""en"",""pt-BR"")"),"Kunene")</f>
        <v>Kunene</v>
      </c>
    </row>
    <row r="3280">
      <c r="A3280" s="9" t="str">
        <f>IFERROR(__xludf.DUMMYFUNCTION("""COMPUTED_VALUE"""),"Zambezi")</f>
        <v>Zambezi</v>
      </c>
      <c r="B3280" s="9" t="str">
        <f>IFERROR(__xludf.DUMMYFUNCTION("""COMPUTED_VALUE"""),"na-ca")</f>
        <v>na-ca</v>
      </c>
      <c r="C3280" s="9" t="str">
        <f>IFERROR(__xludf.DUMMYFUNCTION("GOOGLETRANSLATE($A3280,""en"",""de"")"),"Sambesi")</f>
        <v>Sambesi</v>
      </c>
      <c r="D3280" s="9" t="str">
        <f>IFERROR(__xludf.DUMMYFUNCTION("GOOGLETRANSLATE($A3280,""en"",""fr"")"),"Zambèze")</f>
        <v>Zambèze</v>
      </c>
      <c r="E3280" s="9" t="str">
        <f>IFERROR(__xludf.DUMMYFUNCTION("GOOGLETRANSLATE($A3280,""en"",""es"")"),"Zambeze")</f>
        <v>Zambeze</v>
      </c>
      <c r="F3280" s="9" t="str">
        <f>IFERROR(__xludf.DUMMYFUNCTION("GOOGLETRANSLATE($A3280,""en"",""it"")"),"Zambesi")</f>
        <v>Zambesi</v>
      </c>
      <c r="G3280" s="9" t="str">
        <f>IFERROR(__xludf.DUMMYFUNCTION("GOOGLETRANSLATE($A3280,""en"",""zh-cn"")"),"赞比西河")</f>
        <v>赞比西河</v>
      </c>
      <c r="H3280" s="9" t="str">
        <f>IFERROR(__xludf.DUMMYFUNCTION("GOOGLETRANSLATE($A3280,""en"",""ja"")"),"ザンベジ")</f>
        <v>ザンベジ</v>
      </c>
      <c r="I3280" s="9" t="str">
        <f>IFERROR(__xludf.DUMMYFUNCTION("GOOGLETRANSLATE($A3280,""en"",""ko"")"),"잠베지어")</f>
        <v>잠베지어</v>
      </c>
      <c r="J3280" s="9" t="str">
        <f>IFERROR(__xludf.DUMMYFUNCTION("GOOGLETRANSLATE($A3280,""en"",""pt-BR"")"),"Zambeze")</f>
        <v>Zambeze</v>
      </c>
    </row>
    <row r="3281">
      <c r="A3281" s="9" t="str">
        <f>IFERROR(__xludf.DUMMYFUNCTION("""COMPUTED_VALUE"""),"Omusati")</f>
        <v>Omusati</v>
      </c>
      <c r="B3281" s="9" t="str">
        <f>IFERROR(__xludf.DUMMYFUNCTION("""COMPUTED_VALUE"""),"na-os")</f>
        <v>na-os</v>
      </c>
      <c r="C3281" s="9" t="str">
        <f>IFERROR(__xludf.DUMMYFUNCTION("GOOGLETRANSLATE($A3281,""en"",""de"")"),"Omusati")</f>
        <v>Omusati</v>
      </c>
      <c r="D3281" s="9" t="str">
        <f>IFERROR(__xludf.DUMMYFUNCTION("GOOGLETRANSLATE($A3281,""en"",""fr"")"),"Omusati")</f>
        <v>Omusati</v>
      </c>
      <c r="E3281" s="9" t="str">
        <f>IFERROR(__xludf.DUMMYFUNCTION("GOOGLETRANSLATE($A3281,""en"",""es"")"),"Omusati")</f>
        <v>Omusati</v>
      </c>
      <c r="F3281" s="9" t="str">
        <f>IFERROR(__xludf.DUMMYFUNCTION("GOOGLETRANSLATE($A3281,""en"",""it"")"),"Omusati")</f>
        <v>Omusati</v>
      </c>
      <c r="G3281" s="9" t="str">
        <f>IFERROR(__xludf.DUMMYFUNCTION("GOOGLETRANSLATE($A3281,""en"",""zh-cn"")"),"奥穆萨蒂")</f>
        <v>奥穆萨蒂</v>
      </c>
      <c r="H3281" s="9" t="str">
        <f>IFERROR(__xludf.DUMMYFUNCTION("GOOGLETRANSLATE($A3281,""en"",""ja"")"),"オムサティ")</f>
        <v>オムサティ</v>
      </c>
      <c r="I3281" s="9" t="str">
        <f>IFERROR(__xludf.DUMMYFUNCTION("GOOGLETRANSLATE($A3281,""en"",""ko"")"),"오무사티")</f>
        <v>오무사티</v>
      </c>
      <c r="J3281" s="9" t="str">
        <f>IFERROR(__xludf.DUMMYFUNCTION("GOOGLETRANSLATE($A3281,""en"",""pt-BR"")"),"Omusati")</f>
        <v>Omusati</v>
      </c>
    </row>
    <row r="3282">
      <c r="A3282" s="9" t="str">
        <f>IFERROR(__xludf.DUMMYFUNCTION("""COMPUTED_VALUE"""),"Otjozondjupa")</f>
        <v>Otjozondjupa</v>
      </c>
      <c r="B3282" s="9" t="str">
        <f>IFERROR(__xludf.DUMMYFUNCTION("""COMPUTED_VALUE"""),"na-od")</f>
        <v>na-od</v>
      </c>
      <c r="C3282" s="9" t="str">
        <f>IFERROR(__xludf.DUMMYFUNCTION("GOOGLETRANSLATE($A3282,""en"",""de"")"),"Otjozondjupa")</f>
        <v>Otjozondjupa</v>
      </c>
      <c r="D3282" s="9" t="str">
        <f>IFERROR(__xludf.DUMMYFUNCTION("GOOGLETRANSLATE($A3282,""en"",""fr"")"),"Otjozondjupa")</f>
        <v>Otjozondjupa</v>
      </c>
      <c r="E3282" s="9" t="str">
        <f>IFERROR(__xludf.DUMMYFUNCTION("GOOGLETRANSLATE($A3282,""en"",""es"")"),"Otjozondjupa")</f>
        <v>Otjozondjupa</v>
      </c>
      <c r="F3282" s="9" t="str">
        <f>IFERROR(__xludf.DUMMYFUNCTION("GOOGLETRANSLATE($A3282,""en"",""it"")"),"Otjozondjupa")</f>
        <v>Otjozondjupa</v>
      </c>
      <c r="G3282" s="9" t="str">
        <f>IFERROR(__xludf.DUMMYFUNCTION("GOOGLETRANSLATE($A3282,""en"",""zh-cn"")"),"奥乔宗朱帕")</f>
        <v>奥乔宗朱帕</v>
      </c>
      <c r="H3282" s="9" t="str">
        <f>IFERROR(__xludf.DUMMYFUNCTION("GOOGLETRANSLATE($A3282,""en"",""ja"")"),"オジョゾンジュパ")</f>
        <v>オジョゾンジュパ</v>
      </c>
      <c r="I3282" s="9" t="str">
        <f>IFERROR(__xludf.DUMMYFUNCTION("GOOGLETRANSLATE($A3282,""en"",""ko"")"),"오초존주파")</f>
        <v>오초존주파</v>
      </c>
      <c r="J3282" s="9" t="str">
        <f>IFERROR(__xludf.DUMMYFUNCTION("GOOGLETRANSLATE($A3282,""en"",""pt-BR"")"),"Otjozondjupa")</f>
        <v>Otjozondjupa</v>
      </c>
    </row>
    <row r="3283">
      <c r="A3283" s="9" t="str">
        <f>IFERROR(__xludf.DUMMYFUNCTION("""COMPUTED_VALUE"""),"Kavango West")</f>
        <v>Kavango West</v>
      </c>
      <c r="B3283" s="9" t="str">
        <f>IFERROR(__xludf.DUMMYFUNCTION("""COMPUTED_VALUE"""),"na-kw")</f>
        <v>na-kw</v>
      </c>
      <c r="C3283" s="9" t="str">
        <f>IFERROR(__xludf.DUMMYFUNCTION("GOOGLETRANSLATE($A3283,""en"",""de"")"),"Kavango West")</f>
        <v>Kavango West</v>
      </c>
      <c r="D3283" s="9" t="str">
        <f>IFERROR(__xludf.DUMMYFUNCTION("GOOGLETRANSLATE($A3283,""en"",""fr"")"),"Kavango Ouest")</f>
        <v>Kavango Ouest</v>
      </c>
      <c r="E3283" s="9" t="str">
        <f>IFERROR(__xludf.DUMMYFUNCTION("GOOGLETRANSLATE($A3283,""en"",""es"")"),"Kavango Oeste")</f>
        <v>Kavango Oeste</v>
      </c>
      <c r="F3283" s="9" t="str">
        <f>IFERROR(__xludf.DUMMYFUNCTION("GOOGLETRANSLATE($A3283,""en"",""it"")"),"Kavango ovest")</f>
        <v>Kavango ovest</v>
      </c>
      <c r="G3283" s="9" t="str">
        <f>IFERROR(__xludf.DUMMYFUNCTION("GOOGLETRANSLATE($A3283,""en"",""zh-cn"")"),"卡万戈西")</f>
        <v>卡万戈西</v>
      </c>
      <c r="H3283" s="9" t="str">
        <f>IFERROR(__xludf.DUMMYFUNCTION("GOOGLETRANSLATE($A3283,""en"",""ja"")"),"カバンゴ ウェスト")</f>
        <v>カバンゴ ウェスト</v>
      </c>
      <c r="I3283" s="9" t="str">
        <f>IFERROR(__xludf.DUMMYFUNCTION("GOOGLETRANSLATE($A3283,""en"",""ko"")"),"카방고 웨스트")</f>
        <v>카방고 웨스트</v>
      </c>
      <c r="J3283" s="9" t="str">
        <f>IFERROR(__xludf.DUMMYFUNCTION("GOOGLETRANSLATE($A3283,""en"",""pt-BR"")"),"Kavango Oeste")</f>
        <v>Kavango Oeste</v>
      </c>
    </row>
    <row r="3284">
      <c r="A3284" s="9" t="str">
        <f>IFERROR(__xludf.DUMMYFUNCTION("""COMPUTED_VALUE"""),"Kavango East")</f>
        <v>Kavango East</v>
      </c>
      <c r="B3284" s="9" t="str">
        <f>IFERROR(__xludf.DUMMYFUNCTION("""COMPUTED_VALUE"""),"na-ke")</f>
        <v>na-ke</v>
      </c>
      <c r="C3284" s="9" t="str">
        <f>IFERROR(__xludf.DUMMYFUNCTION("GOOGLETRANSLATE($A3284,""en"",""de"")"),"Kavango Ost")</f>
        <v>Kavango Ost</v>
      </c>
      <c r="D3284" s="9" t="str">
        <f>IFERROR(__xludf.DUMMYFUNCTION("GOOGLETRANSLATE($A3284,""en"",""fr"")"),"Kavango Est")</f>
        <v>Kavango Est</v>
      </c>
      <c r="E3284" s="9" t="str">
        <f>IFERROR(__xludf.DUMMYFUNCTION("GOOGLETRANSLATE($A3284,""en"",""es"")"),"Kavango Este")</f>
        <v>Kavango Este</v>
      </c>
      <c r="F3284" s="9" t="str">
        <f>IFERROR(__xludf.DUMMYFUNCTION("GOOGLETRANSLATE($A3284,""en"",""it"")"),"Kavango Est")</f>
        <v>Kavango Est</v>
      </c>
      <c r="G3284" s="9" t="str">
        <f>IFERROR(__xludf.DUMMYFUNCTION("GOOGLETRANSLATE($A3284,""en"",""zh-cn"")"),"卡万戈东")</f>
        <v>卡万戈东</v>
      </c>
      <c r="H3284" s="9" t="str">
        <f>IFERROR(__xludf.DUMMYFUNCTION("GOOGLETRANSLATE($A3284,""en"",""ja"")"),"カバンゴ イースト")</f>
        <v>カバンゴ イースト</v>
      </c>
      <c r="I3284" s="9" t="str">
        <f>IFERROR(__xludf.DUMMYFUNCTION("GOOGLETRANSLATE($A3284,""en"",""ko"")"),"카방고 이스트")</f>
        <v>카방고 이스트</v>
      </c>
      <c r="J3284" s="9" t="str">
        <f>IFERROR(__xludf.DUMMYFUNCTION("GOOGLETRANSLATE($A3284,""en"",""pt-BR"")"),"Kavango Leste")</f>
        <v>Kavango Leste</v>
      </c>
    </row>
    <row r="3285">
      <c r="A3285" s="9" t="str">
        <f>IFERROR(__xludf.DUMMYFUNCTION("""COMPUTED_VALUE"""),"Ohangwena")</f>
        <v>Ohangwena</v>
      </c>
      <c r="B3285" s="9" t="str">
        <f>IFERROR(__xludf.DUMMYFUNCTION("""COMPUTED_VALUE"""),"na-ow")</f>
        <v>na-ow</v>
      </c>
      <c r="C3285" s="9" t="str">
        <f>IFERROR(__xludf.DUMMYFUNCTION("GOOGLETRANSLATE($A3285,""en"",""de"")"),"Ohangwena")</f>
        <v>Ohangwena</v>
      </c>
      <c r="D3285" s="9" t="str">
        <f>IFERROR(__xludf.DUMMYFUNCTION("GOOGLETRANSLATE($A3285,""en"",""fr"")"),"Ohangwena")</f>
        <v>Ohangwena</v>
      </c>
      <c r="E3285" s="9" t="str">
        <f>IFERROR(__xludf.DUMMYFUNCTION("GOOGLETRANSLATE($A3285,""en"",""es"")"),"Ohangwena")</f>
        <v>Ohangwena</v>
      </c>
      <c r="F3285" s="9" t="str">
        <f>IFERROR(__xludf.DUMMYFUNCTION("GOOGLETRANSLATE($A3285,""en"",""it"")"),"Ohangwena")</f>
        <v>Ohangwena</v>
      </c>
      <c r="G3285" s="9" t="str">
        <f>IFERROR(__xludf.DUMMYFUNCTION("GOOGLETRANSLATE($A3285,""en"",""zh-cn"")"),"奥汉格纳")</f>
        <v>奥汉格纳</v>
      </c>
      <c r="H3285" s="9" t="str">
        <f>IFERROR(__xludf.DUMMYFUNCTION("GOOGLETRANSLATE($A3285,""en"",""ja"")"),"オハングウェナ")</f>
        <v>オハングウェナ</v>
      </c>
      <c r="I3285" s="9" t="str">
        <f>IFERROR(__xludf.DUMMYFUNCTION("GOOGLETRANSLATE($A3285,""en"",""ko"")"),"오항웨나")</f>
        <v>오항웨나</v>
      </c>
      <c r="J3285" s="9" t="str">
        <f>IFERROR(__xludf.DUMMYFUNCTION("GOOGLETRANSLATE($A3285,""en"",""pt-BR"")"),"Ohangwena")</f>
        <v>Ohangwena</v>
      </c>
    </row>
    <row r="3286">
      <c r="A3286" s="9" t="str">
        <f>IFERROR(__xludf.DUMMYFUNCTION("""COMPUTED_VALUE"""),"Oshana")</f>
        <v>Oshana</v>
      </c>
      <c r="B3286" s="9" t="str">
        <f>IFERROR(__xludf.DUMMYFUNCTION("""COMPUTED_VALUE"""),"na-on")</f>
        <v>na-on</v>
      </c>
      <c r="C3286" s="9" t="str">
        <f>IFERROR(__xludf.DUMMYFUNCTION("GOOGLETRANSLATE($A3286,""en"",""de"")"),"Oshana")</f>
        <v>Oshana</v>
      </c>
      <c r="D3286" s="9" t="str">
        <f>IFERROR(__xludf.DUMMYFUNCTION("GOOGLETRANSLATE($A3286,""en"",""fr"")"),"Oshana")</f>
        <v>Oshana</v>
      </c>
      <c r="E3286" s="9" t="str">
        <f>IFERROR(__xludf.DUMMYFUNCTION("GOOGLETRANSLATE($A3286,""en"",""es"")"),"Oshaná")</f>
        <v>Oshaná</v>
      </c>
      <c r="F3286" s="9" t="str">
        <f>IFERROR(__xludf.DUMMYFUNCTION("GOOGLETRANSLATE($A3286,""en"",""it"")"),"Oshana")</f>
        <v>Oshana</v>
      </c>
      <c r="G3286" s="9" t="str">
        <f>IFERROR(__xludf.DUMMYFUNCTION("GOOGLETRANSLATE($A3286,""en"",""zh-cn"")"),"奥沙纳")</f>
        <v>奥沙纳</v>
      </c>
      <c r="H3286" s="9" t="str">
        <f>IFERROR(__xludf.DUMMYFUNCTION("GOOGLETRANSLATE($A3286,""en"",""ja"")"),"オシャナ")</f>
        <v>オシャナ</v>
      </c>
      <c r="I3286" s="9" t="str">
        <f>IFERROR(__xludf.DUMMYFUNCTION("GOOGLETRANSLATE($A3286,""en"",""ko"")"),"오샤나")</f>
        <v>오샤나</v>
      </c>
      <c r="J3286" s="9" t="str">
        <f>IFERROR(__xludf.DUMMYFUNCTION("GOOGLETRANSLATE($A3286,""en"",""pt-BR"")"),"Oshaná")</f>
        <v>Oshaná</v>
      </c>
    </row>
    <row r="3287">
      <c r="A3287" s="9" t="str">
        <f>IFERROR(__xludf.DUMMYFUNCTION("""COMPUTED_VALUE"""),"Omaheke")</f>
        <v>Omaheke</v>
      </c>
      <c r="B3287" s="9" t="str">
        <f>IFERROR(__xludf.DUMMYFUNCTION("""COMPUTED_VALUE"""),"na-oh")</f>
        <v>na-oh</v>
      </c>
      <c r="C3287" s="9" t="str">
        <f>IFERROR(__xludf.DUMMYFUNCTION("GOOGLETRANSLATE($A3287,""en"",""de"")"),"Omaheke")</f>
        <v>Omaheke</v>
      </c>
      <c r="D3287" s="9" t="str">
        <f>IFERROR(__xludf.DUMMYFUNCTION("GOOGLETRANSLATE($A3287,""en"",""fr"")"),"Omaheke")</f>
        <v>Omaheke</v>
      </c>
      <c r="E3287" s="9" t="str">
        <f>IFERROR(__xludf.DUMMYFUNCTION("GOOGLETRANSLATE($A3287,""en"",""es"")"),"omaheke")</f>
        <v>omaheke</v>
      </c>
      <c r="F3287" s="9" t="str">
        <f>IFERROR(__xludf.DUMMYFUNCTION("GOOGLETRANSLATE($A3287,""en"",""it"")"),"Omaheke")</f>
        <v>Omaheke</v>
      </c>
      <c r="G3287" s="9" t="str">
        <f>IFERROR(__xludf.DUMMYFUNCTION("GOOGLETRANSLATE($A3287,""en"",""zh-cn"")"),"奥马赫克")</f>
        <v>奥马赫克</v>
      </c>
      <c r="H3287" s="9" t="str">
        <f>IFERROR(__xludf.DUMMYFUNCTION("GOOGLETRANSLATE($A3287,""en"",""ja"")"),"オマヘケ")</f>
        <v>オマヘケ</v>
      </c>
      <c r="I3287" s="9" t="str">
        <f>IFERROR(__xludf.DUMMYFUNCTION("GOOGLETRANSLATE($A3287,""en"",""ko"")"),"오마헤케")</f>
        <v>오마헤케</v>
      </c>
      <c r="J3287" s="9" t="str">
        <f>IFERROR(__xludf.DUMMYFUNCTION("GOOGLETRANSLATE($A3287,""en"",""pt-BR"")"),"Omaheke")</f>
        <v>Omaheke</v>
      </c>
    </row>
    <row r="3288">
      <c r="A3288" s="9" t="str">
        <f>IFERROR(__xludf.DUMMYFUNCTION("""COMPUTED_VALUE"""),"Okavango")</f>
        <v>Okavango</v>
      </c>
      <c r="B3288" s="9" t="str">
        <f>IFERROR(__xludf.DUMMYFUNCTION("""COMPUTED_VALUE"""),"na-ok")</f>
        <v>na-ok</v>
      </c>
      <c r="C3288" s="9" t="str">
        <f>IFERROR(__xludf.DUMMYFUNCTION("GOOGLETRANSLATE($A3288,""en"",""de"")"),"Okavango")</f>
        <v>Okavango</v>
      </c>
      <c r="D3288" s="9" t="str">
        <f>IFERROR(__xludf.DUMMYFUNCTION("GOOGLETRANSLATE($A3288,""en"",""fr"")"),"Okavango")</f>
        <v>Okavango</v>
      </c>
      <c r="E3288" s="9" t="str">
        <f>IFERROR(__xludf.DUMMYFUNCTION("GOOGLETRANSLATE($A3288,""en"",""es"")"),"Okavango")</f>
        <v>Okavango</v>
      </c>
      <c r="F3288" s="9" t="str">
        <f>IFERROR(__xludf.DUMMYFUNCTION("GOOGLETRANSLATE($A3288,""en"",""it"")"),"Okavango")</f>
        <v>Okavango</v>
      </c>
      <c r="G3288" s="9" t="str">
        <f>IFERROR(__xludf.DUMMYFUNCTION("GOOGLETRANSLATE($A3288,""en"",""zh-cn"")"),"奥卡万戈")</f>
        <v>奥卡万戈</v>
      </c>
      <c r="H3288" s="9" t="str">
        <f>IFERROR(__xludf.DUMMYFUNCTION("GOOGLETRANSLATE($A3288,""en"",""ja"")"),"オカバンゴ")</f>
        <v>オカバンゴ</v>
      </c>
      <c r="I3288" s="9" t="str">
        <f>IFERROR(__xludf.DUMMYFUNCTION("GOOGLETRANSLATE($A3288,""en"",""ko"")"),"오카방고")</f>
        <v>오카방고</v>
      </c>
      <c r="J3288" s="9" t="str">
        <f>IFERROR(__xludf.DUMMYFUNCTION("GOOGLETRANSLATE($A3288,""en"",""pt-BR"")"),"Okavango")</f>
        <v>Okavango</v>
      </c>
    </row>
    <row r="3289">
      <c r="A3289" s="9" t="str">
        <f>IFERROR(__xludf.DUMMYFUNCTION("""COMPUTED_VALUE"""),"Hardap")</f>
        <v>Hardap</v>
      </c>
      <c r="B3289" s="9" t="str">
        <f>IFERROR(__xludf.DUMMYFUNCTION("""COMPUTED_VALUE"""),"na-ha")</f>
        <v>na-ha</v>
      </c>
      <c r="C3289" s="9" t="str">
        <f>IFERROR(__xludf.DUMMYFUNCTION("GOOGLETRANSLATE($A3289,""en"",""de"")"),"Hardap")</f>
        <v>Hardap</v>
      </c>
      <c r="D3289" s="9" t="str">
        <f>IFERROR(__xludf.DUMMYFUNCTION("GOOGLETRANSLATE($A3289,""en"",""fr"")"),"Hardap")</f>
        <v>Hardap</v>
      </c>
      <c r="E3289" s="9" t="str">
        <f>IFERROR(__xludf.DUMMYFUNCTION("GOOGLETRANSLATE($A3289,""en"",""es"")"),"Hardap")</f>
        <v>Hardap</v>
      </c>
      <c r="F3289" s="9" t="str">
        <f>IFERROR(__xludf.DUMMYFUNCTION("GOOGLETRANSLATE($A3289,""en"",""it"")"),"Hardap")</f>
        <v>Hardap</v>
      </c>
      <c r="G3289" s="9" t="str">
        <f>IFERROR(__xludf.DUMMYFUNCTION("GOOGLETRANSLATE($A3289,""en"",""zh-cn"")"),"哈达普")</f>
        <v>哈达普</v>
      </c>
      <c r="H3289" s="9" t="str">
        <f>IFERROR(__xludf.DUMMYFUNCTION("GOOGLETRANSLATE($A3289,""en"",""ja"")"),"ハルダプ")</f>
        <v>ハルダプ</v>
      </c>
      <c r="I3289" s="9" t="str">
        <f>IFERROR(__xludf.DUMMYFUNCTION("GOOGLETRANSLATE($A3289,""en"",""ko"")"),"하르다프")</f>
        <v>하르다프</v>
      </c>
      <c r="J3289" s="9" t="str">
        <f>IFERROR(__xludf.DUMMYFUNCTION("GOOGLETRANSLATE($A3289,""en"",""pt-BR"")"),"Hardap")</f>
        <v>Hardap</v>
      </c>
    </row>
    <row r="3290">
      <c r="A3290" s="9" t="str">
        <f>IFERROR(__xludf.DUMMYFUNCTION("""COMPUTED_VALUE"""),"Karas")</f>
        <v>Karas</v>
      </c>
      <c r="B3290" s="9" t="str">
        <f>IFERROR(__xludf.DUMMYFUNCTION("""COMPUTED_VALUE"""),"na-ka")</f>
        <v>na-ka</v>
      </c>
      <c r="C3290" s="9" t="str">
        <f>IFERROR(__xludf.DUMMYFUNCTION("GOOGLETRANSLATE($A3290,""en"",""de"")"),"Karas")</f>
        <v>Karas</v>
      </c>
      <c r="D3290" s="9" t="str">
        <f>IFERROR(__xludf.DUMMYFUNCTION("GOOGLETRANSLATE($A3290,""en"",""fr"")"),"Karas")</f>
        <v>Karas</v>
      </c>
      <c r="E3290" s="9" t="str">
        <f>IFERROR(__xludf.DUMMYFUNCTION("GOOGLETRANSLATE($A3290,""en"",""es"")"),"Karas")</f>
        <v>Karas</v>
      </c>
      <c r="F3290" s="9" t="str">
        <f>IFERROR(__xludf.DUMMYFUNCTION("GOOGLETRANSLATE($A3290,""en"",""it"")"),"Karas")</f>
        <v>Karas</v>
      </c>
      <c r="G3290" s="9" t="str">
        <f>IFERROR(__xludf.DUMMYFUNCTION("GOOGLETRANSLATE($A3290,""en"",""zh-cn"")"),"卡拉斯")</f>
        <v>卡拉斯</v>
      </c>
      <c r="H3290" s="9" t="str">
        <f>IFERROR(__xludf.DUMMYFUNCTION("GOOGLETRANSLATE($A3290,""en"",""ja"")"),"カラス")</f>
        <v>カラス</v>
      </c>
      <c r="I3290" s="9" t="str">
        <f>IFERROR(__xludf.DUMMYFUNCTION("GOOGLETRANSLATE($A3290,""en"",""ko"")"),"카라스")</f>
        <v>카라스</v>
      </c>
      <c r="J3290" s="9" t="str">
        <f>IFERROR(__xludf.DUMMYFUNCTION("GOOGLETRANSLATE($A3290,""en"",""pt-BR"")"),"Karas")</f>
        <v>Karas</v>
      </c>
    </row>
    <row r="3291">
      <c r="A3291" s="9" t="str">
        <f>IFERROR(__xludf.DUMMYFUNCTION("""COMPUTED_VALUE"""),"Khomas")</f>
        <v>Khomas</v>
      </c>
      <c r="B3291" s="9" t="str">
        <f>IFERROR(__xludf.DUMMYFUNCTION("""COMPUTED_VALUE"""),"na-kh")</f>
        <v>na-kh</v>
      </c>
      <c r="C3291" s="9" t="str">
        <f>IFERROR(__xludf.DUMMYFUNCTION("GOOGLETRANSLATE($A3291,""en"",""de"")"),"Khomas")</f>
        <v>Khomas</v>
      </c>
      <c r="D3291" s="9" t="str">
        <f>IFERROR(__xludf.DUMMYFUNCTION("GOOGLETRANSLATE($A3291,""en"",""fr"")"),"Khomas")</f>
        <v>Khomas</v>
      </c>
      <c r="E3291" s="9" t="str">
        <f>IFERROR(__xludf.DUMMYFUNCTION("GOOGLETRANSLATE($A3291,""en"",""es"")"),"jomas")</f>
        <v>jomas</v>
      </c>
      <c r="F3291" s="9" t="str">
        <f>IFERROR(__xludf.DUMMYFUNCTION("GOOGLETRANSLATE($A3291,""en"",""it"")"),"Khomas")</f>
        <v>Khomas</v>
      </c>
      <c r="G3291" s="9" t="str">
        <f>IFERROR(__xludf.DUMMYFUNCTION("GOOGLETRANSLATE($A3291,""en"",""zh-cn"")"),"科马斯")</f>
        <v>科马斯</v>
      </c>
      <c r="H3291" s="9" t="str">
        <f>IFERROR(__xludf.DUMMYFUNCTION("GOOGLETRANSLATE($A3291,""en"",""ja"")"),"コマス")</f>
        <v>コマス</v>
      </c>
      <c r="I3291" s="9" t="str">
        <f>IFERROR(__xludf.DUMMYFUNCTION("GOOGLETRANSLATE($A3291,""en"",""ko"")"),"호마스")</f>
        <v>호마스</v>
      </c>
      <c r="J3291" s="9" t="str">
        <f>IFERROR(__xludf.DUMMYFUNCTION("GOOGLETRANSLATE($A3291,""en"",""pt-BR"")"),"Khomas")</f>
        <v>Khomas</v>
      </c>
    </row>
    <row r="3292">
      <c r="A3292" s="9" t="str">
        <f>IFERROR(__xludf.DUMMYFUNCTION("""COMPUTED_VALUE"""),"Meneng")</f>
        <v>Meneng</v>
      </c>
      <c r="B3292" s="9" t="str">
        <f>IFERROR(__xludf.DUMMYFUNCTION("""COMPUTED_VALUE"""),"nr-11")</f>
        <v>nr-11</v>
      </c>
      <c r="C3292" s="9" t="str">
        <f>IFERROR(__xludf.DUMMYFUNCTION("GOOGLETRANSLATE($A3292,""en"",""de"")"),"Meneng")</f>
        <v>Meneng</v>
      </c>
      <c r="D3292" s="9" t="str">
        <f>IFERROR(__xludf.DUMMYFUNCTION("GOOGLETRANSLATE($A3292,""en"",""fr"")"),"Meneng")</f>
        <v>Meneng</v>
      </c>
      <c r="E3292" s="9" t="str">
        <f>IFERROR(__xludf.DUMMYFUNCTION("GOOGLETRANSLATE($A3292,""en"",""es"")"),"Meneng")</f>
        <v>Meneng</v>
      </c>
      <c r="F3292" s="9" t="str">
        <f>IFERROR(__xludf.DUMMYFUNCTION("GOOGLETRANSLATE($A3292,""en"",""it"")"),"Meneng")</f>
        <v>Meneng</v>
      </c>
      <c r="G3292" s="9" t="str">
        <f>IFERROR(__xludf.DUMMYFUNCTION("GOOGLETRANSLATE($A3292,""en"",""zh-cn"")"),"梅能")</f>
        <v>梅能</v>
      </c>
      <c r="H3292" s="9" t="str">
        <f>IFERROR(__xludf.DUMMYFUNCTION("GOOGLETRANSLATE($A3292,""en"",""ja"")"),"メネン")</f>
        <v>メネン</v>
      </c>
      <c r="I3292" s="9" t="str">
        <f>IFERROR(__xludf.DUMMYFUNCTION("GOOGLETRANSLATE($A3292,""en"",""ko"")"),"메렝")</f>
        <v>메렝</v>
      </c>
      <c r="J3292" s="9" t="str">
        <f>IFERROR(__xludf.DUMMYFUNCTION("GOOGLETRANSLATE($A3292,""en"",""pt-BR"")"),"Meneng")</f>
        <v>Meneng</v>
      </c>
    </row>
    <row r="3293">
      <c r="A3293" s="9" t="str">
        <f>IFERROR(__xludf.DUMMYFUNCTION("""COMPUTED_VALUE"""),"Nibok")</f>
        <v>Nibok</v>
      </c>
      <c r="B3293" s="9" t="str">
        <f>IFERROR(__xludf.DUMMYFUNCTION("""COMPUTED_VALUE"""),"nr-12")</f>
        <v>nr-12</v>
      </c>
      <c r="C3293" s="9" t="str">
        <f>IFERROR(__xludf.DUMMYFUNCTION("GOOGLETRANSLATE($A3293,""en"",""de"")"),"Nibok")</f>
        <v>Nibok</v>
      </c>
      <c r="D3293" s="9" t="str">
        <f>IFERROR(__xludf.DUMMYFUNCTION("GOOGLETRANSLATE($A3293,""en"",""fr"")"),"Nibok")</f>
        <v>Nibok</v>
      </c>
      <c r="E3293" s="9" t="str">
        <f>IFERROR(__xludf.DUMMYFUNCTION("GOOGLETRANSLATE($A3293,""en"",""es"")"),"nibok")</f>
        <v>nibok</v>
      </c>
      <c r="F3293" s="9" t="str">
        <f>IFERROR(__xludf.DUMMYFUNCTION("GOOGLETRANSLATE($A3293,""en"",""it"")"),"Nibok")</f>
        <v>Nibok</v>
      </c>
      <c r="G3293" s="9" t="str">
        <f>IFERROR(__xludf.DUMMYFUNCTION("GOOGLETRANSLATE($A3293,""en"",""zh-cn"")"),"尼博克")</f>
        <v>尼博克</v>
      </c>
      <c r="H3293" s="9" t="str">
        <f>IFERROR(__xludf.DUMMYFUNCTION("GOOGLETRANSLATE($A3293,""en"",""ja"")"),"ニボク")</f>
        <v>ニボク</v>
      </c>
      <c r="I3293" s="9" t="str">
        <f>IFERROR(__xludf.DUMMYFUNCTION("GOOGLETRANSLATE($A3293,""en"",""ko"")"),"니복")</f>
        <v>니복</v>
      </c>
      <c r="J3293" s="9" t="str">
        <f>IFERROR(__xludf.DUMMYFUNCTION("GOOGLETRANSLATE($A3293,""en"",""pt-BR"")"),"Nibok")</f>
        <v>Nibok</v>
      </c>
    </row>
    <row r="3294">
      <c r="A3294" s="9" t="str">
        <f>IFERROR(__xludf.DUMMYFUNCTION("""COMPUTED_VALUE"""),"Uaboe")</f>
        <v>Uaboe</v>
      </c>
      <c r="B3294" s="9" t="str">
        <f>IFERROR(__xludf.DUMMYFUNCTION("""COMPUTED_VALUE"""),"nr-13")</f>
        <v>nr-13</v>
      </c>
      <c r="C3294" s="9" t="str">
        <f>IFERROR(__xludf.DUMMYFUNCTION("GOOGLETRANSLATE($A3294,""en"",""de"")"),"Uaboe")</f>
        <v>Uaboe</v>
      </c>
      <c r="D3294" s="9" t="str">
        <f>IFERROR(__xludf.DUMMYFUNCTION("GOOGLETRANSLATE($A3294,""en"",""fr"")"),"Uaboé")</f>
        <v>Uaboé</v>
      </c>
      <c r="E3294" s="9" t="str">
        <f>IFERROR(__xludf.DUMMYFUNCTION("GOOGLETRANSLATE($A3294,""en"",""es"")"),"Uaboé")</f>
        <v>Uaboé</v>
      </c>
      <c r="F3294" s="9" t="str">
        <f>IFERROR(__xludf.DUMMYFUNCTION("GOOGLETRANSLATE($A3294,""en"",""it"")"),"Uaboe")</f>
        <v>Uaboe</v>
      </c>
      <c r="G3294" s="9" t="str">
        <f>IFERROR(__xludf.DUMMYFUNCTION("GOOGLETRANSLATE($A3294,""en"",""zh-cn"")"),"乌博埃")</f>
        <v>乌博埃</v>
      </c>
      <c r="H3294" s="9" t="str">
        <f>IFERROR(__xludf.DUMMYFUNCTION("GOOGLETRANSLATE($A3294,""en"",""ja"")"),"ウボエ")</f>
        <v>ウボエ</v>
      </c>
      <c r="I3294" s="9" t="str">
        <f>IFERROR(__xludf.DUMMYFUNCTION("GOOGLETRANSLATE($A3294,""en"",""ko"")"),"우아보에")</f>
        <v>우아보에</v>
      </c>
      <c r="J3294" s="9" t="str">
        <f>IFERROR(__xludf.DUMMYFUNCTION("GOOGLETRANSLATE($A3294,""en"",""pt-BR"")"),"Uaboé")</f>
        <v>Uaboé</v>
      </c>
    </row>
    <row r="3295">
      <c r="A3295" s="9" t="str">
        <f>IFERROR(__xludf.DUMMYFUNCTION("""COMPUTED_VALUE"""),"Anetan")</f>
        <v>Anetan</v>
      </c>
      <c r="B3295" s="9" t="str">
        <f>IFERROR(__xludf.DUMMYFUNCTION("""COMPUTED_VALUE"""),"nr-03")</f>
        <v>nr-03</v>
      </c>
      <c r="C3295" s="9" t="str">
        <f>IFERROR(__xludf.DUMMYFUNCTION("GOOGLETRANSLATE($A3295,""en"",""de"")"),"Anetan")</f>
        <v>Anetan</v>
      </c>
      <c r="D3295" s="9" t="str">
        <f>IFERROR(__xludf.DUMMYFUNCTION("GOOGLETRANSLATE($A3295,""en"",""fr"")"),"Anétan")</f>
        <v>Anétan</v>
      </c>
      <c r="E3295" s="9" t="str">
        <f>IFERROR(__xludf.DUMMYFUNCTION("GOOGLETRANSLATE($A3295,""en"",""es"")"),"anetan")</f>
        <v>anetan</v>
      </c>
      <c r="F3295" s="9" t="str">
        <f>IFERROR(__xludf.DUMMYFUNCTION("GOOGLETRANSLATE($A3295,""en"",""it"")"),"Anetan")</f>
        <v>Anetan</v>
      </c>
      <c r="G3295" s="9" t="str">
        <f>IFERROR(__xludf.DUMMYFUNCTION("GOOGLETRANSLATE($A3295,""en"",""zh-cn"")"),"阿内坦")</f>
        <v>阿内坦</v>
      </c>
      <c r="H3295" s="9" t="str">
        <f>IFERROR(__xludf.DUMMYFUNCTION("GOOGLETRANSLATE($A3295,""en"",""ja"")"),"アネタン")</f>
        <v>アネタン</v>
      </c>
      <c r="I3295" s="9" t="str">
        <f>IFERROR(__xludf.DUMMYFUNCTION("GOOGLETRANSLATE($A3295,""en"",""ko"")"),"아네탄")</f>
        <v>아네탄</v>
      </c>
      <c r="J3295" s="9" t="str">
        <f>IFERROR(__xludf.DUMMYFUNCTION("GOOGLETRANSLATE($A3295,""en"",""pt-BR"")"),"Anetano")</f>
        <v>Anetano</v>
      </c>
    </row>
    <row r="3296">
      <c r="A3296" s="9" t="str">
        <f>IFERROR(__xludf.DUMMYFUNCTION("""COMPUTED_VALUE"""),"Buada")</f>
        <v>Buada</v>
      </c>
      <c r="B3296" s="9" t="str">
        <f>IFERROR(__xludf.DUMMYFUNCTION("""COMPUTED_VALUE"""),"nr-07")</f>
        <v>nr-07</v>
      </c>
      <c r="C3296" s="9" t="str">
        <f>IFERROR(__xludf.DUMMYFUNCTION("GOOGLETRANSLATE($A3296,""en"",""de"")"),"Buada")</f>
        <v>Buada</v>
      </c>
      <c r="D3296" s="9" t="str">
        <f>IFERROR(__xludf.DUMMYFUNCTION("GOOGLETRANSLATE($A3296,""en"",""fr"")"),"Bouada")</f>
        <v>Bouada</v>
      </c>
      <c r="E3296" s="9" t="str">
        <f>IFERROR(__xludf.DUMMYFUNCTION("GOOGLETRANSLATE($A3296,""en"",""es"")"),"Buada")</f>
        <v>Buada</v>
      </c>
      <c r="F3296" s="9" t="str">
        <f>IFERROR(__xludf.DUMMYFUNCTION("GOOGLETRANSLATE($A3296,""en"",""it"")"),"Buada")</f>
        <v>Buada</v>
      </c>
      <c r="G3296" s="9" t="str">
        <f>IFERROR(__xludf.DUMMYFUNCTION("GOOGLETRANSLATE($A3296,""en"",""zh-cn"")"),"布阿达")</f>
        <v>布阿达</v>
      </c>
      <c r="H3296" s="9" t="str">
        <f>IFERROR(__xludf.DUMMYFUNCTION("GOOGLETRANSLATE($A3296,""en"",""ja"")"),"ブアダ")</f>
        <v>ブアダ</v>
      </c>
      <c r="I3296" s="9" t="str">
        <f>IFERROR(__xludf.DUMMYFUNCTION("GOOGLETRANSLATE($A3296,""en"",""ko"")"),"부아다")</f>
        <v>부아다</v>
      </c>
      <c r="J3296" s="9" t="str">
        <f>IFERROR(__xludf.DUMMYFUNCTION("GOOGLETRANSLATE($A3296,""en"",""pt-BR"")"),"Buada")</f>
        <v>Buada</v>
      </c>
    </row>
    <row r="3297">
      <c r="A3297" s="9" t="str">
        <f>IFERROR(__xludf.DUMMYFUNCTION("""COMPUTED_VALUE"""),"Boe")</f>
        <v>Boe</v>
      </c>
      <c r="B3297" s="9" t="str">
        <f>IFERROR(__xludf.DUMMYFUNCTION("""COMPUTED_VALUE"""),"nr-06")</f>
        <v>nr-06</v>
      </c>
      <c r="C3297" s="9" t="str">
        <f>IFERROR(__xludf.DUMMYFUNCTION("GOOGLETRANSLATE($A3297,""en"",""de"")"),"Boe")</f>
        <v>Boe</v>
      </c>
      <c r="D3297" s="9" t="str">
        <f>IFERROR(__xludf.DUMMYFUNCTION("GOOGLETRANSLATE($A3297,""en"",""fr"")"),"Boé")</f>
        <v>Boé</v>
      </c>
      <c r="E3297" s="9" t="str">
        <f>IFERROR(__xludf.DUMMYFUNCTION("GOOGLETRANSLATE($A3297,""en"",""es"")"),"boe")</f>
        <v>boe</v>
      </c>
      <c r="F3297" s="9" t="str">
        <f>IFERROR(__xludf.DUMMYFUNCTION("GOOGLETRANSLATE($A3297,""en"",""it"")"),"Boe")</f>
        <v>Boe</v>
      </c>
      <c r="G3297" s="9" t="str">
        <f>IFERROR(__xludf.DUMMYFUNCTION("GOOGLETRANSLATE($A3297,""en"",""zh-cn"")"),"鲍伊")</f>
        <v>鲍伊</v>
      </c>
      <c r="H3297" s="9" t="str">
        <f>IFERROR(__xludf.DUMMYFUNCTION("GOOGLETRANSLATE($A3297,""en"",""ja"")"),"ボー")</f>
        <v>ボー</v>
      </c>
      <c r="I3297" s="9" t="str">
        <f>IFERROR(__xludf.DUMMYFUNCTION("GOOGLETRANSLATE($A3297,""en"",""ko"")"),"보")</f>
        <v>보</v>
      </c>
      <c r="J3297" s="9" t="str">
        <f>IFERROR(__xludf.DUMMYFUNCTION("GOOGLETRANSLATE($A3297,""en"",""pt-BR"")"),"Boé")</f>
        <v>Boé</v>
      </c>
    </row>
    <row r="3298">
      <c r="A3298" s="9" t="str">
        <f>IFERROR(__xludf.DUMMYFUNCTION("""COMPUTED_VALUE"""),"Anabar")</f>
        <v>Anabar</v>
      </c>
      <c r="B3298" s="9" t="str">
        <f>IFERROR(__xludf.DUMMYFUNCTION("""COMPUTED_VALUE"""),"nr-02")</f>
        <v>nr-02</v>
      </c>
      <c r="C3298" s="9" t="str">
        <f>IFERROR(__xludf.DUMMYFUNCTION("GOOGLETRANSLATE($A3298,""en"",""de"")"),"Anabar")</f>
        <v>Anabar</v>
      </c>
      <c r="D3298" s="9" t="str">
        <f>IFERROR(__xludf.DUMMYFUNCTION("GOOGLETRANSLATE($A3298,""en"",""fr"")"),"Anabar")</f>
        <v>Anabar</v>
      </c>
      <c r="E3298" s="9" t="str">
        <f>IFERROR(__xludf.DUMMYFUNCTION("GOOGLETRANSLATE($A3298,""en"",""es"")"),"Anabar")</f>
        <v>Anabar</v>
      </c>
      <c r="F3298" s="9" t="str">
        <f>IFERROR(__xludf.DUMMYFUNCTION("GOOGLETRANSLATE($A3298,""en"",""it"")"),"Anabar")</f>
        <v>Anabar</v>
      </c>
      <c r="G3298" s="9" t="str">
        <f>IFERROR(__xludf.DUMMYFUNCTION("GOOGLETRANSLATE($A3298,""en"",""zh-cn"")"),"阿纳巴尔")</f>
        <v>阿纳巴尔</v>
      </c>
      <c r="H3298" s="9" t="str">
        <f>IFERROR(__xludf.DUMMYFUNCTION("GOOGLETRANSLATE($A3298,""en"",""ja"")"),"アナバー")</f>
        <v>アナバー</v>
      </c>
      <c r="I3298" s="9" t="str">
        <f>IFERROR(__xludf.DUMMYFUNCTION("GOOGLETRANSLATE($A3298,""en"",""ko"")"),"아나바르")</f>
        <v>아나바르</v>
      </c>
      <c r="J3298" s="9" t="str">
        <f>IFERROR(__xludf.DUMMYFUNCTION("GOOGLETRANSLATE($A3298,""en"",""pt-BR"")"),"Anabar")</f>
        <v>Anabar</v>
      </c>
    </row>
    <row r="3299">
      <c r="A3299" s="9" t="str">
        <f>IFERROR(__xludf.DUMMYFUNCTION("""COMPUTED_VALUE"""),"Ijuw")</f>
        <v>Ijuw</v>
      </c>
      <c r="B3299" s="9" t="str">
        <f>IFERROR(__xludf.DUMMYFUNCTION("""COMPUTED_VALUE"""),"nr-10")</f>
        <v>nr-10</v>
      </c>
      <c r="C3299" s="9" t="str">
        <f>IFERROR(__xludf.DUMMYFUNCTION("GOOGLETRANSLATE($A3299,""en"",""de"")"),"Ijuw")</f>
        <v>Ijuw</v>
      </c>
      <c r="D3299" s="9" t="str">
        <f>IFERROR(__xludf.DUMMYFUNCTION("GOOGLETRANSLATE($A3299,""en"",""fr"")"),"Jeju")</f>
        <v>Jeju</v>
      </c>
      <c r="E3299" s="9" t="str">
        <f>IFERROR(__xludf.DUMMYFUNCTION("GOOGLETRANSLATE($A3299,""en"",""es"")"),"Ijuw")</f>
        <v>Ijuw</v>
      </c>
      <c r="F3299" s="9" t="str">
        <f>IFERROR(__xludf.DUMMYFUNCTION("GOOGLETRANSLATE($A3299,""en"",""it"")"),"Giusto")</f>
        <v>Giusto</v>
      </c>
      <c r="G3299" s="9" t="str">
        <f>IFERROR(__xludf.DUMMYFUNCTION("GOOGLETRANSLATE($A3299,""en"",""zh-cn"")"),"伊尤夫")</f>
        <v>伊尤夫</v>
      </c>
      <c r="H3299" s="9" t="str">
        <f>IFERROR(__xludf.DUMMYFUNCTION("GOOGLETRANSLATE($A3299,""en"",""ja"")"),"イジュー")</f>
        <v>イジュー</v>
      </c>
      <c r="I3299" s="9" t="str">
        <f>IFERROR(__xludf.DUMMYFUNCTION("GOOGLETRANSLATE($A3299,""en"",""ko"")"),"이주")</f>
        <v>이주</v>
      </c>
      <c r="J3299" s="9" t="str">
        <f>IFERROR(__xludf.DUMMYFUNCTION("GOOGLETRANSLATE($A3299,""en"",""pt-BR"")"),"Ijuw")</f>
        <v>Ijuw</v>
      </c>
    </row>
    <row r="3300">
      <c r="A3300" s="9" t="str">
        <f>IFERROR(__xludf.DUMMYFUNCTION("""COMPUTED_VALUE"""),"Ewa")</f>
        <v>Ewa</v>
      </c>
      <c r="B3300" s="9" t="str">
        <f>IFERROR(__xludf.DUMMYFUNCTION("""COMPUTED_VALUE"""),"nr-09")</f>
        <v>nr-09</v>
      </c>
      <c r="C3300" s="9" t="str">
        <f>IFERROR(__xludf.DUMMYFUNCTION("GOOGLETRANSLATE($A3300,""en"",""de"")"),"Ewa")</f>
        <v>Ewa</v>
      </c>
      <c r="D3300" s="9" t="str">
        <f>IFERROR(__xludf.DUMMYFUNCTION("GOOGLETRANSLATE($A3300,""en"",""fr"")"),"Éwa")</f>
        <v>Éwa</v>
      </c>
      <c r="E3300" s="9" t="str">
        <f>IFERROR(__xludf.DUMMYFUNCTION("GOOGLETRANSLATE($A3300,""en"",""es"")"),"ewa")</f>
        <v>ewa</v>
      </c>
      <c r="F3300" s="9" t="str">
        <f>IFERROR(__xludf.DUMMYFUNCTION("GOOGLETRANSLATE($A3300,""en"",""it"")"),"Ewa")</f>
        <v>Ewa</v>
      </c>
      <c r="G3300" s="9" t="str">
        <f>IFERROR(__xludf.DUMMYFUNCTION("GOOGLETRANSLATE($A3300,""en"",""zh-cn"")"),"埃瓦")</f>
        <v>埃瓦</v>
      </c>
      <c r="H3300" s="9" t="str">
        <f>IFERROR(__xludf.DUMMYFUNCTION("GOOGLETRANSLATE($A3300,""en"",""ja"")"),"エワ")</f>
        <v>エワ</v>
      </c>
      <c r="I3300" s="9" t="str">
        <f>IFERROR(__xludf.DUMMYFUNCTION("GOOGLETRANSLATE($A3300,""en"",""ko"")"),"에와")</f>
        <v>에와</v>
      </c>
      <c r="J3300" s="9" t="str">
        <f>IFERROR(__xludf.DUMMYFUNCTION("GOOGLETRANSLATE($A3300,""en"",""pt-BR"")"),"Ewa")</f>
        <v>Ewa</v>
      </c>
    </row>
    <row r="3301">
      <c r="A3301" s="9" t="str">
        <f>IFERROR(__xludf.DUMMYFUNCTION("""COMPUTED_VALUE"""),"Denigomodu")</f>
        <v>Denigomodu</v>
      </c>
      <c r="B3301" s="9" t="str">
        <f>IFERROR(__xludf.DUMMYFUNCTION("""COMPUTED_VALUE"""),"nr-08")</f>
        <v>nr-08</v>
      </c>
      <c r="C3301" s="9" t="str">
        <f>IFERROR(__xludf.DUMMYFUNCTION("GOOGLETRANSLATE($A3301,""en"",""de"")"),"Denigomodu")</f>
        <v>Denigomodu</v>
      </c>
      <c r="D3301" s="9" t="str">
        <f>IFERROR(__xludf.DUMMYFUNCTION("GOOGLETRANSLATE($A3301,""en"",""fr"")"),"Dénigomodu")</f>
        <v>Dénigomodu</v>
      </c>
      <c r="E3301" s="9" t="str">
        <f>IFERROR(__xludf.DUMMYFUNCTION("GOOGLETRANSLATE($A3301,""en"",""es"")"),"Denigomodu")</f>
        <v>Denigomodu</v>
      </c>
      <c r="F3301" s="9" t="str">
        <f>IFERROR(__xludf.DUMMYFUNCTION("GOOGLETRANSLATE($A3301,""en"",""it"")"),"Denigomodu")</f>
        <v>Denigomodu</v>
      </c>
      <c r="G3301" s="9" t="str">
        <f>IFERROR(__xludf.DUMMYFUNCTION("GOOGLETRANSLATE($A3301,""en"",""zh-cn"")"),"德尼戈莫杜")</f>
        <v>德尼戈莫杜</v>
      </c>
      <c r="H3301" s="9" t="str">
        <f>IFERROR(__xludf.DUMMYFUNCTION("GOOGLETRANSLATE($A3301,""en"",""ja"")"),"デニゴモドゥ")</f>
        <v>デニゴモドゥ</v>
      </c>
      <c r="I3301" s="9" t="str">
        <f>IFERROR(__xludf.DUMMYFUNCTION("GOOGLETRANSLATE($A3301,""en"",""ko"")"),"데니고모두")</f>
        <v>데니고모두</v>
      </c>
      <c r="J3301" s="9" t="str">
        <f>IFERROR(__xludf.DUMMYFUNCTION("GOOGLETRANSLATE($A3301,""en"",""pt-BR"")"),"Denigomodu")</f>
        <v>Denigomodu</v>
      </c>
    </row>
    <row r="3302">
      <c r="A3302" s="9" t="str">
        <f>IFERROR(__xludf.DUMMYFUNCTION("""COMPUTED_VALUE"""),"Aiwo")</f>
        <v>Aiwo</v>
      </c>
      <c r="B3302" s="9" t="str">
        <f>IFERROR(__xludf.DUMMYFUNCTION("""COMPUTED_VALUE"""),"nr-01")</f>
        <v>nr-01</v>
      </c>
      <c r="C3302" s="9" t="str">
        <f>IFERROR(__xludf.DUMMYFUNCTION("GOOGLETRANSLATE($A3302,""en"",""de"")"),"Aiwo")</f>
        <v>Aiwo</v>
      </c>
      <c r="D3302" s="9" t="str">
        <f>IFERROR(__xludf.DUMMYFUNCTION("GOOGLETRANSLATE($A3302,""en"",""fr"")"),"Aïwo")</f>
        <v>Aïwo</v>
      </c>
      <c r="E3302" s="9" t="str">
        <f>IFERROR(__xludf.DUMMYFUNCTION("GOOGLETRANSLATE($A3302,""en"",""es"")"),"Aiwo")</f>
        <v>Aiwo</v>
      </c>
      <c r="F3302" s="9" t="str">
        <f>IFERROR(__xludf.DUMMYFUNCTION("GOOGLETRANSLATE($A3302,""en"",""it"")"),"Aiwo")</f>
        <v>Aiwo</v>
      </c>
      <c r="G3302" s="9" t="str">
        <f>IFERROR(__xludf.DUMMYFUNCTION("GOOGLETRANSLATE($A3302,""en"",""zh-cn"")"),"爱沃")</f>
        <v>爱沃</v>
      </c>
      <c r="H3302" s="9" t="str">
        <f>IFERROR(__xludf.DUMMYFUNCTION("GOOGLETRANSLATE($A3302,""en"",""ja"")"),"アイウォ")</f>
        <v>アイウォ</v>
      </c>
      <c r="I3302" s="9" t="str">
        <f>IFERROR(__xludf.DUMMYFUNCTION("GOOGLETRANSLATE($A3302,""en"",""ko"")"),"아이워")</f>
        <v>아이워</v>
      </c>
      <c r="J3302" s="9" t="str">
        <f>IFERROR(__xludf.DUMMYFUNCTION("GOOGLETRANSLATE($A3302,""en"",""pt-BR"")"),"Aiwo")</f>
        <v>Aiwo</v>
      </c>
    </row>
    <row r="3303">
      <c r="A3303" s="9" t="str">
        <f>IFERROR(__xludf.DUMMYFUNCTION("""COMPUTED_VALUE"""),"Yaren")</f>
        <v>Yaren</v>
      </c>
      <c r="B3303" s="9" t="str">
        <f>IFERROR(__xludf.DUMMYFUNCTION("""COMPUTED_VALUE"""),"nr-14")</f>
        <v>nr-14</v>
      </c>
      <c r="C3303" s="9" t="str">
        <f>IFERROR(__xludf.DUMMYFUNCTION("GOOGLETRANSLATE($A3303,""en"",""de"")"),"Yaren")</f>
        <v>Yaren</v>
      </c>
      <c r="D3303" s="9" t="str">
        <f>IFERROR(__xludf.DUMMYFUNCTION("GOOGLETRANSLATE($A3303,""en"",""fr"")"),"Yaren")</f>
        <v>Yaren</v>
      </c>
      <c r="E3303" s="9" t="str">
        <f>IFERROR(__xludf.DUMMYFUNCTION("GOOGLETRANSLATE($A3303,""en"",""es"")"),"Yaren")</f>
        <v>Yaren</v>
      </c>
      <c r="F3303" s="9" t="str">
        <f>IFERROR(__xludf.DUMMYFUNCTION("GOOGLETRANSLATE($A3303,""en"",""it"")"),"Yaren")</f>
        <v>Yaren</v>
      </c>
      <c r="G3303" s="9" t="str">
        <f>IFERROR(__xludf.DUMMYFUNCTION("GOOGLETRANSLATE($A3303,""en"",""zh-cn"")"),"亚仁")</f>
        <v>亚仁</v>
      </c>
      <c r="H3303" s="9" t="str">
        <f>IFERROR(__xludf.DUMMYFUNCTION("GOOGLETRANSLATE($A3303,""en"",""ja"")"),"ヤレン")</f>
        <v>ヤレン</v>
      </c>
      <c r="I3303" s="9" t="str">
        <f>IFERROR(__xludf.DUMMYFUNCTION("GOOGLETRANSLATE($A3303,""en"",""ko"")"),"야렌")</f>
        <v>야렌</v>
      </c>
      <c r="J3303" s="9" t="str">
        <f>IFERROR(__xludf.DUMMYFUNCTION("GOOGLETRANSLATE($A3303,""en"",""pt-BR"")"),"Yaren")</f>
        <v>Yaren</v>
      </c>
    </row>
    <row r="3304">
      <c r="A3304" s="9" t="str">
        <f>IFERROR(__xludf.DUMMYFUNCTION("""COMPUTED_VALUE"""),"Anibare")</f>
        <v>Anibare</v>
      </c>
      <c r="B3304" s="9" t="str">
        <f>IFERROR(__xludf.DUMMYFUNCTION("""COMPUTED_VALUE"""),"nr-04")</f>
        <v>nr-04</v>
      </c>
      <c r="C3304" s="9" t="str">
        <f>IFERROR(__xludf.DUMMYFUNCTION("GOOGLETRANSLATE($A3304,""en"",""de"")"),"Anibare")</f>
        <v>Anibare</v>
      </c>
      <c r="D3304" s="9" t="str">
        <f>IFERROR(__xludf.DUMMYFUNCTION("GOOGLETRANSLATE($A3304,""en"",""fr"")"),"Anibare")</f>
        <v>Anibare</v>
      </c>
      <c r="E3304" s="9" t="str">
        <f>IFERROR(__xludf.DUMMYFUNCTION("GOOGLETRANSLATE($A3304,""en"",""es"")"),"Aníbare")</f>
        <v>Aníbare</v>
      </c>
      <c r="F3304" s="9" t="str">
        <f>IFERROR(__xludf.DUMMYFUNCTION("GOOGLETRANSLATE($A3304,""en"",""it"")"),"Anibare")</f>
        <v>Anibare</v>
      </c>
      <c r="G3304" s="9" t="str">
        <f>IFERROR(__xludf.DUMMYFUNCTION("GOOGLETRANSLATE($A3304,""en"",""zh-cn"")"),"阿尼巴尔")</f>
        <v>阿尼巴尔</v>
      </c>
      <c r="H3304" s="9" t="str">
        <f>IFERROR(__xludf.DUMMYFUNCTION("GOOGLETRANSLATE($A3304,""en"",""ja"")"),"アニバレ")</f>
        <v>アニバレ</v>
      </c>
      <c r="I3304" s="9" t="str">
        <f>IFERROR(__xludf.DUMMYFUNCTION("GOOGLETRANSLATE($A3304,""en"",""ko"")"),"아니바레")</f>
        <v>아니바레</v>
      </c>
      <c r="J3304" s="9" t="str">
        <f>IFERROR(__xludf.DUMMYFUNCTION("GOOGLETRANSLATE($A3304,""en"",""pt-BR"")"),"Anibaré")</f>
        <v>Anibaré</v>
      </c>
    </row>
    <row r="3305">
      <c r="A3305" s="9" t="str">
        <f>IFERROR(__xludf.DUMMYFUNCTION("""COMPUTED_VALUE"""),"Baiti")</f>
        <v>Baiti</v>
      </c>
      <c r="B3305" s="9" t="str">
        <f>IFERROR(__xludf.DUMMYFUNCTION("""COMPUTED_VALUE"""),"nr-05")</f>
        <v>nr-05</v>
      </c>
      <c r="C3305" s="9" t="str">
        <f>IFERROR(__xludf.DUMMYFUNCTION("GOOGLETRANSLATE($A3305,""en"",""de"")"),"Baiti")</f>
        <v>Baiti</v>
      </c>
      <c r="D3305" s="9" t="str">
        <f>IFERROR(__xludf.DUMMYFUNCTION("GOOGLETRANSLATE($A3305,""en"",""fr"")"),"Baiti")</f>
        <v>Baiti</v>
      </c>
      <c r="E3305" s="9" t="str">
        <f>IFERROR(__xludf.DUMMYFUNCTION("GOOGLETRANSLATE($A3305,""en"",""es"")"),"Baití")</f>
        <v>Baití</v>
      </c>
      <c r="F3305" s="9" t="str">
        <f>IFERROR(__xludf.DUMMYFUNCTION("GOOGLETRANSLATE($A3305,""en"",""it"")"),"Baiti")</f>
        <v>Baiti</v>
      </c>
      <c r="G3305" s="9" t="str">
        <f>IFERROR(__xludf.DUMMYFUNCTION("GOOGLETRANSLATE($A3305,""en"",""zh-cn"")"),"拜提")</f>
        <v>拜提</v>
      </c>
      <c r="H3305" s="9" t="str">
        <f>IFERROR(__xludf.DUMMYFUNCTION("GOOGLETRANSLATE($A3305,""en"",""ja"")"),"バイティ")</f>
        <v>バイティ</v>
      </c>
      <c r="I3305" s="9" t="str">
        <f>IFERROR(__xludf.DUMMYFUNCTION("GOOGLETRANSLATE($A3305,""en"",""ko"")"),"바이티")</f>
        <v>바이티</v>
      </c>
      <c r="J3305" s="9" t="str">
        <f>IFERROR(__xludf.DUMMYFUNCTION("GOOGLETRANSLATE($A3305,""en"",""pt-BR"")"),"Baiti")</f>
        <v>Baiti</v>
      </c>
    </row>
    <row r="3306">
      <c r="A3306" s="9" t="str">
        <f>IFERROR(__xludf.DUMMYFUNCTION("""COMPUTED_VALUE"""),"Rapti")</f>
        <v>Rapti</v>
      </c>
      <c r="B3306" s="9" t="str">
        <f>IFERROR(__xludf.DUMMYFUNCTION("""COMPUTED_VALUE"""),"np-ra")</f>
        <v>np-ra</v>
      </c>
      <c r="C3306" s="9" t="str">
        <f>IFERROR(__xludf.DUMMYFUNCTION("GOOGLETRANSLATE($A3306,""en"",""de"")"),"Rapti")</f>
        <v>Rapti</v>
      </c>
      <c r="D3306" s="9" t="str">
        <f>IFERROR(__xludf.DUMMYFUNCTION("GOOGLETRANSLATE($A3306,""en"",""fr"")"),"Rapti")</f>
        <v>Rapti</v>
      </c>
      <c r="E3306" s="9" t="str">
        <f>IFERROR(__xludf.DUMMYFUNCTION("GOOGLETRANSLATE($A3306,""en"",""es"")"),"rapti")</f>
        <v>rapti</v>
      </c>
      <c r="F3306" s="9" t="str">
        <f>IFERROR(__xludf.DUMMYFUNCTION("GOOGLETRANSLATE($A3306,""en"",""it"")"),"Rapti")</f>
        <v>Rapti</v>
      </c>
      <c r="G3306" s="9" t="str">
        <f>IFERROR(__xludf.DUMMYFUNCTION("GOOGLETRANSLATE($A3306,""en"",""zh-cn"")"),"拉普蒂")</f>
        <v>拉普蒂</v>
      </c>
      <c r="H3306" s="9" t="str">
        <f>IFERROR(__xludf.DUMMYFUNCTION("GOOGLETRANSLATE($A3306,""en"",""ja"")"),"ラプティ")</f>
        <v>ラプティ</v>
      </c>
      <c r="I3306" s="9" t="str">
        <f>IFERROR(__xludf.DUMMYFUNCTION("GOOGLETRANSLATE($A3306,""en"",""ko"")"),"라프티")</f>
        <v>라프티</v>
      </c>
      <c r="J3306" s="9" t="str">
        <f>IFERROR(__xludf.DUMMYFUNCTION("GOOGLETRANSLATE($A3306,""en"",""pt-BR"")"),"Rapti")</f>
        <v>Rapti</v>
      </c>
    </row>
    <row r="3307">
      <c r="A3307" s="9" t="str">
        <f>IFERROR(__xludf.DUMMYFUNCTION("""COMPUTED_VALUE"""),"Mechi")</f>
        <v>Mechi</v>
      </c>
      <c r="B3307" s="9" t="str">
        <f>IFERROR(__xludf.DUMMYFUNCTION("""COMPUTED_VALUE"""),"np-me")</f>
        <v>np-me</v>
      </c>
      <c r="C3307" s="9" t="str">
        <f>IFERROR(__xludf.DUMMYFUNCTION("GOOGLETRANSLATE($A3307,""en"",""de"")"),"Mechi")</f>
        <v>Mechi</v>
      </c>
      <c r="D3307" s="9" t="str">
        <f>IFERROR(__xludf.DUMMYFUNCTION("GOOGLETRANSLATE($A3307,""en"",""fr"")"),"Méchi")</f>
        <v>Méchi</v>
      </c>
      <c r="E3307" s="9" t="str">
        <f>IFERROR(__xludf.DUMMYFUNCTION("GOOGLETRANSLATE($A3307,""en"",""es"")"),"mechi")</f>
        <v>mechi</v>
      </c>
      <c r="F3307" s="9" t="str">
        <f>IFERROR(__xludf.DUMMYFUNCTION("GOOGLETRANSLATE($A3307,""en"",""it"")"),"Mechi")</f>
        <v>Mechi</v>
      </c>
      <c r="G3307" s="9" t="str">
        <f>IFERROR(__xludf.DUMMYFUNCTION("GOOGLETRANSLATE($A3307,""en"",""zh-cn"")"),"梅奇")</f>
        <v>梅奇</v>
      </c>
      <c r="H3307" s="9" t="str">
        <f>IFERROR(__xludf.DUMMYFUNCTION("GOOGLETRANSLATE($A3307,""en"",""ja"")"),"メチ")</f>
        <v>メチ</v>
      </c>
      <c r="I3307" s="9" t="str">
        <f>IFERROR(__xludf.DUMMYFUNCTION("GOOGLETRANSLATE($A3307,""en"",""ko"")"),"메치")</f>
        <v>메치</v>
      </c>
      <c r="J3307" s="9" t="str">
        <f>IFERROR(__xludf.DUMMYFUNCTION("GOOGLETRANSLATE($A3307,""en"",""pt-BR"")"),"Mechi")</f>
        <v>Mechi</v>
      </c>
    </row>
    <row r="3308">
      <c r="A3308" s="9" t="str">
        <f>IFERROR(__xludf.DUMMYFUNCTION("""COMPUTED_VALUE"""),"Kosi [Koshi]")</f>
        <v>Kosi [Koshi]</v>
      </c>
      <c r="B3308" s="9" t="str">
        <f>IFERROR(__xludf.DUMMYFUNCTION("""COMPUTED_VALUE"""),"np-ko")</f>
        <v>np-ko</v>
      </c>
      <c r="C3308" s="9" t="str">
        <f>IFERROR(__xludf.DUMMYFUNCTION("GOOGLETRANSLATE($A3308,""en"",""de"")"),"Kosi [Koshi]")</f>
        <v>Kosi [Koshi]</v>
      </c>
      <c r="D3308" s="9" t="str">
        <f>IFERROR(__xludf.DUMMYFUNCTION("GOOGLETRANSLATE($A3308,""en"",""fr"")"),"Kosi [Koshi]")</f>
        <v>Kosi [Koshi]</v>
      </c>
      <c r="E3308" s="9" t="str">
        <f>IFERROR(__xludf.DUMMYFUNCTION("GOOGLETRANSLATE($A3308,""en"",""es"")"),"Kosi [Koshi]")</f>
        <v>Kosi [Koshi]</v>
      </c>
      <c r="F3308" s="9" t="str">
        <f>IFERROR(__xludf.DUMMYFUNCTION("GOOGLETRANSLATE($A3308,""en"",""it"")"),"Kosi [Koshi]")</f>
        <v>Kosi [Koshi]</v>
      </c>
      <c r="G3308" s="9" t="str">
        <f>IFERROR(__xludf.DUMMYFUNCTION("GOOGLETRANSLATE($A3308,""en"",""zh-cn"")"),"科西 [科西]")</f>
        <v>科西 [科西]</v>
      </c>
      <c r="H3308" s="9" t="str">
        <f>IFERROR(__xludf.DUMMYFUNCTION("GOOGLETRANSLATE($A3308,""en"",""ja"")"),"こし【こし】")</f>
        <v>こし【こし】</v>
      </c>
      <c r="I3308" s="9" t="str">
        <f>IFERROR(__xludf.DUMMYFUNCTION("GOOGLETRANSLATE($A3308,""en"",""ko"")"),"코시 [Koshi]")</f>
        <v>코시 [Koshi]</v>
      </c>
      <c r="J3308" s="9" t="str">
        <f>IFERROR(__xludf.DUMMYFUNCTION("GOOGLETRANSLATE($A3308,""en"",""pt-BR"")"),"Kosi [Koshi]")</f>
        <v>Kosi [Koshi]</v>
      </c>
    </row>
    <row r="3309">
      <c r="A3309" s="9" t="str">
        <f>IFERROR(__xludf.DUMMYFUNCTION("""COMPUTED_VALUE"""),"Mahakali")</f>
        <v>Mahakali</v>
      </c>
      <c r="B3309" s="9" t="str">
        <f>IFERROR(__xludf.DUMMYFUNCTION("""COMPUTED_VALUE"""),"np-ma")</f>
        <v>np-ma</v>
      </c>
      <c r="C3309" s="9" t="str">
        <f>IFERROR(__xludf.DUMMYFUNCTION("GOOGLETRANSLATE($A3309,""en"",""de"")"),"Mahakali")</f>
        <v>Mahakali</v>
      </c>
      <c r="D3309" s="9" t="str">
        <f>IFERROR(__xludf.DUMMYFUNCTION("GOOGLETRANSLATE($A3309,""en"",""fr"")"),"Mahakali")</f>
        <v>Mahakali</v>
      </c>
      <c r="E3309" s="9" t="str">
        <f>IFERROR(__xludf.DUMMYFUNCTION("GOOGLETRANSLATE($A3309,""en"",""es"")"),"Mahakali")</f>
        <v>Mahakali</v>
      </c>
      <c r="F3309" s="9" t="str">
        <f>IFERROR(__xludf.DUMMYFUNCTION("GOOGLETRANSLATE($A3309,""en"",""it"")"),"Mahakali")</f>
        <v>Mahakali</v>
      </c>
      <c r="G3309" s="9" t="str">
        <f>IFERROR(__xludf.DUMMYFUNCTION("GOOGLETRANSLATE($A3309,""en"",""zh-cn"")"),"马哈卡利")</f>
        <v>马哈卡利</v>
      </c>
      <c r="H3309" s="9" t="str">
        <f>IFERROR(__xludf.DUMMYFUNCTION("GOOGLETRANSLATE($A3309,""en"",""ja"")"),"マハカリ")</f>
        <v>マハカリ</v>
      </c>
      <c r="I3309" s="9" t="str">
        <f>IFERROR(__xludf.DUMMYFUNCTION("GOOGLETRANSLATE($A3309,""en"",""ko"")"),"마하칼리")</f>
        <v>마하칼리</v>
      </c>
      <c r="J3309" s="9" t="str">
        <f>IFERROR(__xludf.DUMMYFUNCTION("GOOGLETRANSLATE($A3309,""en"",""pt-BR"")"),"Mahakali")</f>
        <v>Mahakali</v>
      </c>
    </row>
    <row r="3310">
      <c r="A3310" s="9" t="str">
        <f>IFERROR(__xludf.DUMMYFUNCTION("""COMPUTED_VALUE"""),"Bheri")</f>
        <v>Bheri</v>
      </c>
      <c r="B3310" s="9" t="str">
        <f>IFERROR(__xludf.DUMMYFUNCTION("""COMPUTED_VALUE"""),"np-bh")</f>
        <v>np-bh</v>
      </c>
      <c r="C3310" s="9" t="str">
        <f>IFERROR(__xludf.DUMMYFUNCTION("GOOGLETRANSLATE($A3310,""en"",""de"")"),"Bheri")</f>
        <v>Bheri</v>
      </c>
      <c r="D3310" s="9" t="str">
        <f>IFERROR(__xludf.DUMMYFUNCTION("GOOGLETRANSLATE($A3310,""en"",""fr"")"),"Bhéri")</f>
        <v>Bhéri</v>
      </c>
      <c r="E3310" s="9" t="str">
        <f>IFERROR(__xludf.DUMMYFUNCTION("GOOGLETRANSLATE($A3310,""en"",""es"")"),"bheri")</f>
        <v>bheri</v>
      </c>
      <c r="F3310" s="9" t="str">
        <f>IFERROR(__xludf.DUMMYFUNCTION("GOOGLETRANSLATE($A3310,""en"",""it"")"),"Bheri")</f>
        <v>Bheri</v>
      </c>
      <c r="G3310" s="9" t="str">
        <f>IFERROR(__xludf.DUMMYFUNCTION("GOOGLETRANSLATE($A3310,""en"",""zh-cn"")"),"贝里")</f>
        <v>贝里</v>
      </c>
      <c r="H3310" s="9" t="str">
        <f>IFERROR(__xludf.DUMMYFUNCTION("GOOGLETRANSLATE($A3310,""en"",""ja"")"),"ベリ")</f>
        <v>ベリ</v>
      </c>
      <c r="I3310" s="9" t="str">
        <f>IFERROR(__xludf.DUMMYFUNCTION("GOOGLETRANSLATE($A3310,""en"",""ko"")"),"베리")</f>
        <v>베리</v>
      </c>
      <c r="J3310" s="9" t="str">
        <f>IFERROR(__xludf.DUMMYFUNCTION("GOOGLETRANSLATE($A3310,""en"",""pt-BR"")"),"Bheri")</f>
        <v>Bheri</v>
      </c>
    </row>
    <row r="3311">
      <c r="A3311" s="9" t="str">
        <f>IFERROR(__xludf.DUMMYFUNCTION("""COMPUTED_VALUE"""),"Sudur Pashchimanchal")</f>
        <v>Sudur Pashchimanchal</v>
      </c>
      <c r="B3311" s="9" t="str">
        <f>IFERROR(__xludf.DUMMYFUNCTION("""COMPUTED_VALUE"""),"np-5")</f>
        <v>np-5</v>
      </c>
      <c r="C3311" s="9" t="str">
        <f>IFERROR(__xludf.DUMMYFUNCTION("GOOGLETRANSLATE($A3311,""en"",""de"")"),"Sudur Pashchimanchal")</f>
        <v>Sudur Pashchimanchal</v>
      </c>
      <c r="D3311" s="9" t="str">
        <f>IFERROR(__xludf.DUMMYFUNCTION("GOOGLETRANSLATE($A3311,""en"",""fr"")"),"Sudur Pashchimanchal")</f>
        <v>Sudur Pashchimanchal</v>
      </c>
      <c r="E3311" s="9" t="str">
        <f>IFERROR(__xludf.DUMMYFUNCTION("GOOGLETRANSLATE($A3311,""en"",""es"")"),"Sudur Pashchimanchal")</f>
        <v>Sudur Pashchimanchal</v>
      </c>
      <c r="F3311" s="9" t="str">
        <f>IFERROR(__xludf.DUMMYFUNCTION("GOOGLETRANSLATE($A3311,""en"",""it"")"),"Sudur Pashchimanchal")</f>
        <v>Sudur Pashchimanchal</v>
      </c>
      <c r="G3311" s="9" t="str">
        <f>IFERROR(__xludf.DUMMYFUNCTION("GOOGLETRANSLATE($A3311,""en"",""zh-cn"")"),"苏杜尔·帕什奇曼恰尔")</f>
        <v>苏杜尔·帕什奇曼恰尔</v>
      </c>
      <c r="H3311" s="9" t="str">
        <f>IFERROR(__xludf.DUMMYFUNCTION("GOOGLETRANSLATE($A3311,""en"",""ja"")"),"スドゥル・パシマンチャル")</f>
        <v>スドゥル・パシマンチャル</v>
      </c>
      <c r="I3311" s="9" t="str">
        <f>IFERROR(__xludf.DUMMYFUNCTION("GOOGLETRANSLATE($A3311,""en"",""ko"")"),"수두르 파쉬만찰")</f>
        <v>수두르 파쉬만찰</v>
      </c>
      <c r="J3311" s="9" t="str">
        <f>IFERROR(__xludf.DUMMYFUNCTION("GOOGLETRANSLATE($A3311,""en"",""pt-BR"")"),"Sudur Pashchimanchal")</f>
        <v>Sudur Pashchimanchal</v>
      </c>
    </row>
    <row r="3312">
      <c r="A3312" s="9" t="str">
        <f>IFERROR(__xludf.DUMMYFUNCTION("""COMPUTED_VALUE"""),"Janakpur")</f>
        <v>Janakpur</v>
      </c>
      <c r="B3312" s="9" t="str">
        <f>IFERROR(__xludf.DUMMYFUNCTION("""COMPUTED_VALUE"""),"np-ja")</f>
        <v>np-ja</v>
      </c>
      <c r="C3312" s="9" t="str">
        <f>IFERROR(__xludf.DUMMYFUNCTION("GOOGLETRANSLATE($A3312,""en"",""de"")"),"Janakpur")</f>
        <v>Janakpur</v>
      </c>
      <c r="D3312" s="9" t="str">
        <f>IFERROR(__xludf.DUMMYFUNCTION("GOOGLETRANSLATE($A3312,""en"",""fr"")"),"Janakpur")</f>
        <v>Janakpur</v>
      </c>
      <c r="E3312" s="9" t="str">
        <f>IFERROR(__xludf.DUMMYFUNCTION("GOOGLETRANSLATE($A3312,""en"",""es"")"),"Janakpur")</f>
        <v>Janakpur</v>
      </c>
      <c r="F3312" s="9" t="str">
        <f>IFERROR(__xludf.DUMMYFUNCTION("GOOGLETRANSLATE($A3312,""en"",""it"")"),"Janakpur")</f>
        <v>Janakpur</v>
      </c>
      <c r="G3312" s="9" t="str">
        <f>IFERROR(__xludf.DUMMYFUNCTION("GOOGLETRANSLATE($A3312,""en"",""zh-cn"")"),"贾纳克布尔")</f>
        <v>贾纳克布尔</v>
      </c>
      <c r="H3312" s="9" t="str">
        <f>IFERROR(__xludf.DUMMYFUNCTION("GOOGLETRANSLATE($A3312,""en"",""ja"")"),"ジャナクプル")</f>
        <v>ジャナクプル</v>
      </c>
      <c r="I3312" s="9" t="str">
        <f>IFERROR(__xludf.DUMMYFUNCTION("GOOGLETRANSLATE($A3312,""en"",""ko"")"),"자낙푸르")</f>
        <v>자낙푸르</v>
      </c>
      <c r="J3312" s="9" t="str">
        <f>IFERROR(__xludf.DUMMYFUNCTION("GOOGLETRANSLATE($A3312,""en"",""pt-BR"")"),"Janakpur")</f>
        <v>Janakpur</v>
      </c>
    </row>
    <row r="3313">
      <c r="A3313" s="9" t="str">
        <f>IFERROR(__xludf.DUMMYFUNCTION("""COMPUTED_VALUE"""),"Madhya Pashchimanchal")</f>
        <v>Madhya Pashchimanchal</v>
      </c>
      <c r="B3313" s="9" t="str">
        <f>IFERROR(__xludf.DUMMYFUNCTION("""COMPUTED_VALUE"""),"np-2")</f>
        <v>np-2</v>
      </c>
      <c r="C3313" s="9" t="str">
        <f>IFERROR(__xludf.DUMMYFUNCTION("GOOGLETRANSLATE($A3313,""en"",""de"")"),"Madhya Pashchimanchal")</f>
        <v>Madhya Pashchimanchal</v>
      </c>
      <c r="D3313" s="9" t="str">
        <f>IFERROR(__xludf.DUMMYFUNCTION("GOOGLETRANSLATE($A3313,""en"",""fr"")"),"Madhya Pashchimanchal")</f>
        <v>Madhya Pashchimanchal</v>
      </c>
      <c r="E3313" s="9" t="str">
        <f>IFERROR(__xludf.DUMMYFUNCTION("GOOGLETRANSLATE($A3313,""en"",""es"")"),"Madhya Pashchimanchal")</f>
        <v>Madhya Pashchimanchal</v>
      </c>
      <c r="F3313" s="9" t="str">
        <f>IFERROR(__xludf.DUMMYFUNCTION("GOOGLETRANSLATE($A3313,""en"",""it"")"),"Madhya Pashchimanchal")</f>
        <v>Madhya Pashchimanchal</v>
      </c>
      <c r="G3313" s="9" t="str">
        <f>IFERROR(__xludf.DUMMYFUNCTION("GOOGLETRANSLATE($A3313,""en"",""zh-cn"")"),"中央帕什奇曼恰尔")</f>
        <v>中央帕什奇曼恰尔</v>
      </c>
      <c r="H3313" s="9" t="str">
        <f>IFERROR(__xludf.DUMMYFUNCTION("GOOGLETRANSLATE($A3313,""en"",""ja"")"),"マディヤ・パシュチマンチャル")</f>
        <v>マディヤ・パシュチマンチャル</v>
      </c>
      <c r="I3313" s="9" t="str">
        <f>IFERROR(__xludf.DUMMYFUNCTION("GOOGLETRANSLATE($A3313,""en"",""ko"")"),"마디야 파쉬만찰")</f>
        <v>마디야 파쉬만찰</v>
      </c>
      <c r="J3313" s="9" t="str">
        <f>IFERROR(__xludf.DUMMYFUNCTION("GOOGLETRANSLATE($A3313,""en"",""pt-BR"")"),"Madhya Pashchimanchal")</f>
        <v>Madhya Pashchimanchal</v>
      </c>
    </row>
    <row r="3314">
      <c r="A3314" s="9" t="str">
        <f>IFERROR(__xludf.DUMMYFUNCTION("""COMPUTED_VALUE"""),"Sagarmatha")</f>
        <v>Sagarmatha</v>
      </c>
      <c r="B3314" s="9" t="str">
        <f>IFERROR(__xludf.DUMMYFUNCTION("""COMPUTED_VALUE"""),"np-sa")</f>
        <v>np-sa</v>
      </c>
      <c r="C3314" s="9" t="str">
        <f>IFERROR(__xludf.DUMMYFUNCTION("GOOGLETRANSLATE($A3314,""en"",""de"")"),"Sagarmatha")</f>
        <v>Sagarmatha</v>
      </c>
      <c r="D3314" s="9" t="str">
        <f>IFERROR(__xludf.DUMMYFUNCTION("GOOGLETRANSLATE($A3314,""en"",""fr"")"),"Sagarmatha")</f>
        <v>Sagarmatha</v>
      </c>
      <c r="E3314" s="9" t="str">
        <f>IFERROR(__xludf.DUMMYFUNCTION("GOOGLETRANSLATE($A3314,""en"",""es"")"),"Sagarmata")</f>
        <v>Sagarmata</v>
      </c>
      <c r="F3314" s="9" t="str">
        <f>IFERROR(__xludf.DUMMYFUNCTION("GOOGLETRANSLATE($A3314,""en"",""it"")"),"Sagarmatha")</f>
        <v>Sagarmatha</v>
      </c>
      <c r="G3314" s="9" t="str">
        <f>IFERROR(__xludf.DUMMYFUNCTION("GOOGLETRANSLATE($A3314,""en"",""zh-cn"")"),"萨加玛塔")</f>
        <v>萨加玛塔</v>
      </c>
      <c r="H3314" s="9" t="str">
        <f>IFERROR(__xludf.DUMMYFUNCTION("GOOGLETRANSLATE($A3314,""en"",""ja"")"),"サガルマータ")</f>
        <v>サガルマータ</v>
      </c>
      <c r="I3314" s="9" t="str">
        <f>IFERROR(__xludf.DUMMYFUNCTION("GOOGLETRANSLATE($A3314,""en"",""ko"")"),"사가르마타")</f>
        <v>사가르마타</v>
      </c>
      <c r="J3314" s="9" t="str">
        <f>IFERROR(__xludf.DUMMYFUNCTION("GOOGLETRANSLATE($A3314,""en"",""pt-BR"")"),"Sagarmatha")</f>
        <v>Sagarmatha</v>
      </c>
    </row>
    <row r="3315">
      <c r="A3315" s="9" t="str">
        <f>IFERROR(__xludf.DUMMYFUNCTION("""COMPUTED_VALUE"""),"Pashchimanchal")</f>
        <v>Pashchimanchal</v>
      </c>
      <c r="B3315" s="9" t="str">
        <f>IFERROR(__xludf.DUMMYFUNCTION("""COMPUTED_VALUE"""),"np-3")</f>
        <v>np-3</v>
      </c>
      <c r="C3315" s="9" t="str">
        <f>IFERROR(__xludf.DUMMYFUNCTION("GOOGLETRANSLATE($A3315,""en"",""de"")"),"Pashchimanchal")</f>
        <v>Pashchimanchal</v>
      </c>
      <c r="D3315" s="9" t="str">
        <f>IFERROR(__xludf.DUMMYFUNCTION("GOOGLETRANSLATE($A3315,""en"",""fr"")"),"Pashchimanchal")</f>
        <v>Pashchimanchal</v>
      </c>
      <c r="E3315" s="9" t="str">
        <f>IFERROR(__xludf.DUMMYFUNCTION("GOOGLETRANSLATE($A3315,""en"",""es"")"),"Pashchimanchal")</f>
        <v>Pashchimanchal</v>
      </c>
      <c r="F3315" s="9" t="str">
        <f>IFERROR(__xludf.DUMMYFUNCTION("GOOGLETRANSLATE($A3315,""en"",""it"")"),"Pashchimanchal")</f>
        <v>Pashchimanchal</v>
      </c>
      <c r="G3315" s="9" t="str">
        <f>IFERROR(__xludf.DUMMYFUNCTION("GOOGLETRANSLATE($A3315,""en"",""zh-cn"")"),"帕什奇曼查尔")</f>
        <v>帕什奇曼查尔</v>
      </c>
      <c r="H3315" s="9" t="str">
        <f>IFERROR(__xludf.DUMMYFUNCTION("GOOGLETRANSLATE($A3315,""en"",""ja"")"),"パシュチマンチャル")</f>
        <v>パシュチマンチャル</v>
      </c>
      <c r="I3315" s="9" t="str">
        <f>IFERROR(__xludf.DUMMYFUNCTION("GOOGLETRANSLATE($A3315,""en"",""ko"")"),"파쉬만찰")</f>
        <v>파쉬만찰</v>
      </c>
      <c r="J3315" s="9" t="str">
        <f>IFERROR(__xludf.DUMMYFUNCTION("GOOGLETRANSLATE($A3315,""en"",""pt-BR"")"),"Pashchimanchal")</f>
        <v>Pashchimanchal</v>
      </c>
    </row>
    <row r="3316">
      <c r="A3316" s="9" t="str">
        <f>IFERROR(__xludf.DUMMYFUNCTION("""COMPUTED_VALUE"""),"Karnali")</f>
        <v>Karnali</v>
      </c>
      <c r="B3316" s="9" t="str">
        <f>IFERROR(__xludf.DUMMYFUNCTION("""COMPUTED_VALUE"""),"np-ka")</f>
        <v>np-ka</v>
      </c>
      <c r="C3316" s="9" t="str">
        <f>IFERROR(__xludf.DUMMYFUNCTION("GOOGLETRANSLATE($A3316,""en"",""de"")"),"Karnali")</f>
        <v>Karnali</v>
      </c>
      <c r="D3316" s="9" t="str">
        <f>IFERROR(__xludf.DUMMYFUNCTION("GOOGLETRANSLATE($A3316,""en"",""fr"")"),"Karnali")</f>
        <v>Karnali</v>
      </c>
      <c r="E3316" s="9" t="str">
        <f>IFERROR(__xludf.DUMMYFUNCTION("GOOGLETRANSLATE($A3316,""en"",""es"")"),"karnali")</f>
        <v>karnali</v>
      </c>
      <c r="F3316" s="9" t="str">
        <f>IFERROR(__xludf.DUMMYFUNCTION("GOOGLETRANSLATE($A3316,""en"",""it"")"),"Karnali")</f>
        <v>Karnali</v>
      </c>
      <c r="G3316" s="9" t="str">
        <f>IFERROR(__xludf.DUMMYFUNCTION("GOOGLETRANSLATE($A3316,""en"",""zh-cn"")"),"卡纳利")</f>
        <v>卡纳利</v>
      </c>
      <c r="H3316" s="9" t="str">
        <f>IFERROR(__xludf.DUMMYFUNCTION("GOOGLETRANSLATE($A3316,""en"",""ja"")"),"カルナリ")</f>
        <v>カルナリ</v>
      </c>
      <c r="I3316" s="9" t="str">
        <f>IFERROR(__xludf.DUMMYFUNCTION("GOOGLETRANSLATE($A3316,""en"",""ko"")"),"카르날리")</f>
        <v>카르날리</v>
      </c>
      <c r="J3316" s="9" t="str">
        <f>IFERROR(__xludf.DUMMYFUNCTION("GOOGLETRANSLATE($A3316,""en"",""pt-BR"")"),"Karnali")</f>
        <v>Karnali</v>
      </c>
    </row>
    <row r="3317">
      <c r="A3317" s="9" t="str">
        <f>IFERROR(__xludf.DUMMYFUNCTION("""COMPUTED_VALUE"""),"Dhawalagiri")</f>
        <v>Dhawalagiri</v>
      </c>
      <c r="B3317" s="9" t="str">
        <f>IFERROR(__xludf.DUMMYFUNCTION("""COMPUTED_VALUE"""),"np-dh")</f>
        <v>np-dh</v>
      </c>
      <c r="C3317" s="9" t="str">
        <f>IFERROR(__xludf.DUMMYFUNCTION("GOOGLETRANSLATE($A3317,""en"",""de"")"),"Dhawalagiri")</f>
        <v>Dhawalagiri</v>
      </c>
      <c r="D3317" s="9" t="str">
        <f>IFERROR(__xludf.DUMMYFUNCTION("GOOGLETRANSLATE($A3317,""en"",""fr"")"),"Dhawalagiri")</f>
        <v>Dhawalagiri</v>
      </c>
      <c r="E3317" s="9" t="str">
        <f>IFERROR(__xludf.DUMMYFUNCTION("GOOGLETRANSLATE($A3317,""en"",""es"")"),"Dhawalagiri")</f>
        <v>Dhawalagiri</v>
      </c>
      <c r="F3317" s="9" t="str">
        <f>IFERROR(__xludf.DUMMYFUNCTION("GOOGLETRANSLATE($A3317,""en"",""it"")"),"Dhawalagiri")</f>
        <v>Dhawalagiri</v>
      </c>
      <c r="G3317" s="9" t="str">
        <f>IFERROR(__xludf.DUMMYFUNCTION("GOOGLETRANSLATE($A3317,""en"",""zh-cn"")"),"达瓦拉吉里")</f>
        <v>达瓦拉吉里</v>
      </c>
      <c r="H3317" s="9" t="str">
        <f>IFERROR(__xludf.DUMMYFUNCTION("GOOGLETRANSLATE($A3317,""en"",""ja"")"),"ダワラギリ")</f>
        <v>ダワラギリ</v>
      </c>
      <c r="I3317" s="9" t="str">
        <f>IFERROR(__xludf.DUMMYFUNCTION("GOOGLETRANSLATE($A3317,""en"",""ko"")"),"다와라기리")</f>
        <v>다와라기리</v>
      </c>
      <c r="J3317" s="9" t="str">
        <f>IFERROR(__xludf.DUMMYFUNCTION("GOOGLETRANSLATE($A3317,""en"",""pt-BR"")"),"Dhawalagiri")</f>
        <v>Dhawalagiri</v>
      </c>
    </row>
    <row r="3318">
      <c r="A3318" s="9" t="str">
        <f>IFERROR(__xludf.DUMMYFUNCTION("""COMPUTED_VALUE"""),"Bagmati")</f>
        <v>Bagmati</v>
      </c>
      <c r="B3318" s="9" t="str">
        <f>IFERROR(__xludf.DUMMYFUNCTION("""COMPUTED_VALUE"""),"np-ba")</f>
        <v>np-ba</v>
      </c>
      <c r="C3318" s="9" t="str">
        <f>IFERROR(__xludf.DUMMYFUNCTION("GOOGLETRANSLATE($A3318,""en"",""de"")"),"Bagmati")</f>
        <v>Bagmati</v>
      </c>
      <c r="D3318" s="9" t="str">
        <f>IFERROR(__xludf.DUMMYFUNCTION("GOOGLETRANSLATE($A3318,""en"",""fr"")"),"Bagmati")</f>
        <v>Bagmati</v>
      </c>
      <c r="E3318" s="9" t="str">
        <f>IFERROR(__xludf.DUMMYFUNCTION("GOOGLETRANSLATE($A3318,""en"",""es"")"),"bagmati")</f>
        <v>bagmati</v>
      </c>
      <c r="F3318" s="9" t="str">
        <f>IFERROR(__xludf.DUMMYFUNCTION("GOOGLETRANSLATE($A3318,""en"",""it"")"),"Bagmati")</f>
        <v>Bagmati</v>
      </c>
      <c r="G3318" s="9" t="str">
        <f>IFERROR(__xludf.DUMMYFUNCTION("GOOGLETRANSLATE($A3318,""en"",""zh-cn"")"),"巴格马蒂")</f>
        <v>巴格马蒂</v>
      </c>
      <c r="H3318" s="9" t="str">
        <f>IFERROR(__xludf.DUMMYFUNCTION("GOOGLETRANSLATE($A3318,""en"",""ja"")"),"バグマティ")</f>
        <v>バグマティ</v>
      </c>
      <c r="I3318" s="9" t="str">
        <f>IFERROR(__xludf.DUMMYFUNCTION("GOOGLETRANSLATE($A3318,""en"",""ko"")"),"바그마티")</f>
        <v>바그마티</v>
      </c>
      <c r="J3318" s="9" t="str">
        <f>IFERROR(__xludf.DUMMYFUNCTION("GOOGLETRANSLATE($A3318,""en"",""pt-BR"")"),"Bagmati")</f>
        <v>Bagmati</v>
      </c>
    </row>
    <row r="3319">
      <c r="A3319" s="9" t="str">
        <f>IFERROR(__xludf.DUMMYFUNCTION("""COMPUTED_VALUE"""),"Narayani")</f>
        <v>Narayani</v>
      </c>
      <c r="B3319" s="9" t="str">
        <f>IFERROR(__xludf.DUMMYFUNCTION("""COMPUTED_VALUE"""),"np-na")</f>
        <v>np-na</v>
      </c>
      <c r="C3319" s="9" t="str">
        <f>IFERROR(__xludf.DUMMYFUNCTION("GOOGLETRANSLATE($A3319,""en"",""de"")"),"Narayani")</f>
        <v>Narayani</v>
      </c>
      <c r="D3319" s="9" t="str">
        <f>IFERROR(__xludf.DUMMYFUNCTION("GOOGLETRANSLATE($A3319,""en"",""fr"")"),"Narayani")</f>
        <v>Narayani</v>
      </c>
      <c r="E3319" s="9" t="str">
        <f>IFERROR(__xludf.DUMMYFUNCTION("GOOGLETRANSLATE($A3319,""en"",""es"")"),"Narayani")</f>
        <v>Narayani</v>
      </c>
      <c r="F3319" s="9" t="str">
        <f>IFERROR(__xludf.DUMMYFUNCTION("GOOGLETRANSLATE($A3319,""en"",""it"")"),"Narayani")</f>
        <v>Narayani</v>
      </c>
      <c r="G3319" s="9" t="str">
        <f>IFERROR(__xludf.DUMMYFUNCTION("GOOGLETRANSLATE($A3319,""en"",""zh-cn"")"),"纳拉亚尼")</f>
        <v>纳拉亚尼</v>
      </c>
      <c r="H3319" s="9" t="str">
        <f>IFERROR(__xludf.DUMMYFUNCTION("GOOGLETRANSLATE($A3319,""en"",""ja"")"),"ナラヤニ")</f>
        <v>ナラヤニ</v>
      </c>
      <c r="I3319" s="9" t="str">
        <f>IFERROR(__xludf.DUMMYFUNCTION("GOOGLETRANSLATE($A3319,""en"",""ko"")"),"나라야니")</f>
        <v>나라야니</v>
      </c>
      <c r="J3319" s="9" t="str">
        <f>IFERROR(__xludf.DUMMYFUNCTION("GOOGLETRANSLATE($A3319,""en"",""pt-BR"")"),"Narayani")</f>
        <v>Narayani</v>
      </c>
    </row>
    <row r="3320">
      <c r="A3320" s="9" t="str">
        <f>IFERROR(__xludf.DUMMYFUNCTION("""COMPUTED_VALUE"""),"Gandaki")</f>
        <v>Gandaki</v>
      </c>
      <c r="B3320" s="9" t="str">
        <f>IFERROR(__xludf.DUMMYFUNCTION("""COMPUTED_VALUE"""),"np-ga")</f>
        <v>np-ga</v>
      </c>
      <c r="C3320" s="9" t="str">
        <f>IFERROR(__xludf.DUMMYFUNCTION("GOOGLETRANSLATE($A3320,""en"",""de"")"),"Gandaki")</f>
        <v>Gandaki</v>
      </c>
      <c r="D3320" s="9" t="str">
        <f>IFERROR(__xludf.DUMMYFUNCTION("GOOGLETRANSLATE($A3320,""en"",""fr"")"),"Gandaki")</f>
        <v>Gandaki</v>
      </c>
      <c r="E3320" s="9" t="str">
        <f>IFERROR(__xludf.DUMMYFUNCTION("GOOGLETRANSLATE($A3320,""en"",""es"")"),"Gandaki")</f>
        <v>Gandaki</v>
      </c>
      <c r="F3320" s="9" t="str">
        <f>IFERROR(__xludf.DUMMYFUNCTION("GOOGLETRANSLATE($A3320,""en"",""it"")"),"Gandaki")</f>
        <v>Gandaki</v>
      </c>
      <c r="G3320" s="9" t="str">
        <f>IFERROR(__xludf.DUMMYFUNCTION("GOOGLETRANSLATE($A3320,""en"",""zh-cn"")"),"甘达基")</f>
        <v>甘达基</v>
      </c>
      <c r="H3320" s="9" t="str">
        <f>IFERROR(__xludf.DUMMYFUNCTION("GOOGLETRANSLATE($A3320,""en"",""ja"")"),"ガンダキ")</f>
        <v>ガンダキ</v>
      </c>
      <c r="I3320" s="9" t="str">
        <f>IFERROR(__xludf.DUMMYFUNCTION("GOOGLETRANSLATE($A3320,""en"",""ko"")"),"간다키")</f>
        <v>간다키</v>
      </c>
      <c r="J3320" s="9" t="str">
        <f>IFERROR(__xludf.DUMMYFUNCTION("GOOGLETRANSLATE($A3320,""en"",""pt-BR"")"),"Gandaki")</f>
        <v>Gandaki</v>
      </c>
    </row>
    <row r="3321">
      <c r="A3321" s="9" t="str">
        <f>IFERROR(__xludf.DUMMYFUNCTION("""COMPUTED_VALUE"""),"Seti")</f>
        <v>Seti</v>
      </c>
      <c r="B3321" s="9" t="str">
        <f>IFERROR(__xludf.DUMMYFUNCTION("""COMPUTED_VALUE"""),"np-se")</f>
        <v>np-se</v>
      </c>
      <c r="C3321" s="9" t="str">
        <f>IFERROR(__xludf.DUMMYFUNCTION("GOOGLETRANSLATE($A3321,""en"",""de"")"),"Seti")</f>
        <v>Seti</v>
      </c>
      <c r="D3321" s="9" t="str">
        <f>IFERROR(__xludf.DUMMYFUNCTION("GOOGLETRANSLATE($A3321,""en"",""fr"")"),"Séti")</f>
        <v>Séti</v>
      </c>
      <c r="E3321" s="9" t="str">
        <f>IFERROR(__xludf.DUMMYFUNCTION("GOOGLETRANSLATE($A3321,""en"",""es"")"),"Seti")</f>
        <v>Seti</v>
      </c>
      <c r="F3321" s="9" t="str">
        <f>IFERROR(__xludf.DUMMYFUNCTION("GOOGLETRANSLATE($A3321,""en"",""it"")"),"Seti")</f>
        <v>Seti</v>
      </c>
      <c r="G3321" s="9" t="str">
        <f>IFERROR(__xludf.DUMMYFUNCTION("GOOGLETRANSLATE($A3321,""en"",""zh-cn"")"),"塞蒂")</f>
        <v>塞蒂</v>
      </c>
      <c r="H3321" s="9" t="str">
        <f>IFERROR(__xludf.DUMMYFUNCTION("GOOGLETRANSLATE($A3321,""en"",""ja"")"),"セティ")</f>
        <v>セティ</v>
      </c>
      <c r="I3321" s="9" t="str">
        <f>IFERROR(__xludf.DUMMYFUNCTION("GOOGLETRANSLATE($A3321,""en"",""ko"")"),"세티")</f>
        <v>세티</v>
      </c>
      <c r="J3321" s="9" t="str">
        <f>IFERROR(__xludf.DUMMYFUNCTION("GOOGLETRANSLATE($A3321,""en"",""pt-BR"")"),"Seti")</f>
        <v>Seti</v>
      </c>
    </row>
    <row r="3322">
      <c r="A3322" s="9" t="str">
        <f>IFERROR(__xludf.DUMMYFUNCTION("""COMPUTED_VALUE"""),"Madhyamanchal")</f>
        <v>Madhyamanchal</v>
      </c>
      <c r="B3322" s="9" t="str">
        <f>IFERROR(__xludf.DUMMYFUNCTION("""COMPUTED_VALUE"""),"np-1")</f>
        <v>np-1</v>
      </c>
      <c r="C3322" s="9" t="str">
        <f>IFERROR(__xludf.DUMMYFUNCTION("GOOGLETRANSLATE($A3322,""en"",""de"")"),"Madhyamanchal")</f>
        <v>Madhyamanchal</v>
      </c>
      <c r="D3322" s="9" t="str">
        <f>IFERROR(__xludf.DUMMYFUNCTION("GOOGLETRANSLATE($A3322,""en"",""fr"")"),"Madhyamanchal")</f>
        <v>Madhyamanchal</v>
      </c>
      <c r="E3322" s="9" t="str">
        <f>IFERROR(__xludf.DUMMYFUNCTION("GOOGLETRANSLATE($A3322,""en"",""es"")"),"madhyamanchal")</f>
        <v>madhyamanchal</v>
      </c>
      <c r="F3322" s="9" t="str">
        <f>IFERROR(__xludf.DUMMYFUNCTION("GOOGLETRANSLATE($A3322,""en"",""it"")"),"Madhyamanchal")</f>
        <v>Madhyamanchal</v>
      </c>
      <c r="G3322" s="9" t="str">
        <f>IFERROR(__xludf.DUMMYFUNCTION("GOOGLETRANSLATE($A3322,""en"",""zh-cn"")"),"中央")</f>
        <v>中央</v>
      </c>
      <c r="H3322" s="9" t="str">
        <f>IFERROR(__xludf.DUMMYFUNCTION("GOOGLETRANSLATE($A3322,""en"",""ja"")"),"マディヤマンチャル")</f>
        <v>マディヤマンチャル</v>
      </c>
      <c r="I3322" s="9" t="str">
        <f>IFERROR(__xludf.DUMMYFUNCTION("GOOGLETRANSLATE($A3322,""en"",""ko"")"),"마디아만찰")</f>
        <v>마디아만찰</v>
      </c>
      <c r="J3322" s="9" t="str">
        <f>IFERROR(__xludf.DUMMYFUNCTION("GOOGLETRANSLATE($A3322,""en"",""pt-BR"")"),"Madhyamanchal")</f>
        <v>Madhyamanchal</v>
      </c>
    </row>
    <row r="3323">
      <c r="A3323" s="9" t="str">
        <f>IFERROR(__xludf.DUMMYFUNCTION("""COMPUTED_VALUE"""),"Lumbini")</f>
        <v>Lumbini</v>
      </c>
      <c r="B3323" s="9" t="str">
        <f>IFERROR(__xludf.DUMMYFUNCTION("""COMPUTED_VALUE"""),"np-lu")</f>
        <v>np-lu</v>
      </c>
      <c r="C3323" s="9" t="str">
        <f>IFERROR(__xludf.DUMMYFUNCTION("GOOGLETRANSLATE($A3323,""en"",""de"")"),"Lumbini")</f>
        <v>Lumbini</v>
      </c>
      <c r="D3323" s="9" t="str">
        <f>IFERROR(__xludf.DUMMYFUNCTION("GOOGLETRANSLATE($A3323,""en"",""fr"")"),"Lumbinî")</f>
        <v>Lumbinî</v>
      </c>
      <c r="E3323" s="9" t="str">
        <f>IFERROR(__xludf.DUMMYFUNCTION("GOOGLETRANSLATE($A3323,""en"",""es"")"),"lumbini")</f>
        <v>lumbini</v>
      </c>
      <c r="F3323" s="9" t="str">
        <f>IFERROR(__xludf.DUMMYFUNCTION("GOOGLETRANSLATE($A3323,""en"",""it"")"),"Lumbini")</f>
        <v>Lumbini</v>
      </c>
      <c r="G3323" s="9" t="str">
        <f>IFERROR(__xludf.DUMMYFUNCTION("GOOGLETRANSLATE($A3323,""en"",""zh-cn"")"),"蓝毗尼")</f>
        <v>蓝毗尼</v>
      </c>
      <c r="H3323" s="9" t="str">
        <f>IFERROR(__xludf.DUMMYFUNCTION("GOOGLETRANSLATE($A3323,""en"",""ja"")"),"ルンビニ")</f>
        <v>ルンビニ</v>
      </c>
      <c r="I3323" s="9" t="str">
        <f>IFERROR(__xludf.DUMMYFUNCTION("GOOGLETRANSLATE($A3323,""en"",""ko"")"),"룸비니")</f>
        <v>룸비니</v>
      </c>
      <c r="J3323" s="9" t="str">
        <f>IFERROR(__xludf.DUMMYFUNCTION("GOOGLETRANSLATE($A3323,""en"",""pt-BR"")"),"Lumbini")</f>
        <v>Lumbini</v>
      </c>
    </row>
    <row r="3324">
      <c r="A3324" s="9" t="str">
        <f>IFERROR(__xludf.DUMMYFUNCTION("""COMPUTED_VALUE"""),"Purwanchal")</f>
        <v>Purwanchal</v>
      </c>
      <c r="B3324" s="9" t="str">
        <f>IFERROR(__xludf.DUMMYFUNCTION("""COMPUTED_VALUE"""),"np-4")</f>
        <v>np-4</v>
      </c>
      <c r="C3324" s="9" t="str">
        <f>IFERROR(__xludf.DUMMYFUNCTION("GOOGLETRANSLATE($A3324,""en"",""de"")"),"Purwanchal")</f>
        <v>Purwanchal</v>
      </c>
      <c r="D3324" s="9" t="str">
        <f>IFERROR(__xludf.DUMMYFUNCTION("GOOGLETRANSLATE($A3324,""en"",""fr"")"),"Purwanchal")</f>
        <v>Purwanchal</v>
      </c>
      <c r="E3324" s="9" t="str">
        <f>IFERROR(__xludf.DUMMYFUNCTION("GOOGLETRANSLATE($A3324,""en"",""es"")"),"Purwanchal")</f>
        <v>Purwanchal</v>
      </c>
      <c r="F3324" s="9" t="str">
        <f>IFERROR(__xludf.DUMMYFUNCTION("GOOGLETRANSLATE($A3324,""en"",""it"")"),"Purwanchal")</f>
        <v>Purwanchal</v>
      </c>
      <c r="G3324" s="9" t="str">
        <f>IFERROR(__xludf.DUMMYFUNCTION("GOOGLETRANSLATE($A3324,""en"",""zh-cn"")"),"普万查尔")</f>
        <v>普万查尔</v>
      </c>
      <c r="H3324" s="9" t="str">
        <f>IFERROR(__xludf.DUMMYFUNCTION("GOOGLETRANSLATE($A3324,""en"",""ja"")"),"プルワンチャル")</f>
        <v>プルワンチャル</v>
      </c>
      <c r="I3324" s="9" t="str">
        <f>IFERROR(__xludf.DUMMYFUNCTION("GOOGLETRANSLATE($A3324,""en"",""ko"")"),"푸르완찰")</f>
        <v>푸르완찰</v>
      </c>
      <c r="J3324" s="9" t="str">
        <f>IFERROR(__xludf.DUMMYFUNCTION("GOOGLETRANSLATE($A3324,""en"",""pt-BR"")"),"Purwanchal")</f>
        <v>Purwanchal</v>
      </c>
    </row>
    <row r="3325">
      <c r="A3325" s="9" t="str">
        <f>IFERROR(__xludf.DUMMYFUNCTION("""COMPUTED_VALUE"""),"Sint Maarten")</f>
        <v>Sint Maarten</v>
      </c>
      <c r="B3325" s="9" t="str">
        <f>IFERROR(__xludf.DUMMYFUNCTION("""COMPUTED_VALUE"""),"nl-sx")</f>
        <v>nl-sx</v>
      </c>
      <c r="C3325" s="9" t="str">
        <f>IFERROR(__xludf.DUMMYFUNCTION("GOOGLETRANSLATE($A3325,""en"",""de"")"),"Sint Maarten")</f>
        <v>Sint Maarten</v>
      </c>
      <c r="D3325" s="9" t="str">
        <f>IFERROR(__xludf.DUMMYFUNCTION("GOOGLETRANSLATE($A3325,""en"",""fr"")"),"Saint-Martin")</f>
        <v>Saint-Martin</v>
      </c>
      <c r="E3325" s="9" t="str">
        <f>IFERROR(__xludf.DUMMYFUNCTION("GOOGLETRANSLATE($A3325,""en"",""es"")"),"San Martín")</f>
        <v>San Martín</v>
      </c>
      <c r="F3325" s="9" t="str">
        <f>IFERROR(__xludf.DUMMYFUNCTION("GOOGLETRANSLATE($A3325,""en"",""it"")"),"Sint Maarten")</f>
        <v>Sint Maarten</v>
      </c>
      <c r="G3325" s="9" t="str">
        <f>IFERROR(__xludf.DUMMYFUNCTION("GOOGLETRANSLATE($A3325,""en"",""zh-cn"")"),"圣马丁岛")</f>
        <v>圣马丁岛</v>
      </c>
      <c r="H3325" s="9" t="str">
        <f>IFERROR(__xludf.DUMMYFUNCTION("GOOGLETRANSLATE($A3325,""en"",""ja"")"),"シント・マールテン島")</f>
        <v>シント・マールテン島</v>
      </c>
      <c r="I3325" s="9" t="str">
        <f>IFERROR(__xludf.DUMMYFUNCTION("GOOGLETRANSLATE($A3325,""en"",""ko"")"),"신트마르턴")</f>
        <v>신트마르턴</v>
      </c>
      <c r="J3325" s="9" t="str">
        <f>IFERROR(__xludf.DUMMYFUNCTION("GOOGLETRANSLATE($A3325,""en"",""pt-BR"")"),"São Martinho")</f>
        <v>São Martinho</v>
      </c>
    </row>
    <row r="3326">
      <c r="A3326" s="9" t="str">
        <f>IFERROR(__xludf.DUMMYFUNCTION("""COMPUTED_VALUE"""),"Bonaire (NL)")</f>
        <v>Bonaire (NL)</v>
      </c>
      <c r="B3326" s="9" t="str">
        <f>IFERROR(__xludf.DUMMYFUNCTION("""COMPUTED_VALUE"""),"nl-bq1")</f>
        <v>nl-bq1</v>
      </c>
      <c r="C3326" s="9" t="str">
        <f>IFERROR(__xludf.DUMMYFUNCTION("GOOGLETRANSLATE($A3326,""en"",""de"")"),"Bonaire (NL)")</f>
        <v>Bonaire (NL)</v>
      </c>
      <c r="D3326" s="9" t="str">
        <f>IFERROR(__xludf.DUMMYFUNCTION("GOOGLETRANSLATE($A3326,""en"",""fr"")"),"Bonaire (NL)")</f>
        <v>Bonaire (NL)</v>
      </c>
      <c r="E3326" s="9" t="str">
        <f>IFERROR(__xludf.DUMMYFUNCTION("GOOGLETRANSLATE($A3326,""en"",""es"")"),"Bonaire (NL)")</f>
        <v>Bonaire (NL)</v>
      </c>
      <c r="F3326" s="9" t="str">
        <f>IFERROR(__xludf.DUMMYFUNCTION("GOOGLETRANSLATE($A3326,""en"",""it"")"),"Bonaire (Paesi Bassi)")</f>
        <v>Bonaire (Paesi Bassi)</v>
      </c>
      <c r="G3326" s="9" t="str">
        <f>IFERROR(__xludf.DUMMYFUNCTION("GOOGLETRANSLATE($A3326,""en"",""zh-cn"")"),"博内尔岛（荷兰）")</f>
        <v>博内尔岛（荷兰）</v>
      </c>
      <c r="H3326" s="9" t="str">
        <f>IFERROR(__xludf.DUMMYFUNCTION("GOOGLETRANSLATE($A3326,""en"",""ja"")"),"ボネール島 (NL)")</f>
        <v>ボネール島 (NL)</v>
      </c>
      <c r="I3326" s="9" t="str">
        <f>IFERROR(__xludf.DUMMYFUNCTION("GOOGLETRANSLATE($A3326,""en"",""ko"")"),"보네르(NL)")</f>
        <v>보네르(NL)</v>
      </c>
      <c r="J3326" s="9" t="str">
        <f>IFERROR(__xludf.DUMMYFUNCTION("GOOGLETRANSLATE($A3326,""en"",""pt-BR"")"),"Bonaire (NL)")</f>
        <v>Bonaire (NL)</v>
      </c>
    </row>
    <row r="3327">
      <c r="A3327" s="9" t="str">
        <f>IFERROR(__xludf.DUMMYFUNCTION("""COMPUTED_VALUE"""),"Saba (NL)")</f>
        <v>Saba (NL)</v>
      </c>
      <c r="B3327" s="9" t="str">
        <f>IFERROR(__xludf.DUMMYFUNCTION("""COMPUTED_VALUE"""),"nl-bq2")</f>
        <v>nl-bq2</v>
      </c>
      <c r="C3327" s="9" t="str">
        <f>IFERROR(__xludf.DUMMYFUNCTION("GOOGLETRANSLATE($A3327,""en"",""de"")"),"Saba (NL)")</f>
        <v>Saba (NL)</v>
      </c>
      <c r="D3327" s="9" t="str">
        <f>IFERROR(__xludf.DUMMYFUNCTION("GOOGLETRANSLATE($A3327,""en"",""fr"")"),"Saba (Pays-Bas)")</f>
        <v>Saba (Pays-Bas)</v>
      </c>
      <c r="E3327" s="9" t="str">
        <f>IFERROR(__xludf.DUMMYFUNCTION("GOOGLETRANSLATE($A3327,""en"",""es"")"),"Saba (NL)")</f>
        <v>Saba (NL)</v>
      </c>
      <c r="F3327" s="9" t="str">
        <f>IFERROR(__xludf.DUMMYFUNCTION("GOOGLETRANSLATE($A3327,""en"",""it"")"),"Saba (Paesi Bassi)")</f>
        <v>Saba (Paesi Bassi)</v>
      </c>
      <c r="G3327" s="9" t="str">
        <f>IFERROR(__xludf.DUMMYFUNCTION("GOOGLETRANSLATE($A3327,""en"",""zh-cn"")"),"萨巴岛 (荷兰)")</f>
        <v>萨巴岛 (荷兰)</v>
      </c>
      <c r="H3327" s="9" t="str">
        <f>IFERROR(__xludf.DUMMYFUNCTION("GOOGLETRANSLATE($A3327,""en"",""ja"")"),"サバ（オランダ）")</f>
        <v>サバ（オランダ）</v>
      </c>
      <c r="I3327" s="9" t="str">
        <f>IFERROR(__xludf.DUMMYFUNCTION("GOOGLETRANSLATE($A3327,""en"",""ko"")"),"사바(NL)")</f>
        <v>사바(NL)</v>
      </c>
      <c r="J3327" s="9" t="str">
        <f>IFERROR(__xludf.DUMMYFUNCTION("GOOGLETRANSLATE($A3327,""en"",""pt-BR"")"),"Saba (NL)")</f>
        <v>Saba (NL)</v>
      </c>
    </row>
    <row r="3328">
      <c r="A3328" s="9" t="str">
        <f>IFERROR(__xludf.DUMMYFUNCTION("""COMPUTED_VALUE"""),"Sint Eustatius (NL)")</f>
        <v>Sint Eustatius (NL)</v>
      </c>
      <c r="B3328" s="9" t="str">
        <f>IFERROR(__xludf.DUMMYFUNCTION("""COMPUTED_VALUE"""),"nl-bq3")</f>
        <v>nl-bq3</v>
      </c>
      <c r="C3328" s="9" t="str">
        <f>IFERROR(__xludf.DUMMYFUNCTION("GOOGLETRANSLATE($A3328,""en"",""de"")"),"Sint Eustatius (NL)")</f>
        <v>Sint Eustatius (NL)</v>
      </c>
      <c r="D3328" s="9" t="str">
        <f>IFERROR(__xludf.DUMMYFUNCTION("GOOGLETRANSLATE($A3328,""en"",""fr"")"),"Saint-Eustache (NL)")</f>
        <v>Saint-Eustache (NL)</v>
      </c>
      <c r="E3328" s="9" t="str">
        <f>IFERROR(__xludf.DUMMYFUNCTION("GOOGLETRANSLATE($A3328,""en"",""es"")"),"San Eustaquio (NL)")</f>
        <v>San Eustaquio (NL)</v>
      </c>
      <c r="F3328" s="9" t="str">
        <f>IFERROR(__xludf.DUMMYFUNCTION("GOOGLETRANSLATE($A3328,""en"",""it"")"),"Sint Eustatius (Paesi Bassi)")</f>
        <v>Sint Eustatius (Paesi Bassi)</v>
      </c>
      <c r="G3328" s="9" t="str">
        <f>IFERROR(__xludf.DUMMYFUNCTION("GOOGLETRANSLATE($A3328,""en"",""zh-cn"")"),"圣尤斯特歇斯 (荷兰)")</f>
        <v>圣尤斯特歇斯 (荷兰)</v>
      </c>
      <c r="H3328" s="9" t="str">
        <f>IFERROR(__xludf.DUMMYFUNCTION("GOOGLETRANSLATE($A3328,""en"",""ja"")"),"シント・ユースタティウス (NL)")</f>
        <v>シント・ユースタティウス (NL)</v>
      </c>
      <c r="I3328" s="9" t="str">
        <f>IFERROR(__xludf.DUMMYFUNCTION("GOOGLETRANSLATE($A3328,""en"",""ko"")"),"신트 유스타티우스(NL)")</f>
        <v>신트 유스타티우스(NL)</v>
      </c>
      <c r="J3328" s="9" t="str">
        <f>IFERROR(__xludf.DUMMYFUNCTION("GOOGLETRANSLATE($A3328,""en"",""pt-BR"")"),"Santo Eustáquio (NL)")</f>
        <v>Santo Eustáquio (NL)</v>
      </c>
    </row>
    <row r="3329">
      <c r="A3329" s="9" t="str">
        <f>IFERROR(__xludf.DUMMYFUNCTION("""COMPUTED_VALUE"""),"Zeeland")</f>
        <v>Zeeland</v>
      </c>
      <c r="B3329" s="9" t="str">
        <f>IFERROR(__xludf.DUMMYFUNCTION("""COMPUTED_VALUE"""),"nl-ze")</f>
        <v>nl-ze</v>
      </c>
      <c r="C3329" s="9" t="str">
        <f>IFERROR(__xludf.DUMMYFUNCTION("GOOGLETRANSLATE($A3329,""en"",""de"")"),"Zeeland")</f>
        <v>Zeeland</v>
      </c>
      <c r="D3329" s="9" t="str">
        <f>IFERROR(__xludf.DUMMYFUNCTION("GOOGLETRANSLATE($A3329,""en"",""fr"")"),"Zélande")</f>
        <v>Zélande</v>
      </c>
      <c r="E3329" s="9" t="str">
        <f>IFERROR(__xludf.DUMMYFUNCTION("GOOGLETRANSLATE($A3329,""en"",""es"")"),"Zelanda")</f>
        <v>Zelanda</v>
      </c>
      <c r="F3329" s="9" t="str">
        <f>IFERROR(__xludf.DUMMYFUNCTION("GOOGLETRANSLATE($A3329,""en"",""it"")"),"Zelanda")</f>
        <v>Zelanda</v>
      </c>
      <c r="G3329" s="9" t="str">
        <f>IFERROR(__xludf.DUMMYFUNCTION("GOOGLETRANSLATE($A3329,""en"",""zh-cn"")"),"泽兰")</f>
        <v>泽兰</v>
      </c>
      <c r="H3329" s="9" t="str">
        <f>IFERROR(__xludf.DUMMYFUNCTION("GOOGLETRANSLATE($A3329,""en"",""ja"")"),"ゼーラント州")</f>
        <v>ゼーラント州</v>
      </c>
      <c r="I3329" s="9" t="str">
        <f>IFERROR(__xludf.DUMMYFUNCTION("GOOGLETRANSLATE($A3329,""en"",""ko"")"),"질랜드")</f>
        <v>질랜드</v>
      </c>
      <c r="J3329" s="9" t="str">
        <f>IFERROR(__xludf.DUMMYFUNCTION("GOOGLETRANSLATE($A3329,""en"",""pt-BR"")"),"Zelândia")</f>
        <v>Zelândia</v>
      </c>
    </row>
    <row r="3330">
      <c r="A3330" s="9" t="str">
        <f>IFERROR(__xludf.DUMMYFUNCTION("""COMPUTED_VALUE"""),"Zuid-Holland")</f>
        <v>Zuid-Holland</v>
      </c>
      <c r="B3330" s="9" t="str">
        <f>IFERROR(__xludf.DUMMYFUNCTION("""COMPUTED_VALUE"""),"nl-zh")</f>
        <v>nl-zh</v>
      </c>
      <c r="C3330" s="9" t="str">
        <f>IFERROR(__xludf.DUMMYFUNCTION("GOOGLETRANSLATE($A3330,""en"",""de"")"),"Zuid-Holland")</f>
        <v>Zuid-Holland</v>
      </c>
      <c r="D3330" s="9" t="str">
        <f>IFERROR(__xludf.DUMMYFUNCTION("GOOGLETRANSLATE($A3330,""en"",""fr"")"),"Hollande méridionale")</f>
        <v>Hollande méridionale</v>
      </c>
      <c r="E3330" s="9" t="str">
        <f>IFERROR(__xludf.DUMMYFUNCTION("GOOGLETRANSLATE($A3330,""en"",""es"")"),"Holanda del Sur")</f>
        <v>Holanda del Sur</v>
      </c>
      <c r="F3330" s="9" t="str">
        <f>IFERROR(__xludf.DUMMYFUNCTION("GOOGLETRANSLATE($A3330,""en"",""it"")"),"Olanda Meridionale")</f>
        <v>Olanda Meridionale</v>
      </c>
      <c r="G3330" s="9" t="str">
        <f>IFERROR(__xludf.DUMMYFUNCTION("GOOGLETRANSLATE($A3330,""en"",""zh-cn"")"),"南荷兰省")</f>
        <v>南荷兰省</v>
      </c>
      <c r="H3330" s="9" t="str">
        <f>IFERROR(__xludf.DUMMYFUNCTION("GOOGLETRANSLATE($A3330,""en"",""ja"")"),"南オランダ")</f>
        <v>南オランダ</v>
      </c>
      <c r="I3330" s="9" t="str">
        <f>IFERROR(__xludf.DUMMYFUNCTION("GOOGLETRANSLATE($A3330,""en"",""ko"")"),"쥐이드홀란드")</f>
        <v>쥐이드홀란드</v>
      </c>
      <c r="J3330" s="9" t="str">
        <f>IFERROR(__xludf.DUMMYFUNCTION("GOOGLETRANSLATE($A3330,""en"",""pt-BR"")"),"Zuid-Holanda")</f>
        <v>Zuid-Holanda</v>
      </c>
    </row>
    <row r="3331">
      <c r="A3331" s="9" t="str">
        <f>IFERROR(__xludf.DUMMYFUNCTION("""COMPUTED_VALUE"""),"Aruba")</f>
        <v>Aruba</v>
      </c>
      <c r="B3331" s="9" t="str">
        <f>IFERROR(__xludf.DUMMYFUNCTION("""COMPUTED_VALUE"""),"nl-aw")</f>
        <v>nl-aw</v>
      </c>
      <c r="C3331" s="9" t="str">
        <f>IFERROR(__xludf.DUMMYFUNCTION("GOOGLETRANSLATE($A3331,""en"",""de"")"),"Aruba")</f>
        <v>Aruba</v>
      </c>
      <c r="D3331" s="9" t="str">
        <f>IFERROR(__xludf.DUMMYFUNCTION("GOOGLETRANSLATE($A3331,""en"",""fr"")"),"Aruba")</f>
        <v>Aruba</v>
      </c>
      <c r="E3331" s="9" t="str">
        <f>IFERROR(__xludf.DUMMYFUNCTION("GOOGLETRANSLATE($A3331,""en"",""es"")"),"Aruba")</f>
        <v>Aruba</v>
      </c>
      <c r="F3331" s="9" t="str">
        <f>IFERROR(__xludf.DUMMYFUNCTION("GOOGLETRANSLATE($A3331,""en"",""it"")"),"Aruba")</f>
        <v>Aruba</v>
      </c>
      <c r="G3331" s="9" t="str">
        <f>IFERROR(__xludf.DUMMYFUNCTION("GOOGLETRANSLATE($A3331,""en"",""zh-cn"")"),"阿鲁巴岛")</f>
        <v>阿鲁巴岛</v>
      </c>
      <c r="H3331" s="9" t="str">
        <f>IFERROR(__xludf.DUMMYFUNCTION("GOOGLETRANSLATE($A3331,""en"",""ja"")"),"アルバ")</f>
        <v>アルバ</v>
      </c>
      <c r="I3331" s="9" t="str">
        <f>IFERROR(__xludf.DUMMYFUNCTION("GOOGLETRANSLATE($A3331,""en"",""ko"")"),"아루바")</f>
        <v>아루바</v>
      </c>
      <c r="J3331" s="9" t="str">
        <f>IFERROR(__xludf.DUMMYFUNCTION("GOOGLETRANSLATE($A3331,""en"",""pt-BR"")"),"Aruba")</f>
        <v>Aruba</v>
      </c>
    </row>
    <row r="3332">
      <c r="A3332" s="9" t="str">
        <f>IFERROR(__xludf.DUMMYFUNCTION("""COMPUTED_VALUE"""),"Curaçao (NL)")</f>
        <v>Curaçao (NL)</v>
      </c>
      <c r="B3332" s="9" t="str">
        <f>IFERROR(__xludf.DUMMYFUNCTION("""COMPUTED_VALUE"""),"nl-cw")</f>
        <v>nl-cw</v>
      </c>
      <c r="C3332" s="9" t="str">
        <f>IFERROR(__xludf.DUMMYFUNCTION("GOOGLETRANSLATE($A3332,""en"",""de"")"),"Curaçao (NL)")</f>
        <v>Curaçao (NL)</v>
      </c>
      <c r="D3332" s="9" t="str">
        <f>IFERROR(__xludf.DUMMYFUNCTION("GOOGLETRANSLATE($A3332,""en"",""fr"")"),"Curaçao (Pays-Bas)")</f>
        <v>Curaçao (Pays-Bas)</v>
      </c>
      <c r="E3332" s="9" t="str">
        <f>IFERROR(__xludf.DUMMYFUNCTION("GOOGLETRANSLATE($A3332,""en"",""es"")"),"Curazao (NL)")</f>
        <v>Curazao (NL)</v>
      </c>
      <c r="F3332" s="9" t="str">
        <f>IFERROR(__xludf.DUMMYFUNCTION("GOOGLETRANSLATE($A3332,""en"",""it"")"),"Curaçao (Paesi Bassi)")</f>
        <v>Curaçao (Paesi Bassi)</v>
      </c>
      <c r="G3332" s="9" t="str">
        <f>IFERROR(__xludf.DUMMYFUNCTION("GOOGLETRANSLATE($A3332,""en"",""zh-cn"")"),"库拉索岛（荷兰）")</f>
        <v>库拉索岛（荷兰）</v>
      </c>
      <c r="H3332" s="9" t="str">
        <f>IFERROR(__xludf.DUMMYFUNCTION("GOOGLETRANSLATE($A3332,""en"",""ja"")"),"キュラソー島（NL）")</f>
        <v>キュラソー島（NL）</v>
      </c>
      <c r="I3332" s="9" t="str">
        <f>IFERROR(__xludf.DUMMYFUNCTION("GOOGLETRANSLATE($A3332,""en"",""ko"")"),"퀴라소(NL)")</f>
        <v>퀴라소(NL)</v>
      </c>
      <c r="J3332" s="9" t="str">
        <f>IFERROR(__xludf.DUMMYFUNCTION("GOOGLETRANSLATE($A3332,""en"",""pt-BR"")"),"Curaçao (NL)")</f>
        <v>Curaçao (NL)</v>
      </c>
    </row>
    <row r="3333">
      <c r="A3333" s="9" t="str">
        <f>IFERROR(__xludf.DUMMYFUNCTION("""COMPUTED_VALUE"""),"Drenthe")</f>
        <v>Drenthe</v>
      </c>
      <c r="B3333" s="9" t="str">
        <f>IFERROR(__xludf.DUMMYFUNCTION("""COMPUTED_VALUE"""),"nl-dr")</f>
        <v>nl-dr</v>
      </c>
      <c r="C3333" s="9" t="str">
        <f>IFERROR(__xludf.DUMMYFUNCTION("GOOGLETRANSLATE($A3333,""en"",""de"")"),"Drenthe")</f>
        <v>Drenthe</v>
      </c>
      <c r="D3333" s="9" t="str">
        <f>IFERROR(__xludf.DUMMYFUNCTION("GOOGLETRANSLATE($A3333,""en"",""fr"")"),"Drenthe")</f>
        <v>Drenthe</v>
      </c>
      <c r="E3333" s="9" t="str">
        <f>IFERROR(__xludf.DUMMYFUNCTION("GOOGLETRANSLATE($A3333,""en"",""es"")"),"Drente")</f>
        <v>Drente</v>
      </c>
      <c r="F3333" s="9" t="str">
        <f>IFERROR(__xludf.DUMMYFUNCTION("GOOGLETRANSLATE($A3333,""en"",""it"")"),"Drenthe")</f>
        <v>Drenthe</v>
      </c>
      <c r="G3333" s="9" t="str">
        <f>IFERROR(__xludf.DUMMYFUNCTION("GOOGLETRANSLATE($A3333,""en"",""zh-cn"")"),"德伦特")</f>
        <v>德伦特</v>
      </c>
      <c r="H3333" s="9" t="str">
        <f>IFERROR(__xludf.DUMMYFUNCTION("GOOGLETRANSLATE($A3333,""en"",""ja"")"),"ドレンテ州")</f>
        <v>ドレンテ州</v>
      </c>
      <c r="I3333" s="9" t="str">
        <f>IFERROR(__xludf.DUMMYFUNCTION("GOOGLETRANSLATE($A3333,""en"",""ko"")"),"드렌테")</f>
        <v>드렌테</v>
      </c>
      <c r="J3333" s="9" t="str">
        <f>IFERROR(__xludf.DUMMYFUNCTION("GOOGLETRANSLATE($A3333,""en"",""pt-BR"")"),"Drente")</f>
        <v>Drente</v>
      </c>
    </row>
    <row r="3334">
      <c r="A3334" s="9" t="str">
        <f>IFERROR(__xludf.DUMMYFUNCTION("""COMPUTED_VALUE"""),"Flevoland")</f>
        <v>Flevoland</v>
      </c>
      <c r="B3334" s="9" t="str">
        <f>IFERROR(__xludf.DUMMYFUNCTION("""COMPUTED_VALUE"""),"nl-fl")</f>
        <v>nl-fl</v>
      </c>
      <c r="C3334" s="9" t="str">
        <f>IFERROR(__xludf.DUMMYFUNCTION("GOOGLETRANSLATE($A3334,""en"",""de"")"),"Flevoland")</f>
        <v>Flevoland</v>
      </c>
      <c r="D3334" s="9" t="str">
        <f>IFERROR(__xludf.DUMMYFUNCTION("GOOGLETRANSLATE($A3334,""en"",""fr"")"),"Flevoland")</f>
        <v>Flevoland</v>
      </c>
      <c r="E3334" s="9" t="str">
        <f>IFERROR(__xludf.DUMMYFUNCTION("GOOGLETRANSLATE($A3334,""en"",""es"")"),"Flevolanda")</f>
        <v>Flevolanda</v>
      </c>
      <c r="F3334" s="9" t="str">
        <f>IFERROR(__xludf.DUMMYFUNCTION("GOOGLETRANSLATE($A3334,""en"",""it"")"),"Flevoland")</f>
        <v>Flevoland</v>
      </c>
      <c r="G3334" s="9" t="str">
        <f>IFERROR(__xludf.DUMMYFUNCTION("GOOGLETRANSLATE($A3334,""en"",""zh-cn"")"),"弗莱福兰")</f>
        <v>弗莱福兰</v>
      </c>
      <c r="H3334" s="9" t="str">
        <f>IFERROR(__xludf.DUMMYFUNCTION("GOOGLETRANSLATE($A3334,""en"",""ja"")"),"フレヴォラント州")</f>
        <v>フレヴォラント州</v>
      </c>
      <c r="I3334" s="9" t="str">
        <f>IFERROR(__xludf.DUMMYFUNCTION("GOOGLETRANSLATE($A3334,""en"",""ko"")"),"플레보랜드")</f>
        <v>플레보랜드</v>
      </c>
      <c r="J3334" s="9" t="str">
        <f>IFERROR(__xludf.DUMMYFUNCTION("GOOGLETRANSLATE($A3334,""en"",""pt-BR"")"),"Flevolândia")</f>
        <v>Flevolândia</v>
      </c>
    </row>
    <row r="3335">
      <c r="A3335" s="9" t="str">
        <f>IFERROR(__xludf.DUMMYFUNCTION("""COMPUTED_VALUE"""),"Noord-Brabant")</f>
        <v>Noord-Brabant</v>
      </c>
      <c r="B3335" s="9" t="str">
        <f>IFERROR(__xludf.DUMMYFUNCTION("""COMPUTED_VALUE"""),"nl-nb")</f>
        <v>nl-nb</v>
      </c>
      <c r="C3335" s="9" t="str">
        <f>IFERROR(__xludf.DUMMYFUNCTION("GOOGLETRANSLATE($A3335,""en"",""de"")"),"Nordbrabant")</f>
        <v>Nordbrabant</v>
      </c>
      <c r="D3335" s="9" t="str">
        <f>IFERROR(__xludf.DUMMYFUNCTION("GOOGLETRANSLATE($A3335,""en"",""fr"")"),"Brabant septentrional")</f>
        <v>Brabant septentrional</v>
      </c>
      <c r="E3335" s="9" t="str">
        <f>IFERROR(__xludf.DUMMYFUNCTION("GOOGLETRANSLATE($A3335,""en"",""es"")"),"Brabante Septentrional")</f>
        <v>Brabante Septentrional</v>
      </c>
      <c r="F3335" s="9" t="str">
        <f>IFERROR(__xludf.DUMMYFUNCTION("GOOGLETRANSLATE($A3335,""en"",""it"")"),"Brabante Settentrionale")</f>
        <v>Brabante Settentrionale</v>
      </c>
      <c r="G3335" s="9" t="str">
        <f>IFERROR(__xludf.DUMMYFUNCTION("GOOGLETRANSLATE($A3335,""en"",""zh-cn"")"),"北布拉邦省")</f>
        <v>北布拉邦省</v>
      </c>
      <c r="H3335" s="9" t="str">
        <f>IFERROR(__xludf.DUMMYFUNCTION("GOOGLETRANSLATE($A3335,""en"",""ja"")"),"北ブラバント州")</f>
        <v>北ブラバント州</v>
      </c>
      <c r="I3335" s="9" t="str">
        <f>IFERROR(__xludf.DUMMYFUNCTION("GOOGLETRANSLATE($A3335,""en"",""ko"")"),"노르트브라반트")</f>
        <v>노르트브라반트</v>
      </c>
      <c r="J3335" s="9" t="str">
        <f>IFERROR(__xludf.DUMMYFUNCTION("GOOGLETRANSLATE($A3335,""en"",""pt-BR"")"),"Norte-Brabante")</f>
        <v>Norte-Brabante</v>
      </c>
    </row>
    <row r="3336">
      <c r="A3336" s="9" t="str">
        <f>IFERROR(__xludf.DUMMYFUNCTION("""COMPUTED_VALUE"""),"Noord-Holland")</f>
        <v>Noord-Holland</v>
      </c>
      <c r="B3336" s="9" t="str">
        <f>IFERROR(__xludf.DUMMYFUNCTION("""COMPUTED_VALUE"""),"nl-nh")</f>
        <v>nl-nh</v>
      </c>
      <c r="C3336" s="9" t="str">
        <f>IFERROR(__xludf.DUMMYFUNCTION("GOOGLETRANSLATE($A3336,""en"",""de"")"),"Nordholland")</f>
        <v>Nordholland</v>
      </c>
      <c r="D3336" s="9" t="str">
        <f>IFERROR(__xludf.DUMMYFUNCTION("GOOGLETRANSLATE($A3336,""en"",""fr"")"),"Hollande-Septentrionale")</f>
        <v>Hollande-Septentrionale</v>
      </c>
      <c r="E3336" s="9" t="str">
        <f>IFERROR(__xludf.DUMMYFUNCTION("GOOGLETRANSLATE($A3336,""en"",""es"")"),"Holanda Septentrional")</f>
        <v>Holanda Septentrional</v>
      </c>
      <c r="F3336" s="9" t="str">
        <f>IFERROR(__xludf.DUMMYFUNCTION("GOOGLETRANSLATE($A3336,""en"",""it"")"),"Noord-Olanda")</f>
        <v>Noord-Olanda</v>
      </c>
      <c r="G3336" s="9" t="str">
        <f>IFERROR(__xludf.DUMMYFUNCTION("GOOGLETRANSLATE($A3336,""en"",""zh-cn"")"),"北荷兰省")</f>
        <v>北荷兰省</v>
      </c>
      <c r="H3336" s="9" t="str">
        <f>IFERROR(__xludf.DUMMYFUNCTION("GOOGLETRANSLATE($A3336,""en"",""ja"")"),"北オランダ")</f>
        <v>北オランダ</v>
      </c>
      <c r="I3336" s="9" t="str">
        <f>IFERROR(__xludf.DUMMYFUNCTION("GOOGLETRANSLATE($A3336,""en"",""ko"")"),"노르트홀란트")</f>
        <v>노르트홀란트</v>
      </c>
      <c r="J3336" s="9" t="str">
        <f>IFERROR(__xludf.DUMMYFUNCTION("GOOGLETRANSLATE($A3336,""en"",""pt-BR"")"),"Holanda do Norte")</f>
        <v>Holanda do Norte</v>
      </c>
    </row>
    <row r="3337">
      <c r="A3337" s="9" t="str">
        <f>IFERROR(__xludf.DUMMYFUNCTION("""COMPUTED_VALUE"""),"Overijssel")</f>
        <v>Overijssel</v>
      </c>
      <c r="B3337" s="9" t="str">
        <f>IFERROR(__xludf.DUMMYFUNCTION("""COMPUTED_VALUE"""),"nl-ov")</f>
        <v>nl-ov</v>
      </c>
      <c r="C3337" s="9" t="str">
        <f>IFERROR(__xludf.DUMMYFUNCTION("GOOGLETRANSLATE($A3337,""en"",""de"")"),"Overijssel")</f>
        <v>Overijssel</v>
      </c>
      <c r="D3337" s="9" t="str">
        <f>IFERROR(__xludf.DUMMYFUNCTION("GOOGLETRANSLATE($A3337,""en"",""fr"")"),"Overijssel")</f>
        <v>Overijssel</v>
      </c>
      <c r="E3337" s="9" t="str">
        <f>IFERROR(__xludf.DUMMYFUNCTION("GOOGLETRANSLATE($A3337,""en"",""es"")"),"Overijssel")</f>
        <v>Overijssel</v>
      </c>
      <c r="F3337" s="9" t="str">
        <f>IFERROR(__xludf.DUMMYFUNCTION("GOOGLETRANSLATE($A3337,""en"",""it"")"),"Overijssel")</f>
        <v>Overijssel</v>
      </c>
      <c r="G3337" s="9" t="str">
        <f>IFERROR(__xludf.DUMMYFUNCTION("GOOGLETRANSLATE($A3337,""en"",""zh-cn"")"),"上艾瑟尔省")</f>
        <v>上艾瑟尔省</v>
      </c>
      <c r="H3337" s="9" t="str">
        <f>IFERROR(__xludf.DUMMYFUNCTION("GOOGLETRANSLATE($A3337,""en"",""ja"")"),"オーファーアイセル州")</f>
        <v>オーファーアイセル州</v>
      </c>
      <c r="I3337" s="9" t="str">
        <f>IFERROR(__xludf.DUMMYFUNCTION("GOOGLETRANSLATE($A3337,""en"",""ko"")"),"오버레이셀")</f>
        <v>오버레이셀</v>
      </c>
      <c r="J3337" s="9" t="str">
        <f>IFERROR(__xludf.DUMMYFUNCTION("GOOGLETRANSLATE($A3337,""en"",""pt-BR"")"),"Overissel")</f>
        <v>Overissel</v>
      </c>
    </row>
    <row r="3338">
      <c r="A3338" s="9" t="str">
        <f>IFERROR(__xludf.DUMMYFUNCTION("""COMPUTED_VALUE"""),"Utrecht")</f>
        <v>Utrecht</v>
      </c>
      <c r="B3338" s="9" t="str">
        <f>IFERROR(__xludf.DUMMYFUNCTION("""COMPUTED_VALUE"""),"nl-ut")</f>
        <v>nl-ut</v>
      </c>
      <c r="C3338" s="9" t="str">
        <f>IFERROR(__xludf.DUMMYFUNCTION("GOOGLETRANSLATE($A3338,""en"",""de"")"),"Utrecht")</f>
        <v>Utrecht</v>
      </c>
      <c r="D3338" s="9" t="str">
        <f>IFERROR(__xludf.DUMMYFUNCTION("GOOGLETRANSLATE($A3338,""en"",""fr"")"),"Utrecht")</f>
        <v>Utrecht</v>
      </c>
      <c r="E3338" s="9" t="str">
        <f>IFERROR(__xludf.DUMMYFUNCTION("GOOGLETRANSLATE($A3338,""en"",""es"")"),"Utrecht")</f>
        <v>Utrecht</v>
      </c>
      <c r="F3338" s="9" t="str">
        <f>IFERROR(__xludf.DUMMYFUNCTION("GOOGLETRANSLATE($A3338,""en"",""it"")"),"Utrecht")</f>
        <v>Utrecht</v>
      </c>
      <c r="G3338" s="9" t="str">
        <f>IFERROR(__xludf.DUMMYFUNCTION("GOOGLETRANSLATE($A3338,""en"",""zh-cn"")"),"乌得勒支")</f>
        <v>乌得勒支</v>
      </c>
      <c r="H3338" s="9" t="str">
        <f>IFERROR(__xludf.DUMMYFUNCTION("GOOGLETRANSLATE($A3338,""en"",""ja"")"),"ユトレヒト")</f>
        <v>ユトレヒト</v>
      </c>
      <c r="I3338" s="9" t="str">
        <f>IFERROR(__xludf.DUMMYFUNCTION("GOOGLETRANSLATE($A3338,""en"",""ko"")"),"위트레흐트")</f>
        <v>위트레흐트</v>
      </c>
      <c r="J3338" s="9" t="str">
        <f>IFERROR(__xludf.DUMMYFUNCTION("GOOGLETRANSLATE($A3338,""en"",""pt-BR"")"),"Utreque")</f>
        <v>Utreque</v>
      </c>
    </row>
    <row r="3339">
      <c r="A3339" s="9" t="str">
        <f>IFERROR(__xludf.DUMMYFUNCTION("""COMPUTED_VALUE"""),"Fryslân")</f>
        <v>Fryslân</v>
      </c>
      <c r="B3339" s="9" t="str">
        <f>IFERROR(__xludf.DUMMYFUNCTION("""COMPUTED_VALUE"""),"nl-fr")</f>
        <v>nl-fr</v>
      </c>
      <c r="C3339" s="9" t="str">
        <f>IFERROR(__xludf.DUMMYFUNCTION("GOOGLETRANSLATE($A3339,""en"",""de"")"),"Fryslân")</f>
        <v>Fryslân</v>
      </c>
      <c r="D3339" s="9" t="str">
        <f>IFERROR(__xludf.DUMMYFUNCTION("GOOGLETRANSLATE($A3339,""en"",""fr"")"),"Frise")</f>
        <v>Frise</v>
      </c>
      <c r="E3339" s="9" t="str">
        <f>IFERROR(__xludf.DUMMYFUNCTION("GOOGLETRANSLATE($A3339,""en"",""es"")"),"Fryslân")</f>
        <v>Fryslân</v>
      </c>
      <c r="F3339" s="9" t="str">
        <f>IFERROR(__xludf.DUMMYFUNCTION("GOOGLETRANSLATE($A3339,""en"",""it"")"),"Fryslân")</f>
        <v>Fryslân</v>
      </c>
      <c r="G3339" s="9" t="str">
        <f>IFERROR(__xludf.DUMMYFUNCTION("GOOGLETRANSLATE($A3339,""en"",""zh-cn"")"),"弗里斯兰")</f>
        <v>弗里斯兰</v>
      </c>
      <c r="H3339" s="9" t="str">
        <f>IFERROR(__xludf.DUMMYFUNCTION("GOOGLETRANSLATE($A3339,""en"",""ja"")"),"フリスラン")</f>
        <v>フリスラン</v>
      </c>
      <c r="I3339" s="9" t="str">
        <f>IFERROR(__xludf.DUMMYFUNCTION("GOOGLETRANSLATE($A3339,""en"",""ko"")"),"프리슬란")</f>
        <v>프리슬란</v>
      </c>
      <c r="J3339" s="9" t="str">
        <f>IFERROR(__xludf.DUMMYFUNCTION("GOOGLETRANSLATE($A3339,""en"",""pt-BR"")"),"Fryslân")</f>
        <v>Fryslân</v>
      </c>
    </row>
    <row r="3340">
      <c r="A3340" s="9" t="str">
        <f>IFERROR(__xludf.DUMMYFUNCTION("""COMPUTED_VALUE"""),"Gelderland")</f>
        <v>Gelderland</v>
      </c>
      <c r="B3340" s="9" t="str">
        <f>IFERROR(__xludf.DUMMYFUNCTION("""COMPUTED_VALUE"""),"nl-ge")</f>
        <v>nl-ge</v>
      </c>
      <c r="C3340" s="9" t="str">
        <f>IFERROR(__xludf.DUMMYFUNCTION("GOOGLETRANSLATE($A3340,""en"",""de"")"),"Gelderland")</f>
        <v>Gelderland</v>
      </c>
      <c r="D3340" s="9" t="str">
        <f>IFERROR(__xludf.DUMMYFUNCTION("GOOGLETRANSLATE($A3340,""en"",""fr"")"),"Gueldre")</f>
        <v>Gueldre</v>
      </c>
      <c r="E3340" s="9" t="str">
        <f>IFERROR(__xludf.DUMMYFUNCTION("GOOGLETRANSLATE($A3340,""en"",""es"")"),"Güeldres")</f>
        <v>Güeldres</v>
      </c>
      <c r="F3340" s="9" t="str">
        <f>IFERROR(__xludf.DUMMYFUNCTION("GOOGLETRANSLATE($A3340,""en"",""it"")"),"Gheldria")</f>
        <v>Gheldria</v>
      </c>
      <c r="G3340" s="9" t="str">
        <f>IFERROR(__xludf.DUMMYFUNCTION("GOOGLETRANSLATE($A3340,""en"",""zh-cn"")"),"海尔德兰")</f>
        <v>海尔德兰</v>
      </c>
      <c r="H3340" s="9" t="str">
        <f>IFERROR(__xludf.DUMMYFUNCTION("GOOGLETRANSLATE($A3340,""en"",""ja"")"),"ヘルダーラント")</f>
        <v>ヘルダーラント</v>
      </c>
      <c r="I3340" s="9" t="str">
        <f>IFERROR(__xludf.DUMMYFUNCTION("GOOGLETRANSLATE($A3340,""en"",""ko"")"),"겔더란트")</f>
        <v>겔더란트</v>
      </c>
      <c r="J3340" s="9" t="str">
        <f>IFERROR(__xludf.DUMMYFUNCTION("GOOGLETRANSLATE($A3340,""en"",""pt-BR"")"),"Guéldria")</f>
        <v>Guéldria</v>
      </c>
    </row>
    <row r="3341">
      <c r="A3341" s="9" t="str">
        <f>IFERROR(__xludf.DUMMYFUNCTION("""COMPUTED_VALUE"""),"Groningen")</f>
        <v>Groningen</v>
      </c>
      <c r="B3341" s="9" t="str">
        <f>IFERROR(__xludf.DUMMYFUNCTION("""COMPUTED_VALUE"""),"nl-gr")</f>
        <v>nl-gr</v>
      </c>
      <c r="C3341" s="9" t="str">
        <f>IFERROR(__xludf.DUMMYFUNCTION("GOOGLETRANSLATE($A3341,""en"",""de"")"),"Groningen")</f>
        <v>Groningen</v>
      </c>
      <c r="D3341" s="9" t="str">
        <f>IFERROR(__xludf.DUMMYFUNCTION("GOOGLETRANSLATE($A3341,""en"",""fr"")"),"Groningue")</f>
        <v>Groningue</v>
      </c>
      <c r="E3341" s="9" t="str">
        <f>IFERROR(__xludf.DUMMYFUNCTION("GOOGLETRANSLATE($A3341,""en"",""es"")"),"Groninga")</f>
        <v>Groninga</v>
      </c>
      <c r="F3341" s="9" t="str">
        <f>IFERROR(__xludf.DUMMYFUNCTION("GOOGLETRANSLATE($A3341,""en"",""it"")"),"Groninga")</f>
        <v>Groninga</v>
      </c>
      <c r="G3341" s="9" t="str">
        <f>IFERROR(__xludf.DUMMYFUNCTION("GOOGLETRANSLATE($A3341,""en"",""zh-cn"")"),"格罗宁根")</f>
        <v>格罗宁根</v>
      </c>
      <c r="H3341" s="9" t="str">
        <f>IFERROR(__xludf.DUMMYFUNCTION("GOOGLETRANSLATE($A3341,""en"",""ja"")"),"フローニンゲン")</f>
        <v>フローニンゲン</v>
      </c>
      <c r="I3341" s="9" t="str">
        <f>IFERROR(__xludf.DUMMYFUNCTION("GOOGLETRANSLATE($A3341,""en"",""ko"")"),"흐로닝언")</f>
        <v>흐로닝언</v>
      </c>
      <c r="J3341" s="9" t="str">
        <f>IFERROR(__xludf.DUMMYFUNCTION("GOOGLETRANSLATE($A3341,""en"",""pt-BR"")"),"Groninga")</f>
        <v>Groninga</v>
      </c>
    </row>
    <row r="3342">
      <c r="A3342" s="9" t="str">
        <f>IFERROR(__xludf.DUMMYFUNCTION("""COMPUTED_VALUE"""),"Limburg (Netherlands)")</f>
        <v>Limburg (Netherlands)</v>
      </c>
      <c r="B3342" s="9" t="str">
        <f>IFERROR(__xludf.DUMMYFUNCTION("""COMPUTED_VALUE"""),"nl-li")</f>
        <v>nl-li</v>
      </c>
      <c r="C3342" s="9" t="str">
        <f>IFERROR(__xludf.DUMMYFUNCTION("GOOGLETRANSLATE($A3342,""en"",""de"")"),"Limburg (Niederlande)")</f>
        <v>Limburg (Niederlande)</v>
      </c>
      <c r="D3342" s="9" t="str">
        <f>IFERROR(__xludf.DUMMYFUNCTION("GOOGLETRANSLATE($A3342,""en"",""fr"")"),"Limbourg (Pays-Bas)")</f>
        <v>Limbourg (Pays-Bas)</v>
      </c>
      <c r="E3342" s="9" t="str">
        <f>IFERROR(__xludf.DUMMYFUNCTION("GOOGLETRANSLATE($A3342,""en"",""es"")"),"Limburgo (Países Bajos)")</f>
        <v>Limburgo (Países Bajos)</v>
      </c>
      <c r="F3342" s="9" t="str">
        <f>IFERROR(__xludf.DUMMYFUNCTION("GOOGLETRANSLATE($A3342,""en"",""it"")"),"Limburgo (Paesi Bassi)")</f>
        <v>Limburgo (Paesi Bassi)</v>
      </c>
      <c r="G3342" s="9" t="str">
        <f>IFERROR(__xludf.DUMMYFUNCTION("GOOGLETRANSLATE($A3342,""en"",""zh-cn"")"),"林堡省（荷兰）")</f>
        <v>林堡省（荷兰）</v>
      </c>
      <c r="H3342" s="9" t="str">
        <f>IFERROR(__xludf.DUMMYFUNCTION("GOOGLETRANSLATE($A3342,""en"",""ja"")"),"リンブルフ州 (オランダ)")</f>
        <v>リンブルフ州 (オランダ)</v>
      </c>
      <c r="I3342" s="9" t="str">
        <f>IFERROR(__xludf.DUMMYFUNCTION("GOOGLETRANSLATE($A3342,""en"",""ko"")"),"림부르크(네덜란드)")</f>
        <v>림부르크(네덜란드)</v>
      </c>
      <c r="J3342" s="9" t="str">
        <f>IFERROR(__xludf.DUMMYFUNCTION("GOOGLETRANSLATE($A3342,""en"",""pt-BR"")"),"Limburgo (Holanda)")</f>
        <v>Limburgo (Holanda)</v>
      </c>
    </row>
    <row r="3343">
      <c r="A3343" s="9" t="str">
        <f>IFERROR(__xludf.DUMMYFUNCTION("""COMPUTED_VALUE"""),"Marlborough District")</f>
        <v>Marlborough District</v>
      </c>
      <c r="B3343" s="9" t="str">
        <f>IFERROR(__xludf.DUMMYFUNCTION("""COMPUTED_VALUE"""),"nz-mbh")</f>
        <v>nz-mbh</v>
      </c>
      <c r="C3343" s="9" t="str">
        <f>IFERROR(__xludf.DUMMYFUNCTION("GOOGLETRANSLATE($A3343,""en"",""de"")"),"Bezirk Marlborough")</f>
        <v>Bezirk Marlborough</v>
      </c>
      <c r="D3343" s="9" t="str">
        <f>IFERROR(__xludf.DUMMYFUNCTION("GOOGLETRANSLATE($A3343,""en"",""fr"")"),"District de Marlborough")</f>
        <v>District de Marlborough</v>
      </c>
      <c r="E3343" s="9" t="str">
        <f>IFERROR(__xludf.DUMMYFUNCTION("GOOGLETRANSLATE($A3343,""en"",""es"")"),"Distrito de Marlborough")</f>
        <v>Distrito de Marlborough</v>
      </c>
      <c r="F3343" s="9" t="str">
        <f>IFERROR(__xludf.DUMMYFUNCTION("GOOGLETRANSLATE($A3343,""en"",""it"")"),"Distretto di Marlborough")</f>
        <v>Distretto di Marlborough</v>
      </c>
      <c r="G3343" s="9" t="str">
        <f>IFERROR(__xludf.DUMMYFUNCTION("GOOGLETRANSLATE($A3343,""en"",""zh-cn"")"),"马尔堡区")</f>
        <v>马尔堡区</v>
      </c>
      <c r="H3343" s="9" t="str">
        <f>IFERROR(__xludf.DUMMYFUNCTION("GOOGLETRANSLATE($A3343,""en"",""ja"")"),"マールボロ地区")</f>
        <v>マールボロ地区</v>
      </c>
      <c r="I3343" s="9" t="str">
        <f>IFERROR(__xludf.DUMMYFUNCTION("GOOGLETRANSLATE($A3343,""en"",""ko"")"),"말보로 지구")</f>
        <v>말보로 지구</v>
      </c>
      <c r="J3343" s="9" t="str">
        <f>IFERROR(__xludf.DUMMYFUNCTION("GOOGLETRANSLATE($A3343,""en"",""pt-BR"")"),"Distrito de Marlborough")</f>
        <v>Distrito de Marlborough</v>
      </c>
    </row>
    <row r="3344">
      <c r="A3344" s="9" t="str">
        <f>IFERROR(__xludf.DUMMYFUNCTION("""COMPUTED_VALUE"""),"West Coast")</f>
        <v>West Coast</v>
      </c>
      <c r="B3344" s="9" t="str">
        <f>IFERROR(__xludf.DUMMYFUNCTION("""COMPUTED_VALUE"""),"nz-wtc")</f>
        <v>nz-wtc</v>
      </c>
      <c r="C3344" s="9" t="str">
        <f>IFERROR(__xludf.DUMMYFUNCTION("GOOGLETRANSLATE($A3344,""en"",""de"")"),"Westküste")</f>
        <v>Westküste</v>
      </c>
      <c r="D3344" s="9" t="str">
        <f>IFERROR(__xludf.DUMMYFUNCTION("GOOGLETRANSLATE($A3344,""en"",""fr"")"),"Côte Ouest")</f>
        <v>Côte Ouest</v>
      </c>
      <c r="E3344" s="9" t="str">
        <f>IFERROR(__xludf.DUMMYFUNCTION("GOOGLETRANSLATE($A3344,""en"",""es"")"),"Costa Oeste")</f>
        <v>Costa Oeste</v>
      </c>
      <c r="F3344" s="9" t="str">
        <f>IFERROR(__xludf.DUMMYFUNCTION("GOOGLETRANSLATE($A3344,""en"",""it"")"),"Costa occidentale")</f>
        <v>Costa occidentale</v>
      </c>
      <c r="G3344" s="9" t="str">
        <f>IFERROR(__xludf.DUMMYFUNCTION("GOOGLETRANSLATE($A3344,""en"",""zh-cn"")"),"西海岸")</f>
        <v>西海岸</v>
      </c>
      <c r="H3344" s="9" t="str">
        <f>IFERROR(__xludf.DUMMYFUNCTION("GOOGLETRANSLATE($A3344,""en"",""ja"")"),"西海岸")</f>
        <v>西海岸</v>
      </c>
      <c r="I3344" s="9" t="str">
        <f>IFERROR(__xludf.DUMMYFUNCTION("GOOGLETRANSLATE($A3344,""en"",""ko"")"),"서안")</f>
        <v>서안</v>
      </c>
      <c r="J3344" s="9" t="str">
        <f>IFERROR(__xludf.DUMMYFUNCTION("GOOGLETRANSLATE($A3344,""en"",""pt-BR"")"),"Costa Oeste")</f>
        <v>Costa Oeste</v>
      </c>
    </row>
    <row r="3345">
      <c r="A3345" s="9" t="str">
        <f>IFERROR(__xludf.DUMMYFUNCTION("""COMPUTED_VALUE"""),"Tasman District")</f>
        <v>Tasman District</v>
      </c>
      <c r="B3345" s="9" t="str">
        <f>IFERROR(__xludf.DUMMYFUNCTION("""COMPUTED_VALUE"""),"nz-tas")</f>
        <v>nz-tas</v>
      </c>
      <c r="C3345" s="9" t="str">
        <f>IFERROR(__xludf.DUMMYFUNCTION("GOOGLETRANSLATE($A3345,""en"",""de"")"),"Tasmanischer Bezirk")</f>
        <v>Tasmanischer Bezirk</v>
      </c>
      <c r="D3345" s="9" t="str">
        <f>IFERROR(__xludf.DUMMYFUNCTION("GOOGLETRANSLATE($A3345,""en"",""fr"")"),"District de Tasmanie")</f>
        <v>District de Tasmanie</v>
      </c>
      <c r="E3345" s="9" t="str">
        <f>IFERROR(__xludf.DUMMYFUNCTION("GOOGLETRANSLATE($A3345,""en"",""es"")"),"Distrito de Tasmania")</f>
        <v>Distrito de Tasmania</v>
      </c>
      <c r="F3345" s="9" t="str">
        <f>IFERROR(__xludf.DUMMYFUNCTION("GOOGLETRANSLATE($A3345,""en"",""it"")"),"Distretto di Tasmania")</f>
        <v>Distretto di Tasmania</v>
      </c>
      <c r="G3345" s="9" t="str">
        <f>IFERROR(__xludf.DUMMYFUNCTION("GOOGLETRANSLATE($A3345,""en"",""zh-cn"")"),"塔斯曼区")</f>
        <v>塔斯曼区</v>
      </c>
      <c r="H3345" s="9" t="str">
        <f>IFERROR(__xludf.DUMMYFUNCTION("GOOGLETRANSLATE($A3345,""en"",""ja"")"),"タスマン地区")</f>
        <v>タスマン地区</v>
      </c>
      <c r="I3345" s="9" t="str">
        <f>IFERROR(__xludf.DUMMYFUNCTION("GOOGLETRANSLATE($A3345,""en"",""ko"")"),"태즈먼 지구")</f>
        <v>태즈먼 지구</v>
      </c>
      <c r="J3345" s="9" t="str">
        <f>IFERROR(__xludf.DUMMYFUNCTION("GOOGLETRANSLATE($A3345,""en"",""pt-BR"")"),"Distrito da Tasmânia")</f>
        <v>Distrito da Tasmânia</v>
      </c>
    </row>
    <row r="3346">
      <c r="A3346" s="9" t="str">
        <f>IFERROR(__xludf.DUMMYFUNCTION("""COMPUTED_VALUE"""),"Southland")</f>
        <v>Southland</v>
      </c>
      <c r="B3346" s="9" t="str">
        <f>IFERROR(__xludf.DUMMYFUNCTION("""COMPUTED_VALUE"""),"nz-stl")</f>
        <v>nz-stl</v>
      </c>
      <c r="C3346" s="9" t="str">
        <f>IFERROR(__xludf.DUMMYFUNCTION("GOOGLETRANSLATE($A3346,""en"",""de"")"),"Südland")</f>
        <v>Südland</v>
      </c>
      <c r="D3346" s="9" t="str">
        <f>IFERROR(__xludf.DUMMYFUNCTION("GOOGLETRANSLATE($A3346,""en"",""fr"")"),"Pays du Sud")</f>
        <v>Pays du Sud</v>
      </c>
      <c r="E3346" s="9" t="str">
        <f>IFERROR(__xludf.DUMMYFUNCTION("GOOGLETRANSLATE($A3346,""en"",""es"")"),"tierra del sur")</f>
        <v>tierra del sur</v>
      </c>
      <c r="F3346" s="9" t="str">
        <f>IFERROR(__xludf.DUMMYFUNCTION("GOOGLETRANSLATE($A3346,""en"",""it"")"),"Sud")</f>
        <v>Sud</v>
      </c>
      <c r="G3346" s="9" t="str">
        <f>IFERROR(__xludf.DUMMYFUNCTION("GOOGLETRANSLATE($A3346,""en"",""zh-cn"")"),"南国")</f>
        <v>南国</v>
      </c>
      <c r="H3346" s="9" t="str">
        <f>IFERROR(__xludf.DUMMYFUNCTION("GOOGLETRANSLATE($A3346,""en"",""ja"")"),"サウスランド")</f>
        <v>サウスランド</v>
      </c>
      <c r="I3346" s="9" t="str">
        <f>IFERROR(__xludf.DUMMYFUNCTION("GOOGLETRANSLATE($A3346,""en"",""ko"")"),"남국")</f>
        <v>남국</v>
      </c>
      <c r="J3346" s="9" t="str">
        <f>IFERROR(__xludf.DUMMYFUNCTION("GOOGLETRANSLATE($A3346,""en"",""pt-BR"")"),"Terra do Sul")</f>
        <v>Terra do Sul</v>
      </c>
    </row>
    <row r="3347">
      <c r="A3347" s="9" t="str">
        <f>IFERROR(__xludf.DUMMYFUNCTION("""COMPUTED_VALUE"""),"Chatham Islands Territory")</f>
        <v>Chatham Islands Territory</v>
      </c>
      <c r="B3347" s="9" t="str">
        <f>IFERROR(__xludf.DUMMYFUNCTION("""COMPUTED_VALUE"""),"nz-cit")</f>
        <v>nz-cit</v>
      </c>
      <c r="C3347" s="9" t="str">
        <f>IFERROR(__xludf.DUMMYFUNCTION("GOOGLETRANSLATE($A3347,""en"",""de"")"),"Territorium der Chatham-Inseln")</f>
        <v>Territorium der Chatham-Inseln</v>
      </c>
      <c r="D3347" s="9" t="str">
        <f>IFERROR(__xludf.DUMMYFUNCTION("GOOGLETRANSLATE($A3347,""en"",""fr"")"),"Territoire des îles Chatham")</f>
        <v>Territoire des îles Chatham</v>
      </c>
      <c r="E3347" s="9" t="str">
        <f>IFERROR(__xludf.DUMMYFUNCTION("GOOGLETRANSLATE($A3347,""en"",""es"")"),"Territorio de las Islas Chatham")</f>
        <v>Territorio de las Islas Chatham</v>
      </c>
      <c r="F3347" s="9" t="str">
        <f>IFERROR(__xludf.DUMMYFUNCTION("GOOGLETRANSLATE($A3347,""en"",""it"")"),"Territorio delle Isole Chatham")</f>
        <v>Territorio delle Isole Chatham</v>
      </c>
      <c r="G3347" s="9" t="str">
        <f>IFERROR(__xludf.DUMMYFUNCTION("GOOGLETRANSLATE($A3347,""en"",""zh-cn"")"),"查塔姆群岛领地")</f>
        <v>查塔姆群岛领地</v>
      </c>
      <c r="H3347" s="9" t="str">
        <f>IFERROR(__xludf.DUMMYFUNCTION("GOOGLETRANSLATE($A3347,""en"",""ja"")"),"チャタム諸島準州")</f>
        <v>チャタム諸島準州</v>
      </c>
      <c r="I3347" s="9" t="str">
        <f>IFERROR(__xludf.DUMMYFUNCTION("GOOGLETRANSLATE($A3347,""en"",""ko"")"),"채텀 제도 영토")</f>
        <v>채텀 제도 영토</v>
      </c>
      <c r="J3347" s="9" t="str">
        <f>IFERROR(__xludf.DUMMYFUNCTION("GOOGLETRANSLATE($A3347,""en"",""pt-BR"")"),"Território das Ilhas Chatham")</f>
        <v>Território das Ilhas Chatham</v>
      </c>
    </row>
    <row r="3348">
      <c r="A3348" s="9" t="str">
        <f>IFERROR(__xludf.DUMMYFUNCTION("""COMPUTED_VALUE"""),"Nelson City")</f>
        <v>Nelson City</v>
      </c>
      <c r="B3348" s="9" t="str">
        <f>IFERROR(__xludf.DUMMYFUNCTION("""COMPUTED_VALUE"""),"nz-nsn")</f>
        <v>nz-nsn</v>
      </c>
      <c r="C3348" s="9" t="str">
        <f>IFERROR(__xludf.DUMMYFUNCTION("GOOGLETRANSLATE($A3348,""en"",""de"")"),"Nelson City")</f>
        <v>Nelson City</v>
      </c>
      <c r="D3348" s="9" t="str">
        <f>IFERROR(__xludf.DUMMYFUNCTION("GOOGLETRANSLATE($A3348,""en"",""fr"")"),"Ville de Nelson")</f>
        <v>Ville de Nelson</v>
      </c>
      <c r="E3348" s="9" t="str">
        <f>IFERROR(__xludf.DUMMYFUNCTION("GOOGLETRANSLATE($A3348,""en"",""es"")"),"ciudad de nelson")</f>
        <v>ciudad de nelson</v>
      </c>
      <c r="F3348" s="9" t="str">
        <f>IFERROR(__xludf.DUMMYFUNCTION("GOOGLETRANSLATE($A3348,""en"",""it"")"),"Nelson City")</f>
        <v>Nelson City</v>
      </c>
      <c r="G3348" s="9" t="str">
        <f>IFERROR(__xludf.DUMMYFUNCTION("GOOGLETRANSLATE($A3348,""en"",""zh-cn"")"),"尼尔森市")</f>
        <v>尼尔森市</v>
      </c>
      <c r="H3348" s="9" t="str">
        <f>IFERROR(__xludf.DUMMYFUNCTION("GOOGLETRANSLATE($A3348,""en"",""ja"")"),"ネルソンシティ")</f>
        <v>ネルソンシティ</v>
      </c>
      <c r="I3348" s="9" t="str">
        <f>IFERROR(__xludf.DUMMYFUNCTION("GOOGLETRANSLATE($A3348,""en"",""ko"")"),"넬슨시티")</f>
        <v>넬슨시티</v>
      </c>
      <c r="J3348" s="9" t="str">
        <f>IFERROR(__xludf.DUMMYFUNCTION("GOOGLETRANSLATE($A3348,""en"",""pt-BR"")"),"Cidade de Nelson")</f>
        <v>Cidade de Nelson</v>
      </c>
    </row>
    <row r="3349">
      <c r="A3349" s="9" t="str">
        <f>IFERROR(__xludf.DUMMYFUNCTION("""COMPUTED_VALUE"""),"Taranaki")</f>
        <v>Taranaki</v>
      </c>
      <c r="B3349" s="9" t="str">
        <f>IFERROR(__xludf.DUMMYFUNCTION("""COMPUTED_VALUE"""),"nz-tki")</f>
        <v>nz-tki</v>
      </c>
      <c r="C3349" s="9" t="str">
        <f>IFERROR(__xludf.DUMMYFUNCTION("GOOGLETRANSLATE($A3349,""en"",""de"")"),"Taranaki")</f>
        <v>Taranaki</v>
      </c>
      <c r="D3349" s="9" t="str">
        <f>IFERROR(__xludf.DUMMYFUNCTION("GOOGLETRANSLATE($A3349,""en"",""fr"")"),"Taranaki")</f>
        <v>Taranaki</v>
      </c>
      <c r="E3349" s="9" t="str">
        <f>IFERROR(__xludf.DUMMYFUNCTION("GOOGLETRANSLATE($A3349,""en"",""es"")"),"Taranaki")</f>
        <v>Taranaki</v>
      </c>
      <c r="F3349" s="9" t="str">
        <f>IFERROR(__xludf.DUMMYFUNCTION("GOOGLETRANSLATE($A3349,""en"",""it"")"),"Taranaki")</f>
        <v>Taranaki</v>
      </c>
      <c r="G3349" s="9" t="str">
        <f>IFERROR(__xludf.DUMMYFUNCTION("GOOGLETRANSLATE($A3349,""en"",""zh-cn"")"),"塔拉纳基")</f>
        <v>塔拉纳基</v>
      </c>
      <c r="H3349" s="9" t="str">
        <f>IFERROR(__xludf.DUMMYFUNCTION("GOOGLETRANSLATE($A3349,""en"",""ja"")"),"タラナキ")</f>
        <v>タラナキ</v>
      </c>
      <c r="I3349" s="9" t="str">
        <f>IFERROR(__xludf.DUMMYFUNCTION("GOOGLETRANSLATE($A3349,""en"",""ko"")"),"타라나키")</f>
        <v>타라나키</v>
      </c>
      <c r="J3349" s="9" t="str">
        <f>IFERROR(__xludf.DUMMYFUNCTION("GOOGLETRANSLATE($A3349,""en"",""pt-BR"")"),"Taranaki")</f>
        <v>Taranaki</v>
      </c>
    </row>
    <row r="3350">
      <c r="A3350" s="9" t="str">
        <f>IFERROR(__xludf.DUMMYFUNCTION("""COMPUTED_VALUE"""),"Wellington")</f>
        <v>Wellington</v>
      </c>
      <c r="B3350" s="9" t="str">
        <f>IFERROR(__xludf.DUMMYFUNCTION("""COMPUTED_VALUE"""),"nz-wgn")</f>
        <v>nz-wgn</v>
      </c>
      <c r="C3350" s="9" t="str">
        <f>IFERROR(__xludf.DUMMYFUNCTION("GOOGLETRANSLATE($A3350,""en"",""de"")"),"Wellington")</f>
        <v>Wellington</v>
      </c>
      <c r="D3350" s="9" t="str">
        <f>IFERROR(__xludf.DUMMYFUNCTION("GOOGLETRANSLATE($A3350,""en"",""fr"")"),"Wellington")</f>
        <v>Wellington</v>
      </c>
      <c r="E3350" s="9" t="str">
        <f>IFERROR(__xludf.DUMMYFUNCTION("GOOGLETRANSLATE($A3350,""en"",""es"")"),"Wellington")</f>
        <v>Wellington</v>
      </c>
      <c r="F3350" s="9" t="str">
        <f>IFERROR(__xludf.DUMMYFUNCTION("GOOGLETRANSLATE($A3350,""en"",""it"")"),"Wellington")</f>
        <v>Wellington</v>
      </c>
      <c r="G3350" s="9" t="str">
        <f>IFERROR(__xludf.DUMMYFUNCTION("GOOGLETRANSLATE($A3350,""en"",""zh-cn"")"),"惠灵顿")</f>
        <v>惠灵顿</v>
      </c>
      <c r="H3350" s="9" t="str">
        <f>IFERROR(__xludf.DUMMYFUNCTION("GOOGLETRANSLATE($A3350,""en"",""ja"")"),"ウェリントン")</f>
        <v>ウェリントン</v>
      </c>
      <c r="I3350" s="9" t="str">
        <f>IFERROR(__xludf.DUMMYFUNCTION("GOOGLETRANSLATE($A3350,""en"",""ko"")"),"웰링턴")</f>
        <v>웰링턴</v>
      </c>
      <c r="J3350" s="9" t="str">
        <f>IFERROR(__xludf.DUMMYFUNCTION("GOOGLETRANSLATE($A3350,""en"",""pt-BR"")"),"Wellington")</f>
        <v>Wellington</v>
      </c>
    </row>
    <row r="3351">
      <c r="A3351" s="9" t="str">
        <f>IFERROR(__xludf.DUMMYFUNCTION("""COMPUTED_VALUE"""),"Hawke's Bay")</f>
        <v>Hawke's Bay</v>
      </c>
      <c r="B3351" s="9" t="str">
        <f>IFERROR(__xludf.DUMMYFUNCTION("""COMPUTED_VALUE"""),"nz-hkb")</f>
        <v>nz-hkb</v>
      </c>
      <c r="C3351" s="9" t="str">
        <f>IFERROR(__xludf.DUMMYFUNCTION("GOOGLETRANSLATE($A3351,""en"",""de"")"),"Hawke's Bay")</f>
        <v>Hawke's Bay</v>
      </c>
      <c r="D3351" s="9" t="str">
        <f>IFERROR(__xludf.DUMMYFUNCTION("GOOGLETRANSLATE($A3351,""en"",""fr"")"),"Baie de Hawke")</f>
        <v>Baie de Hawke</v>
      </c>
      <c r="E3351" s="9" t="str">
        <f>IFERROR(__xludf.DUMMYFUNCTION("GOOGLETRANSLATE($A3351,""en"",""es"")"),"Bahía de Hawke")</f>
        <v>Bahía de Hawke</v>
      </c>
      <c r="F3351" s="9" t="str">
        <f>IFERROR(__xludf.DUMMYFUNCTION("GOOGLETRANSLATE($A3351,""en"",""it"")"),"Baia di Hawke")</f>
        <v>Baia di Hawke</v>
      </c>
      <c r="G3351" s="9" t="str">
        <f>IFERROR(__xludf.DUMMYFUNCTION("GOOGLETRANSLATE($A3351,""en"",""zh-cn"")"),"霍克斯湾")</f>
        <v>霍克斯湾</v>
      </c>
      <c r="H3351" s="9" t="str">
        <f>IFERROR(__xludf.DUMMYFUNCTION("GOOGLETRANSLATE($A3351,""en"",""ja"")"),"ホークスベイ")</f>
        <v>ホークスベイ</v>
      </c>
      <c r="I3351" s="9" t="str">
        <f>IFERROR(__xludf.DUMMYFUNCTION("GOOGLETRANSLATE($A3351,""en"",""ko"")"),"혹스베이")</f>
        <v>혹스베이</v>
      </c>
      <c r="J3351" s="9" t="str">
        <f>IFERROR(__xludf.DUMMYFUNCTION("GOOGLETRANSLATE($A3351,""en"",""pt-BR"")"),"Baía de Hawke")</f>
        <v>Baía de Hawke</v>
      </c>
    </row>
    <row r="3352">
      <c r="A3352" s="9" t="str">
        <f>IFERROR(__xludf.DUMMYFUNCTION("""COMPUTED_VALUE"""),"Northland")</f>
        <v>Northland</v>
      </c>
      <c r="B3352" s="9" t="str">
        <f>IFERROR(__xludf.DUMMYFUNCTION("""COMPUTED_VALUE"""),"nz-ntl")</f>
        <v>nz-ntl</v>
      </c>
      <c r="C3352" s="9" t="str">
        <f>IFERROR(__xludf.DUMMYFUNCTION("GOOGLETRANSLATE($A3352,""en"",""de"")"),"Nordland")</f>
        <v>Nordland</v>
      </c>
      <c r="D3352" s="9" t="str">
        <f>IFERROR(__xludf.DUMMYFUNCTION("GOOGLETRANSLATE($A3352,""en"",""fr"")"),"Pays du Nord")</f>
        <v>Pays du Nord</v>
      </c>
      <c r="E3352" s="9" t="str">
        <f>IFERROR(__xludf.DUMMYFUNCTION("GOOGLETRANSLATE($A3352,""en"",""es"")"),"Región septentrional")</f>
        <v>Región septentrional</v>
      </c>
      <c r="F3352" s="9" t="str">
        <f>IFERROR(__xludf.DUMMYFUNCTION("GOOGLETRANSLATE($A3352,""en"",""it"")"),"Terra del Nord")</f>
        <v>Terra del Nord</v>
      </c>
      <c r="G3352" s="9" t="str">
        <f>IFERROR(__xludf.DUMMYFUNCTION("GOOGLETRANSLATE($A3352,""en"",""zh-cn"")"),"北国")</f>
        <v>北国</v>
      </c>
      <c r="H3352" s="9" t="str">
        <f>IFERROR(__xludf.DUMMYFUNCTION("GOOGLETRANSLATE($A3352,""en"",""ja"")"),"ノースランド")</f>
        <v>ノースランド</v>
      </c>
      <c r="I3352" s="9" t="str">
        <f>IFERROR(__xludf.DUMMYFUNCTION("GOOGLETRANSLATE($A3352,""en"",""ko"")"),"북쪽 나라")</f>
        <v>북쪽 나라</v>
      </c>
      <c r="J3352" s="9" t="str">
        <f>IFERROR(__xludf.DUMMYFUNCTION("GOOGLETRANSLATE($A3352,""en"",""pt-BR"")"),"Terra do Norte")</f>
        <v>Terra do Norte</v>
      </c>
    </row>
    <row r="3353">
      <c r="A3353" s="9" t="str">
        <f>IFERROR(__xludf.DUMMYFUNCTION("""COMPUTED_VALUE"""),"Canterbury")</f>
        <v>Canterbury</v>
      </c>
      <c r="B3353" s="9" t="str">
        <f>IFERROR(__xludf.DUMMYFUNCTION("""COMPUTED_VALUE"""),"nz-can")</f>
        <v>nz-can</v>
      </c>
      <c r="C3353" s="9" t="str">
        <f>IFERROR(__xludf.DUMMYFUNCTION("GOOGLETRANSLATE($A3353,""en"",""de"")"),"Canterbury")</f>
        <v>Canterbury</v>
      </c>
      <c r="D3353" s="9" t="str">
        <f>IFERROR(__xludf.DUMMYFUNCTION("GOOGLETRANSLATE($A3353,""en"",""fr"")"),"Cantorbéry")</f>
        <v>Cantorbéry</v>
      </c>
      <c r="E3353" s="9" t="str">
        <f>IFERROR(__xludf.DUMMYFUNCTION("GOOGLETRANSLATE($A3353,""en"",""es"")"),"Canterbury")</f>
        <v>Canterbury</v>
      </c>
      <c r="F3353" s="9" t="str">
        <f>IFERROR(__xludf.DUMMYFUNCTION("GOOGLETRANSLATE($A3353,""en"",""it"")"),"Canterbury")</f>
        <v>Canterbury</v>
      </c>
      <c r="G3353" s="9" t="str">
        <f>IFERROR(__xludf.DUMMYFUNCTION("GOOGLETRANSLATE($A3353,""en"",""zh-cn"")"),"坎特伯雷")</f>
        <v>坎特伯雷</v>
      </c>
      <c r="H3353" s="9" t="str">
        <f>IFERROR(__xludf.DUMMYFUNCTION("GOOGLETRANSLATE($A3353,""en"",""ja"")"),"カンタベリー")</f>
        <v>カンタベリー</v>
      </c>
      <c r="I3353" s="9" t="str">
        <f>IFERROR(__xludf.DUMMYFUNCTION("GOOGLETRANSLATE($A3353,""en"",""ko"")"),"캔터베리")</f>
        <v>캔터베리</v>
      </c>
      <c r="J3353" s="9" t="str">
        <f>IFERROR(__xludf.DUMMYFUNCTION("GOOGLETRANSLATE($A3353,""en"",""pt-BR"")"),"Cantuária")</f>
        <v>Cantuária</v>
      </c>
    </row>
    <row r="3354">
      <c r="A3354" s="9" t="str">
        <f>IFERROR(__xludf.DUMMYFUNCTION("""COMPUTED_VALUE"""),"Bay of Plenty")</f>
        <v>Bay of Plenty</v>
      </c>
      <c r="B3354" s="9" t="str">
        <f>IFERROR(__xludf.DUMMYFUNCTION("""COMPUTED_VALUE"""),"nz-bop")</f>
        <v>nz-bop</v>
      </c>
      <c r="C3354" s="9" t="str">
        <f>IFERROR(__xludf.DUMMYFUNCTION("GOOGLETRANSLATE($A3354,""en"",""de"")"),"Bucht des Überflusses")</f>
        <v>Bucht des Überflusses</v>
      </c>
      <c r="D3354" s="9" t="str">
        <f>IFERROR(__xludf.DUMMYFUNCTION("GOOGLETRANSLATE($A3354,""en"",""fr"")"),"Baie de l'Abondance")</f>
        <v>Baie de l'Abondance</v>
      </c>
      <c r="E3354" s="9" t="str">
        <f>IFERROR(__xludf.DUMMYFUNCTION("GOOGLETRANSLATE($A3354,""en"",""es"")"),"Bahía de Plenty")</f>
        <v>Bahía de Plenty</v>
      </c>
      <c r="F3354" s="9" t="str">
        <f>IFERROR(__xludf.DUMMYFUNCTION("GOOGLETRANSLATE($A3354,""en"",""it"")"),"Baia dell'Abbondanza")</f>
        <v>Baia dell'Abbondanza</v>
      </c>
      <c r="G3354" s="9" t="str">
        <f>IFERROR(__xludf.DUMMYFUNCTION("GOOGLETRANSLATE($A3354,""en"",""zh-cn"")"),"丰盛湾")</f>
        <v>丰盛湾</v>
      </c>
      <c r="H3354" s="9" t="str">
        <f>IFERROR(__xludf.DUMMYFUNCTION("GOOGLETRANSLATE($A3354,""en"",""ja"")"),"ベイ・オブ・プレンティ")</f>
        <v>ベイ・オブ・プレンティ</v>
      </c>
      <c r="I3354" s="9" t="str">
        <f>IFERROR(__xludf.DUMMYFUNCTION("GOOGLETRANSLATE($A3354,""en"",""ko"")"),"베이오브플렌티")</f>
        <v>베이오브플렌티</v>
      </c>
      <c r="J3354" s="9" t="str">
        <f>IFERROR(__xludf.DUMMYFUNCTION("GOOGLETRANSLATE($A3354,""en"",""pt-BR"")"),"Baía da Abundância")</f>
        <v>Baía da Abundância</v>
      </c>
    </row>
    <row r="3355">
      <c r="A3355" s="9" t="str">
        <f>IFERROR(__xludf.DUMMYFUNCTION("""COMPUTED_VALUE"""),"South Island")</f>
        <v>South Island</v>
      </c>
      <c r="B3355" s="9" t="str">
        <f>IFERROR(__xludf.DUMMYFUNCTION("""COMPUTED_VALUE"""),"nz-s")</f>
        <v>nz-s</v>
      </c>
      <c r="C3355" s="9" t="str">
        <f>IFERROR(__xludf.DUMMYFUNCTION("GOOGLETRANSLATE($A3355,""en"",""de"")"),"Südinsel")</f>
        <v>Südinsel</v>
      </c>
      <c r="D3355" s="9" t="str">
        <f>IFERROR(__xludf.DUMMYFUNCTION("GOOGLETRANSLATE($A3355,""en"",""fr"")"),"Île du Sud")</f>
        <v>Île du Sud</v>
      </c>
      <c r="E3355" s="9" t="str">
        <f>IFERROR(__xludf.DUMMYFUNCTION("GOOGLETRANSLATE($A3355,""en"",""es"")"),"Isla Sur")</f>
        <v>Isla Sur</v>
      </c>
      <c r="F3355" s="9" t="str">
        <f>IFERROR(__xludf.DUMMYFUNCTION("GOOGLETRANSLATE($A3355,""en"",""it"")"),"Isola del Sud")</f>
        <v>Isola del Sud</v>
      </c>
      <c r="G3355" s="9" t="str">
        <f>IFERROR(__xludf.DUMMYFUNCTION("GOOGLETRANSLATE($A3355,""en"",""zh-cn"")"),"南岛")</f>
        <v>南岛</v>
      </c>
      <c r="H3355" s="9" t="str">
        <f>IFERROR(__xludf.DUMMYFUNCTION("GOOGLETRANSLATE($A3355,""en"",""ja"")"),"南の島")</f>
        <v>南の島</v>
      </c>
      <c r="I3355" s="9" t="str">
        <f>IFERROR(__xludf.DUMMYFUNCTION("GOOGLETRANSLATE($A3355,""en"",""ko"")"),"남섬")</f>
        <v>남섬</v>
      </c>
      <c r="J3355" s="9" t="str">
        <f>IFERROR(__xludf.DUMMYFUNCTION("GOOGLETRANSLATE($A3355,""en"",""pt-BR"")"),"Ilha Sul")</f>
        <v>Ilha Sul</v>
      </c>
    </row>
    <row r="3356">
      <c r="A3356" s="9" t="str">
        <f>IFERROR(__xludf.DUMMYFUNCTION("""COMPUTED_VALUE"""),"Otago")</f>
        <v>Otago</v>
      </c>
      <c r="B3356" s="9" t="str">
        <f>IFERROR(__xludf.DUMMYFUNCTION("""COMPUTED_VALUE"""),"nz-ota")</f>
        <v>nz-ota</v>
      </c>
      <c r="C3356" s="9" t="str">
        <f>IFERROR(__xludf.DUMMYFUNCTION("GOOGLETRANSLATE($A3356,""en"",""de"")"),"Otago")</f>
        <v>Otago</v>
      </c>
      <c r="D3356" s="9" t="str">
        <f>IFERROR(__xludf.DUMMYFUNCTION("GOOGLETRANSLATE($A3356,""en"",""fr"")"),"Otago")</f>
        <v>Otago</v>
      </c>
      <c r="E3356" s="9" t="str">
        <f>IFERROR(__xludf.DUMMYFUNCTION("GOOGLETRANSLATE($A3356,""en"",""es"")"),"Otago")</f>
        <v>Otago</v>
      </c>
      <c r="F3356" s="9" t="str">
        <f>IFERROR(__xludf.DUMMYFUNCTION("GOOGLETRANSLATE($A3356,""en"",""it"")"),"Otago")</f>
        <v>Otago</v>
      </c>
      <c r="G3356" s="9" t="str">
        <f>IFERROR(__xludf.DUMMYFUNCTION("GOOGLETRANSLATE($A3356,""en"",""zh-cn"")"),"奥塔哥")</f>
        <v>奥塔哥</v>
      </c>
      <c r="H3356" s="9" t="str">
        <f>IFERROR(__xludf.DUMMYFUNCTION("GOOGLETRANSLATE($A3356,""en"",""ja"")"),"オタゴ")</f>
        <v>オタゴ</v>
      </c>
      <c r="I3356" s="9" t="str">
        <f>IFERROR(__xludf.DUMMYFUNCTION("GOOGLETRANSLATE($A3356,""en"",""ko"")"),"오타고")</f>
        <v>오타고</v>
      </c>
      <c r="J3356" s="9" t="str">
        <f>IFERROR(__xludf.DUMMYFUNCTION("GOOGLETRANSLATE($A3356,""en"",""pt-BR"")"),"Otago")</f>
        <v>Otago</v>
      </c>
    </row>
    <row r="3357">
      <c r="A3357" s="9" t="str">
        <f>IFERROR(__xludf.DUMMYFUNCTION("""COMPUTED_VALUE"""),"Auckland")</f>
        <v>Auckland</v>
      </c>
      <c r="B3357" s="9" t="str">
        <f>IFERROR(__xludf.DUMMYFUNCTION("""COMPUTED_VALUE"""),"nz-auk")</f>
        <v>nz-auk</v>
      </c>
      <c r="C3357" s="9" t="str">
        <f>IFERROR(__xludf.DUMMYFUNCTION("GOOGLETRANSLATE($A3357,""en"",""de"")"),"Auckland")</f>
        <v>Auckland</v>
      </c>
      <c r="D3357" s="9" t="str">
        <f>IFERROR(__xludf.DUMMYFUNCTION("GOOGLETRANSLATE($A3357,""en"",""fr"")"),"Auckland")</f>
        <v>Auckland</v>
      </c>
      <c r="E3357" s="9" t="str">
        <f>IFERROR(__xludf.DUMMYFUNCTION("GOOGLETRANSLATE($A3357,""en"",""es"")"),"auckland")</f>
        <v>auckland</v>
      </c>
      <c r="F3357" s="9" t="str">
        <f>IFERROR(__xludf.DUMMYFUNCTION("GOOGLETRANSLATE($A3357,""en"",""it"")"),"Auckland")</f>
        <v>Auckland</v>
      </c>
      <c r="G3357" s="9" t="str">
        <f>IFERROR(__xludf.DUMMYFUNCTION("GOOGLETRANSLATE($A3357,""en"",""zh-cn"")"),"奥克兰")</f>
        <v>奥克兰</v>
      </c>
      <c r="H3357" s="9" t="str">
        <f>IFERROR(__xludf.DUMMYFUNCTION("GOOGLETRANSLATE($A3357,""en"",""ja"")"),"オークランド")</f>
        <v>オークランド</v>
      </c>
      <c r="I3357" s="9" t="str">
        <f>IFERROR(__xludf.DUMMYFUNCTION("GOOGLETRANSLATE($A3357,""en"",""ko"")"),"오클랜드")</f>
        <v>오클랜드</v>
      </c>
      <c r="J3357" s="9" t="str">
        <f>IFERROR(__xludf.DUMMYFUNCTION("GOOGLETRANSLATE($A3357,""en"",""pt-BR"")"),"Auckland")</f>
        <v>Auckland</v>
      </c>
    </row>
    <row r="3358">
      <c r="A3358" s="9" t="str">
        <f>IFERROR(__xludf.DUMMYFUNCTION("""COMPUTED_VALUE"""),"North Island")</f>
        <v>North Island</v>
      </c>
      <c r="B3358" s="9" t="str">
        <f>IFERROR(__xludf.DUMMYFUNCTION("""COMPUTED_VALUE"""),"nz-n")</f>
        <v>nz-n</v>
      </c>
      <c r="C3358" s="9" t="str">
        <f>IFERROR(__xludf.DUMMYFUNCTION("GOOGLETRANSLATE($A3358,""en"",""de"")"),"Nordinsel")</f>
        <v>Nordinsel</v>
      </c>
      <c r="D3358" s="9" t="str">
        <f>IFERROR(__xludf.DUMMYFUNCTION("GOOGLETRANSLATE($A3358,""en"",""fr"")"),"Île du Nord")</f>
        <v>Île du Nord</v>
      </c>
      <c r="E3358" s="9" t="str">
        <f>IFERROR(__xludf.DUMMYFUNCTION("GOOGLETRANSLATE($A3358,""en"",""es"")"),"Isla Norte")</f>
        <v>Isla Norte</v>
      </c>
      <c r="F3358" s="9" t="str">
        <f>IFERROR(__xludf.DUMMYFUNCTION("GOOGLETRANSLATE($A3358,""en"",""it"")"),"Isola del Nord")</f>
        <v>Isola del Nord</v>
      </c>
      <c r="G3358" s="9" t="str">
        <f>IFERROR(__xludf.DUMMYFUNCTION("GOOGLETRANSLATE($A3358,""en"",""zh-cn"")"),"北岛")</f>
        <v>北岛</v>
      </c>
      <c r="H3358" s="9" t="str">
        <f>IFERROR(__xludf.DUMMYFUNCTION("GOOGLETRANSLATE($A3358,""en"",""ja"")"),"北島")</f>
        <v>北島</v>
      </c>
      <c r="I3358" s="9" t="str">
        <f>IFERROR(__xludf.DUMMYFUNCTION("GOOGLETRANSLATE($A3358,""en"",""ko"")"),"북섬")</f>
        <v>북섬</v>
      </c>
      <c r="J3358" s="9" t="str">
        <f>IFERROR(__xludf.DUMMYFUNCTION("GOOGLETRANSLATE($A3358,""en"",""pt-BR"")"),"Ilha Norte")</f>
        <v>Ilha Norte</v>
      </c>
    </row>
    <row r="3359">
      <c r="A3359" s="9" t="str">
        <f>IFERROR(__xludf.DUMMYFUNCTION("""COMPUTED_VALUE"""),"Waikato")</f>
        <v>Waikato</v>
      </c>
      <c r="B3359" s="9" t="str">
        <f>IFERROR(__xludf.DUMMYFUNCTION("""COMPUTED_VALUE"""),"nz-wko")</f>
        <v>nz-wko</v>
      </c>
      <c r="C3359" s="9" t="str">
        <f>IFERROR(__xludf.DUMMYFUNCTION("GOOGLETRANSLATE($A3359,""en"",""de"")"),"Waikato")</f>
        <v>Waikato</v>
      </c>
      <c r="D3359" s="9" t="str">
        <f>IFERROR(__xludf.DUMMYFUNCTION("GOOGLETRANSLATE($A3359,""en"",""fr"")"),"Waikato")</f>
        <v>Waikato</v>
      </c>
      <c r="E3359" s="9" t="str">
        <f>IFERROR(__xludf.DUMMYFUNCTION("GOOGLETRANSLATE($A3359,""en"",""es"")"),"Waikato")</f>
        <v>Waikato</v>
      </c>
      <c r="F3359" s="9" t="str">
        <f>IFERROR(__xludf.DUMMYFUNCTION("GOOGLETRANSLATE($A3359,""en"",""it"")"),"Waikato")</f>
        <v>Waikato</v>
      </c>
      <c r="G3359" s="9" t="str">
        <f>IFERROR(__xludf.DUMMYFUNCTION("GOOGLETRANSLATE($A3359,""en"",""zh-cn"")"),"怀卡托")</f>
        <v>怀卡托</v>
      </c>
      <c r="H3359" s="9" t="str">
        <f>IFERROR(__xludf.DUMMYFUNCTION("GOOGLETRANSLATE($A3359,""en"",""ja"")"),"ワイカト")</f>
        <v>ワイカト</v>
      </c>
      <c r="I3359" s="9" t="str">
        <f>IFERROR(__xludf.DUMMYFUNCTION("GOOGLETRANSLATE($A3359,""en"",""ko"")"),"와이카토")</f>
        <v>와이카토</v>
      </c>
      <c r="J3359" s="9" t="str">
        <f>IFERROR(__xludf.DUMMYFUNCTION("GOOGLETRANSLATE($A3359,""en"",""pt-BR"")"),"Waikato")</f>
        <v>Waikato</v>
      </c>
    </row>
    <row r="3360">
      <c r="A3360" s="9" t="str">
        <f>IFERROR(__xludf.DUMMYFUNCTION("""COMPUTED_VALUE"""),"Gisborne District")</f>
        <v>Gisborne District</v>
      </c>
      <c r="B3360" s="9" t="str">
        <f>IFERROR(__xludf.DUMMYFUNCTION("""COMPUTED_VALUE"""),"nz-gis")</f>
        <v>nz-gis</v>
      </c>
      <c r="C3360" s="9" t="str">
        <f>IFERROR(__xludf.DUMMYFUNCTION("GOOGLETRANSLATE($A3360,""en"",""de"")"),"Bezirk Gisborne")</f>
        <v>Bezirk Gisborne</v>
      </c>
      <c r="D3360" s="9" t="str">
        <f>IFERROR(__xludf.DUMMYFUNCTION("GOOGLETRANSLATE($A3360,""en"",""fr"")"),"District de Gisborne")</f>
        <v>District de Gisborne</v>
      </c>
      <c r="E3360" s="9" t="str">
        <f>IFERROR(__xludf.DUMMYFUNCTION("GOOGLETRANSLATE($A3360,""en"",""es"")"),"Distrito de Gisborne")</f>
        <v>Distrito de Gisborne</v>
      </c>
      <c r="F3360" s="9" t="str">
        <f>IFERROR(__xludf.DUMMYFUNCTION("GOOGLETRANSLATE($A3360,""en"",""it"")"),"Distretto di Gisborne")</f>
        <v>Distretto di Gisborne</v>
      </c>
      <c r="G3360" s="9" t="str">
        <f>IFERROR(__xludf.DUMMYFUNCTION("GOOGLETRANSLATE($A3360,""en"",""zh-cn"")"),"吉斯伯恩区")</f>
        <v>吉斯伯恩区</v>
      </c>
      <c r="H3360" s="9" t="str">
        <f>IFERROR(__xludf.DUMMYFUNCTION("GOOGLETRANSLATE($A3360,""en"",""ja"")"),"ギズボーン地区")</f>
        <v>ギズボーン地区</v>
      </c>
      <c r="I3360" s="9" t="str">
        <f>IFERROR(__xludf.DUMMYFUNCTION("GOOGLETRANSLATE($A3360,""en"",""ko"")"),"기즈번 지구")</f>
        <v>기즈번 지구</v>
      </c>
      <c r="J3360" s="9" t="str">
        <f>IFERROR(__xludf.DUMMYFUNCTION("GOOGLETRANSLATE($A3360,""en"",""pt-BR"")"),"Distrito de Gisborne")</f>
        <v>Distrito de Gisborne</v>
      </c>
    </row>
    <row r="3361">
      <c r="A3361" s="9" t="str">
        <f>IFERROR(__xludf.DUMMYFUNCTION("""COMPUTED_VALUE"""),"Manawatu-Wanganui")</f>
        <v>Manawatu-Wanganui</v>
      </c>
      <c r="B3361" s="9" t="str">
        <f>IFERROR(__xludf.DUMMYFUNCTION("""COMPUTED_VALUE"""),"nz-mwt")</f>
        <v>nz-mwt</v>
      </c>
      <c r="C3361" s="9" t="str">
        <f>IFERROR(__xludf.DUMMYFUNCTION("GOOGLETRANSLATE($A3361,""en"",""de"")"),"Manawatu-Wanganui")</f>
        <v>Manawatu-Wanganui</v>
      </c>
      <c r="D3361" s="9" t="str">
        <f>IFERROR(__xludf.DUMMYFUNCTION("GOOGLETRANSLATE($A3361,""en"",""fr"")"),"Manawatu-Wanganui")</f>
        <v>Manawatu-Wanganui</v>
      </c>
      <c r="E3361" s="9" t="str">
        <f>IFERROR(__xludf.DUMMYFUNCTION("GOOGLETRANSLATE($A3361,""en"",""es"")"),"Manawatu-Wanganui")</f>
        <v>Manawatu-Wanganui</v>
      </c>
      <c r="F3361" s="9" t="str">
        <f>IFERROR(__xludf.DUMMYFUNCTION("GOOGLETRANSLATE($A3361,""en"",""it"")"),"Manawatu-Wanganui")</f>
        <v>Manawatu-Wanganui</v>
      </c>
      <c r="G3361" s="9" t="str">
        <f>IFERROR(__xludf.DUMMYFUNCTION("GOOGLETRANSLATE($A3361,""en"",""zh-cn"")"),"马纳瓦图-旺加努伊")</f>
        <v>马纳瓦图-旺加努伊</v>
      </c>
      <c r="H3361" s="9" t="str">
        <f>IFERROR(__xludf.DUMMYFUNCTION("GOOGLETRANSLATE($A3361,""en"",""ja"")"),"マナワツ・ワンガヌイ")</f>
        <v>マナワツ・ワンガヌイ</v>
      </c>
      <c r="I3361" s="9" t="str">
        <f>IFERROR(__xludf.DUMMYFUNCTION("GOOGLETRANSLATE($A3361,""en"",""ko"")"),"마나와투-왕가누이")</f>
        <v>마나와투-왕가누이</v>
      </c>
      <c r="J3361" s="9" t="str">
        <f>IFERROR(__xludf.DUMMYFUNCTION("GOOGLETRANSLATE($A3361,""en"",""pt-BR"")"),"Manawatu-Wanganui")</f>
        <v>Manawatu-Wanganui</v>
      </c>
    </row>
    <row r="3362">
      <c r="A3362" s="9" t="str">
        <f>IFERROR(__xludf.DUMMYFUNCTION("""COMPUTED_VALUE"""),"Jinotega")</f>
        <v>Jinotega</v>
      </c>
      <c r="B3362" s="9" t="str">
        <f>IFERROR(__xludf.DUMMYFUNCTION("""COMPUTED_VALUE"""),"ni-ji")</f>
        <v>ni-ji</v>
      </c>
      <c r="C3362" s="9" t="str">
        <f>IFERROR(__xludf.DUMMYFUNCTION("GOOGLETRANSLATE($A3362,""en"",""de"")"),"Jinotega")</f>
        <v>Jinotega</v>
      </c>
      <c r="D3362" s="9" t="str">
        <f>IFERROR(__xludf.DUMMYFUNCTION("GOOGLETRANSLATE($A3362,""en"",""fr"")"),"Jinotega")</f>
        <v>Jinotega</v>
      </c>
      <c r="E3362" s="9" t="str">
        <f>IFERROR(__xludf.DUMMYFUNCTION("GOOGLETRANSLATE($A3362,""en"",""es"")"),"Jinotega")</f>
        <v>Jinotega</v>
      </c>
      <c r="F3362" s="9" t="str">
        <f>IFERROR(__xludf.DUMMYFUNCTION("GOOGLETRANSLATE($A3362,""en"",""it"")"),"Jinotega")</f>
        <v>Jinotega</v>
      </c>
      <c r="G3362" s="9" t="str">
        <f>IFERROR(__xludf.DUMMYFUNCTION("GOOGLETRANSLATE($A3362,""en"",""zh-cn"")"),"吉诺特加")</f>
        <v>吉诺特加</v>
      </c>
      <c r="H3362" s="9" t="str">
        <f>IFERROR(__xludf.DUMMYFUNCTION("GOOGLETRANSLATE($A3362,""en"",""ja"")"),"ジノテガ")</f>
        <v>ジノテガ</v>
      </c>
      <c r="I3362" s="9" t="str">
        <f>IFERROR(__xludf.DUMMYFUNCTION("GOOGLETRANSLATE($A3362,""en"",""ko"")"),"히노테가")</f>
        <v>히노테가</v>
      </c>
      <c r="J3362" s="9" t="str">
        <f>IFERROR(__xludf.DUMMYFUNCTION("GOOGLETRANSLATE($A3362,""en"",""pt-BR"")"),"Jinotega")</f>
        <v>Jinotega</v>
      </c>
    </row>
    <row r="3363">
      <c r="A3363" s="9" t="str">
        <f>IFERROR(__xludf.DUMMYFUNCTION("""COMPUTED_VALUE"""),"Costa Caribe Norte")</f>
        <v>Costa Caribe Norte</v>
      </c>
      <c r="B3363" s="9" t="str">
        <f>IFERROR(__xludf.DUMMYFUNCTION("""COMPUTED_VALUE"""),"ni-an")</f>
        <v>ni-an</v>
      </c>
      <c r="C3363" s="9" t="str">
        <f>IFERROR(__xludf.DUMMYFUNCTION("GOOGLETRANSLATE($A3363,""en"",""de"")"),"Costa Caribe Norte")</f>
        <v>Costa Caribe Norte</v>
      </c>
      <c r="D3363" s="9" t="str">
        <f>IFERROR(__xludf.DUMMYFUNCTION("GOOGLETRANSLATE($A3363,""en"",""fr"")"),"Costa Caribe Nord")</f>
        <v>Costa Caribe Nord</v>
      </c>
      <c r="E3363" s="9" t="str">
        <f>IFERROR(__xludf.DUMMYFUNCTION("GOOGLETRANSLATE($A3363,""en"",""es"")"),"Costa Caribe Norte")</f>
        <v>Costa Caribe Norte</v>
      </c>
      <c r="F3363" s="9" t="str">
        <f>IFERROR(__xludf.DUMMYFUNCTION("GOOGLETRANSLATE($A3363,""en"",""it"")"),"Costa Caribe Norte")</f>
        <v>Costa Caribe Norte</v>
      </c>
      <c r="G3363" s="9" t="str">
        <f>IFERROR(__xludf.DUMMYFUNCTION("GOOGLETRANSLATE($A3363,""en"",""zh-cn"")"),"北加勒比海岸")</f>
        <v>北加勒比海岸</v>
      </c>
      <c r="H3363" s="9" t="str">
        <f>IFERROR(__xludf.DUMMYFUNCTION("GOOGLETRANSLATE($A3363,""en"",""ja"")"),"ノルテ・カリブ海")</f>
        <v>ノルテ・カリブ海</v>
      </c>
      <c r="I3363" s="9" t="str">
        <f>IFERROR(__xludf.DUMMYFUNCTION("GOOGLETRANSLATE($A3363,""en"",""ko"")"),"코스타 카리브 노르테")</f>
        <v>코스타 카리브 노르테</v>
      </c>
      <c r="J3363" s="9" t="str">
        <f>IFERROR(__xludf.DUMMYFUNCTION("GOOGLETRANSLATE($A3363,""en"",""pt-BR"")"),"Costa Caribe Norte")</f>
        <v>Costa Caribe Norte</v>
      </c>
    </row>
    <row r="3364">
      <c r="A3364" s="9" t="str">
        <f>IFERROR(__xludf.DUMMYFUNCTION("""COMPUTED_VALUE"""),"Boaco")</f>
        <v>Boaco</v>
      </c>
      <c r="B3364" s="9" t="str">
        <f>IFERROR(__xludf.DUMMYFUNCTION("""COMPUTED_VALUE"""),"ni-bo")</f>
        <v>ni-bo</v>
      </c>
      <c r="C3364" s="9" t="str">
        <f>IFERROR(__xludf.DUMMYFUNCTION("GOOGLETRANSLATE($A3364,""en"",""de"")"),"Boaco")</f>
        <v>Boaco</v>
      </c>
      <c r="D3364" s="9" t="str">
        <f>IFERROR(__xludf.DUMMYFUNCTION("GOOGLETRANSLATE($A3364,""en"",""fr"")"),"Boaco")</f>
        <v>Boaco</v>
      </c>
      <c r="E3364" s="9" t="str">
        <f>IFERROR(__xludf.DUMMYFUNCTION("GOOGLETRANSLATE($A3364,""en"",""es"")"),"Boaco")</f>
        <v>Boaco</v>
      </c>
      <c r="F3364" s="9" t="str">
        <f>IFERROR(__xludf.DUMMYFUNCTION("GOOGLETRANSLATE($A3364,""en"",""it"")"),"Boaco")</f>
        <v>Boaco</v>
      </c>
      <c r="G3364" s="9" t="str">
        <f>IFERROR(__xludf.DUMMYFUNCTION("GOOGLETRANSLATE($A3364,""en"",""zh-cn"")"),"博阿科")</f>
        <v>博阿科</v>
      </c>
      <c r="H3364" s="9" t="str">
        <f>IFERROR(__xludf.DUMMYFUNCTION("GOOGLETRANSLATE($A3364,""en"",""ja"")"),"ボアコ")</f>
        <v>ボアコ</v>
      </c>
      <c r="I3364" s="9" t="str">
        <f>IFERROR(__xludf.DUMMYFUNCTION("GOOGLETRANSLATE($A3364,""en"",""ko"")"),"보아코")</f>
        <v>보아코</v>
      </c>
      <c r="J3364" s="9" t="str">
        <f>IFERROR(__xludf.DUMMYFUNCTION("GOOGLETRANSLATE($A3364,""en"",""pt-BR"")"),"Boaco")</f>
        <v>Boaco</v>
      </c>
    </row>
    <row r="3365">
      <c r="A3365" s="9" t="str">
        <f>IFERROR(__xludf.DUMMYFUNCTION("""COMPUTED_VALUE"""),"Nueva Segovia")</f>
        <v>Nueva Segovia</v>
      </c>
      <c r="B3365" s="9" t="str">
        <f>IFERROR(__xludf.DUMMYFUNCTION("""COMPUTED_VALUE"""),"ni-ns")</f>
        <v>ni-ns</v>
      </c>
      <c r="C3365" s="9" t="str">
        <f>IFERROR(__xludf.DUMMYFUNCTION("GOOGLETRANSLATE($A3365,""en"",""de"")"),"Nueva Segovia")</f>
        <v>Nueva Segovia</v>
      </c>
      <c r="D3365" s="9" t="str">
        <f>IFERROR(__xludf.DUMMYFUNCTION("GOOGLETRANSLATE($A3365,""en"",""fr"")"),"Nouvelle Ségovie")</f>
        <v>Nouvelle Ségovie</v>
      </c>
      <c r="E3365" s="9" t="str">
        <f>IFERROR(__xludf.DUMMYFUNCTION("GOOGLETRANSLATE($A3365,""en"",""es"")"),"Nueva Segovia")</f>
        <v>Nueva Segovia</v>
      </c>
      <c r="F3365" s="9" t="str">
        <f>IFERROR(__xludf.DUMMYFUNCTION("GOOGLETRANSLATE($A3365,""en"",""it"")"),"Nuova Segovia")</f>
        <v>Nuova Segovia</v>
      </c>
      <c r="G3365" s="9" t="str">
        <f>IFERROR(__xludf.DUMMYFUNCTION("GOOGLETRANSLATE($A3365,""en"",""zh-cn"")"),"新塞戈维亚")</f>
        <v>新塞戈维亚</v>
      </c>
      <c r="H3365" s="9" t="str">
        <f>IFERROR(__xludf.DUMMYFUNCTION("GOOGLETRANSLATE($A3365,""en"",""ja"")"),"ヌエバ セゴビア")</f>
        <v>ヌエバ セゴビア</v>
      </c>
      <c r="I3365" s="9" t="str">
        <f>IFERROR(__xludf.DUMMYFUNCTION("GOOGLETRANSLATE($A3365,""en"",""ko"")"),"누에바 세고비아")</f>
        <v>누에바 세고비아</v>
      </c>
      <c r="J3365" s="9" t="str">
        <f>IFERROR(__xludf.DUMMYFUNCTION("GOOGLETRANSLATE($A3365,""en"",""pt-BR"")"),"Nova Segóvia")</f>
        <v>Nova Segóvia</v>
      </c>
    </row>
    <row r="3366">
      <c r="A3366" s="9" t="str">
        <f>IFERROR(__xludf.DUMMYFUNCTION("""COMPUTED_VALUE"""),"Granada (NI)")</f>
        <v>Granada (NI)</v>
      </c>
      <c r="B3366" s="9" t="str">
        <f>IFERROR(__xludf.DUMMYFUNCTION("""COMPUTED_VALUE"""),"ni-gr")</f>
        <v>ni-gr</v>
      </c>
      <c r="C3366" s="9" t="str">
        <f>IFERROR(__xludf.DUMMYFUNCTION("GOOGLETRANSLATE($A3366,""en"",""de"")"),"Granada (NI)")</f>
        <v>Granada (NI)</v>
      </c>
      <c r="D3366" s="9" t="str">
        <f>IFERROR(__xludf.DUMMYFUNCTION("GOOGLETRANSLATE($A3366,""en"",""fr"")"),"Grenade (NI)")</f>
        <v>Grenade (NI)</v>
      </c>
      <c r="E3366" s="9" t="str">
        <f>IFERROR(__xludf.DUMMYFUNCTION("GOOGLETRANSLATE($A3366,""en"",""es"")"),"Granada (NI)")</f>
        <v>Granada (NI)</v>
      </c>
      <c r="F3366" s="9" t="str">
        <f>IFERROR(__xludf.DUMMYFUNCTION("GOOGLETRANSLATE($A3366,""en"",""it"")"),"Granada (NI)")</f>
        <v>Granada (NI)</v>
      </c>
      <c r="G3366" s="9" t="str">
        <f>IFERROR(__xludf.DUMMYFUNCTION("GOOGLETRANSLATE($A3366,""en"",""zh-cn"")"),"格拉纳达 (NI)")</f>
        <v>格拉纳达 (NI)</v>
      </c>
      <c r="H3366" s="9" t="str">
        <f>IFERROR(__xludf.DUMMYFUNCTION("GOOGLETRANSLATE($A3366,""en"",""ja"")"),"グラナダ (NI)")</f>
        <v>グラナダ (NI)</v>
      </c>
      <c r="I3366" s="9" t="str">
        <f>IFERROR(__xludf.DUMMYFUNCTION("GOOGLETRANSLATE($A3366,""en"",""ko"")"),"그라나다(NI)")</f>
        <v>그라나다(NI)</v>
      </c>
      <c r="J3366" s="9" t="str">
        <f>IFERROR(__xludf.DUMMYFUNCTION("GOOGLETRANSLATE($A3366,""en"",""pt-BR"")"),"Granada (NI)")</f>
        <v>Granada (NI)</v>
      </c>
    </row>
    <row r="3367">
      <c r="A3367" s="9" t="str">
        <f>IFERROR(__xludf.DUMMYFUNCTION("""COMPUTED_VALUE"""),"Estelí")</f>
        <v>Estelí</v>
      </c>
      <c r="B3367" s="9" t="str">
        <f>IFERROR(__xludf.DUMMYFUNCTION("""COMPUTED_VALUE"""),"ni-es")</f>
        <v>ni-es</v>
      </c>
      <c r="C3367" s="9" t="str">
        <f>IFERROR(__xludf.DUMMYFUNCTION("GOOGLETRANSLATE($A3367,""en"",""de"")"),"Estelí")</f>
        <v>Estelí</v>
      </c>
      <c r="D3367" s="9" t="str">
        <f>IFERROR(__xludf.DUMMYFUNCTION("GOOGLETRANSLATE($A3367,""en"",""fr"")"),"Estelí")</f>
        <v>Estelí</v>
      </c>
      <c r="E3367" s="9" t="str">
        <f>IFERROR(__xludf.DUMMYFUNCTION("GOOGLETRANSLATE($A3367,""en"",""es"")"),"Esteli")</f>
        <v>Esteli</v>
      </c>
      <c r="F3367" s="9" t="str">
        <f>IFERROR(__xludf.DUMMYFUNCTION("GOOGLETRANSLATE($A3367,""en"",""it"")"),"Esteli")</f>
        <v>Esteli</v>
      </c>
      <c r="G3367" s="9" t="str">
        <f>IFERROR(__xludf.DUMMYFUNCTION("GOOGLETRANSLATE($A3367,""en"",""zh-cn"")"),"埃斯特利")</f>
        <v>埃斯特利</v>
      </c>
      <c r="H3367" s="9" t="str">
        <f>IFERROR(__xludf.DUMMYFUNCTION("GOOGLETRANSLATE($A3367,""en"",""ja"")"),"エステリ")</f>
        <v>エステリ</v>
      </c>
      <c r="I3367" s="9" t="str">
        <f>IFERROR(__xludf.DUMMYFUNCTION("GOOGLETRANSLATE($A3367,""en"",""ko"")"),"에스텔리")</f>
        <v>에스텔리</v>
      </c>
      <c r="J3367" s="9" t="str">
        <f>IFERROR(__xludf.DUMMYFUNCTION("GOOGLETRANSLATE($A3367,""en"",""pt-BR"")"),"Esteli")</f>
        <v>Esteli</v>
      </c>
    </row>
    <row r="3368">
      <c r="A3368" s="9" t="str">
        <f>IFERROR(__xludf.DUMMYFUNCTION("""COMPUTED_VALUE"""),"Chontales")</f>
        <v>Chontales</v>
      </c>
      <c r="B3368" s="9" t="str">
        <f>IFERROR(__xludf.DUMMYFUNCTION("""COMPUTED_VALUE"""),"ni-co")</f>
        <v>ni-co</v>
      </c>
      <c r="C3368" s="9" t="str">
        <f>IFERROR(__xludf.DUMMYFUNCTION("GOOGLETRANSLATE($A3368,""en"",""de"")"),"Chontales")</f>
        <v>Chontales</v>
      </c>
      <c r="D3368" s="9" t="str">
        <f>IFERROR(__xludf.DUMMYFUNCTION("GOOGLETRANSLATE($A3368,""en"",""fr"")"),"Chontales")</f>
        <v>Chontales</v>
      </c>
      <c r="E3368" s="9" t="str">
        <f>IFERROR(__xludf.DUMMYFUNCTION("GOOGLETRANSLATE($A3368,""en"",""es"")"),"chontales")</f>
        <v>chontales</v>
      </c>
      <c r="F3368" s="9" t="str">
        <f>IFERROR(__xludf.DUMMYFUNCTION("GOOGLETRANSLATE($A3368,""en"",""it"")"),"Chontales")</f>
        <v>Chontales</v>
      </c>
      <c r="G3368" s="9" t="str">
        <f>IFERROR(__xludf.DUMMYFUNCTION("GOOGLETRANSLATE($A3368,""en"",""zh-cn"")"),"琼塔莱斯")</f>
        <v>琼塔莱斯</v>
      </c>
      <c r="H3368" s="9" t="str">
        <f>IFERROR(__xludf.DUMMYFUNCTION("GOOGLETRANSLATE($A3368,""en"",""ja"")"),"チョンタレス")</f>
        <v>チョンタレス</v>
      </c>
      <c r="I3368" s="9" t="str">
        <f>IFERROR(__xludf.DUMMYFUNCTION("GOOGLETRANSLATE($A3368,""en"",""ko"")"),"촌탈레스")</f>
        <v>촌탈레스</v>
      </c>
      <c r="J3368" s="9" t="str">
        <f>IFERROR(__xludf.DUMMYFUNCTION("GOOGLETRANSLATE($A3368,""en"",""pt-BR"")"),"Chontales")</f>
        <v>Chontales</v>
      </c>
    </row>
    <row r="3369">
      <c r="A3369" s="9" t="str">
        <f>IFERROR(__xludf.DUMMYFUNCTION("""COMPUTED_VALUE"""),"Madriz")</f>
        <v>Madriz</v>
      </c>
      <c r="B3369" s="9" t="str">
        <f>IFERROR(__xludf.DUMMYFUNCTION("""COMPUTED_VALUE"""),"ni-md")</f>
        <v>ni-md</v>
      </c>
      <c r="C3369" s="9" t="str">
        <f>IFERROR(__xludf.DUMMYFUNCTION("GOOGLETRANSLATE($A3369,""en"",""de"")"),"Madriz")</f>
        <v>Madriz</v>
      </c>
      <c r="D3369" s="9" t="str">
        <f>IFERROR(__xludf.DUMMYFUNCTION("GOOGLETRANSLATE($A3369,""en"",""fr"")"),"Madrid")</f>
        <v>Madrid</v>
      </c>
      <c r="E3369" s="9" t="str">
        <f>IFERROR(__xludf.DUMMYFUNCTION("GOOGLETRANSLATE($A3369,""en"",""es"")"),"Madriz")</f>
        <v>Madriz</v>
      </c>
      <c r="F3369" s="9" t="str">
        <f>IFERROR(__xludf.DUMMYFUNCTION("GOOGLETRANSLATE($A3369,""en"",""it"")"),"Madridz")</f>
        <v>Madridz</v>
      </c>
      <c r="G3369" s="9" t="str">
        <f>IFERROR(__xludf.DUMMYFUNCTION("GOOGLETRANSLATE($A3369,""en"",""zh-cn"")"),"马德里斯")</f>
        <v>马德里斯</v>
      </c>
      <c r="H3369" s="9" t="str">
        <f>IFERROR(__xludf.DUMMYFUNCTION("GOOGLETRANSLATE($A3369,""en"",""ja"")"),"マドリード")</f>
        <v>マドリード</v>
      </c>
      <c r="I3369" s="9" t="str">
        <f>IFERROR(__xludf.DUMMYFUNCTION("GOOGLETRANSLATE($A3369,""en"",""ko"")"),"마드리즈")</f>
        <v>마드리즈</v>
      </c>
      <c r="J3369" s="9" t="str">
        <f>IFERROR(__xludf.DUMMYFUNCTION("GOOGLETRANSLATE($A3369,""en"",""pt-BR"")"),"Madrid")</f>
        <v>Madrid</v>
      </c>
    </row>
    <row r="3370">
      <c r="A3370" s="9" t="str">
        <f>IFERROR(__xludf.DUMMYFUNCTION("""COMPUTED_VALUE"""),"Chinandega")</f>
        <v>Chinandega</v>
      </c>
      <c r="B3370" s="9" t="str">
        <f>IFERROR(__xludf.DUMMYFUNCTION("""COMPUTED_VALUE"""),"ni-ci")</f>
        <v>ni-ci</v>
      </c>
      <c r="C3370" s="9" t="str">
        <f>IFERROR(__xludf.DUMMYFUNCTION("GOOGLETRANSLATE($A3370,""en"",""de"")"),"Chinandega")</f>
        <v>Chinandega</v>
      </c>
      <c r="D3370" s="9" t="str">
        <f>IFERROR(__xludf.DUMMYFUNCTION("GOOGLETRANSLATE($A3370,""en"",""fr"")"),"Chinendega")</f>
        <v>Chinendega</v>
      </c>
      <c r="E3370" s="9" t="str">
        <f>IFERROR(__xludf.DUMMYFUNCTION("GOOGLETRANSLATE($A3370,""en"",""es"")"),"Chinandega")</f>
        <v>Chinandega</v>
      </c>
      <c r="F3370" s="9" t="str">
        <f>IFERROR(__xludf.DUMMYFUNCTION("GOOGLETRANSLATE($A3370,""en"",""it"")"),"Chinandega")</f>
        <v>Chinandega</v>
      </c>
      <c r="G3370" s="9" t="str">
        <f>IFERROR(__xludf.DUMMYFUNCTION("GOOGLETRANSLATE($A3370,""en"",""zh-cn"")"),"奇南德加")</f>
        <v>奇南德加</v>
      </c>
      <c r="H3370" s="9" t="str">
        <f>IFERROR(__xludf.DUMMYFUNCTION("GOOGLETRANSLATE($A3370,""en"",""ja"")"),"チナンデガ")</f>
        <v>チナンデガ</v>
      </c>
      <c r="I3370" s="9" t="str">
        <f>IFERROR(__xludf.DUMMYFUNCTION("GOOGLETRANSLATE($A3370,""en"",""ko"")"),"치난데가")</f>
        <v>치난데가</v>
      </c>
      <c r="J3370" s="9" t="str">
        <f>IFERROR(__xludf.DUMMYFUNCTION("GOOGLETRANSLATE($A3370,""en"",""pt-BR"")"),"Chinandega")</f>
        <v>Chinandega</v>
      </c>
    </row>
    <row r="3371">
      <c r="A3371" s="9" t="str">
        <f>IFERROR(__xludf.DUMMYFUNCTION("""COMPUTED_VALUE"""),"Costa Caribe Sur")</f>
        <v>Costa Caribe Sur</v>
      </c>
      <c r="B3371" s="9" t="str">
        <f>IFERROR(__xludf.DUMMYFUNCTION("""COMPUTED_VALUE"""),"ni-as")</f>
        <v>ni-as</v>
      </c>
      <c r="C3371" s="9" t="str">
        <f>IFERROR(__xludf.DUMMYFUNCTION("GOOGLETRANSLATE($A3371,""en"",""de"")"),"Costa Caribe Sur")</f>
        <v>Costa Caribe Sur</v>
      </c>
      <c r="D3371" s="9" t="str">
        <f>IFERROR(__xludf.DUMMYFUNCTION("GOOGLETRANSLATE($A3371,""en"",""fr"")"),"Costa Caribe Sur")</f>
        <v>Costa Caribe Sur</v>
      </c>
      <c r="E3371" s="9" t="str">
        <f>IFERROR(__xludf.DUMMYFUNCTION("GOOGLETRANSLATE($A3371,""en"",""es"")"),"Costa Caribe Sur")</f>
        <v>Costa Caribe Sur</v>
      </c>
      <c r="F3371" s="9" t="str">
        <f>IFERROR(__xludf.DUMMYFUNCTION("GOOGLETRANSLATE($A3371,""en"",""it"")"),"Costa Caribe Sur")</f>
        <v>Costa Caribe Sur</v>
      </c>
      <c r="G3371" s="9" t="str">
        <f>IFERROR(__xludf.DUMMYFUNCTION("GOOGLETRANSLATE($A3371,""en"",""zh-cn"")"),"南加勒比海岸")</f>
        <v>南加勒比海岸</v>
      </c>
      <c r="H3371" s="9" t="str">
        <f>IFERROR(__xludf.DUMMYFUNCTION("GOOGLETRANSLATE($A3371,""en"",""ja"")"),"コスタ・カリブ・スル")</f>
        <v>コスタ・カリブ・スル</v>
      </c>
      <c r="I3371" s="9" t="str">
        <f>IFERROR(__xludf.DUMMYFUNCTION("GOOGLETRANSLATE($A3371,""en"",""ko"")"),"코스타 카리브 수르")</f>
        <v>코스타 카리브 수르</v>
      </c>
      <c r="J3371" s="9" t="str">
        <f>IFERROR(__xludf.DUMMYFUNCTION("GOOGLETRANSLATE($A3371,""en"",""pt-BR"")"),"Costa Caribe Sul")</f>
        <v>Costa Caribe Sul</v>
      </c>
    </row>
    <row r="3372">
      <c r="A3372" s="9" t="str">
        <f>IFERROR(__xludf.DUMMYFUNCTION("""COMPUTED_VALUE"""),"Matagalpa")</f>
        <v>Matagalpa</v>
      </c>
      <c r="B3372" s="9" t="str">
        <f>IFERROR(__xludf.DUMMYFUNCTION("""COMPUTED_VALUE"""),"ni-mt")</f>
        <v>ni-mt</v>
      </c>
      <c r="C3372" s="9" t="str">
        <f>IFERROR(__xludf.DUMMYFUNCTION("GOOGLETRANSLATE($A3372,""en"",""de"")"),"Matagalpa")</f>
        <v>Matagalpa</v>
      </c>
      <c r="D3372" s="9" t="str">
        <f>IFERROR(__xludf.DUMMYFUNCTION("GOOGLETRANSLATE($A3372,""en"",""fr"")"),"Matagalpa")</f>
        <v>Matagalpa</v>
      </c>
      <c r="E3372" s="9" t="str">
        <f>IFERROR(__xludf.DUMMYFUNCTION("GOOGLETRANSLATE($A3372,""en"",""es"")"),"Matagalpa")</f>
        <v>Matagalpa</v>
      </c>
      <c r="F3372" s="9" t="str">
        <f>IFERROR(__xludf.DUMMYFUNCTION("GOOGLETRANSLATE($A3372,""en"",""it"")"),"Matagalpa")</f>
        <v>Matagalpa</v>
      </c>
      <c r="G3372" s="9" t="str">
        <f>IFERROR(__xludf.DUMMYFUNCTION("GOOGLETRANSLATE($A3372,""en"",""zh-cn"")"),"马塔加尔帕")</f>
        <v>马塔加尔帕</v>
      </c>
      <c r="H3372" s="9" t="str">
        <f>IFERROR(__xludf.DUMMYFUNCTION("GOOGLETRANSLATE($A3372,""en"",""ja"")"),"マタガルパ")</f>
        <v>マタガルパ</v>
      </c>
      <c r="I3372" s="9" t="str">
        <f>IFERROR(__xludf.DUMMYFUNCTION("GOOGLETRANSLATE($A3372,""en"",""ko"")"),"마타갈파")</f>
        <v>마타갈파</v>
      </c>
      <c r="J3372" s="9" t="str">
        <f>IFERROR(__xludf.DUMMYFUNCTION("GOOGLETRANSLATE($A3372,""en"",""pt-BR"")"),"Matagalpa")</f>
        <v>Matagalpa</v>
      </c>
    </row>
    <row r="3373">
      <c r="A3373" s="9" t="str">
        <f>IFERROR(__xludf.DUMMYFUNCTION("""COMPUTED_VALUE"""),"Carazo")</f>
        <v>Carazo</v>
      </c>
      <c r="B3373" s="9" t="str">
        <f>IFERROR(__xludf.DUMMYFUNCTION("""COMPUTED_VALUE"""),"ni-ca")</f>
        <v>ni-ca</v>
      </c>
      <c r="C3373" s="9" t="str">
        <f>IFERROR(__xludf.DUMMYFUNCTION("GOOGLETRANSLATE($A3373,""en"",""de"")"),"Carazo")</f>
        <v>Carazo</v>
      </c>
      <c r="D3373" s="9" t="str">
        <f>IFERROR(__xludf.DUMMYFUNCTION("GOOGLETRANSLATE($A3373,""en"",""fr"")"),"Carazo")</f>
        <v>Carazo</v>
      </c>
      <c r="E3373" s="9" t="str">
        <f>IFERROR(__xludf.DUMMYFUNCTION("GOOGLETRANSLATE($A3373,""en"",""es"")"),"Carazo")</f>
        <v>Carazo</v>
      </c>
      <c r="F3373" s="9" t="str">
        <f>IFERROR(__xludf.DUMMYFUNCTION("GOOGLETRANSLATE($A3373,""en"",""it"")"),"Carazo")</f>
        <v>Carazo</v>
      </c>
      <c r="G3373" s="9" t="str">
        <f>IFERROR(__xludf.DUMMYFUNCTION("GOOGLETRANSLATE($A3373,""en"",""zh-cn"")"),"卡拉索")</f>
        <v>卡拉索</v>
      </c>
      <c r="H3373" s="9" t="str">
        <f>IFERROR(__xludf.DUMMYFUNCTION("GOOGLETRANSLATE($A3373,""en"",""ja"")"),"カラソ")</f>
        <v>カラソ</v>
      </c>
      <c r="I3373" s="9" t="str">
        <f>IFERROR(__xludf.DUMMYFUNCTION("GOOGLETRANSLATE($A3373,""en"",""ko"")"),"카라조")</f>
        <v>카라조</v>
      </c>
      <c r="J3373" s="9" t="str">
        <f>IFERROR(__xludf.DUMMYFUNCTION("GOOGLETRANSLATE($A3373,""en"",""pt-BR"")"),"Carazo")</f>
        <v>Carazo</v>
      </c>
    </row>
    <row r="3374">
      <c r="A3374" s="9" t="str">
        <f>IFERROR(__xludf.DUMMYFUNCTION("""COMPUTED_VALUE"""),"León (NI)")</f>
        <v>León (NI)</v>
      </c>
      <c r="B3374" s="9" t="str">
        <f>IFERROR(__xludf.DUMMYFUNCTION("""COMPUTED_VALUE"""),"ni-le")</f>
        <v>ni-le</v>
      </c>
      <c r="C3374" s="9" t="str">
        <f>IFERROR(__xludf.DUMMYFUNCTION("GOOGLETRANSLATE($A3374,""en"",""de"")"),"León (NI)")</f>
        <v>León (NI)</v>
      </c>
      <c r="D3374" s="9" t="str">
        <f>IFERROR(__xludf.DUMMYFUNCTION("GOOGLETRANSLATE($A3374,""en"",""fr"")"),"Léon (NI)")</f>
        <v>Léon (NI)</v>
      </c>
      <c r="E3374" s="9" t="str">
        <f>IFERROR(__xludf.DUMMYFUNCTION("GOOGLETRANSLATE($A3374,""en"",""es"")"),"León (NI)")</f>
        <v>León (NI)</v>
      </c>
      <c r="F3374" s="9" t="str">
        <f>IFERROR(__xludf.DUMMYFUNCTION("GOOGLETRANSLATE($A3374,""en"",""it"")"),"León (NI)")</f>
        <v>León (NI)</v>
      </c>
      <c r="G3374" s="9" t="str">
        <f>IFERROR(__xludf.DUMMYFUNCTION("GOOGLETRANSLATE($A3374,""en"",""zh-cn"")"),"莱昂 (NI)")</f>
        <v>莱昂 (NI)</v>
      </c>
      <c r="H3374" s="9" t="str">
        <f>IFERROR(__xludf.DUMMYFUNCTION("GOOGLETRANSLATE($A3374,""en"",""ja"")"),"レオン (NI)")</f>
        <v>レオン (NI)</v>
      </c>
      <c r="I3374" s="9" t="str">
        <f>IFERROR(__xludf.DUMMYFUNCTION("GOOGLETRANSLATE($A3374,""en"",""ko"")"),"레온(NI)")</f>
        <v>레온(NI)</v>
      </c>
      <c r="J3374" s="9" t="str">
        <f>IFERROR(__xludf.DUMMYFUNCTION("GOOGLETRANSLATE($A3374,""en"",""pt-BR"")"),"Leão (NI)")</f>
        <v>Leão (NI)</v>
      </c>
    </row>
    <row r="3375">
      <c r="A3375" s="9" t="str">
        <f>IFERROR(__xludf.DUMMYFUNCTION("""COMPUTED_VALUE"""),"Managua")</f>
        <v>Managua</v>
      </c>
      <c r="B3375" s="9" t="str">
        <f>IFERROR(__xludf.DUMMYFUNCTION("""COMPUTED_VALUE"""),"ni-mn")</f>
        <v>ni-mn</v>
      </c>
      <c r="C3375" s="9" t="str">
        <f>IFERROR(__xludf.DUMMYFUNCTION("GOOGLETRANSLATE($A3375,""en"",""de"")"),"Managua")</f>
        <v>Managua</v>
      </c>
      <c r="D3375" s="9" t="str">
        <f>IFERROR(__xludf.DUMMYFUNCTION("GOOGLETRANSLATE($A3375,""en"",""fr"")"),"Managua")</f>
        <v>Managua</v>
      </c>
      <c r="E3375" s="9" t="str">
        <f>IFERROR(__xludf.DUMMYFUNCTION("GOOGLETRANSLATE($A3375,""en"",""es"")"),"Managua")</f>
        <v>Managua</v>
      </c>
      <c r="F3375" s="9" t="str">
        <f>IFERROR(__xludf.DUMMYFUNCTION("GOOGLETRANSLATE($A3375,""en"",""it"")"),"Managua")</f>
        <v>Managua</v>
      </c>
      <c r="G3375" s="9" t="str">
        <f>IFERROR(__xludf.DUMMYFUNCTION("GOOGLETRANSLATE($A3375,""en"",""zh-cn"")"),"马那瓜")</f>
        <v>马那瓜</v>
      </c>
      <c r="H3375" s="9" t="str">
        <f>IFERROR(__xludf.DUMMYFUNCTION("GOOGLETRANSLATE($A3375,""en"",""ja"")"),"マナグア")</f>
        <v>マナグア</v>
      </c>
      <c r="I3375" s="9" t="str">
        <f>IFERROR(__xludf.DUMMYFUNCTION("GOOGLETRANSLATE($A3375,""en"",""ko"")"),"마나과")</f>
        <v>마나과</v>
      </c>
      <c r="J3375" s="9" t="str">
        <f>IFERROR(__xludf.DUMMYFUNCTION("GOOGLETRANSLATE($A3375,""en"",""pt-BR"")"),"Manágua")</f>
        <v>Manágua</v>
      </c>
    </row>
    <row r="3376">
      <c r="A3376" s="9" t="str">
        <f>IFERROR(__xludf.DUMMYFUNCTION("""COMPUTED_VALUE"""),"Rivas")</f>
        <v>Rivas</v>
      </c>
      <c r="B3376" s="9" t="str">
        <f>IFERROR(__xludf.DUMMYFUNCTION("""COMPUTED_VALUE"""),"ni-ri")</f>
        <v>ni-ri</v>
      </c>
      <c r="C3376" s="9" t="str">
        <f>IFERROR(__xludf.DUMMYFUNCTION("GOOGLETRANSLATE($A3376,""en"",""de"")"),"Rivas")</f>
        <v>Rivas</v>
      </c>
      <c r="D3376" s="9" t="str">
        <f>IFERROR(__xludf.DUMMYFUNCTION("GOOGLETRANSLATE($A3376,""en"",""fr"")"),"Rivas")</f>
        <v>Rivas</v>
      </c>
      <c r="E3376" s="9" t="str">
        <f>IFERROR(__xludf.DUMMYFUNCTION("GOOGLETRANSLATE($A3376,""en"",""es"")"),"Rivas")</f>
        <v>Rivas</v>
      </c>
      <c r="F3376" s="9" t="str">
        <f>IFERROR(__xludf.DUMMYFUNCTION("GOOGLETRANSLATE($A3376,""en"",""it"")"),"Rivas")</f>
        <v>Rivas</v>
      </c>
      <c r="G3376" s="9" t="str">
        <f>IFERROR(__xludf.DUMMYFUNCTION("GOOGLETRANSLATE($A3376,""en"",""zh-cn"")"),"里瓦斯")</f>
        <v>里瓦斯</v>
      </c>
      <c r="H3376" s="9" t="str">
        <f>IFERROR(__xludf.DUMMYFUNCTION("GOOGLETRANSLATE($A3376,""en"",""ja"")"),"リバス")</f>
        <v>リバス</v>
      </c>
      <c r="I3376" s="9" t="str">
        <f>IFERROR(__xludf.DUMMYFUNCTION("GOOGLETRANSLATE($A3376,""en"",""ko"")"),"리바스")</f>
        <v>리바스</v>
      </c>
      <c r="J3376" s="9" t="str">
        <f>IFERROR(__xludf.DUMMYFUNCTION("GOOGLETRANSLATE($A3376,""en"",""pt-BR"")"),"Rivas")</f>
        <v>Rivas</v>
      </c>
    </row>
    <row r="3377">
      <c r="A3377" s="9" t="str">
        <f>IFERROR(__xludf.DUMMYFUNCTION("""COMPUTED_VALUE"""),"Río San Juan")</f>
        <v>Río San Juan</v>
      </c>
      <c r="B3377" s="9" t="str">
        <f>IFERROR(__xludf.DUMMYFUNCTION("""COMPUTED_VALUE"""),"ni-sj")</f>
        <v>ni-sj</v>
      </c>
      <c r="C3377" s="9" t="str">
        <f>IFERROR(__xludf.DUMMYFUNCTION("GOOGLETRANSLATE($A3377,""en"",""de"")"),"Río San Juan")</f>
        <v>Río San Juan</v>
      </c>
      <c r="D3377" s="9" t="str">
        <f>IFERROR(__xludf.DUMMYFUNCTION("GOOGLETRANSLATE($A3377,""en"",""fr"")"),"Rio San Juan")</f>
        <v>Rio San Juan</v>
      </c>
      <c r="E3377" s="9" t="str">
        <f>IFERROR(__xludf.DUMMYFUNCTION("GOOGLETRANSLATE($A3377,""en"",""es"")"),"Río San Juan")</f>
        <v>Río San Juan</v>
      </c>
      <c r="F3377" s="9" t="str">
        <f>IFERROR(__xludf.DUMMYFUNCTION("GOOGLETRANSLATE($A3377,""en"",""it"")"),"Rio San Juan")</f>
        <v>Rio San Juan</v>
      </c>
      <c r="G3377" s="9" t="str">
        <f>IFERROR(__xludf.DUMMYFUNCTION("GOOGLETRANSLATE($A3377,""en"",""zh-cn"")"),"圣胡安河")</f>
        <v>圣胡安河</v>
      </c>
      <c r="H3377" s="9" t="str">
        <f>IFERROR(__xludf.DUMMYFUNCTION("GOOGLETRANSLATE($A3377,""en"",""ja"")"),"リオ・サン・フアン")</f>
        <v>リオ・サン・フアン</v>
      </c>
      <c r="I3377" s="9" t="str">
        <f>IFERROR(__xludf.DUMMYFUNCTION("GOOGLETRANSLATE($A3377,""en"",""ko"")"),"리오 산 후안")</f>
        <v>리오 산 후안</v>
      </c>
      <c r="J3377" s="9" t="str">
        <f>IFERROR(__xludf.DUMMYFUNCTION("GOOGLETRANSLATE($A3377,""en"",""pt-BR"")"),"Rio San Juan")</f>
        <v>Rio San Juan</v>
      </c>
    </row>
    <row r="3378">
      <c r="A3378" s="9" t="str">
        <f>IFERROR(__xludf.DUMMYFUNCTION("""COMPUTED_VALUE"""),"Masaya")</f>
        <v>Masaya</v>
      </c>
      <c r="B3378" s="9" t="str">
        <f>IFERROR(__xludf.DUMMYFUNCTION("""COMPUTED_VALUE"""),"ni-ms")</f>
        <v>ni-ms</v>
      </c>
      <c r="C3378" s="9" t="str">
        <f>IFERROR(__xludf.DUMMYFUNCTION("GOOGLETRANSLATE($A3378,""en"",""de"")"),"Masaya")</f>
        <v>Masaya</v>
      </c>
      <c r="D3378" s="9" t="str">
        <f>IFERROR(__xludf.DUMMYFUNCTION("GOOGLETRANSLATE($A3378,""en"",""fr"")"),"Masaya")</f>
        <v>Masaya</v>
      </c>
      <c r="E3378" s="9" t="str">
        <f>IFERROR(__xludf.DUMMYFUNCTION("GOOGLETRANSLATE($A3378,""en"",""es"")"),"Masaya")</f>
        <v>Masaya</v>
      </c>
      <c r="F3378" s="9" t="str">
        <f>IFERROR(__xludf.DUMMYFUNCTION("GOOGLETRANSLATE($A3378,""en"",""it"")"),"Masaya")</f>
        <v>Masaya</v>
      </c>
      <c r="G3378" s="9" t="str">
        <f>IFERROR(__xludf.DUMMYFUNCTION("GOOGLETRANSLATE($A3378,""en"",""zh-cn"")"),"马萨亚")</f>
        <v>马萨亚</v>
      </c>
      <c r="H3378" s="9" t="str">
        <f>IFERROR(__xludf.DUMMYFUNCTION("GOOGLETRANSLATE($A3378,""en"",""ja"")"),"マサヤ")</f>
        <v>マサヤ</v>
      </c>
      <c r="I3378" s="9" t="str">
        <f>IFERROR(__xludf.DUMMYFUNCTION("GOOGLETRANSLATE($A3378,""en"",""ko"")"),"마사야")</f>
        <v>마사야</v>
      </c>
      <c r="J3378" s="9" t="str">
        <f>IFERROR(__xludf.DUMMYFUNCTION("GOOGLETRANSLATE($A3378,""en"",""pt-BR"")"),"Masaya")</f>
        <v>Masaya</v>
      </c>
    </row>
    <row r="3379">
      <c r="A3379" s="9" t="str">
        <f>IFERROR(__xludf.DUMMYFUNCTION("""COMPUTED_VALUE"""),"Agadez")</f>
        <v>Agadez</v>
      </c>
      <c r="B3379" s="9" t="str">
        <f>IFERROR(__xludf.DUMMYFUNCTION("""COMPUTED_VALUE"""),"ne-1")</f>
        <v>ne-1</v>
      </c>
      <c r="C3379" s="9" t="str">
        <f>IFERROR(__xludf.DUMMYFUNCTION("GOOGLETRANSLATE($A3379,""en"",""de"")"),"Agadez")</f>
        <v>Agadez</v>
      </c>
      <c r="D3379" s="9" t="str">
        <f>IFERROR(__xludf.DUMMYFUNCTION("GOOGLETRANSLATE($A3379,""en"",""fr"")"),"Agadez")</f>
        <v>Agadez</v>
      </c>
      <c r="E3379" s="9" t="str">
        <f>IFERROR(__xludf.DUMMYFUNCTION("GOOGLETRANSLATE($A3379,""en"",""es"")"),"Agadez")</f>
        <v>Agadez</v>
      </c>
      <c r="F3379" s="9" t="str">
        <f>IFERROR(__xludf.DUMMYFUNCTION("GOOGLETRANSLATE($A3379,""en"",""it"")"),"Agadez")</f>
        <v>Agadez</v>
      </c>
      <c r="G3379" s="9" t="str">
        <f>IFERROR(__xludf.DUMMYFUNCTION("GOOGLETRANSLATE($A3379,""en"",""zh-cn"")"),"阿加德兹")</f>
        <v>阿加德兹</v>
      </c>
      <c r="H3379" s="9" t="str">
        <f>IFERROR(__xludf.DUMMYFUNCTION("GOOGLETRANSLATE($A3379,""en"",""ja"")"),"アガデス")</f>
        <v>アガデス</v>
      </c>
      <c r="I3379" s="9" t="str">
        <f>IFERROR(__xludf.DUMMYFUNCTION("GOOGLETRANSLATE($A3379,""en"",""ko"")"),"아가데즈")</f>
        <v>아가데즈</v>
      </c>
      <c r="J3379" s="9" t="str">
        <f>IFERROR(__xludf.DUMMYFUNCTION("GOOGLETRANSLATE($A3379,""en"",""pt-BR"")"),"Agadèz")</f>
        <v>Agadèz</v>
      </c>
    </row>
    <row r="3380">
      <c r="A3380" s="9" t="str">
        <f>IFERROR(__xludf.DUMMYFUNCTION("""COMPUTED_VALUE"""),"Diffa")</f>
        <v>Diffa</v>
      </c>
      <c r="B3380" s="9" t="str">
        <f>IFERROR(__xludf.DUMMYFUNCTION("""COMPUTED_VALUE"""),"ne-2")</f>
        <v>ne-2</v>
      </c>
      <c r="C3380" s="9" t="str">
        <f>IFERROR(__xludf.DUMMYFUNCTION("GOOGLETRANSLATE($A3380,""en"",""de"")"),"Diffa")</f>
        <v>Diffa</v>
      </c>
      <c r="D3380" s="9" t="str">
        <f>IFERROR(__xludf.DUMMYFUNCTION("GOOGLETRANSLATE($A3380,""en"",""fr"")"),"Diffa")</f>
        <v>Diffa</v>
      </c>
      <c r="E3380" s="9" t="str">
        <f>IFERROR(__xludf.DUMMYFUNCTION("GOOGLETRANSLATE($A3380,""en"",""es"")"),"Difa")</f>
        <v>Difa</v>
      </c>
      <c r="F3380" s="9" t="str">
        <f>IFERROR(__xludf.DUMMYFUNCTION("GOOGLETRANSLATE($A3380,""en"",""it"")"),"Diffa")</f>
        <v>Diffa</v>
      </c>
      <c r="G3380" s="9" t="str">
        <f>IFERROR(__xludf.DUMMYFUNCTION("GOOGLETRANSLATE($A3380,""en"",""zh-cn"")"),"迪法")</f>
        <v>迪法</v>
      </c>
      <c r="H3380" s="9" t="str">
        <f>IFERROR(__xludf.DUMMYFUNCTION("GOOGLETRANSLATE($A3380,""en"",""ja"")"),"ディファ")</f>
        <v>ディファ</v>
      </c>
      <c r="I3380" s="9" t="str">
        <f>IFERROR(__xludf.DUMMYFUNCTION("GOOGLETRANSLATE($A3380,""en"",""ko"")"),"디파")</f>
        <v>디파</v>
      </c>
      <c r="J3380" s="9" t="str">
        <f>IFERROR(__xludf.DUMMYFUNCTION("GOOGLETRANSLATE($A3380,""en"",""pt-BR"")"),"Difa")</f>
        <v>Difa</v>
      </c>
    </row>
    <row r="3381">
      <c r="A3381" s="9" t="str">
        <f>IFERROR(__xludf.DUMMYFUNCTION("""COMPUTED_VALUE"""),"Tahoua")</f>
        <v>Tahoua</v>
      </c>
      <c r="B3381" s="9" t="str">
        <f>IFERROR(__xludf.DUMMYFUNCTION("""COMPUTED_VALUE"""),"ne-5")</f>
        <v>ne-5</v>
      </c>
      <c r="C3381" s="9" t="str">
        <f>IFERROR(__xludf.DUMMYFUNCTION("GOOGLETRANSLATE($A3381,""en"",""de"")"),"Tahoua")</f>
        <v>Tahoua</v>
      </c>
      <c r="D3381" s="9" t="str">
        <f>IFERROR(__xludf.DUMMYFUNCTION("GOOGLETRANSLATE($A3381,""en"",""fr"")"),"Tahoua")</f>
        <v>Tahoua</v>
      </c>
      <c r="E3381" s="9" t="str">
        <f>IFERROR(__xludf.DUMMYFUNCTION("GOOGLETRANSLATE($A3381,""en"",""es"")"),"tahoua")</f>
        <v>tahoua</v>
      </c>
      <c r="F3381" s="9" t="str">
        <f>IFERROR(__xludf.DUMMYFUNCTION("GOOGLETRANSLATE($A3381,""en"",""it"")"),"Tahoua")</f>
        <v>Tahoua</v>
      </c>
      <c r="G3381" s="9" t="str">
        <f>IFERROR(__xludf.DUMMYFUNCTION("GOOGLETRANSLATE($A3381,""en"",""zh-cn"")"),"塔瓦阿")</f>
        <v>塔瓦阿</v>
      </c>
      <c r="H3381" s="9" t="str">
        <f>IFERROR(__xludf.DUMMYFUNCTION("GOOGLETRANSLATE($A3381,""en"",""ja"")"),"タウア")</f>
        <v>タウア</v>
      </c>
      <c r="I3381" s="9" t="str">
        <f>IFERROR(__xludf.DUMMYFUNCTION("GOOGLETRANSLATE($A3381,""en"",""ko"")"),"타호아")</f>
        <v>타호아</v>
      </c>
      <c r="J3381" s="9" t="str">
        <f>IFERROR(__xludf.DUMMYFUNCTION("GOOGLETRANSLATE($A3381,""en"",""pt-BR"")"),"Tahoua")</f>
        <v>Tahoua</v>
      </c>
    </row>
    <row r="3382">
      <c r="A3382" s="9" t="str">
        <f>IFERROR(__xludf.DUMMYFUNCTION("""COMPUTED_VALUE"""),"Dosso")</f>
        <v>Dosso</v>
      </c>
      <c r="B3382" s="9" t="str">
        <f>IFERROR(__xludf.DUMMYFUNCTION("""COMPUTED_VALUE"""),"ne-3")</f>
        <v>ne-3</v>
      </c>
      <c r="C3382" s="9" t="str">
        <f>IFERROR(__xludf.DUMMYFUNCTION("GOOGLETRANSLATE($A3382,""en"",""de"")"),"Dosso")</f>
        <v>Dosso</v>
      </c>
      <c r="D3382" s="9" t="str">
        <f>IFERROR(__xludf.DUMMYFUNCTION("GOOGLETRANSLATE($A3382,""en"",""fr"")"),"Dosso")</f>
        <v>Dosso</v>
      </c>
      <c r="E3382" s="9" t="str">
        <f>IFERROR(__xludf.DUMMYFUNCTION("GOOGLETRANSLATE($A3382,""en"",""es"")"),"Dosso")</f>
        <v>Dosso</v>
      </c>
      <c r="F3382" s="9" t="str">
        <f>IFERROR(__xludf.DUMMYFUNCTION("GOOGLETRANSLATE($A3382,""en"",""it"")"),"Dosso")</f>
        <v>Dosso</v>
      </c>
      <c r="G3382" s="9" t="str">
        <f>IFERROR(__xludf.DUMMYFUNCTION("GOOGLETRANSLATE($A3382,""en"",""zh-cn"")"),"多索")</f>
        <v>多索</v>
      </c>
      <c r="H3382" s="9" t="str">
        <f>IFERROR(__xludf.DUMMYFUNCTION("GOOGLETRANSLATE($A3382,""en"",""ja"")"),"ドッソ")</f>
        <v>ドッソ</v>
      </c>
      <c r="I3382" s="9" t="str">
        <f>IFERROR(__xludf.DUMMYFUNCTION("GOOGLETRANSLATE($A3382,""en"",""ko"")"),"도소")</f>
        <v>도소</v>
      </c>
      <c r="J3382" s="9" t="str">
        <f>IFERROR(__xludf.DUMMYFUNCTION("GOOGLETRANSLATE($A3382,""en"",""pt-BR"")"),"Dosso")</f>
        <v>Dosso</v>
      </c>
    </row>
    <row r="3383">
      <c r="A3383" s="9" t="str">
        <f>IFERROR(__xludf.DUMMYFUNCTION("""COMPUTED_VALUE"""),"Tillabéri")</f>
        <v>Tillabéri</v>
      </c>
      <c r="B3383" s="9" t="str">
        <f>IFERROR(__xludf.DUMMYFUNCTION("""COMPUTED_VALUE"""),"ne-6")</f>
        <v>ne-6</v>
      </c>
      <c r="C3383" s="9" t="str">
        <f>IFERROR(__xludf.DUMMYFUNCTION("GOOGLETRANSLATE($A3383,""en"",""de"")"),"Tillabéri")</f>
        <v>Tillabéri</v>
      </c>
      <c r="D3383" s="9" t="str">
        <f>IFERROR(__xludf.DUMMYFUNCTION("GOOGLETRANSLATE($A3383,""en"",""fr"")"),"Tillabéri")</f>
        <v>Tillabéri</v>
      </c>
      <c r="E3383" s="9" t="str">
        <f>IFERROR(__xludf.DUMMYFUNCTION("GOOGLETRANSLATE($A3383,""en"",""es"")"),"Tillabéri")</f>
        <v>Tillabéri</v>
      </c>
      <c r="F3383" s="9" t="str">
        <f>IFERROR(__xludf.DUMMYFUNCTION("GOOGLETRANSLATE($A3383,""en"",""it"")"),"Tillaberi")</f>
        <v>Tillaberi</v>
      </c>
      <c r="G3383" s="9" t="str">
        <f>IFERROR(__xludf.DUMMYFUNCTION("GOOGLETRANSLATE($A3383,""en"",""zh-cn"")"),"蒂拉贝里")</f>
        <v>蒂拉贝里</v>
      </c>
      <c r="H3383" s="9" t="str">
        <f>IFERROR(__xludf.DUMMYFUNCTION("GOOGLETRANSLATE($A3383,""en"",""ja"")"),"ティラベリ")</f>
        <v>ティラベリ</v>
      </c>
      <c r="I3383" s="9" t="str">
        <f>IFERROR(__xludf.DUMMYFUNCTION("GOOGLETRANSLATE($A3383,""en"",""ko"")"),"틸라베리")</f>
        <v>틸라베리</v>
      </c>
      <c r="J3383" s="9" t="str">
        <f>IFERROR(__xludf.DUMMYFUNCTION("GOOGLETRANSLATE($A3383,""en"",""pt-BR"")"),"Tillabéri")</f>
        <v>Tillabéri</v>
      </c>
    </row>
    <row r="3384">
      <c r="A3384" s="9" t="str">
        <f>IFERROR(__xludf.DUMMYFUNCTION("""COMPUTED_VALUE"""),"Maradi")</f>
        <v>Maradi</v>
      </c>
      <c r="B3384" s="9" t="str">
        <f>IFERROR(__xludf.DUMMYFUNCTION("""COMPUTED_VALUE"""),"ne-4")</f>
        <v>ne-4</v>
      </c>
      <c r="C3384" s="9" t="str">
        <f>IFERROR(__xludf.DUMMYFUNCTION("GOOGLETRANSLATE($A3384,""en"",""de"")"),"Maradi")</f>
        <v>Maradi</v>
      </c>
      <c r="D3384" s="9" t="str">
        <f>IFERROR(__xludf.DUMMYFUNCTION("GOOGLETRANSLATE($A3384,""en"",""fr"")"),"Maradi")</f>
        <v>Maradi</v>
      </c>
      <c r="E3384" s="9" t="str">
        <f>IFERROR(__xludf.DUMMYFUNCTION("GOOGLETRANSLATE($A3384,""en"",""es"")"),"maradi")</f>
        <v>maradi</v>
      </c>
      <c r="F3384" s="9" t="str">
        <f>IFERROR(__xludf.DUMMYFUNCTION("GOOGLETRANSLATE($A3384,""en"",""it"")"),"Maradi")</f>
        <v>Maradi</v>
      </c>
      <c r="G3384" s="9" t="str">
        <f>IFERROR(__xludf.DUMMYFUNCTION("GOOGLETRANSLATE($A3384,""en"",""zh-cn"")"),"马拉迪")</f>
        <v>马拉迪</v>
      </c>
      <c r="H3384" s="9" t="str">
        <f>IFERROR(__xludf.DUMMYFUNCTION("GOOGLETRANSLATE($A3384,""en"",""ja"")"),"マラディ")</f>
        <v>マラディ</v>
      </c>
      <c r="I3384" s="9" t="str">
        <f>IFERROR(__xludf.DUMMYFUNCTION("GOOGLETRANSLATE($A3384,""en"",""ko"")"),"마라디")</f>
        <v>마라디</v>
      </c>
      <c r="J3384" s="9" t="str">
        <f>IFERROR(__xludf.DUMMYFUNCTION("GOOGLETRANSLATE($A3384,""en"",""pt-BR"")"),"Maradi")</f>
        <v>Maradi</v>
      </c>
    </row>
    <row r="3385">
      <c r="A3385" s="9" t="str">
        <f>IFERROR(__xludf.DUMMYFUNCTION("""COMPUTED_VALUE"""),"Niamey")</f>
        <v>Niamey</v>
      </c>
      <c r="B3385" s="9" t="str">
        <f>IFERROR(__xludf.DUMMYFUNCTION("""COMPUTED_VALUE"""),"ne-8")</f>
        <v>ne-8</v>
      </c>
      <c r="C3385" s="9" t="str">
        <f>IFERROR(__xludf.DUMMYFUNCTION("GOOGLETRANSLATE($A3385,""en"",""de"")"),"Niamey")</f>
        <v>Niamey</v>
      </c>
      <c r="D3385" s="9" t="str">
        <f>IFERROR(__xludf.DUMMYFUNCTION("GOOGLETRANSLATE($A3385,""en"",""fr"")"),"Niamey")</f>
        <v>Niamey</v>
      </c>
      <c r="E3385" s="9" t="str">
        <f>IFERROR(__xludf.DUMMYFUNCTION("GOOGLETRANSLATE($A3385,""en"",""es"")"),"niamey")</f>
        <v>niamey</v>
      </c>
      <c r="F3385" s="9" t="str">
        <f>IFERROR(__xludf.DUMMYFUNCTION("GOOGLETRANSLATE($A3385,""en"",""it"")"),"Niamey")</f>
        <v>Niamey</v>
      </c>
      <c r="G3385" s="9" t="str">
        <f>IFERROR(__xludf.DUMMYFUNCTION("GOOGLETRANSLATE($A3385,""en"",""zh-cn"")"),"尼亚美")</f>
        <v>尼亚美</v>
      </c>
      <c r="H3385" s="9" t="str">
        <f>IFERROR(__xludf.DUMMYFUNCTION("GOOGLETRANSLATE($A3385,""en"",""ja"")"),"ニアメ")</f>
        <v>ニアメ</v>
      </c>
      <c r="I3385" s="9" t="str">
        <f>IFERROR(__xludf.DUMMYFUNCTION("GOOGLETRANSLATE($A3385,""en"",""ko"")"),"니아메")</f>
        <v>니아메</v>
      </c>
      <c r="J3385" s="9" t="str">
        <f>IFERROR(__xludf.DUMMYFUNCTION("GOOGLETRANSLATE($A3385,""en"",""pt-BR"")"),"Niamey")</f>
        <v>Niamey</v>
      </c>
    </row>
    <row r="3386">
      <c r="A3386" s="9" t="str">
        <f>IFERROR(__xludf.DUMMYFUNCTION("""COMPUTED_VALUE"""),"Zinder")</f>
        <v>Zinder</v>
      </c>
      <c r="B3386" s="9" t="str">
        <f>IFERROR(__xludf.DUMMYFUNCTION("""COMPUTED_VALUE"""),"ne-7")</f>
        <v>ne-7</v>
      </c>
      <c r="C3386" s="9" t="str">
        <f>IFERROR(__xludf.DUMMYFUNCTION("GOOGLETRANSLATE($A3386,""en"",""de"")"),"Zinder")</f>
        <v>Zinder</v>
      </c>
      <c r="D3386" s="9" t="str">
        <f>IFERROR(__xludf.DUMMYFUNCTION("GOOGLETRANSLATE($A3386,""en"",""fr"")"),"Zinder")</f>
        <v>Zinder</v>
      </c>
      <c r="E3386" s="9" t="str">
        <f>IFERROR(__xludf.DUMMYFUNCTION("GOOGLETRANSLATE($A3386,""en"",""es"")"),"Zinder")</f>
        <v>Zinder</v>
      </c>
      <c r="F3386" s="9" t="str">
        <f>IFERROR(__xludf.DUMMYFUNCTION("GOOGLETRANSLATE($A3386,""en"",""it"")"),"Zinder")</f>
        <v>Zinder</v>
      </c>
      <c r="G3386" s="9" t="str">
        <f>IFERROR(__xludf.DUMMYFUNCTION("GOOGLETRANSLATE($A3386,""en"",""zh-cn"")"),"津德尔")</f>
        <v>津德尔</v>
      </c>
      <c r="H3386" s="9" t="str">
        <f>IFERROR(__xludf.DUMMYFUNCTION("GOOGLETRANSLATE($A3386,""en"",""ja"")"),"ジンダー")</f>
        <v>ジンダー</v>
      </c>
      <c r="I3386" s="9" t="str">
        <f>IFERROR(__xludf.DUMMYFUNCTION("GOOGLETRANSLATE($A3386,""en"",""ko"")"),"진더")</f>
        <v>진더</v>
      </c>
      <c r="J3386" s="9" t="str">
        <f>IFERROR(__xludf.DUMMYFUNCTION("GOOGLETRANSLATE($A3386,""en"",""pt-BR"")"),"Zinder")</f>
        <v>Zinder</v>
      </c>
    </row>
    <row r="3387">
      <c r="A3387" s="9" t="str">
        <f>IFERROR(__xludf.DUMMYFUNCTION("""COMPUTED_VALUE"""),"Oyo")</f>
        <v>Oyo</v>
      </c>
      <c r="B3387" s="9" t="str">
        <f>IFERROR(__xludf.DUMMYFUNCTION("""COMPUTED_VALUE"""),"ng-oy")</f>
        <v>ng-oy</v>
      </c>
      <c r="C3387" s="9" t="str">
        <f>IFERROR(__xludf.DUMMYFUNCTION("GOOGLETRANSLATE($A3387,""en"",""de"")"),"Oyo")</f>
        <v>Oyo</v>
      </c>
      <c r="D3387" s="9" t="str">
        <f>IFERROR(__xludf.DUMMYFUNCTION("GOOGLETRANSLATE($A3387,""en"",""fr"")"),"Oyo")</f>
        <v>Oyo</v>
      </c>
      <c r="E3387" s="9" t="str">
        <f>IFERROR(__xludf.DUMMYFUNCTION("GOOGLETRANSLATE($A3387,""en"",""es"")"),"Oyo")</f>
        <v>Oyo</v>
      </c>
      <c r="F3387" s="9" t="str">
        <f>IFERROR(__xludf.DUMMYFUNCTION("GOOGLETRANSLATE($A3387,""en"",""it"")"),"Oyo")</f>
        <v>Oyo</v>
      </c>
      <c r="G3387" s="9" t="str">
        <f>IFERROR(__xludf.DUMMYFUNCTION("GOOGLETRANSLATE($A3387,""en"",""zh-cn"")"),"奥约")</f>
        <v>奥约</v>
      </c>
      <c r="H3387" s="9" t="str">
        <f>IFERROR(__xludf.DUMMYFUNCTION("GOOGLETRANSLATE($A3387,""en"",""ja"")"),"オーヨ")</f>
        <v>オーヨ</v>
      </c>
      <c r="I3387" s="9" t="str">
        <f>IFERROR(__xludf.DUMMYFUNCTION("GOOGLETRANSLATE($A3387,""en"",""ko"")"),"오요")</f>
        <v>오요</v>
      </c>
      <c r="J3387" s="9" t="str">
        <f>IFERROR(__xludf.DUMMYFUNCTION("GOOGLETRANSLATE($A3387,""en"",""pt-BR"")"),"Oió")</f>
        <v>Oió</v>
      </c>
    </row>
    <row r="3388">
      <c r="A3388" s="9" t="str">
        <f>IFERROR(__xludf.DUMMYFUNCTION("""COMPUTED_VALUE"""),"Jigawa")</f>
        <v>Jigawa</v>
      </c>
      <c r="B3388" s="9" t="str">
        <f>IFERROR(__xludf.DUMMYFUNCTION("""COMPUTED_VALUE"""),"ng-ji")</f>
        <v>ng-ji</v>
      </c>
      <c r="C3388" s="9" t="str">
        <f>IFERROR(__xludf.DUMMYFUNCTION("GOOGLETRANSLATE($A3388,""en"",""de"")"),"Jigawa")</f>
        <v>Jigawa</v>
      </c>
      <c r="D3388" s="9" t="str">
        <f>IFERROR(__xludf.DUMMYFUNCTION("GOOGLETRANSLATE($A3388,""en"",""fr"")"),"Jigawa")</f>
        <v>Jigawa</v>
      </c>
      <c r="E3388" s="9" t="str">
        <f>IFERROR(__xludf.DUMMYFUNCTION("GOOGLETRANSLATE($A3388,""en"",""es"")"),"Jigawa")</f>
        <v>Jigawa</v>
      </c>
      <c r="F3388" s="9" t="str">
        <f>IFERROR(__xludf.DUMMYFUNCTION("GOOGLETRANSLATE($A3388,""en"",""it"")"),"Jigawa")</f>
        <v>Jigawa</v>
      </c>
      <c r="G3388" s="9" t="str">
        <f>IFERROR(__xludf.DUMMYFUNCTION("GOOGLETRANSLATE($A3388,""en"",""zh-cn"")"),"吉川")</f>
        <v>吉川</v>
      </c>
      <c r="H3388" s="9" t="str">
        <f>IFERROR(__xludf.DUMMYFUNCTION("GOOGLETRANSLATE($A3388,""en"",""ja"")"),"地川")</f>
        <v>地川</v>
      </c>
      <c r="I3388" s="9" t="str">
        <f>IFERROR(__xludf.DUMMYFUNCTION("GOOGLETRANSLATE($A3388,""en"",""ko"")"),"지가와")</f>
        <v>지가와</v>
      </c>
      <c r="J3388" s="9" t="str">
        <f>IFERROR(__xludf.DUMMYFUNCTION("GOOGLETRANSLATE($A3388,""en"",""pt-BR"")"),"Jigawa")</f>
        <v>Jigawa</v>
      </c>
    </row>
    <row r="3389">
      <c r="A3389" s="9" t="str">
        <f>IFERROR(__xludf.DUMMYFUNCTION("""COMPUTED_VALUE"""),"Akwa Ibom")</f>
        <v>Akwa Ibom</v>
      </c>
      <c r="B3389" s="9" t="str">
        <f>IFERROR(__xludf.DUMMYFUNCTION("""COMPUTED_VALUE"""),"ng-ak")</f>
        <v>ng-ak</v>
      </c>
      <c r="C3389" s="9" t="str">
        <f>IFERROR(__xludf.DUMMYFUNCTION("GOOGLETRANSLATE($A3389,""en"",""de"")"),"Akwa Ibom")</f>
        <v>Akwa Ibom</v>
      </c>
      <c r="D3389" s="9" t="str">
        <f>IFERROR(__xludf.DUMMYFUNCTION("GOOGLETRANSLATE($A3389,""en"",""fr"")"),"Akwa Ibom")</f>
        <v>Akwa Ibom</v>
      </c>
      <c r="E3389" s="9" t="str">
        <f>IFERROR(__xludf.DUMMYFUNCTION("GOOGLETRANSLATE($A3389,""en"",""es"")"),"Akwa Ibom")</f>
        <v>Akwa Ibom</v>
      </c>
      <c r="F3389" s="9" t="str">
        <f>IFERROR(__xludf.DUMMYFUNCTION("GOOGLETRANSLATE($A3389,""en"",""it"")"),"Akwa Ibom")</f>
        <v>Akwa Ibom</v>
      </c>
      <c r="G3389" s="9" t="str">
        <f>IFERROR(__xludf.DUMMYFUNCTION("GOOGLETRANSLATE($A3389,""en"",""zh-cn"")"),"阿夸伊博姆")</f>
        <v>阿夸伊博姆</v>
      </c>
      <c r="H3389" s="9" t="str">
        <f>IFERROR(__xludf.DUMMYFUNCTION("GOOGLETRANSLATE($A3389,""en"",""ja"")"),"アクワ・イボム")</f>
        <v>アクワ・イボム</v>
      </c>
      <c r="I3389" s="9" t="str">
        <f>IFERROR(__xludf.DUMMYFUNCTION("GOOGLETRANSLATE($A3389,""en"",""ko"")"),"아콰 이봄")</f>
        <v>아콰 이봄</v>
      </c>
      <c r="J3389" s="9" t="str">
        <f>IFERROR(__xludf.DUMMYFUNCTION("GOOGLETRANSLATE($A3389,""en"",""pt-BR"")"),"Akwa Ibom")</f>
        <v>Akwa Ibom</v>
      </c>
    </row>
    <row r="3390">
      <c r="A3390" s="9" t="str">
        <f>IFERROR(__xludf.DUMMYFUNCTION("""COMPUTED_VALUE"""),"Delta")</f>
        <v>Delta</v>
      </c>
      <c r="B3390" s="9" t="str">
        <f>IFERROR(__xludf.DUMMYFUNCTION("""COMPUTED_VALUE"""),"ng-de")</f>
        <v>ng-de</v>
      </c>
      <c r="C3390" s="9" t="str">
        <f>IFERROR(__xludf.DUMMYFUNCTION("GOOGLETRANSLATE($A3390,""en"",""de"")"),"Delta")</f>
        <v>Delta</v>
      </c>
      <c r="D3390" s="9" t="str">
        <f>IFERROR(__xludf.DUMMYFUNCTION("GOOGLETRANSLATE($A3390,""en"",""fr"")"),"Delta")</f>
        <v>Delta</v>
      </c>
      <c r="E3390" s="9" t="str">
        <f>IFERROR(__xludf.DUMMYFUNCTION("GOOGLETRANSLATE($A3390,""en"",""es"")"),"Delta")</f>
        <v>Delta</v>
      </c>
      <c r="F3390" s="9" t="str">
        <f>IFERROR(__xludf.DUMMYFUNCTION("GOOGLETRANSLATE($A3390,""en"",""it"")"),"Delta")</f>
        <v>Delta</v>
      </c>
      <c r="G3390" s="9" t="str">
        <f>IFERROR(__xludf.DUMMYFUNCTION("GOOGLETRANSLATE($A3390,""en"",""zh-cn"")"),"三角洲")</f>
        <v>三角洲</v>
      </c>
      <c r="H3390" s="9" t="str">
        <f>IFERROR(__xludf.DUMMYFUNCTION("GOOGLETRANSLATE($A3390,""en"",""ja"")"),"デルタ")</f>
        <v>デルタ</v>
      </c>
      <c r="I3390" s="9" t="str">
        <f>IFERROR(__xludf.DUMMYFUNCTION("GOOGLETRANSLATE($A3390,""en"",""ko"")"),"델타")</f>
        <v>델타</v>
      </c>
      <c r="J3390" s="9" t="str">
        <f>IFERROR(__xludf.DUMMYFUNCTION("GOOGLETRANSLATE($A3390,""en"",""pt-BR"")"),"Delta")</f>
        <v>Delta</v>
      </c>
    </row>
    <row r="3391">
      <c r="A3391" s="9" t="str">
        <f>IFERROR(__xludf.DUMMYFUNCTION("""COMPUTED_VALUE"""),"Imo")</f>
        <v>Imo</v>
      </c>
      <c r="B3391" s="9" t="str">
        <f>IFERROR(__xludf.DUMMYFUNCTION("""COMPUTED_VALUE"""),"ng-im")</f>
        <v>ng-im</v>
      </c>
      <c r="C3391" s="9" t="str">
        <f>IFERROR(__xludf.DUMMYFUNCTION("GOOGLETRANSLATE($A3391,""en"",""de"")"),"Meiner Meinung nach")</f>
        <v>Meiner Meinung nach</v>
      </c>
      <c r="D3391" s="9" t="str">
        <f>IFERROR(__xludf.DUMMYFUNCTION("GOOGLETRANSLATE($A3391,""en"",""fr"")"),"à mon humble avis")</f>
        <v>à mon humble avis</v>
      </c>
      <c r="E3391" s="9" t="str">
        <f>IFERROR(__xludf.DUMMYFUNCTION("GOOGLETRANSLATE($A3391,""en"",""es"")"),"En mi opinión")</f>
        <v>En mi opinión</v>
      </c>
      <c r="F3391" s="9" t="str">
        <f>IFERROR(__xludf.DUMMYFUNCTION("GOOGLETRANSLATE($A3391,""en"",""it"")"),"secondo me")</f>
        <v>secondo me</v>
      </c>
      <c r="G3391" s="9" t="str">
        <f>IFERROR(__xludf.DUMMYFUNCTION("GOOGLETRANSLATE($A3391,""en"",""zh-cn"")"),"伊莫")</f>
        <v>伊莫</v>
      </c>
      <c r="H3391" s="9" t="str">
        <f>IFERROR(__xludf.DUMMYFUNCTION("GOOGLETRANSLATE($A3391,""en"",""ja"")"),"イモ")</f>
        <v>イモ</v>
      </c>
      <c r="I3391" s="9" t="str">
        <f>IFERROR(__xludf.DUMMYFUNCTION("GOOGLETRANSLATE($A3391,""en"",""ko"")"),"이모")</f>
        <v>이모</v>
      </c>
      <c r="J3391" s="9" t="str">
        <f>IFERROR(__xludf.DUMMYFUNCTION("GOOGLETRANSLATE($A3391,""en"",""pt-BR"")"),"Eu")</f>
        <v>Eu</v>
      </c>
    </row>
    <row r="3392">
      <c r="A3392" s="9" t="str">
        <f>IFERROR(__xludf.DUMMYFUNCTION("""COMPUTED_VALUE"""),"Kebbi")</f>
        <v>Kebbi</v>
      </c>
      <c r="B3392" s="9" t="str">
        <f>IFERROR(__xludf.DUMMYFUNCTION("""COMPUTED_VALUE"""),"ng-ke")</f>
        <v>ng-ke</v>
      </c>
      <c r="C3392" s="9" t="str">
        <f>IFERROR(__xludf.DUMMYFUNCTION("GOOGLETRANSLATE($A3392,""en"",""de"")"),"Kebbi")</f>
        <v>Kebbi</v>
      </c>
      <c r="D3392" s="9" t="str">
        <f>IFERROR(__xludf.DUMMYFUNCTION("GOOGLETRANSLATE($A3392,""en"",""fr"")"),"Kebbi")</f>
        <v>Kebbi</v>
      </c>
      <c r="E3392" s="9" t="str">
        <f>IFERROR(__xludf.DUMMYFUNCTION("GOOGLETRANSLATE($A3392,""en"",""es"")"),"kebbi")</f>
        <v>kebbi</v>
      </c>
      <c r="F3392" s="9" t="str">
        <f>IFERROR(__xludf.DUMMYFUNCTION("GOOGLETRANSLATE($A3392,""en"",""it"")"),"Kebbi")</f>
        <v>Kebbi</v>
      </c>
      <c r="G3392" s="9" t="str">
        <f>IFERROR(__xludf.DUMMYFUNCTION("GOOGLETRANSLATE($A3392,""en"",""zh-cn"")"),"凯比")</f>
        <v>凯比</v>
      </c>
      <c r="H3392" s="9" t="str">
        <f>IFERROR(__xludf.DUMMYFUNCTION("GOOGLETRANSLATE($A3392,""en"",""ja"")"),"ケビ")</f>
        <v>ケビ</v>
      </c>
      <c r="I3392" s="9" t="str">
        <f>IFERROR(__xludf.DUMMYFUNCTION("GOOGLETRANSLATE($A3392,""en"",""ko"")"),"케비")</f>
        <v>케비</v>
      </c>
      <c r="J3392" s="9" t="str">
        <f>IFERROR(__xludf.DUMMYFUNCTION("GOOGLETRANSLATE($A3392,""en"",""pt-BR"")"),"Kebbi")</f>
        <v>Kebbi</v>
      </c>
    </row>
    <row r="3393">
      <c r="A3393" s="9" t="str">
        <f>IFERROR(__xludf.DUMMYFUNCTION("""COMPUTED_VALUE"""),"Edo")</f>
        <v>Edo</v>
      </c>
      <c r="B3393" s="9" t="str">
        <f>IFERROR(__xludf.DUMMYFUNCTION("""COMPUTED_VALUE"""),"ng-ed")</f>
        <v>ng-ed</v>
      </c>
      <c r="C3393" s="9" t="str">
        <f>IFERROR(__xludf.DUMMYFUNCTION("GOOGLETRANSLATE($A3393,""en"",""de"")"),"Edo")</f>
        <v>Edo</v>
      </c>
      <c r="D3393" s="9" t="str">
        <f>IFERROR(__xludf.DUMMYFUNCTION("GOOGLETRANSLATE($A3393,""en"",""fr"")"),"Édo")</f>
        <v>Édo</v>
      </c>
      <c r="E3393" s="9" t="str">
        <f>IFERROR(__xludf.DUMMYFUNCTION("GOOGLETRANSLATE($A3393,""en"",""es"")"),"Edo")</f>
        <v>Edo</v>
      </c>
      <c r="F3393" s="9" t="str">
        <f>IFERROR(__xludf.DUMMYFUNCTION("GOOGLETRANSLATE($A3393,""en"",""it"")"),"Edo")</f>
        <v>Edo</v>
      </c>
      <c r="G3393" s="9" t="str">
        <f>IFERROR(__xludf.DUMMYFUNCTION("GOOGLETRANSLATE($A3393,""en"",""zh-cn"")"),"江户")</f>
        <v>江户</v>
      </c>
      <c r="H3393" s="9" t="str">
        <f>IFERROR(__xludf.DUMMYFUNCTION("GOOGLETRANSLATE($A3393,""en"",""ja"")"),"江戸")</f>
        <v>江戸</v>
      </c>
      <c r="I3393" s="9" t="str">
        <f>IFERROR(__xludf.DUMMYFUNCTION("GOOGLETRANSLATE($A3393,""en"",""ko"")"),"에도")</f>
        <v>에도</v>
      </c>
      <c r="J3393" s="9" t="str">
        <f>IFERROR(__xludf.DUMMYFUNCTION("GOOGLETRANSLATE($A3393,""en"",""pt-BR"")"),"Edo")</f>
        <v>Edo</v>
      </c>
    </row>
    <row r="3394">
      <c r="A3394" s="9" t="str">
        <f>IFERROR(__xludf.DUMMYFUNCTION("""COMPUTED_VALUE"""),"Ogun")</f>
        <v>Ogun</v>
      </c>
      <c r="B3394" s="9" t="str">
        <f>IFERROR(__xludf.DUMMYFUNCTION("""COMPUTED_VALUE"""),"ng-og")</f>
        <v>ng-og</v>
      </c>
      <c r="C3394" s="9" t="str">
        <f>IFERROR(__xludf.DUMMYFUNCTION("GOOGLETRANSLATE($A3394,""en"",""de"")"),"Ogun")</f>
        <v>Ogun</v>
      </c>
      <c r="D3394" s="9" t="str">
        <f>IFERROR(__xludf.DUMMYFUNCTION("GOOGLETRANSLATE($A3394,""en"",""fr"")"),"Ogun")</f>
        <v>Ogun</v>
      </c>
      <c r="E3394" s="9" t="str">
        <f>IFERROR(__xludf.DUMMYFUNCTION("GOOGLETRANSLATE($A3394,""en"",""es"")"),"Ogún")</f>
        <v>Ogún</v>
      </c>
      <c r="F3394" s="9" t="str">
        <f>IFERROR(__xludf.DUMMYFUNCTION("GOOGLETRANSLATE($A3394,""en"",""it"")"),"Ogun")</f>
        <v>Ogun</v>
      </c>
      <c r="G3394" s="9" t="str">
        <f>IFERROR(__xludf.DUMMYFUNCTION("GOOGLETRANSLATE($A3394,""en"",""zh-cn"")"),"奥贡")</f>
        <v>奥贡</v>
      </c>
      <c r="H3394" s="9" t="str">
        <f>IFERROR(__xludf.DUMMYFUNCTION("GOOGLETRANSLATE($A3394,""en"",""ja"")"),"オグン")</f>
        <v>オグン</v>
      </c>
      <c r="I3394" s="9" t="str">
        <f>IFERROR(__xludf.DUMMYFUNCTION("GOOGLETRANSLATE($A3394,""en"",""ko"")"),"오군")</f>
        <v>오군</v>
      </c>
      <c r="J3394" s="9" t="str">
        <f>IFERROR(__xludf.DUMMYFUNCTION("GOOGLETRANSLATE($A3394,""en"",""pt-BR"")"),"Ogum")</f>
        <v>Ogum</v>
      </c>
    </row>
    <row r="3395">
      <c r="A3395" s="9" t="str">
        <f>IFERROR(__xludf.DUMMYFUNCTION("""COMPUTED_VALUE"""),"Enugu")</f>
        <v>Enugu</v>
      </c>
      <c r="B3395" s="9" t="str">
        <f>IFERROR(__xludf.DUMMYFUNCTION("""COMPUTED_VALUE"""),"ng-en")</f>
        <v>ng-en</v>
      </c>
      <c r="C3395" s="9" t="str">
        <f>IFERROR(__xludf.DUMMYFUNCTION("GOOGLETRANSLATE($A3395,""en"",""de"")"),"Enugu")</f>
        <v>Enugu</v>
      </c>
      <c r="D3395" s="9" t="str">
        <f>IFERROR(__xludf.DUMMYFUNCTION("GOOGLETRANSLATE($A3395,""en"",""fr"")"),"Enugu")</f>
        <v>Enugu</v>
      </c>
      <c r="E3395" s="9" t="str">
        <f>IFERROR(__xludf.DUMMYFUNCTION("GOOGLETRANSLATE($A3395,""en"",""es"")"),"Enugu")</f>
        <v>Enugu</v>
      </c>
      <c r="F3395" s="9" t="str">
        <f>IFERROR(__xludf.DUMMYFUNCTION("GOOGLETRANSLATE($A3395,""en"",""it"")"),"Enugu")</f>
        <v>Enugu</v>
      </c>
      <c r="G3395" s="9" t="str">
        <f>IFERROR(__xludf.DUMMYFUNCTION("GOOGLETRANSLATE($A3395,""en"",""zh-cn"")"),"埃努古")</f>
        <v>埃努古</v>
      </c>
      <c r="H3395" s="9" t="str">
        <f>IFERROR(__xludf.DUMMYFUNCTION("GOOGLETRANSLATE($A3395,""en"",""ja"")"),"エヌグ")</f>
        <v>エヌグ</v>
      </c>
      <c r="I3395" s="9" t="str">
        <f>IFERROR(__xludf.DUMMYFUNCTION("GOOGLETRANSLATE($A3395,""en"",""ko"")"),"에누구")</f>
        <v>에누구</v>
      </c>
      <c r="J3395" s="9" t="str">
        <f>IFERROR(__xludf.DUMMYFUNCTION("GOOGLETRANSLATE($A3395,""en"",""pt-BR"")"),"Enugu")</f>
        <v>Enugu</v>
      </c>
    </row>
    <row r="3396">
      <c r="A3396" s="9" t="str">
        <f>IFERROR(__xludf.DUMMYFUNCTION("""COMPUTED_VALUE"""),"Gombe")</f>
        <v>Gombe</v>
      </c>
      <c r="B3396" s="9" t="str">
        <f>IFERROR(__xludf.DUMMYFUNCTION("""COMPUTED_VALUE"""),"ng-go")</f>
        <v>ng-go</v>
      </c>
      <c r="C3396" s="9" t="str">
        <f>IFERROR(__xludf.DUMMYFUNCTION("GOOGLETRANSLATE($A3396,""en"",""de"")"),"Gombe")</f>
        <v>Gombe</v>
      </c>
      <c r="D3396" s="9" t="str">
        <f>IFERROR(__xludf.DUMMYFUNCTION("GOOGLETRANSLATE($A3396,""en"",""fr"")"),"Gombe")</f>
        <v>Gombe</v>
      </c>
      <c r="E3396" s="9" t="str">
        <f>IFERROR(__xludf.DUMMYFUNCTION("GOOGLETRANSLATE($A3396,""en"",""es"")"),"Gombé")</f>
        <v>Gombé</v>
      </c>
      <c r="F3396" s="9" t="str">
        <f>IFERROR(__xludf.DUMMYFUNCTION("GOOGLETRANSLATE($A3396,""en"",""it"")"),"Gombe")</f>
        <v>Gombe</v>
      </c>
      <c r="G3396" s="9" t="str">
        <f>IFERROR(__xludf.DUMMYFUNCTION("GOOGLETRANSLATE($A3396,""en"",""zh-cn"")"),"贡贝")</f>
        <v>贡贝</v>
      </c>
      <c r="H3396" s="9" t="str">
        <f>IFERROR(__xludf.DUMMYFUNCTION("GOOGLETRANSLATE($A3396,""en"",""ja"")"),"ゴンベ")</f>
        <v>ゴンベ</v>
      </c>
      <c r="I3396" s="9" t="str">
        <f>IFERROR(__xludf.DUMMYFUNCTION("GOOGLETRANSLATE($A3396,""en"",""ko"")"),"곰베")</f>
        <v>곰베</v>
      </c>
      <c r="J3396" s="9" t="str">
        <f>IFERROR(__xludf.DUMMYFUNCTION("GOOGLETRANSLATE($A3396,""en"",""pt-BR"")"),"Gombe")</f>
        <v>Gombe</v>
      </c>
    </row>
    <row r="3397">
      <c r="A3397" s="9" t="str">
        <f>IFERROR(__xludf.DUMMYFUNCTION("""COMPUTED_VALUE"""),"Yobe")</f>
        <v>Yobe</v>
      </c>
      <c r="B3397" s="9" t="str">
        <f>IFERROR(__xludf.DUMMYFUNCTION("""COMPUTED_VALUE"""),"ng-yo")</f>
        <v>ng-yo</v>
      </c>
      <c r="C3397" s="9" t="str">
        <f>IFERROR(__xludf.DUMMYFUNCTION("GOOGLETRANSLATE($A3397,""en"",""de"")"),"Yobe")</f>
        <v>Yobe</v>
      </c>
      <c r="D3397" s="9" t="str">
        <f>IFERROR(__xludf.DUMMYFUNCTION("GOOGLETRANSLATE($A3397,""en"",""fr"")"),"Yobé")</f>
        <v>Yobé</v>
      </c>
      <c r="E3397" s="9" t="str">
        <f>IFERROR(__xludf.DUMMYFUNCTION("GOOGLETRANSLATE($A3397,""en"",""es"")"),"Yobe")</f>
        <v>Yobe</v>
      </c>
      <c r="F3397" s="9" t="str">
        <f>IFERROR(__xludf.DUMMYFUNCTION("GOOGLETRANSLATE($A3397,""en"",""it"")"),"Yobe")</f>
        <v>Yobe</v>
      </c>
      <c r="G3397" s="9" t="str">
        <f>IFERROR(__xludf.DUMMYFUNCTION("GOOGLETRANSLATE($A3397,""en"",""zh-cn"")"),"约贝")</f>
        <v>约贝</v>
      </c>
      <c r="H3397" s="9" t="str">
        <f>IFERROR(__xludf.DUMMYFUNCTION("GOOGLETRANSLATE($A3397,""en"",""ja"")"),"ヨベ")</f>
        <v>ヨベ</v>
      </c>
      <c r="I3397" s="9" t="str">
        <f>IFERROR(__xludf.DUMMYFUNCTION("GOOGLETRANSLATE($A3397,""en"",""ko"")"),"요베")</f>
        <v>요베</v>
      </c>
      <c r="J3397" s="9" t="str">
        <f>IFERROR(__xludf.DUMMYFUNCTION("GOOGLETRANSLATE($A3397,""en"",""pt-BR"")"),"Yobe")</f>
        <v>Yobe</v>
      </c>
    </row>
    <row r="3398">
      <c r="A3398" s="9" t="str">
        <f>IFERROR(__xludf.DUMMYFUNCTION("""COMPUTED_VALUE"""),"Kogi")</f>
        <v>Kogi</v>
      </c>
      <c r="B3398" s="9" t="str">
        <f>IFERROR(__xludf.DUMMYFUNCTION("""COMPUTED_VALUE"""),"ng-ko")</f>
        <v>ng-ko</v>
      </c>
      <c r="C3398" s="9" t="str">
        <f>IFERROR(__xludf.DUMMYFUNCTION("GOOGLETRANSLATE($A3398,""en"",""de"")"),"Kogi")</f>
        <v>Kogi</v>
      </c>
      <c r="D3398" s="9" t="str">
        <f>IFERROR(__xludf.DUMMYFUNCTION("GOOGLETRANSLATE($A3398,""en"",""fr"")"),"Kogi")</f>
        <v>Kogi</v>
      </c>
      <c r="E3398" s="9" t="str">
        <f>IFERROR(__xludf.DUMMYFUNCTION("GOOGLETRANSLATE($A3398,""en"",""es"")"),"Kogi")</f>
        <v>Kogi</v>
      </c>
      <c r="F3398" s="9" t="str">
        <f>IFERROR(__xludf.DUMMYFUNCTION("GOOGLETRANSLATE($A3398,""en"",""it"")"),"Kogi")</f>
        <v>Kogi</v>
      </c>
      <c r="G3398" s="9" t="str">
        <f>IFERROR(__xludf.DUMMYFUNCTION("GOOGLETRANSLATE($A3398,""en"",""zh-cn"")"),"小木")</f>
        <v>小木</v>
      </c>
      <c r="H3398" s="9" t="str">
        <f>IFERROR(__xludf.DUMMYFUNCTION("GOOGLETRANSLATE($A3398,""en"",""ja"")"),"古木")</f>
        <v>古木</v>
      </c>
      <c r="I3398" s="9" t="str">
        <f>IFERROR(__xludf.DUMMYFUNCTION("GOOGLETRANSLATE($A3398,""en"",""ko"")"),"코기")</f>
        <v>코기</v>
      </c>
      <c r="J3398" s="9" t="str">
        <f>IFERROR(__xludf.DUMMYFUNCTION("GOOGLETRANSLATE($A3398,""en"",""pt-BR"")"),"Kogi")</f>
        <v>Kogi</v>
      </c>
    </row>
    <row r="3399">
      <c r="A3399" s="9" t="str">
        <f>IFERROR(__xludf.DUMMYFUNCTION("""COMPUTED_VALUE"""),"Borno")</f>
        <v>Borno</v>
      </c>
      <c r="B3399" s="9" t="str">
        <f>IFERROR(__xludf.DUMMYFUNCTION("""COMPUTED_VALUE"""),"ng-bo")</f>
        <v>ng-bo</v>
      </c>
      <c r="C3399" s="9" t="str">
        <f>IFERROR(__xludf.DUMMYFUNCTION("GOOGLETRANSLATE($A3399,""en"",""de"")"),"Borno")</f>
        <v>Borno</v>
      </c>
      <c r="D3399" s="9" t="str">
        <f>IFERROR(__xludf.DUMMYFUNCTION("GOOGLETRANSLATE($A3399,""en"",""fr"")"),"Borno")</f>
        <v>Borno</v>
      </c>
      <c r="E3399" s="9" t="str">
        <f>IFERROR(__xludf.DUMMYFUNCTION("GOOGLETRANSLATE($A3399,""en"",""es"")"),"Borno")</f>
        <v>Borno</v>
      </c>
      <c r="F3399" s="9" t="str">
        <f>IFERROR(__xludf.DUMMYFUNCTION("GOOGLETRANSLATE($A3399,""en"",""it"")"),"Borno")</f>
        <v>Borno</v>
      </c>
      <c r="G3399" s="9" t="str">
        <f>IFERROR(__xludf.DUMMYFUNCTION("GOOGLETRANSLATE($A3399,""en"",""zh-cn"")"),"博尔诺")</f>
        <v>博尔诺</v>
      </c>
      <c r="H3399" s="9" t="str">
        <f>IFERROR(__xludf.DUMMYFUNCTION("GOOGLETRANSLATE($A3399,""en"",""ja"")"),"ボルノ")</f>
        <v>ボルノ</v>
      </c>
      <c r="I3399" s="9" t="str">
        <f>IFERROR(__xludf.DUMMYFUNCTION("GOOGLETRANSLATE($A3399,""en"",""ko"")"),"보르노")</f>
        <v>보르노</v>
      </c>
      <c r="J3399" s="9" t="str">
        <f>IFERROR(__xludf.DUMMYFUNCTION("GOOGLETRANSLATE($A3399,""en"",""pt-BR"")"),"Borno")</f>
        <v>Borno</v>
      </c>
    </row>
    <row r="3400">
      <c r="A3400" s="9" t="str">
        <f>IFERROR(__xludf.DUMMYFUNCTION("""COMPUTED_VALUE"""),"Rivers")</f>
        <v>Rivers</v>
      </c>
      <c r="B3400" s="9" t="str">
        <f>IFERROR(__xludf.DUMMYFUNCTION("""COMPUTED_VALUE"""),"ng-ri")</f>
        <v>ng-ri</v>
      </c>
      <c r="C3400" s="9" t="str">
        <f>IFERROR(__xludf.DUMMYFUNCTION("GOOGLETRANSLATE($A3400,""en"",""de"")"),"Flüsse")</f>
        <v>Flüsse</v>
      </c>
      <c r="D3400" s="9" t="str">
        <f>IFERROR(__xludf.DUMMYFUNCTION("GOOGLETRANSLATE($A3400,""en"",""fr"")"),"Rivières")</f>
        <v>Rivières</v>
      </c>
      <c r="E3400" s="9" t="str">
        <f>IFERROR(__xludf.DUMMYFUNCTION("GOOGLETRANSLATE($A3400,""en"",""es"")"),"ríos")</f>
        <v>ríos</v>
      </c>
      <c r="F3400" s="9" t="str">
        <f>IFERROR(__xludf.DUMMYFUNCTION("GOOGLETRANSLATE($A3400,""en"",""it"")"),"Fiumi")</f>
        <v>Fiumi</v>
      </c>
      <c r="G3400" s="9" t="str">
        <f>IFERROR(__xludf.DUMMYFUNCTION("GOOGLETRANSLATE($A3400,""en"",""zh-cn"")"),"河流")</f>
        <v>河流</v>
      </c>
      <c r="H3400" s="9" t="str">
        <f>IFERROR(__xludf.DUMMYFUNCTION("GOOGLETRANSLATE($A3400,""en"",""ja"")"),"河川")</f>
        <v>河川</v>
      </c>
      <c r="I3400" s="9" t="str">
        <f>IFERROR(__xludf.DUMMYFUNCTION("GOOGLETRANSLATE($A3400,""en"",""ko"")"),"강하")</f>
        <v>강하</v>
      </c>
      <c r="J3400" s="9" t="str">
        <f>IFERROR(__xludf.DUMMYFUNCTION("GOOGLETRANSLATE($A3400,""en"",""pt-BR"")"),"Rios")</f>
        <v>Rios</v>
      </c>
    </row>
    <row r="3401">
      <c r="A3401" s="9" t="str">
        <f>IFERROR(__xludf.DUMMYFUNCTION("""COMPUTED_VALUE"""),"Kano")</f>
        <v>Kano</v>
      </c>
      <c r="B3401" s="9" t="str">
        <f>IFERROR(__xludf.DUMMYFUNCTION("""COMPUTED_VALUE"""),"ng-kn")</f>
        <v>ng-kn</v>
      </c>
      <c r="C3401" s="9" t="str">
        <f>IFERROR(__xludf.DUMMYFUNCTION("GOOGLETRANSLATE($A3401,""en"",""de"")"),"Kano")</f>
        <v>Kano</v>
      </c>
      <c r="D3401" s="9" t="str">
        <f>IFERROR(__xludf.DUMMYFUNCTION("GOOGLETRANSLATE($A3401,""en"",""fr"")"),"Kano")</f>
        <v>Kano</v>
      </c>
      <c r="E3401" s="9" t="str">
        <f>IFERROR(__xludf.DUMMYFUNCTION("GOOGLETRANSLATE($A3401,""en"",""es"")"),"cano")</f>
        <v>cano</v>
      </c>
      <c r="F3401" s="9" t="str">
        <f>IFERROR(__xludf.DUMMYFUNCTION("GOOGLETRANSLATE($A3401,""en"",""it"")"),"Kano")</f>
        <v>Kano</v>
      </c>
      <c r="G3401" s="9" t="str">
        <f>IFERROR(__xludf.DUMMYFUNCTION("GOOGLETRANSLATE($A3401,""en"",""zh-cn"")"),"卡诺")</f>
        <v>卡诺</v>
      </c>
      <c r="H3401" s="9" t="str">
        <f>IFERROR(__xludf.DUMMYFUNCTION("GOOGLETRANSLATE($A3401,""en"",""ja"")"),"カノ")</f>
        <v>カノ</v>
      </c>
      <c r="I3401" s="9" t="str">
        <f>IFERROR(__xludf.DUMMYFUNCTION("GOOGLETRANSLATE($A3401,""en"",""ko"")"),"카노")</f>
        <v>카노</v>
      </c>
      <c r="J3401" s="9" t="str">
        <f>IFERROR(__xludf.DUMMYFUNCTION("GOOGLETRANSLATE($A3401,""en"",""pt-BR"")"),"Kano")</f>
        <v>Kano</v>
      </c>
    </row>
    <row r="3402">
      <c r="A3402" s="9" t="str">
        <f>IFERROR(__xludf.DUMMYFUNCTION("""COMPUTED_VALUE"""),"Plateau (NG)")</f>
        <v>Plateau (NG)</v>
      </c>
      <c r="B3402" s="9" t="str">
        <f>IFERROR(__xludf.DUMMYFUNCTION("""COMPUTED_VALUE"""),"ng-pl")</f>
        <v>ng-pl</v>
      </c>
      <c r="C3402" s="9" t="str">
        <f>IFERROR(__xludf.DUMMYFUNCTION("GOOGLETRANSLATE($A3402,""en"",""de"")"),"Plateau (NG)")</f>
        <v>Plateau (NG)</v>
      </c>
      <c r="D3402" s="9" t="str">
        <f>IFERROR(__xludf.DUMMYFUNCTION("GOOGLETRANSLATE($A3402,""en"",""fr"")"),"Plateau (NG)")</f>
        <v>Plateau (NG)</v>
      </c>
      <c r="E3402" s="9" t="str">
        <f>IFERROR(__xludf.DUMMYFUNCTION("GOOGLETRANSLATE($A3402,""en"",""es"")"),"Meseta (NG)")</f>
        <v>Meseta (NG)</v>
      </c>
      <c r="F3402" s="9" t="str">
        <f>IFERROR(__xludf.DUMMYFUNCTION("GOOGLETRANSLATE($A3402,""en"",""it"")"),"Altopiano (NG)")</f>
        <v>Altopiano (NG)</v>
      </c>
      <c r="G3402" s="9" t="str">
        <f>IFERROR(__xludf.DUMMYFUNCTION("GOOGLETRANSLATE($A3402,""en"",""zh-cn"")"),"高原 (NG)")</f>
        <v>高原 (NG)</v>
      </c>
      <c r="H3402" s="9" t="str">
        <f>IFERROR(__xludf.DUMMYFUNCTION("GOOGLETRANSLATE($A3402,""en"",""ja"")"),"高原（NG）")</f>
        <v>高原（NG）</v>
      </c>
      <c r="I3402" s="9" t="str">
        <f>IFERROR(__xludf.DUMMYFUNCTION("GOOGLETRANSLATE($A3402,""en"",""ko"")"),"고원(NG)")</f>
        <v>고원(NG)</v>
      </c>
      <c r="J3402" s="9" t="str">
        <f>IFERROR(__xludf.DUMMYFUNCTION("GOOGLETRANSLATE($A3402,""en"",""pt-BR"")"),"Planalto (NG)")</f>
        <v>Planalto (NG)</v>
      </c>
    </row>
    <row r="3403">
      <c r="A3403" s="9" t="str">
        <f>IFERROR(__xludf.DUMMYFUNCTION("""COMPUTED_VALUE"""),"Niger")</f>
        <v>Niger</v>
      </c>
      <c r="B3403" s="9" t="str">
        <f>IFERROR(__xludf.DUMMYFUNCTION("""COMPUTED_VALUE"""),"ng-ni")</f>
        <v>ng-ni</v>
      </c>
      <c r="C3403" s="9" t="str">
        <f>IFERROR(__xludf.DUMMYFUNCTION("GOOGLETRANSLATE($A3403,""en"",""de"")"),"Niger")</f>
        <v>Niger</v>
      </c>
      <c r="D3403" s="9" t="str">
        <f>IFERROR(__xludf.DUMMYFUNCTION("GOOGLETRANSLATE($A3403,""en"",""fr"")"),"Niger")</f>
        <v>Niger</v>
      </c>
      <c r="E3403" s="9" t="str">
        <f>IFERROR(__xludf.DUMMYFUNCTION("GOOGLETRANSLATE($A3403,""en"",""es"")"),"Níger")</f>
        <v>Níger</v>
      </c>
      <c r="F3403" s="9" t="str">
        <f>IFERROR(__xludf.DUMMYFUNCTION("GOOGLETRANSLATE($A3403,""en"",""it"")"),"Niger")</f>
        <v>Niger</v>
      </c>
      <c r="G3403" s="9" t="str">
        <f>IFERROR(__xludf.DUMMYFUNCTION("GOOGLETRANSLATE($A3403,""en"",""zh-cn"")"),"尼日尔")</f>
        <v>尼日尔</v>
      </c>
      <c r="H3403" s="9" t="str">
        <f>IFERROR(__xludf.DUMMYFUNCTION("GOOGLETRANSLATE($A3403,""en"",""ja"")"),"ニジェール")</f>
        <v>ニジェール</v>
      </c>
      <c r="I3403" s="9" t="str">
        <f>IFERROR(__xludf.DUMMYFUNCTION("GOOGLETRANSLATE($A3403,""en"",""ko"")"),"니제르")</f>
        <v>니제르</v>
      </c>
      <c r="J3403" s="9" t="str">
        <f>IFERROR(__xludf.DUMMYFUNCTION("GOOGLETRANSLATE($A3403,""en"",""pt-BR"")"),"Níger")</f>
        <v>Níger</v>
      </c>
    </row>
    <row r="3404">
      <c r="A3404" s="9" t="str">
        <f>IFERROR(__xludf.DUMMYFUNCTION("""COMPUTED_VALUE"""),"Bayelsa")</f>
        <v>Bayelsa</v>
      </c>
      <c r="B3404" s="9" t="str">
        <f>IFERROR(__xludf.DUMMYFUNCTION("""COMPUTED_VALUE"""),"ng-by")</f>
        <v>ng-by</v>
      </c>
      <c r="C3404" s="9" t="str">
        <f>IFERROR(__xludf.DUMMYFUNCTION("GOOGLETRANSLATE($A3404,""en"",""de"")"),"Bayelsa")</f>
        <v>Bayelsa</v>
      </c>
      <c r="D3404" s="9" t="str">
        <f>IFERROR(__xludf.DUMMYFUNCTION("GOOGLETRANSLATE($A3404,""en"",""fr"")"),"Bayelsa")</f>
        <v>Bayelsa</v>
      </c>
      <c r="E3404" s="9" t="str">
        <f>IFERROR(__xludf.DUMMYFUNCTION("GOOGLETRANSLATE($A3404,""en"",""es"")"),"bayelsa")</f>
        <v>bayelsa</v>
      </c>
      <c r="F3404" s="9" t="str">
        <f>IFERROR(__xludf.DUMMYFUNCTION("GOOGLETRANSLATE($A3404,""en"",""it"")"),"Bayelsa")</f>
        <v>Bayelsa</v>
      </c>
      <c r="G3404" s="9" t="str">
        <f>IFERROR(__xludf.DUMMYFUNCTION("GOOGLETRANSLATE($A3404,""en"",""zh-cn"")"),"巴耶尔萨")</f>
        <v>巴耶尔萨</v>
      </c>
      <c r="H3404" s="9" t="str">
        <f>IFERROR(__xludf.DUMMYFUNCTION("GOOGLETRANSLATE($A3404,""en"",""ja"")"),"バエルサ")</f>
        <v>バエルサ</v>
      </c>
      <c r="I3404" s="9" t="str">
        <f>IFERROR(__xludf.DUMMYFUNCTION("GOOGLETRANSLATE($A3404,""en"",""ko"")"),"바이엘사")</f>
        <v>바이엘사</v>
      </c>
      <c r="J3404" s="9" t="str">
        <f>IFERROR(__xludf.DUMMYFUNCTION("GOOGLETRANSLATE($A3404,""en"",""pt-BR"")"),"Bayelsa")</f>
        <v>Bayelsa</v>
      </c>
    </row>
    <row r="3405">
      <c r="A3405" s="9" t="str">
        <f>IFERROR(__xludf.DUMMYFUNCTION("""COMPUTED_VALUE"""),"Sokoto")</f>
        <v>Sokoto</v>
      </c>
      <c r="B3405" s="9" t="str">
        <f>IFERROR(__xludf.DUMMYFUNCTION("""COMPUTED_VALUE"""),"ng-so")</f>
        <v>ng-so</v>
      </c>
      <c r="C3405" s="9" t="str">
        <f>IFERROR(__xludf.DUMMYFUNCTION("GOOGLETRANSLATE($A3405,""en"",""de"")"),"Sokoto")</f>
        <v>Sokoto</v>
      </c>
      <c r="D3405" s="9" t="str">
        <f>IFERROR(__xludf.DUMMYFUNCTION("GOOGLETRANSLATE($A3405,""en"",""fr"")"),"Sokoto")</f>
        <v>Sokoto</v>
      </c>
      <c r="E3405" s="9" t="str">
        <f>IFERROR(__xludf.DUMMYFUNCTION("GOOGLETRANSLATE($A3405,""en"",""es"")"),"sokoto")</f>
        <v>sokoto</v>
      </c>
      <c r="F3405" s="9" t="str">
        <f>IFERROR(__xludf.DUMMYFUNCTION("GOOGLETRANSLATE($A3405,""en"",""it"")"),"Sokoto")</f>
        <v>Sokoto</v>
      </c>
      <c r="G3405" s="9" t="str">
        <f>IFERROR(__xludf.DUMMYFUNCTION("GOOGLETRANSLATE($A3405,""en"",""zh-cn"")"),"索科托")</f>
        <v>索科托</v>
      </c>
      <c r="H3405" s="9" t="str">
        <f>IFERROR(__xludf.DUMMYFUNCTION("GOOGLETRANSLATE($A3405,""en"",""ja"")"),"ソコト")</f>
        <v>ソコト</v>
      </c>
      <c r="I3405" s="9" t="str">
        <f>IFERROR(__xludf.DUMMYFUNCTION("GOOGLETRANSLATE($A3405,""en"",""ko"")"),"소코토")</f>
        <v>소코토</v>
      </c>
      <c r="J3405" s="9" t="str">
        <f>IFERROR(__xludf.DUMMYFUNCTION("GOOGLETRANSLATE($A3405,""en"",""pt-BR"")"),"Sokoto")</f>
        <v>Sokoto</v>
      </c>
    </row>
    <row r="3406">
      <c r="A3406" s="9" t="str">
        <f>IFERROR(__xludf.DUMMYFUNCTION("""COMPUTED_VALUE"""),"Abia")</f>
        <v>Abia</v>
      </c>
      <c r="B3406" s="9" t="str">
        <f>IFERROR(__xludf.DUMMYFUNCTION("""COMPUTED_VALUE"""),"ng-ab")</f>
        <v>ng-ab</v>
      </c>
      <c r="C3406" s="9" t="str">
        <f>IFERROR(__xludf.DUMMYFUNCTION("GOOGLETRANSLATE($A3406,""en"",""de"")"),"Abia")</f>
        <v>Abia</v>
      </c>
      <c r="D3406" s="9" t="str">
        <f>IFERROR(__xludf.DUMMYFUNCTION("GOOGLETRANSLATE($A3406,""en"",""fr"")"),"Abia")</f>
        <v>Abia</v>
      </c>
      <c r="E3406" s="9" t="str">
        <f>IFERROR(__xludf.DUMMYFUNCTION("GOOGLETRANSLATE($A3406,""en"",""es"")"),"abia")</f>
        <v>abia</v>
      </c>
      <c r="F3406" s="9" t="str">
        <f>IFERROR(__xludf.DUMMYFUNCTION("GOOGLETRANSLATE($A3406,""en"",""it"")"),"Abia")</f>
        <v>Abia</v>
      </c>
      <c r="G3406" s="9" t="str">
        <f>IFERROR(__xludf.DUMMYFUNCTION("GOOGLETRANSLATE($A3406,""en"",""zh-cn"")"),"阿比亚")</f>
        <v>阿比亚</v>
      </c>
      <c r="H3406" s="9" t="str">
        <f>IFERROR(__xludf.DUMMYFUNCTION("GOOGLETRANSLATE($A3406,""en"",""ja"")"),"アビア")</f>
        <v>アビア</v>
      </c>
      <c r="I3406" s="9" t="str">
        <f>IFERROR(__xludf.DUMMYFUNCTION("GOOGLETRANSLATE($A3406,""en"",""ko"")"),"아비아")</f>
        <v>아비아</v>
      </c>
      <c r="J3406" s="9" t="str">
        <f>IFERROR(__xludf.DUMMYFUNCTION("GOOGLETRANSLATE($A3406,""en"",""pt-BR"")"),"Abia")</f>
        <v>Abia</v>
      </c>
    </row>
    <row r="3407">
      <c r="A3407" s="9" t="str">
        <f>IFERROR(__xludf.DUMMYFUNCTION("""COMPUTED_VALUE"""),"Abuja Federal Capital Territory")</f>
        <v>Abuja Federal Capital Territory</v>
      </c>
      <c r="B3407" s="9" t="str">
        <f>IFERROR(__xludf.DUMMYFUNCTION("""COMPUTED_VALUE"""),"ng-fc")</f>
        <v>ng-fc</v>
      </c>
      <c r="C3407" s="9" t="str">
        <f>IFERROR(__xludf.DUMMYFUNCTION("GOOGLETRANSLATE($A3407,""en"",""de"")"),"Bundeshauptstadtterritorium Abuja")</f>
        <v>Bundeshauptstadtterritorium Abuja</v>
      </c>
      <c r="D3407" s="9" t="str">
        <f>IFERROR(__xludf.DUMMYFUNCTION("GOOGLETRANSLATE($A3407,""en"",""fr"")"),"Territoire de la capitale fédérale d'Abuja")</f>
        <v>Territoire de la capitale fédérale d'Abuja</v>
      </c>
      <c r="E3407" s="9" t="str">
        <f>IFERROR(__xludf.DUMMYFUNCTION("GOOGLETRANSLATE($A3407,""en"",""es"")"),"Territorio de la Capital Federal de Abuya")</f>
        <v>Territorio de la Capital Federal de Abuya</v>
      </c>
      <c r="F3407" s="9" t="str">
        <f>IFERROR(__xludf.DUMMYFUNCTION("GOOGLETRANSLATE($A3407,""en"",""it"")"),"Territorio della capitale federale di Abuja")</f>
        <v>Territorio della capitale federale di Abuja</v>
      </c>
      <c r="G3407" s="9" t="str">
        <f>IFERROR(__xludf.DUMMYFUNCTION("GOOGLETRANSLATE($A3407,""en"",""zh-cn"")"),"阿布贾联邦首都区")</f>
        <v>阿布贾联邦首都区</v>
      </c>
      <c r="H3407" s="9" t="str">
        <f>IFERROR(__xludf.DUMMYFUNCTION("GOOGLETRANSLATE($A3407,""en"",""ja"")"),"アブジャ連邦首都特別地域")</f>
        <v>アブジャ連邦首都特別地域</v>
      </c>
      <c r="I3407" s="9" t="str">
        <f>IFERROR(__xludf.DUMMYFUNCTION("GOOGLETRANSLATE($A3407,""en"",""ko"")"),"아부자 연방수도지구")</f>
        <v>아부자 연방수도지구</v>
      </c>
      <c r="J3407" s="9" t="str">
        <f>IFERROR(__xludf.DUMMYFUNCTION("GOOGLETRANSLATE($A3407,""en"",""pt-BR"")"),"Território da Capital Federal de Abuja")</f>
        <v>Território da Capital Federal de Abuja</v>
      </c>
    </row>
    <row r="3408">
      <c r="A3408" s="9" t="str">
        <f>IFERROR(__xludf.DUMMYFUNCTION("""COMPUTED_VALUE"""),"Bauchi")</f>
        <v>Bauchi</v>
      </c>
      <c r="B3408" s="9" t="str">
        <f>IFERROR(__xludf.DUMMYFUNCTION("""COMPUTED_VALUE"""),"ng-ba")</f>
        <v>ng-ba</v>
      </c>
      <c r="C3408" s="9" t="str">
        <f>IFERROR(__xludf.DUMMYFUNCTION("GOOGLETRANSLATE($A3408,""en"",""de"")"),"Bauchi")</f>
        <v>Bauchi</v>
      </c>
      <c r="D3408" s="9" t="str">
        <f>IFERROR(__xludf.DUMMYFUNCTION("GOOGLETRANSLATE($A3408,""en"",""fr"")"),"Bauchi")</f>
        <v>Bauchi</v>
      </c>
      <c r="E3408" s="9" t="str">
        <f>IFERROR(__xludf.DUMMYFUNCTION("GOOGLETRANSLATE($A3408,""en"",""es"")"),"bauchi")</f>
        <v>bauchi</v>
      </c>
      <c r="F3408" s="9" t="str">
        <f>IFERROR(__xludf.DUMMYFUNCTION("GOOGLETRANSLATE($A3408,""en"",""it"")"),"Bauchi")</f>
        <v>Bauchi</v>
      </c>
      <c r="G3408" s="9" t="str">
        <f>IFERROR(__xludf.DUMMYFUNCTION("GOOGLETRANSLATE($A3408,""en"",""zh-cn"")"),"包奇")</f>
        <v>包奇</v>
      </c>
      <c r="H3408" s="9" t="str">
        <f>IFERROR(__xludf.DUMMYFUNCTION("GOOGLETRANSLATE($A3408,""en"",""ja"")"),"バウチ")</f>
        <v>バウチ</v>
      </c>
      <c r="I3408" s="9" t="str">
        <f>IFERROR(__xludf.DUMMYFUNCTION("GOOGLETRANSLATE($A3408,""en"",""ko"")"),"바우치")</f>
        <v>바우치</v>
      </c>
      <c r="J3408" s="9" t="str">
        <f>IFERROR(__xludf.DUMMYFUNCTION("GOOGLETRANSLATE($A3408,""en"",""pt-BR"")"),"Bauchi")</f>
        <v>Bauchi</v>
      </c>
    </row>
    <row r="3409">
      <c r="A3409" s="9" t="str">
        <f>IFERROR(__xludf.DUMMYFUNCTION("""COMPUTED_VALUE"""),"Katsina")</f>
        <v>Katsina</v>
      </c>
      <c r="B3409" s="9" t="str">
        <f>IFERROR(__xludf.DUMMYFUNCTION("""COMPUTED_VALUE"""),"ng-kt")</f>
        <v>ng-kt</v>
      </c>
      <c r="C3409" s="9" t="str">
        <f>IFERROR(__xludf.DUMMYFUNCTION("GOOGLETRANSLATE($A3409,""en"",""de"")"),"Katsina")</f>
        <v>Katsina</v>
      </c>
      <c r="D3409" s="9" t="str">
        <f>IFERROR(__xludf.DUMMYFUNCTION("GOOGLETRANSLATE($A3409,""en"",""fr"")"),"Katsina")</f>
        <v>Katsina</v>
      </c>
      <c r="E3409" s="9" t="str">
        <f>IFERROR(__xludf.DUMMYFUNCTION("GOOGLETRANSLATE($A3409,""en"",""es"")"),"Katsina")</f>
        <v>Katsina</v>
      </c>
      <c r="F3409" s="9" t="str">
        <f>IFERROR(__xludf.DUMMYFUNCTION("GOOGLETRANSLATE($A3409,""en"",""it"")"),"Katsina")</f>
        <v>Katsina</v>
      </c>
      <c r="G3409" s="9" t="str">
        <f>IFERROR(__xludf.DUMMYFUNCTION("GOOGLETRANSLATE($A3409,""en"",""zh-cn"")"),"卡齐纳")</f>
        <v>卡齐纳</v>
      </c>
      <c r="H3409" s="9" t="str">
        <f>IFERROR(__xludf.DUMMYFUNCTION("GOOGLETRANSLATE($A3409,""en"",""ja"")"),"カツィナ")</f>
        <v>カツィナ</v>
      </c>
      <c r="I3409" s="9" t="str">
        <f>IFERROR(__xludf.DUMMYFUNCTION("GOOGLETRANSLATE($A3409,""en"",""ko"")"),"카치나")</f>
        <v>카치나</v>
      </c>
      <c r="J3409" s="9" t="str">
        <f>IFERROR(__xludf.DUMMYFUNCTION("GOOGLETRANSLATE($A3409,""en"",""pt-BR"")"),"Katsina")</f>
        <v>Katsina</v>
      </c>
    </row>
    <row r="3410">
      <c r="A3410" s="9" t="str">
        <f>IFERROR(__xludf.DUMMYFUNCTION("""COMPUTED_VALUE"""),"Benue")</f>
        <v>Benue</v>
      </c>
      <c r="B3410" s="9" t="str">
        <f>IFERROR(__xludf.DUMMYFUNCTION("""COMPUTED_VALUE"""),"ng-be")</f>
        <v>ng-be</v>
      </c>
      <c r="C3410" s="9" t="str">
        <f>IFERROR(__xludf.DUMMYFUNCTION("GOOGLETRANSLATE($A3410,""en"",""de"")"),"Benue")</f>
        <v>Benue</v>
      </c>
      <c r="D3410" s="9" t="str">
        <f>IFERROR(__xludf.DUMMYFUNCTION("GOOGLETRANSLATE($A3410,""en"",""fr"")"),"Bénoué")</f>
        <v>Bénoué</v>
      </c>
      <c r="E3410" s="9" t="str">
        <f>IFERROR(__xludf.DUMMYFUNCTION("GOOGLETRANSLATE($A3410,""en"",""es"")"),"Benue")</f>
        <v>Benue</v>
      </c>
      <c r="F3410" s="9" t="str">
        <f>IFERROR(__xludf.DUMMYFUNCTION("GOOGLETRANSLATE($A3410,""en"",""it"")"),"Bene")</f>
        <v>Bene</v>
      </c>
      <c r="G3410" s="9" t="str">
        <f>IFERROR(__xludf.DUMMYFUNCTION("GOOGLETRANSLATE($A3410,""en"",""zh-cn"")"),"贝努埃")</f>
        <v>贝努埃</v>
      </c>
      <c r="H3410" s="9" t="str">
        <f>IFERROR(__xludf.DUMMYFUNCTION("GOOGLETRANSLATE($A3410,""en"",""ja"")"),"ベヌエ")</f>
        <v>ベヌエ</v>
      </c>
      <c r="I3410" s="9" t="str">
        <f>IFERROR(__xludf.DUMMYFUNCTION("GOOGLETRANSLATE($A3410,""en"",""ko"")"),"베누에")</f>
        <v>베누에</v>
      </c>
      <c r="J3410" s="9" t="str">
        <f>IFERROR(__xludf.DUMMYFUNCTION("GOOGLETRANSLATE($A3410,""en"",""pt-BR"")"),"Benué")</f>
        <v>Benué</v>
      </c>
    </row>
    <row r="3411">
      <c r="A3411" s="9" t="str">
        <f>IFERROR(__xludf.DUMMYFUNCTION("""COMPUTED_VALUE"""),"Cross River")</f>
        <v>Cross River</v>
      </c>
      <c r="B3411" s="9" t="str">
        <f>IFERROR(__xludf.DUMMYFUNCTION("""COMPUTED_VALUE"""),"ng-cr")</f>
        <v>ng-cr</v>
      </c>
      <c r="C3411" s="9" t="str">
        <f>IFERROR(__xludf.DUMMYFUNCTION("GOOGLETRANSLATE($A3411,""en"",""de"")"),"Überqueren Sie den Fluss")</f>
        <v>Überqueren Sie den Fluss</v>
      </c>
      <c r="D3411" s="9" t="str">
        <f>IFERROR(__xludf.DUMMYFUNCTION("GOOGLETRANSLATE($A3411,""en"",""fr"")"),"Traverser la rivière")</f>
        <v>Traverser la rivière</v>
      </c>
      <c r="E3411" s="9" t="str">
        <f>IFERROR(__xludf.DUMMYFUNCTION("GOOGLETRANSLATE($A3411,""en"",""es"")"),"río cruzado")</f>
        <v>río cruzado</v>
      </c>
      <c r="F3411" s="9" t="str">
        <f>IFERROR(__xludf.DUMMYFUNCTION("GOOGLETRANSLATE($A3411,""en"",""it"")"),"Attraversare il fiume")</f>
        <v>Attraversare il fiume</v>
      </c>
      <c r="G3411" s="9" t="str">
        <f>IFERROR(__xludf.DUMMYFUNCTION("GOOGLETRANSLATE($A3411,""en"",""zh-cn"")"),"克罗斯河")</f>
        <v>克罗斯河</v>
      </c>
      <c r="H3411" s="9" t="str">
        <f>IFERROR(__xludf.DUMMYFUNCTION("GOOGLETRANSLATE($A3411,""en"",""ja"")"),"クロスリバー")</f>
        <v>クロスリバー</v>
      </c>
      <c r="I3411" s="9" t="str">
        <f>IFERROR(__xludf.DUMMYFUNCTION("GOOGLETRANSLATE($A3411,""en"",""ko"")"),"크로스 리버")</f>
        <v>크로스 리버</v>
      </c>
      <c r="J3411" s="9" t="str">
        <f>IFERROR(__xludf.DUMMYFUNCTION("GOOGLETRANSLATE($A3411,""en"",""pt-BR"")"),"Atravessar o Rio")</f>
        <v>Atravessar o Rio</v>
      </c>
    </row>
    <row r="3412">
      <c r="A3412" s="9" t="str">
        <f>IFERROR(__xludf.DUMMYFUNCTION("""COMPUTED_VALUE"""),"Ebonyi")</f>
        <v>Ebonyi</v>
      </c>
      <c r="B3412" s="9" t="str">
        <f>IFERROR(__xludf.DUMMYFUNCTION("""COMPUTED_VALUE"""),"ng-eb")</f>
        <v>ng-eb</v>
      </c>
      <c r="C3412" s="9" t="str">
        <f>IFERROR(__xludf.DUMMYFUNCTION("GOOGLETRANSLATE($A3412,""en"",""de"")"),"Ebonyi")</f>
        <v>Ebonyi</v>
      </c>
      <c r="D3412" s="9" t="str">
        <f>IFERROR(__xludf.DUMMYFUNCTION("GOOGLETRANSLATE($A3412,""en"",""fr"")"),"Ébène")</f>
        <v>Ébène</v>
      </c>
      <c r="E3412" s="9" t="str">
        <f>IFERROR(__xludf.DUMMYFUNCTION("GOOGLETRANSLATE($A3412,""en"",""es"")"),"ébano")</f>
        <v>ébano</v>
      </c>
      <c r="F3412" s="9" t="str">
        <f>IFERROR(__xludf.DUMMYFUNCTION("GOOGLETRANSLATE($A3412,""en"",""it"")"),"Ebano")</f>
        <v>Ebano</v>
      </c>
      <c r="G3412" s="9" t="str">
        <f>IFERROR(__xludf.DUMMYFUNCTION("GOOGLETRANSLATE($A3412,""en"",""zh-cn"")"),"埃博尼")</f>
        <v>埃博尼</v>
      </c>
      <c r="H3412" s="9" t="str">
        <f>IFERROR(__xludf.DUMMYFUNCTION("GOOGLETRANSLATE($A3412,""en"",""ja"")"),"エボニー")</f>
        <v>エボニー</v>
      </c>
      <c r="I3412" s="9" t="str">
        <f>IFERROR(__xludf.DUMMYFUNCTION("GOOGLETRANSLATE($A3412,""en"",""ko"")"),"에보니")</f>
        <v>에보니</v>
      </c>
      <c r="J3412" s="9" t="str">
        <f>IFERROR(__xludf.DUMMYFUNCTION("GOOGLETRANSLATE($A3412,""en"",""pt-BR"")"),"Ébano")</f>
        <v>Ébano</v>
      </c>
    </row>
    <row r="3413">
      <c r="A3413" s="9" t="str">
        <f>IFERROR(__xludf.DUMMYFUNCTION("""COMPUTED_VALUE"""),"Osun")</f>
        <v>Osun</v>
      </c>
      <c r="B3413" s="9" t="str">
        <f>IFERROR(__xludf.DUMMYFUNCTION("""COMPUTED_VALUE"""),"ng-os")</f>
        <v>ng-os</v>
      </c>
      <c r="C3413" s="9" t="str">
        <f>IFERROR(__xludf.DUMMYFUNCTION("GOOGLETRANSLATE($A3413,""en"",""de"")"),"Osun")</f>
        <v>Osun</v>
      </c>
      <c r="D3413" s="9" t="str">
        <f>IFERROR(__xludf.DUMMYFUNCTION("GOOGLETRANSLATE($A3413,""en"",""fr"")"),"Osun")</f>
        <v>Osun</v>
      </c>
      <c r="E3413" s="9" t="str">
        <f>IFERROR(__xludf.DUMMYFUNCTION("GOOGLETRANSLATE($A3413,""en"",""es"")"),"Osun")</f>
        <v>Osun</v>
      </c>
      <c r="F3413" s="9" t="str">
        <f>IFERROR(__xludf.DUMMYFUNCTION("GOOGLETRANSLATE($A3413,""en"",""it"")"),"Osun")</f>
        <v>Osun</v>
      </c>
      <c r="G3413" s="9" t="str">
        <f>IFERROR(__xludf.DUMMYFUNCTION("GOOGLETRANSLATE($A3413,""en"",""zh-cn"")"),"奥森")</f>
        <v>奥森</v>
      </c>
      <c r="H3413" s="9" t="str">
        <f>IFERROR(__xludf.DUMMYFUNCTION("GOOGLETRANSLATE($A3413,""en"",""ja"")"),"オッスン")</f>
        <v>オッスン</v>
      </c>
      <c r="I3413" s="9" t="str">
        <f>IFERROR(__xludf.DUMMYFUNCTION("GOOGLETRANSLATE($A3413,""en"",""ko"")"),"오순")</f>
        <v>오순</v>
      </c>
      <c r="J3413" s="9" t="str">
        <f>IFERROR(__xludf.DUMMYFUNCTION("GOOGLETRANSLATE($A3413,""en"",""pt-BR"")"),"Osun")</f>
        <v>Osun</v>
      </c>
    </row>
    <row r="3414">
      <c r="A3414" s="9" t="str">
        <f>IFERROR(__xludf.DUMMYFUNCTION("""COMPUTED_VALUE"""),"Anambra")</f>
        <v>Anambra</v>
      </c>
      <c r="B3414" s="9" t="str">
        <f>IFERROR(__xludf.DUMMYFUNCTION("""COMPUTED_VALUE"""),"ng-an")</f>
        <v>ng-an</v>
      </c>
      <c r="C3414" s="9" t="str">
        <f>IFERROR(__xludf.DUMMYFUNCTION("GOOGLETRANSLATE($A3414,""en"",""de"")"),"Anambra")</f>
        <v>Anambra</v>
      </c>
      <c r="D3414" s="9" t="str">
        <f>IFERROR(__xludf.DUMMYFUNCTION("GOOGLETRANSLATE($A3414,""en"",""fr"")"),"Anambra")</f>
        <v>Anambra</v>
      </c>
      <c r="E3414" s="9" t="str">
        <f>IFERROR(__xludf.DUMMYFUNCTION("GOOGLETRANSLATE($A3414,""en"",""es"")"),"anambra")</f>
        <v>anambra</v>
      </c>
      <c r="F3414" s="9" t="str">
        <f>IFERROR(__xludf.DUMMYFUNCTION("GOOGLETRANSLATE($A3414,""en"",""it"")"),"Anambra")</f>
        <v>Anambra</v>
      </c>
      <c r="G3414" s="9" t="str">
        <f>IFERROR(__xludf.DUMMYFUNCTION("GOOGLETRANSLATE($A3414,""en"",""zh-cn"")"),"阿南布拉")</f>
        <v>阿南布拉</v>
      </c>
      <c r="H3414" s="9" t="str">
        <f>IFERROR(__xludf.DUMMYFUNCTION("GOOGLETRANSLATE($A3414,""en"",""ja"")"),"アナンブラ")</f>
        <v>アナンブラ</v>
      </c>
      <c r="I3414" s="9" t="str">
        <f>IFERROR(__xludf.DUMMYFUNCTION("GOOGLETRANSLATE($A3414,""en"",""ko"")"),"아남브라")</f>
        <v>아남브라</v>
      </c>
      <c r="J3414" s="9" t="str">
        <f>IFERROR(__xludf.DUMMYFUNCTION("GOOGLETRANSLATE($A3414,""en"",""pt-BR"")"),"Anambra")</f>
        <v>Anambra</v>
      </c>
    </row>
    <row r="3415">
      <c r="A3415" s="9" t="str">
        <f>IFERROR(__xludf.DUMMYFUNCTION("""COMPUTED_VALUE"""),"Kaduna")</f>
        <v>Kaduna</v>
      </c>
      <c r="B3415" s="9" t="str">
        <f>IFERROR(__xludf.DUMMYFUNCTION("""COMPUTED_VALUE"""),"ng-kd")</f>
        <v>ng-kd</v>
      </c>
      <c r="C3415" s="9" t="str">
        <f>IFERROR(__xludf.DUMMYFUNCTION("GOOGLETRANSLATE($A3415,""en"",""de"")"),"Kaduna")</f>
        <v>Kaduna</v>
      </c>
      <c r="D3415" s="9" t="str">
        <f>IFERROR(__xludf.DUMMYFUNCTION("GOOGLETRANSLATE($A3415,""en"",""fr"")"),"Kaduna")</f>
        <v>Kaduna</v>
      </c>
      <c r="E3415" s="9" t="str">
        <f>IFERROR(__xludf.DUMMYFUNCTION("GOOGLETRANSLATE($A3415,""en"",""es"")"),"Kaduna")</f>
        <v>Kaduna</v>
      </c>
      <c r="F3415" s="9" t="str">
        <f>IFERROR(__xludf.DUMMYFUNCTION("GOOGLETRANSLATE($A3415,""en"",""it"")"),"Kaduna")</f>
        <v>Kaduna</v>
      </c>
      <c r="G3415" s="9" t="str">
        <f>IFERROR(__xludf.DUMMYFUNCTION("GOOGLETRANSLATE($A3415,""en"",""zh-cn"")"),"卡杜纳")</f>
        <v>卡杜纳</v>
      </c>
      <c r="H3415" s="9" t="str">
        <f>IFERROR(__xludf.DUMMYFUNCTION("GOOGLETRANSLATE($A3415,""en"",""ja"")"),"カドゥナ")</f>
        <v>カドゥナ</v>
      </c>
      <c r="I3415" s="9" t="str">
        <f>IFERROR(__xludf.DUMMYFUNCTION("GOOGLETRANSLATE($A3415,""en"",""ko"")"),"카두나")</f>
        <v>카두나</v>
      </c>
      <c r="J3415" s="9" t="str">
        <f>IFERROR(__xludf.DUMMYFUNCTION("GOOGLETRANSLATE($A3415,""en"",""pt-BR"")"),"Kaduna")</f>
        <v>Kaduna</v>
      </c>
    </row>
    <row r="3416">
      <c r="A3416" s="9" t="str">
        <f>IFERROR(__xludf.DUMMYFUNCTION("""COMPUTED_VALUE"""),"Ondo")</f>
        <v>Ondo</v>
      </c>
      <c r="B3416" s="9" t="str">
        <f>IFERROR(__xludf.DUMMYFUNCTION("""COMPUTED_VALUE"""),"ng-on")</f>
        <v>ng-on</v>
      </c>
      <c r="C3416" s="9" t="str">
        <f>IFERROR(__xludf.DUMMYFUNCTION("GOOGLETRANSLATE($A3416,""en"",""de"")"),"Ondo")</f>
        <v>Ondo</v>
      </c>
      <c r="D3416" s="9" t="str">
        <f>IFERROR(__xludf.DUMMYFUNCTION("GOOGLETRANSLATE($A3416,""en"",""fr"")"),"Ondo")</f>
        <v>Ondo</v>
      </c>
      <c r="E3416" s="9" t="str">
        <f>IFERROR(__xludf.DUMMYFUNCTION("GOOGLETRANSLATE($A3416,""en"",""es"")"),"Ondó")</f>
        <v>Ondó</v>
      </c>
      <c r="F3416" s="9" t="str">
        <f>IFERROR(__xludf.DUMMYFUNCTION("GOOGLETRANSLATE($A3416,""en"",""it"")"),"Ondo")</f>
        <v>Ondo</v>
      </c>
      <c r="G3416" s="9" t="str">
        <f>IFERROR(__xludf.DUMMYFUNCTION("GOOGLETRANSLATE($A3416,""en"",""zh-cn"")"),"翁多")</f>
        <v>翁多</v>
      </c>
      <c r="H3416" s="9" t="str">
        <f>IFERROR(__xludf.DUMMYFUNCTION("GOOGLETRANSLATE($A3416,""en"",""ja"")"),"音頭")</f>
        <v>音頭</v>
      </c>
      <c r="I3416" s="9" t="str">
        <f>IFERROR(__xludf.DUMMYFUNCTION("GOOGLETRANSLATE($A3416,""en"",""ko"")"),"온도")</f>
        <v>온도</v>
      </c>
      <c r="J3416" s="9" t="str">
        <f>IFERROR(__xludf.DUMMYFUNCTION("GOOGLETRANSLATE($A3416,""en"",""pt-BR"")"),"Ondo")</f>
        <v>Ondo</v>
      </c>
    </row>
    <row r="3417">
      <c r="A3417" s="9" t="str">
        <f>IFERROR(__xludf.DUMMYFUNCTION("""COMPUTED_VALUE"""),"Adamawa")</f>
        <v>Adamawa</v>
      </c>
      <c r="B3417" s="9" t="str">
        <f>IFERROR(__xludf.DUMMYFUNCTION("""COMPUTED_VALUE"""),"ng-ad")</f>
        <v>ng-ad</v>
      </c>
      <c r="C3417" s="9" t="str">
        <f>IFERROR(__xludf.DUMMYFUNCTION("GOOGLETRANSLATE($A3417,""en"",""de"")"),"Adamawa")</f>
        <v>Adamawa</v>
      </c>
      <c r="D3417" s="9" t="str">
        <f>IFERROR(__xludf.DUMMYFUNCTION("GOOGLETRANSLATE($A3417,""en"",""fr"")"),"Adamaoua")</f>
        <v>Adamaoua</v>
      </c>
      <c r="E3417" s="9" t="str">
        <f>IFERROR(__xludf.DUMMYFUNCTION("GOOGLETRANSLATE($A3417,""en"",""es"")"),"Adamawa")</f>
        <v>Adamawa</v>
      </c>
      <c r="F3417" s="9" t="str">
        <f>IFERROR(__xludf.DUMMYFUNCTION("GOOGLETRANSLATE($A3417,""en"",""it"")"),"Adamawa")</f>
        <v>Adamawa</v>
      </c>
      <c r="G3417" s="9" t="str">
        <f>IFERROR(__xludf.DUMMYFUNCTION("GOOGLETRANSLATE($A3417,""en"",""zh-cn"")"),"阿达马瓦")</f>
        <v>阿达马瓦</v>
      </c>
      <c r="H3417" s="9" t="str">
        <f>IFERROR(__xludf.DUMMYFUNCTION("GOOGLETRANSLATE($A3417,""en"",""ja"")"),"アダマワ")</f>
        <v>アダマワ</v>
      </c>
      <c r="I3417" s="9" t="str">
        <f>IFERROR(__xludf.DUMMYFUNCTION("GOOGLETRANSLATE($A3417,""en"",""ko"")"),"아다마와")</f>
        <v>아다마와</v>
      </c>
      <c r="J3417" s="9" t="str">
        <f>IFERROR(__xludf.DUMMYFUNCTION("GOOGLETRANSLATE($A3417,""en"",""pt-BR"")"),"Adamawa")</f>
        <v>Adamawa</v>
      </c>
    </row>
    <row r="3418">
      <c r="A3418" s="9" t="str">
        <f>IFERROR(__xludf.DUMMYFUNCTION("""COMPUTED_VALUE"""),"Nasarawa")</f>
        <v>Nasarawa</v>
      </c>
      <c r="B3418" s="9" t="str">
        <f>IFERROR(__xludf.DUMMYFUNCTION("""COMPUTED_VALUE"""),"ng-na")</f>
        <v>ng-na</v>
      </c>
      <c r="C3418" s="9" t="str">
        <f>IFERROR(__xludf.DUMMYFUNCTION("GOOGLETRANSLATE($A3418,""en"",""de"")"),"Nasarawa")</f>
        <v>Nasarawa</v>
      </c>
      <c r="D3418" s="9" t="str">
        <f>IFERROR(__xludf.DUMMYFUNCTION("GOOGLETRANSLATE($A3418,""en"",""fr"")"),"Nasarawa")</f>
        <v>Nasarawa</v>
      </c>
      <c r="E3418" s="9" t="str">
        <f>IFERROR(__xludf.DUMMYFUNCTION("GOOGLETRANSLATE($A3418,""en"",""es"")"),"Nasarawa")</f>
        <v>Nasarawa</v>
      </c>
      <c r="F3418" s="9" t="str">
        <f>IFERROR(__xludf.DUMMYFUNCTION("GOOGLETRANSLATE($A3418,""en"",""it"")"),"Nasarawa")</f>
        <v>Nasarawa</v>
      </c>
      <c r="G3418" s="9" t="str">
        <f>IFERROR(__xludf.DUMMYFUNCTION("GOOGLETRANSLATE($A3418,""en"",""zh-cn"")"),"纳萨拉瓦")</f>
        <v>纳萨拉瓦</v>
      </c>
      <c r="H3418" s="9" t="str">
        <f>IFERROR(__xludf.DUMMYFUNCTION("GOOGLETRANSLATE($A3418,""en"",""ja"")"),"ナサラワ")</f>
        <v>ナサラワ</v>
      </c>
      <c r="I3418" s="9" t="str">
        <f>IFERROR(__xludf.DUMMYFUNCTION("GOOGLETRANSLATE($A3418,""en"",""ko"")"),"나사라와")</f>
        <v>나사라와</v>
      </c>
      <c r="J3418" s="9" t="str">
        <f>IFERROR(__xludf.DUMMYFUNCTION("GOOGLETRANSLATE($A3418,""en"",""pt-BR"")"),"Nasarawa")</f>
        <v>Nasarawa</v>
      </c>
    </row>
    <row r="3419">
      <c r="A3419" s="9" t="str">
        <f>IFERROR(__xludf.DUMMYFUNCTION("""COMPUTED_VALUE"""),"Taraba")</f>
        <v>Taraba</v>
      </c>
      <c r="B3419" s="9" t="str">
        <f>IFERROR(__xludf.DUMMYFUNCTION("""COMPUTED_VALUE"""),"ng-ta")</f>
        <v>ng-ta</v>
      </c>
      <c r="C3419" s="9" t="str">
        <f>IFERROR(__xludf.DUMMYFUNCTION("GOOGLETRANSLATE($A3419,""en"",""de"")"),"Taraba")</f>
        <v>Taraba</v>
      </c>
      <c r="D3419" s="9" t="str">
        <f>IFERROR(__xludf.DUMMYFUNCTION("GOOGLETRANSLATE($A3419,""en"",""fr"")"),"Taraba")</f>
        <v>Taraba</v>
      </c>
      <c r="E3419" s="9" t="str">
        <f>IFERROR(__xludf.DUMMYFUNCTION("GOOGLETRANSLATE($A3419,""en"",""es"")"),"Tarabá")</f>
        <v>Tarabá</v>
      </c>
      <c r="F3419" s="9" t="str">
        <f>IFERROR(__xludf.DUMMYFUNCTION("GOOGLETRANSLATE($A3419,""en"",""it"")"),"Taraba")</f>
        <v>Taraba</v>
      </c>
      <c r="G3419" s="9" t="str">
        <f>IFERROR(__xludf.DUMMYFUNCTION("GOOGLETRANSLATE($A3419,""en"",""zh-cn"")"),"塔拉巴")</f>
        <v>塔拉巴</v>
      </c>
      <c r="H3419" s="9" t="str">
        <f>IFERROR(__xludf.DUMMYFUNCTION("GOOGLETRANSLATE($A3419,""en"",""ja"")"),"タラバ")</f>
        <v>タラバ</v>
      </c>
      <c r="I3419" s="9" t="str">
        <f>IFERROR(__xludf.DUMMYFUNCTION("GOOGLETRANSLATE($A3419,""en"",""ko"")"),"타라바")</f>
        <v>타라바</v>
      </c>
      <c r="J3419" s="9" t="str">
        <f>IFERROR(__xludf.DUMMYFUNCTION("GOOGLETRANSLATE($A3419,""en"",""pt-BR"")"),"Taraba")</f>
        <v>Taraba</v>
      </c>
    </row>
    <row r="3420">
      <c r="A3420" s="9" t="str">
        <f>IFERROR(__xludf.DUMMYFUNCTION("""COMPUTED_VALUE"""),"Ekiti")</f>
        <v>Ekiti</v>
      </c>
      <c r="B3420" s="9" t="str">
        <f>IFERROR(__xludf.DUMMYFUNCTION("""COMPUTED_VALUE"""),"ng-ek")</f>
        <v>ng-ek</v>
      </c>
      <c r="C3420" s="9" t="str">
        <f>IFERROR(__xludf.DUMMYFUNCTION("GOOGLETRANSLATE($A3420,""en"",""de"")"),"Ekiti")</f>
        <v>Ekiti</v>
      </c>
      <c r="D3420" s="9" t="str">
        <f>IFERROR(__xludf.DUMMYFUNCTION("GOOGLETRANSLATE($A3420,""en"",""fr"")"),"Ékiti")</f>
        <v>Ékiti</v>
      </c>
      <c r="E3420" s="9" t="str">
        <f>IFERROR(__xludf.DUMMYFUNCTION("GOOGLETRANSLATE($A3420,""en"",""es"")"),"Ekiti")</f>
        <v>Ekiti</v>
      </c>
      <c r="F3420" s="9" t="str">
        <f>IFERROR(__xludf.DUMMYFUNCTION("GOOGLETRANSLATE($A3420,""en"",""it"")"),"Ekiti")</f>
        <v>Ekiti</v>
      </c>
      <c r="G3420" s="9" t="str">
        <f>IFERROR(__xludf.DUMMYFUNCTION("GOOGLETRANSLATE($A3420,""en"",""zh-cn"")"),"埃基蒂")</f>
        <v>埃基蒂</v>
      </c>
      <c r="H3420" s="9" t="str">
        <f>IFERROR(__xludf.DUMMYFUNCTION("GOOGLETRANSLATE($A3420,""en"",""ja"")"),"エキティ")</f>
        <v>エキティ</v>
      </c>
      <c r="I3420" s="9" t="str">
        <f>IFERROR(__xludf.DUMMYFUNCTION("GOOGLETRANSLATE($A3420,""en"",""ko"")"),"에키티")</f>
        <v>에키티</v>
      </c>
      <c r="J3420" s="9" t="str">
        <f>IFERROR(__xludf.DUMMYFUNCTION("GOOGLETRANSLATE($A3420,""en"",""pt-BR"")"),"Ekiti")</f>
        <v>Ekiti</v>
      </c>
    </row>
    <row r="3421">
      <c r="A3421" s="9" t="str">
        <f>IFERROR(__xludf.DUMMYFUNCTION("""COMPUTED_VALUE"""),"Zamfara")</f>
        <v>Zamfara</v>
      </c>
      <c r="B3421" s="9" t="str">
        <f>IFERROR(__xludf.DUMMYFUNCTION("""COMPUTED_VALUE"""),"ng-za")</f>
        <v>ng-za</v>
      </c>
      <c r="C3421" s="9" t="str">
        <f>IFERROR(__xludf.DUMMYFUNCTION("GOOGLETRANSLATE($A3421,""en"",""de"")"),"Zamfara")</f>
        <v>Zamfara</v>
      </c>
      <c r="D3421" s="9" t="str">
        <f>IFERROR(__xludf.DUMMYFUNCTION("GOOGLETRANSLATE($A3421,""en"",""fr"")"),"Zamfara")</f>
        <v>Zamfara</v>
      </c>
      <c r="E3421" s="9" t="str">
        <f>IFERROR(__xludf.DUMMYFUNCTION("GOOGLETRANSLATE($A3421,""en"",""es"")"),"Zamfará")</f>
        <v>Zamfará</v>
      </c>
      <c r="F3421" s="9" t="str">
        <f>IFERROR(__xludf.DUMMYFUNCTION("GOOGLETRANSLATE($A3421,""en"",""it"")"),"Zamfara")</f>
        <v>Zamfara</v>
      </c>
      <c r="G3421" s="9" t="str">
        <f>IFERROR(__xludf.DUMMYFUNCTION("GOOGLETRANSLATE($A3421,""en"",""zh-cn"")"),"扎姆法拉")</f>
        <v>扎姆法拉</v>
      </c>
      <c r="H3421" s="9" t="str">
        <f>IFERROR(__xludf.DUMMYFUNCTION("GOOGLETRANSLATE($A3421,""en"",""ja"")"),"ザムファラ")</f>
        <v>ザムファラ</v>
      </c>
      <c r="I3421" s="9" t="str">
        <f>IFERROR(__xludf.DUMMYFUNCTION("GOOGLETRANSLATE($A3421,""en"",""ko"")"),"잠파라")</f>
        <v>잠파라</v>
      </c>
      <c r="J3421" s="9" t="str">
        <f>IFERROR(__xludf.DUMMYFUNCTION("GOOGLETRANSLATE($A3421,""en"",""pt-BR"")"),"Zamfara")</f>
        <v>Zamfara</v>
      </c>
    </row>
    <row r="3422">
      <c r="A3422" s="9" t="str">
        <f>IFERROR(__xludf.DUMMYFUNCTION("""COMPUTED_VALUE"""),"Lagos")</f>
        <v>Lagos</v>
      </c>
      <c r="B3422" s="9" t="str">
        <f>IFERROR(__xludf.DUMMYFUNCTION("""COMPUTED_VALUE"""),"ng-la")</f>
        <v>ng-la</v>
      </c>
      <c r="C3422" s="9" t="str">
        <f>IFERROR(__xludf.DUMMYFUNCTION("GOOGLETRANSLATE($A3422,""en"",""de"")"),"Lagos")</f>
        <v>Lagos</v>
      </c>
      <c r="D3422" s="9" t="str">
        <f>IFERROR(__xludf.DUMMYFUNCTION("GOOGLETRANSLATE($A3422,""en"",""fr"")"),"Lagos")</f>
        <v>Lagos</v>
      </c>
      <c r="E3422" s="9" t="str">
        <f>IFERROR(__xludf.DUMMYFUNCTION("GOOGLETRANSLATE($A3422,""en"",""es"")"),"Lagos")</f>
        <v>Lagos</v>
      </c>
      <c r="F3422" s="9" t="str">
        <f>IFERROR(__xludf.DUMMYFUNCTION("GOOGLETRANSLATE($A3422,""en"",""it"")"),"Lagos")</f>
        <v>Lagos</v>
      </c>
      <c r="G3422" s="9" t="str">
        <f>IFERROR(__xludf.DUMMYFUNCTION("GOOGLETRANSLATE($A3422,""en"",""zh-cn"")"),"拉各斯")</f>
        <v>拉各斯</v>
      </c>
      <c r="H3422" s="9" t="str">
        <f>IFERROR(__xludf.DUMMYFUNCTION("GOOGLETRANSLATE($A3422,""en"",""ja"")"),"ラゴス")</f>
        <v>ラゴス</v>
      </c>
      <c r="I3422" s="9" t="str">
        <f>IFERROR(__xludf.DUMMYFUNCTION("GOOGLETRANSLATE($A3422,""en"",""ko"")"),"라고스")</f>
        <v>라고스</v>
      </c>
      <c r="J3422" s="9" t="str">
        <f>IFERROR(__xludf.DUMMYFUNCTION("GOOGLETRANSLATE($A3422,""en"",""pt-BR"")"),"Lagos")</f>
        <v>Lagos</v>
      </c>
    </row>
    <row r="3423">
      <c r="A3423" s="9" t="str">
        <f>IFERROR(__xludf.DUMMYFUNCTION("""COMPUTED_VALUE"""),"Kwara")</f>
        <v>Kwara</v>
      </c>
      <c r="B3423" s="9" t="str">
        <f>IFERROR(__xludf.DUMMYFUNCTION("""COMPUTED_VALUE"""),"ng-kw")</f>
        <v>ng-kw</v>
      </c>
      <c r="C3423" s="9" t="str">
        <f>IFERROR(__xludf.DUMMYFUNCTION("GOOGLETRANSLATE($A3423,""en"",""de"")"),"Kwara")</f>
        <v>Kwara</v>
      </c>
      <c r="D3423" s="9" t="str">
        <f>IFERROR(__xludf.DUMMYFUNCTION("GOOGLETRANSLATE($A3423,""en"",""fr"")"),"Kwara")</f>
        <v>Kwara</v>
      </c>
      <c r="E3423" s="9" t="str">
        <f>IFERROR(__xludf.DUMMYFUNCTION("GOOGLETRANSLATE($A3423,""en"",""es"")"),"Kwara")</f>
        <v>Kwara</v>
      </c>
      <c r="F3423" s="9" t="str">
        <f>IFERROR(__xludf.DUMMYFUNCTION("GOOGLETRANSLATE($A3423,""en"",""it"")"),"Kwara")</f>
        <v>Kwara</v>
      </c>
      <c r="G3423" s="9" t="str">
        <f>IFERROR(__xludf.DUMMYFUNCTION("GOOGLETRANSLATE($A3423,""en"",""zh-cn"")"),"夸拉")</f>
        <v>夸拉</v>
      </c>
      <c r="H3423" s="9" t="str">
        <f>IFERROR(__xludf.DUMMYFUNCTION("GOOGLETRANSLATE($A3423,""en"",""ja"")"),"クワラ")</f>
        <v>クワラ</v>
      </c>
      <c r="I3423" s="9" t="str">
        <f>IFERROR(__xludf.DUMMYFUNCTION("GOOGLETRANSLATE($A3423,""en"",""ko"")"),"크와라")</f>
        <v>크와라</v>
      </c>
      <c r="J3423" s="9" t="str">
        <f>IFERROR(__xludf.DUMMYFUNCTION("GOOGLETRANSLATE($A3423,""en"",""pt-BR"")"),"Kwara")</f>
        <v>Kwara</v>
      </c>
    </row>
    <row r="3424">
      <c r="A3424" s="9" t="str">
        <f>IFERROR(__xludf.DUMMYFUNCTION("""COMPUTED_VALUE"""),"Centar")</f>
        <v>Centar</v>
      </c>
      <c r="B3424" s="9" t="str">
        <f>IFERROR(__xludf.DUMMYFUNCTION("""COMPUTED_VALUE"""),"mk-77")</f>
        <v>mk-77</v>
      </c>
      <c r="C3424" s="9" t="str">
        <f>IFERROR(__xludf.DUMMYFUNCTION("GOOGLETRANSLATE($A3424,""en"",""de"")"),"Centar")</f>
        <v>Centar</v>
      </c>
      <c r="D3424" s="9" t="str">
        <f>IFERROR(__xludf.DUMMYFUNCTION("GOOGLETRANSLATE($A3424,""en"",""fr"")"),"Centre")</f>
        <v>Centre</v>
      </c>
      <c r="E3424" s="9" t="str">
        <f>IFERROR(__xludf.DUMMYFUNCTION("GOOGLETRANSLATE($A3424,""en"",""es"")"),"Centrar")</f>
        <v>Centrar</v>
      </c>
      <c r="F3424" s="9" t="str">
        <f>IFERROR(__xludf.DUMMYFUNCTION("GOOGLETRANSLATE($A3424,""en"",""it"")"),"Centro")</f>
        <v>Centro</v>
      </c>
      <c r="G3424" s="9" t="str">
        <f>IFERROR(__xludf.DUMMYFUNCTION("GOOGLETRANSLATE($A3424,""en"",""zh-cn"")"),"森塔尔")</f>
        <v>森塔尔</v>
      </c>
      <c r="H3424" s="9" t="str">
        <f>IFERROR(__xludf.DUMMYFUNCTION("GOOGLETRANSLATE($A3424,""en"",""ja"")"),"センタル")</f>
        <v>センタル</v>
      </c>
      <c r="I3424" s="9" t="str">
        <f>IFERROR(__xludf.DUMMYFUNCTION("GOOGLETRANSLATE($A3424,""en"",""ko"")"),"센타")</f>
        <v>센타</v>
      </c>
      <c r="J3424" s="9" t="str">
        <f>IFERROR(__xludf.DUMMYFUNCTION("GOOGLETRANSLATE($A3424,""en"",""pt-BR"")"),"Centro")</f>
        <v>Centro</v>
      </c>
    </row>
    <row r="3425">
      <c r="A3425" s="9" t="str">
        <f>IFERROR(__xludf.DUMMYFUNCTION("""COMPUTED_VALUE"""),"Karbinci")</f>
        <v>Karbinci</v>
      </c>
      <c r="B3425" s="9" t="str">
        <f>IFERROR(__xludf.DUMMYFUNCTION("""COMPUTED_VALUE"""),"mk-37")</f>
        <v>mk-37</v>
      </c>
      <c r="C3425" s="9" t="str">
        <f>IFERROR(__xludf.DUMMYFUNCTION("GOOGLETRANSLATE($A3425,""en"",""de"")"),"Karbinci")</f>
        <v>Karbinci</v>
      </c>
      <c r="D3425" s="9" t="str">
        <f>IFERROR(__xludf.DUMMYFUNCTION("GOOGLETRANSLATE($A3425,""en"",""fr"")"),"Karbinci")</f>
        <v>Karbinci</v>
      </c>
      <c r="E3425" s="9" t="str">
        <f>IFERROR(__xludf.DUMMYFUNCTION("GOOGLETRANSLATE($A3425,""en"",""es"")"),"Karbinci")</f>
        <v>Karbinci</v>
      </c>
      <c r="F3425" s="9" t="str">
        <f>IFERROR(__xludf.DUMMYFUNCTION("GOOGLETRANSLATE($A3425,""en"",""it"")"),"Karbinci")</f>
        <v>Karbinci</v>
      </c>
      <c r="G3425" s="9" t="str">
        <f>IFERROR(__xludf.DUMMYFUNCTION("GOOGLETRANSLATE($A3425,""en"",""zh-cn"")"),"卡尔宾吉")</f>
        <v>卡尔宾吉</v>
      </c>
      <c r="H3425" s="9" t="str">
        <f>IFERROR(__xludf.DUMMYFUNCTION("GOOGLETRANSLATE($A3425,""en"",""ja"")"),"カルビンチ")</f>
        <v>カルビンチ</v>
      </c>
      <c r="I3425" s="9" t="str">
        <f>IFERROR(__xludf.DUMMYFUNCTION("GOOGLETRANSLATE($A3425,""en"",""ko"")"),"카르빈치")</f>
        <v>카르빈치</v>
      </c>
      <c r="J3425" s="9" t="str">
        <f>IFERROR(__xludf.DUMMYFUNCTION("GOOGLETRANSLATE($A3425,""en"",""pt-BR"")"),"Karbinci")</f>
        <v>Karbinci</v>
      </c>
    </row>
    <row r="3426">
      <c r="A3426" s="9" t="str">
        <f>IFERROR(__xludf.DUMMYFUNCTION("""COMPUTED_VALUE"""),"Demir Hisar")</f>
        <v>Demir Hisar</v>
      </c>
      <c r="B3426" s="9" t="str">
        <f>IFERROR(__xludf.DUMMYFUNCTION("""COMPUTED_VALUE"""),"mk-25")</f>
        <v>mk-25</v>
      </c>
      <c r="C3426" s="9" t="str">
        <f>IFERROR(__xludf.DUMMYFUNCTION("GOOGLETRANSLATE($A3426,""en"",""de"")"),"Demir Hisar")</f>
        <v>Demir Hisar</v>
      </c>
      <c r="D3426" s="9" t="str">
        <f>IFERROR(__xludf.DUMMYFUNCTION("GOOGLETRANSLATE($A3426,""en"",""fr"")"),"Demir Hisar")</f>
        <v>Demir Hisar</v>
      </c>
      <c r="E3426" s="9" t="str">
        <f>IFERROR(__xludf.DUMMYFUNCTION("GOOGLETRANSLATE($A3426,""en"",""es"")"),"Demir Hisar")</f>
        <v>Demir Hisar</v>
      </c>
      <c r="F3426" s="9" t="str">
        <f>IFERROR(__xludf.DUMMYFUNCTION("GOOGLETRANSLATE($A3426,""en"",""it"")"),"Demir Hisar")</f>
        <v>Demir Hisar</v>
      </c>
      <c r="G3426" s="9" t="str">
        <f>IFERROR(__xludf.DUMMYFUNCTION("GOOGLETRANSLATE($A3426,""en"",""zh-cn"")"),"德米尔希萨尔")</f>
        <v>德米尔希萨尔</v>
      </c>
      <c r="H3426" s="9" t="str">
        <f>IFERROR(__xludf.DUMMYFUNCTION("GOOGLETRANSLATE($A3426,""en"",""ja"")"),"デミル・ヒサル")</f>
        <v>デミル・ヒサル</v>
      </c>
      <c r="I3426" s="9" t="str">
        <f>IFERROR(__xludf.DUMMYFUNCTION("GOOGLETRANSLATE($A3426,""en"",""ko"")"),"데미르 히사르")</f>
        <v>데미르 히사르</v>
      </c>
      <c r="J3426" s="9" t="str">
        <f>IFERROR(__xludf.DUMMYFUNCTION("GOOGLETRANSLATE($A3426,""en"",""pt-BR"")"),"Demir Hisar")</f>
        <v>Demir Hisar</v>
      </c>
    </row>
    <row r="3427">
      <c r="A3427" s="9" t="str">
        <f>IFERROR(__xludf.DUMMYFUNCTION("""COMPUTED_VALUE"""),"Debar")</f>
        <v>Debar</v>
      </c>
      <c r="B3427" s="9" t="str">
        <f>IFERROR(__xludf.DUMMYFUNCTION("""COMPUTED_VALUE"""),"mk-21")</f>
        <v>mk-21</v>
      </c>
      <c r="C3427" s="9" t="str">
        <f>IFERROR(__xludf.DUMMYFUNCTION("GOOGLETRANSLATE($A3427,""en"",""de"")"),"Debar")</f>
        <v>Debar</v>
      </c>
      <c r="D3427" s="9" t="str">
        <f>IFERROR(__xludf.DUMMYFUNCTION("GOOGLETRANSLATE($A3427,""en"",""fr"")"),"Interdire")</f>
        <v>Interdire</v>
      </c>
      <c r="E3427" s="9" t="str">
        <f>IFERROR(__xludf.DUMMYFUNCTION("GOOGLETRANSLATE($A3427,""en"",""es"")"),"Excluir")</f>
        <v>Excluir</v>
      </c>
      <c r="F3427" s="9" t="str">
        <f>IFERROR(__xludf.DUMMYFUNCTION("GOOGLETRANSLATE($A3427,""en"",""it"")"),"Escludere")</f>
        <v>Escludere</v>
      </c>
      <c r="G3427" s="9" t="str">
        <f>IFERROR(__xludf.DUMMYFUNCTION("GOOGLETRANSLATE($A3427,""en"",""zh-cn"")"),"德巴尔")</f>
        <v>德巴尔</v>
      </c>
      <c r="H3427" s="9" t="str">
        <f>IFERROR(__xludf.DUMMYFUNCTION("GOOGLETRANSLATE($A3427,""en"",""ja"")"),"デバール")</f>
        <v>デバール</v>
      </c>
      <c r="I3427" s="9" t="str">
        <f>IFERROR(__xludf.DUMMYFUNCTION("GOOGLETRANSLATE($A3427,""en"",""ko"")"),"데바")</f>
        <v>데바</v>
      </c>
      <c r="J3427" s="9" t="str">
        <f>IFERROR(__xludf.DUMMYFUNCTION("GOOGLETRANSLATE($A3427,""en"",""pt-BR"")"),"Debar")</f>
        <v>Debar</v>
      </c>
    </row>
    <row r="3428">
      <c r="A3428" s="9" t="str">
        <f>IFERROR(__xludf.DUMMYFUNCTION("""COMPUTED_VALUE"""),"Gevgelija")</f>
        <v>Gevgelija</v>
      </c>
      <c r="B3428" s="9" t="str">
        <f>IFERROR(__xludf.DUMMYFUNCTION("""COMPUTED_VALUE"""),"mk-18")</f>
        <v>mk-18</v>
      </c>
      <c r="C3428" s="9" t="str">
        <f>IFERROR(__xludf.DUMMYFUNCTION("GOOGLETRANSLATE($A3428,""en"",""de"")"),"Gevgelija")</f>
        <v>Gevgelija</v>
      </c>
      <c r="D3428" s="9" t="str">
        <f>IFERROR(__xludf.DUMMYFUNCTION("GOOGLETRANSLATE($A3428,""en"",""fr"")"),"Guevgueliya")</f>
        <v>Guevgueliya</v>
      </c>
      <c r="E3428" s="9" t="str">
        <f>IFERROR(__xludf.DUMMYFUNCTION("GOOGLETRANSLATE($A3428,""en"",""es"")"),"Gevgelija")</f>
        <v>Gevgelija</v>
      </c>
      <c r="F3428" s="9" t="str">
        <f>IFERROR(__xludf.DUMMYFUNCTION("GOOGLETRANSLATE($A3428,""en"",""it"")"),"Gevgelija")</f>
        <v>Gevgelija</v>
      </c>
      <c r="G3428" s="9" t="str">
        <f>IFERROR(__xludf.DUMMYFUNCTION("GOOGLETRANSLATE($A3428,""en"",""zh-cn"")"),"盖夫盖利亚")</f>
        <v>盖夫盖利亚</v>
      </c>
      <c r="H3428" s="9" t="str">
        <f>IFERROR(__xludf.DUMMYFUNCTION("GOOGLETRANSLATE($A3428,""en"",""ja"")"),"ゲヴゲリヤ")</f>
        <v>ゲヴゲリヤ</v>
      </c>
      <c r="I3428" s="9" t="str">
        <f>IFERROR(__xludf.DUMMYFUNCTION("GOOGLETRANSLATE($A3428,""en"",""ko"")"),"게브겔리아")</f>
        <v>게브겔리아</v>
      </c>
      <c r="J3428" s="9" t="str">
        <f>IFERROR(__xludf.DUMMYFUNCTION("GOOGLETRANSLATE($A3428,""en"",""pt-BR"")"),"Gevgelija")</f>
        <v>Gevgelija</v>
      </c>
    </row>
    <row r="3429">
      <c r="A3429" s="9" t="str">
        <f>IFERROR(__xludf.DUMMYFUNCTION("""COMPUTED_VALUE"""),"Makedonski Brod")</f>
        <v>Makedonski Brod</v>
      </c>
      <c r="B3429" s="9" t="str">
        <f>IFERROR(__xludf.DUMMYFUNCTION("""COMPUTED_VALUE"""),"mk-52")</f>
        <v>mk-52</v>
      </c>
      <c r="C3429" s="9" t="str">
        <f>IFERROR(__xludf.DUMMYFUNCTION("GOOGLETRANSLATE($A3429,""en"",""de"")"),"Makedonski Brod")</f>
        <v>Makedonski Brod</v>
      </c>
      <c r="D3429" s="9" t="str">
        <f>IFERROR(__xludf.DUMMYFUNCTION("GOOGLETRANSLATE($A3429,""en"",""fr"")"),"Makedonski Brod")</f>
        <v>Makedonski Brod</v>
      </c>
      <c r="E3429" s="9" t="str">
        <f>IFERROR(__xludf.DUMMYFUNCTION("GOOGLETRANSLATE($A3429,""en"",""es"")"),"Makedonski Brod")</f>
        <v>Makedonski Brod</v>
      </c>
      <c r="F3429" s="9" t="str">
        <f>IFERROR(__xludf.DUMMYFUNCTION("GOOGLETRANSLATE($A3429,""en"",""it"")"),"Makedonski Brod")</f>
        <v>Makedonski Brod</v>
      </c>
      <c r="G3429" s="9" t="str">
        <f>IFERROR(__xludf.DUMMYFUNCTION("GOOGLETRANSLATE($A3429,""en"",""zh-cn"")"),"马其顿布罗德")</f>
        <v>马其顿布罗德</v>
      </c>
      <c r="H3429" s="9" t="str">
        <f>IFERROR(__xludf.DUMMYFUNCTION("GOOGLETRANSLATE($A3429,""en"",""ja"")"),"マケドンスキー・ブロッド")</f>
        <v>マケドンスキー・ブロッド</v>
      </c>
      <c r="I3429" s="9" t="str">
        <f>IFERROR(__xludf.DUMMYFUNCTION("GOOGLETRANSLATE($A3429,""en"",""ko"")"),"마케돈스키 브로드")</f>
        <v>마케돈스키 브로드</v>
      </c>
      <c r="J3429" s="9" t="str">
        <f>IFERROR(__xludf.DUMMYFUNCTION("GOOGLETRANSLATE($A3429,""en"",""pt-BR"")"),"Makedonski Brod")</f>
        <v>Makedonski Brod</v>
      </c>
    </row>
    <row r="3430">
      <c r="A3430" s="9" t="str">
        <f>IFERROR(__xludf.DUMMYFUNCTION("""COMPUTED_VALUE"""),"Staro Nagoričane")</f>
        <v>Staro Nagoričane</v>
      </c>
      <c r="B3430" s="9" t="str">
        <f>IFERROR(__xludf.DUMMYFUNCTION("""COMPUTED_VALUE"""),"mk-71")</f>
        <v>mk-71</v>
      </c>
      <c r="C3430" s="9" t="str">
        <f>IFERROR(__xludf.DUMMYFUNCTION("GOOGLETRANSLATE($A3430,""en"",""de"")"),"Staro Nagoričane")</f>
        <v>Staro Nagoričane</v>
      </c>
      <c r="D3430" s="9" t="str">
        <f>IFERROR(__xludf.DUMMYFUNCTION("GOOGLETRANSLATE($A3430,""en"",""fr"")"),"Staro Nagoritchane")</f>
        <v>Staro Nagoritchane</v>
      </c>
      <c r="E3430" s="9" t="str">
        <f>IFERROR(__xludf.DUMMYFUNCTION("GOOGLETRANSLATE($A3430,""en"",""es"")"),"Staro Nagoricane")</f>
        <v>Staro Nagoricane</v>
      </c>
      <c r="F3430" s="9" t="str">
        <f>IFERROR(__xludf.DUMMYFUNCTION("GOOGLETRANSLATE($A3430,""en"",""it"")"),"Staro Nagoricane")</f>
        <v>Staro Nagoricane</v>
      </c>
      <c r="G3430" s="9" t="str">
        <f>IFERROR(__xludf.DUMMYFUNCTION("GOOGLETRANSLATE($A3430,""en"",""zh-cn"")"),"斯塔罗·纳戈里坎")</f>
        <v>斯塔罗·纳戈里坎</v>
      </c>
      <c r="H3430" s="9" t="str">
        <f>IFERROR(__xludf.DUMMYFUNCTION("GOOGLETRANSLATE($A3430,""en"",""ja"")"),"スタロ・ナゴリチャネ")</f>
        <v>スタロ・ナゴリチャネ</v>
      </c>
      <c r="I3430" s="9" t="str">
        <f>IFERROR(__xludf.DUMMYFUNCTION("GOOGLETRANSLATE($A3430,""en"",""ko"")"),"스타로 나고리차네")</f>
        <v>스타로 나고리차네</v>
      </c>
      <c r="J3430" s="9" t="str">
        <f>IFERROR(__xludf.DUMMYFUNCTION("GOOGLETRANSLATE($A3430,""en"",""pt-BR"")"),"Staro Nagoričane")</f>
        <v>Staro Nagoričane</v>
      </c>
    </row>
    <row r="3431">
      <c r="A3431" s="9" t="str">
        <f>IFERROR(__xludf.DUMMYFUNCTION("""COMPUTED_VALUE"""),"Čaška")</f>
        <v>Čaška</v>
      </c>
      <c r="B3431" s="9" t="str">
        <f>IFERROR(__xludf.DUMMYFUNCTION("""COMPUTED_VALUE"""),"mk-80")</f>
        <v>mk-80</v>
      </c>
      <c r="C3431" s="9" t="str">
        <f>IFERROR(__xludf.DUMMYFUNCTION("GOOGLETRANSLATE($A3431,""en"",""de"")"),"Čaška")</f>
        <v>Čaška</v>
      </c>
      <c r="D3431" s="9" t="str">
        <f>IFERROR(__xludf.DUMMYFUNCTION("GOOGLETRANSLATE($A3431,""en"",""fr"")"),"Čaška")</f>
        <v>Čaška</v>
      </c>
      <c r="E3431" s="9" t="str">
        <f>IFERROR(__xludf.DUMMYFUNCTION("GOOGLETRANSLATE($A3431,""en"",""es"")"),"Čaška")</f>
        <v>Čaška</v>
      </c>
      <c r="F3431" s="9" t="str">
        <f>IFERROR(__xludf.DUMMYFUNCTION("GOOGLETRANSLATE($A3431,""en"",""it"")"),"Čaška")</f>
        <v>Čaška</v>
      </c>
      <c r="G3431" s="9" t="str">
        <f>IFERROR(__xludf.DUMMYFUNCTION("GOOGLETRANSLATE($A3431,""en"",""zh-cn"")"),"恰什卡")</f>
        <v>恰什卡</v>
      </c>
      <c r="H3431" s="9" t="str">
        <f>IFERROR(__xludf.DUMMYFUNCTION("GOOGLETRANSLATE($A3431,""en"",""ja"")"),"チャシュカ")</f>
        <v>チャシュカ</v>
      </c>
      <c r="I3431" s="9" t="str">
        <f>IFERROR(__xludf.DUMMYFUNCTION("GOOGLETRANSLATE($A3431,""en"",""ko"")"),"카슈카")</f>
        <v>카슈카</v>
      </c>
      <c r="J3431" s="9" t="str">
        <f>IFERROR(__xludf.DUMMYFUNCTION("GOOGLETRANSLATE($A3431,""en"",""pt-BR"")"),"Čaška")</f>
        <v>Čaška</v>
      </c>
    </row>
    <row r="3432">
      <c r="A3432" s="9" t="str">
        <f>IFERROR(__xludf.DUMMYFUNCTION("""COMPUTED_VALUE"""),"Vraneštica")</f>
        <v>Vraneštica</v>
      </c>
      <c r="B3432" s="9" t="str">
        <f>IFERROR(__xludf.DUMMYFUNCTION("""COMPUTED_VALUE"""),"mk-15")</f>
        <v>mk-15</v>
      </c>
      <c r="C3432" s="9" t="str">
        <f>IFERROR(__xludf.DUMMYFUNCTION("GOOGLETRANSLATE($A3432,""en"",""de"")"),"Vraneštica")</f>
        <v>Vraneštica</v>
      </c>
      <c r="D3432" s="9" t="str">
        <f>IFERROR(__xludf.DUMMYFUNCTION("GOOGLETRANSLATE($A3432,""en"",""fr"")"),"Vranechtica")</f>
        <v>Vranechtica</v>
      </c>
      <c r="E3432" s="9" t="str">
        <f>IFERROR(__xludf.DUMMYFUNCTION("GOOGLETRANSLATE($A3432,""en"",""es"")"),"Vranestica")</f>
        <v>Vranestica</v>
      </c>
      <c r="F3432" s="9" t="str">
        <f>IFERROR(__xludf.DUMMYFUNCTION("GOOGLETRANSLATE($A3432,""en"",""it"")"),"Vraneštica")</f>
        <v>Vraneštica</v>
      </c>
      <c r="G3432" s="9" t="str">
        <f>IFERROR(__xludf.DUMMYFUNCTION("GOOGLETRANSLATE($A3432,""en"",""zh-cn"")"),"弗拉内什蒂察")</f>
        <v>弗拉内什蒂察</v>
      </c>
      <c r="H3432" s="9" t="str">
        <f>IFERROR(__xludf.DUMMYFUNCTION("GOOGLETRANSLATE($A3432,""en"",""ja"")"),"ヴラネシュティツァ")</f>
        <v>ヴラネシュティツァ</v>
      </c>
      <c r="I3432" s="9" t="str">
        <f>IFERROR(__xludf.DUMMYFUNCTION("GOOGLETRANSLATE($A3432,""en"",""ko"")"),"브라네슈티차")</f>
        <v>브라네슈티차</v>
      </c>
      <c r="J3432" s="9" t="str">
        <f>IFERROR(__xludf.DUMMYFUNCTION("GOOGLETRANSLATE($A3432,""en"",""pt-BR"")"),"Vraneštica")</f>
        <v>Vraneštica</v>
      </c>
    </row>
    <row r="3433">
      <c r="A3433" s="9" t="str">
        <f>IFERROR(__xludf.DUMMYFUNCTION("""COMPUTED_VALUE"""),"Čučer Sandevo")</f>
        <v>Čučer Sandevo</v>
      </c>
      <c r="B3433" s="9" t="str">
        <f>IFERROR(__xludf.DUMMYFUNCTION("""COMPUTED_VALUE"""),"mk-82")</f>
        <v>mk-82</v>
      </c>
      <c r="C3433" s="9" t="str">
        <f>IFERROR(__xludf.DUMMYFUNCTION("GOOGLETRANSLATE($A3433,""en"",""de"")"),"Čučer Sandevo")</f>
        <v>Čučer Sandevo</v>
      </c>
      <c r="D3433" s="9" t="str">
        <f>IFERROR(__xludf.DUMMYFUNCTION("GOOGLETRANSLATE($A3433,""en"",""fr"")"),"Cucher Sandevo")</f>
        <v>Cucher Sandevo</v>
      </c>
      <c r="E3433" s="9" t="str">
        <f>IFERROR(__xludf.DUMMYFUNCTION("GOOGLETRANSLATE($A3433,""en"",""es"")"),"Čučer Sandevo")</f>
        <v>Čučer Sandevo</v>
      </c>
      <c r="F3433" s="9" t="str">
        <f>IFERROR(__xludf.DUMMYFUNCTION("GOOGLETRANSLATE($A3433,""en"",""it"")"),"Čučer Sandevo")</f>
        <v>Čučer Sandevo</v>
      </c>
      <c r="G3433" s="9" t="str">
        <f>IFERROR(__xludf.DUMMYFUNCTION("GOOGLETRANSLATE($A3433,""en"",""zh-cn"")"),"丘切尔·桑德沃")</f>
        <v>丘切尔·桑德沃</v>
      </c>
      <c r="H3433" s="9" t="str">
        <f>IFERROR(__xludf.DUMMYFUNCTION("GOOGLETRANSLATE($A3433,""en"",""ja"")"),"チュチェル・サンデヴォ")</f>
        <v>チュチェル・サンデヴォ</v>
      </c>
      <c r="I3433" s="9" t="str">
        <f>IFERROR(__xludf.DUMMYFUNCTION("GOOGLETRANSLATE($A3433,""en"",""ko"")"),"추체르 산데보")</f>
        <v>추체르 산데보</v>
      </c>
      <c r="J3433" s="9" t="str">
        <f>IFERROR(__xludf.DUMMYFUNCTION("GOOGLETRANSLATE($A3433,""en"",""pt-BR"")"),"Čučer Sandevo")</f>
        <v>Čučer Sandevo</v>
      </c>
    </row>
    <row r="3434">
      <c r="A3434" s="9" t="str">
        <f>IFERROR(__xludf.DUMMYFUNCTION("""COMPUTED_VALUE"""),"Ohrid")</f>
        <v>Ohrid</v>
      </c>
      <c r="B3434" s="9" t="str">
        <f>IFERROR(__xludf.DUMMYFUNCTION("""COMPUTED_VALUE"""),"mk-58")</f>
        <v>mk-58</v>
      </c>
      <c r="C3434" s="9" t="str">
        <f>IFERROR(__xludf.DUMMYFUNCTION("GOOGLETRANSLATE($A3434,""en"",""de"")"),"Ohrid")</f>
        <v>Ohrid</v>
      </c>
      <c r="D3434" s="9" t="str">
        <f>IFERROR(__xludf.DUMMYFUNCTION("GOOGLETRANSLATE($A3434,""en"",""fr"")"),"Ohrid")</f>
        <v>Ohrid</v>
      </c>
      <c r="E3434" s="9" t="str">
        <f>IFERROR(__xludf.DUMMYFUNCTION("GOOGLETRANSLATE($A3434,""en"",""es"")"),"Ohrid")</f>
        <v>Ohrid</v>
      </c>
      <c r="F3434" s="9" t="str">
        <f>IFERROR(__xludf.DUMMYFUNCTION("GOOGLETRANSLATE($A3434,""en"",""it"")"),"Ocrida")</f>
        <v>Ocrida</v>
      </c>
      <c r="G3434" s="9" t="str">
        <f>IFERROR(__xludf.DUMMYFUNCTION("GOOGLETRANSLATE($A3434,""en"",""zh-cn"")"),"奥赫里德")</f>
        <v>奥赫里德</v>
      </c>
      <c r="H3434" s="9" t="str">
        <f>IFERROR(__xludf.DUMMYFUNCTION("GOOGLETRANSLATE($A3434,""en"",""ja"")"),"オフリド")</f>
        <v>オフリド</v>
      </c>
      <c r="I3434" s="9" t="str">
        <f>IFERROR(__xludf.DUMMYFUNCTION("GOOGLETRANSLATE($A3434,""en"",""ko"")"),"오흐리드")</f>
        <v>오흐리드</v>
      </c>
      <c r="J3434" s="9" t="str">
        <f>IFERROR(__xludf.DUMMYFUNCTION("GOOGLETRANSLATE($A3434,""en"",""pt-BR"")"),"Ocrida")</f>
        <v>Ocrida</v>
      </c>
    </row>
    <row r="3435">
      <c r="A3435" s="9" t="str">
        <f>IFERROR(__xludf.DUMMYFUNCTION("""COMPUTED_VALUE"""),"Rankovce")</f>
        <v>Rankovce</v>
      </c>
      <c r="B3435" s="9" t="str">
        <f>IFERROR(__xludf.DUMMYFUNCTION("""COMPUTED_VALUE"""),"mk-65")</f>
        <v>mk-65</v>
      </c>
      <c r="C3435" s="9" t="str">
        <f>IFERROR(__xludf.DUMMYFUNCTION("GOOGLETRANSLATE($A3435,""en"",""de"")"),"Rankovce")</f>
        <v>Rankovce</v>
      </c>
      <c r="D3435" s="9" t="str">
        <f>IFERROR(__xludf.DUMMYFUNCTION("GOOGLETRANSLATE($A3435,""en"",""fr"")"),"Rankovce")</f>
        <v>Rankovce</v>
      </c>
      <c r="E3435" s="9" t="str">
        <f>IFERROR(__xludf.DUMMYFUNCTION("GOOGLETRANSLATE($A3435,""en"",""es"")"),"Rankovce")</f>
        <v>Rankovce</v>
      </c>
      <c r="F3435" s="9" t="str">
        <f>IFERROR(__xludf.DUMMYFUNCTION("GOOGLETRANSLATE($A3435,""en"",""it"")"),"Rankovce")</f>
        <v>Rankovce</v>
      </c>
      <c r="G3435" s="9" t="str">
        <f>IFERROR(__xludf.DUMMYFUNCTION("GOOGLETRANSLATE($A3435,""en"",""zh-cn"")"),"兰科夫采")</f>
        <v>兰科夫采</v>
      </c>
      <c r="H3435" s="9" t="str">
        <f>IFERROR(__xludf.DUMMYFUNCTION("GOOGLETRANSLATE($A3435,""en"",""ja"")"),"ランコフチェ")</f>
        <v>ランコフチェ</v>
      </c>
      <c r="I3435" s="9" t="str">
        <f>IFERROR(__xludf.DUMMYFUNCTION("GOOGLETRANSLATE($A3435,""en"",""ko"")"),"란코브체")</f>
        <v>란코브체</v>
      </c>
      <c r="J3435" s="9" t="str">
        <f>IFERROR(__xludf.DUMMYFUNCTION("GOOGLETRANSLATE($A3435,""en"",""pt-BR"")"),"Rankovce")</f>
        <v>Rankovce</v>
      </c>
    </row>
    <row r="3436">
      <c r="A3436" s="9" t="str">
        <f>IFERROR(__xludf.DUMMYFUNCTION("""COMPUTED_VALUE"""),"Šuto Orizari")</f>
        <v>Šuto Orizari</v>
      </c>
      <c r="B3436" s="9" t="str">
        <f>IFERROR(__xludf.DUMMYFUNCTION("""COMPUTED_VALUE"""),"mk-84")</f>
        <v>mk-84</v>
      </c>
      <c r="C3436" s="9" t="str">
        <f>IFERROR(__xludf.DUMMYFUNCTION("GOOGLETRANSLATE($A3436,""en"",""de"")"),"Šuto Orizari")</f>
        <v>Šuto Orizari</v>
      </c>
      <c r="D3436" s="9" t="str">
        <f>IFERROR(__xludf.DUMMYFUNCTION("GOOGLETRANSLATE($A3436,""en"",""fr"")"),"Chouto Orizari")</f>
        <v>Chouto Orizari</v>
      </c>
      <c r="E3436" s="9" t="str">
        <f>IFERROR(__xludf.DUMMYFUNCTION("GOOGLETRANSLATE($A3436,""en"",""es"")"),"Šuto Orizari")</f>
        <v>Šuto Orizari</v>
      </c>
      <c r="F3436" s="9" t="str">
        <f>IFERROR(__xludf.DUMMYFUNCTION("GOOGLETRANSLATE($A3436,""en"",""it"")"),"Šuto Orizari")</f>
        <v>Šuto Orizari</v>
      </c>
      <c r="G3436" s="9" t="str">
        <f>IFERROR(__xludf.DUMMYFUNCTION("GOOGLETRANSLATE($A3436,""en"",""zh-cn"")"),"苏托·奥里萨里")</f>
        <v>苏托·奥里萨里</v>
      </c>
      <c r="H3436" s="9" t="str">
        <f>IFERROR(__xludf.DUMMYFUNCTION("GOOGLETRANSLATE($A3436,""en"",""ja"")"),"シュト・オリザリ")</f>
        <v>シュト・オリザリ</v>
      </c>
      <c r="I3436" s="9" t="str">
        <f>IFERROR(__xludf.DUMMYFUNCTION("GOOGLETRANSLATE($A3436,""en"",""ko"")"),"슈토 오리자리")</f>
        <v>슈토 오리자리</v>
      </c>
      <c r="J3436" s="9" t="str">
        <f>IFERROR(__xludf.DUMMYFUNCTION("GOOGLETRANSLATE($A3436,""en"",""pt-BR"")"),"Šuto Orizari")</f>
        <v>Šuto Orizari</v>
      </c>
    </row>
    <row r="3437">
      <c r="A3437" s="9" t="str">
        <f>IFERROR(__xludf.DUMMYFUNCTION("""COMPUTED_VALUE"""),"Novaci")</f>
        <v>Novaci</v>
      </c>
      <c r="B3437" s="9" t="str">
        <f>IFERROR(__xludf.DUMMYFUNCTION("""COMPUTED_VALUE"""),"mk-55")</f>
        <v>mk-55</v>
      </c>
      <c r="C3437" s="9" t="str">
        <f>IFERROR(__xludf.DUMMYFUNCTION("GOOGLETRANSLATE($A3437,""en"",""de"")"),"Novaci")</f>
        <v>Novaci</v>
      </c>
      <c r="D3437" s="9" t="str">
        <f>IFERROR(__xludf.DUMMYFUNCTION("GOOGLETRANSLATE($A3437,""en"",""fr"")"),"Novaci")</f>
        <v>Novaci</v>
      </c>
      <c r="E3437" s="9" t="str">
        <f>IFERROR(__xludf.DUMMYFUNCTION("GOOGLETRANSLATE($A3437,""en"",""es"")"),"Novaci")</f>
        <v>Novaci</v>
      </c>
      <c r="F3437" s="9" t="str">
        <f>IFERROR(__xludf.DUMMYFUNCTION("GOOGLETRANSLATE($A3437,""en"",""it"")"),"Novaci")</f>
        <v>Novaci</v>
      </c>
      <c r="G3437" s="9" t="str">
        <f>IFERROR(__xludf.DUMMYFUNCTION("GOOGLETRANSLATE($A3437,""en"",""zh-cn"")"),"诺瓦齐")</f>
        <v>诺瓦齐</v>
      </c>
      <c r="H3437" s="9" t="str">
        <f>IFERROR(__xludf.DUMMYFUNCTION("GOOGLETRANSLATE($A3437,""en"",""ja"")"),"ノヴァチ")</f>
        <v>ノヴァチ</v>
      </c>
      <c r="I3437" s="9" t="str">
        <f>IFERROR(__xludf.DUMMYFUNCTION("GOOGLETRANSLATE($A3437,""en"",""ko"")"),"노바치")</f>
        <v>노바치</v>
      </c>
      <c r="J3437" s="9" t="str">
        <f>IFERROR(__xludf.DUMMYFUNCTION("GOOGLETRANSLATE($A3437,""en"",""pt-BR"")"),"Novaci")</f>
        <v>Novaci</v>
      </c>
    </row>
    <row r="3438">
      <c r="A3438" s="9" t="str">
        <f>IFERROR(__xludf.DUMMYFUNCTION("""COMPUTED_VALUE"""),"Bitola")</f>
        <v>Bitola</v>
      </c>
      <c r="B3438" s="9" t="str">
        <f>IFERROR(__xludf.DUMMYFUNCTION("""COMPUTED_VALUE"""),"mk-04")</f>
        <v>mk-04</v>
      </c>
      <c r="C3438" s="9" t="str">
        <f>IFERROR(__xludf.DUMMYFUNCTION("GOOGLETRANSLATE($A3438,""en"",""de"")"),"Bitola")</f>
        <v>Bitola</v>
      </c>
      <c r="D3438" s="9" t="str">
        <f>IFERROR(__xludf.DUMMYFUNCTION("GOOGLETRANSLATE($A3438,""en"",""fr"")"),"Bitola")</f>
        <v>Bitola</v>
      </c>
      <c r="E3438" s="9" t="str">
        <f>IFERROR(__xludf.DUMMYFUNCTION("GOOGLETRANSLATE($A3438,""en"",""es"")"),"Bitola")</f>
        <v>Bitola</v>
      </c>
      <c r="F3438" s="9" t="str">
        <f>IFERROR(__xludf.DUMMYFUNCTION("GOOGLETRANSLATE($A3438,""en"",""it"")"),"Bitola")</f>
        <v>Bitola</v>
      </c>
      <c r="G3438" s="9" t="str">
        <f>IFERROR(__xludf.DUMMYFUNCTION("GOOGLETRANSLATE($A3438,""en"",""zh-cn"")"),"比托拉")</f>
        <v>比托拉</v>
      </c>
      <c r="H3438" s="9" t="str">
        <f>IFERROR(__xludf.DUMMYFUNCTION("GOOGLETRANSLATE($A3438,""en"",""ja"")"),"ビトラ")</f>
        <v>ビトラ</v>
      </c>
      <c r="I3438" s="9" t="str">
        <f>IFERROR(__xludf.DUMMYFUNCTION("GOOGLETRANSLATE($A3438,""en"",""ko"")"),"비톨라")</f>
        <v>비톨라</v>
      </c>
      <c r="J3438" s="9" t="str">
        <f>IFERROR(__xludf.DUMMYFUNCTION("GOOGLETRANSLATE($A3438,""en"",""pt-BR"")"),"Bitola")</f>
        <v>Bitola</v>
      </c>
    </row>
    <row r="3439">
      <c r="A3439" s="9" t="str">
        <f>IFERROR(__xludf.DUMMYFUNCTION("""COMPUTED_VALUE"""),"Kičevo")</f>
        <v>Kičevo</v>
      </c>
      <c r="B3439" s="9" t="str">
        <f>IFERROR(__xludf.DUMMYFUNCTION("""COMPUTED_VALUE"""),"mk-40")</f>
        <v>mk-40</v>
      </c>
      <c r="C3439" s="9" t="str">
        <f>IFERROR(__xludf.DUMMYFUNCTION("GOOGLETRANSLATE($A3439,""en"",""de"")"),"Kičevo")</f>
        <v>Kičevo</v>
      </c>
      <c r="D3439" s="9" t="str">
        <f>IFERROR(__xludf.DUMMYFUNCTION("GOOGLETRANSLATE($A3439,""en"",""fr"")"),"Kičevo")</f>
        <v>Kičevo</v>
      </c>
      <c r="E3439" s="9" t="str">
        <f>IFERROR(__xludf.DUMMYFUNCTION("GOOGLETRANSLATE($A3439,""en"",""es"")"),"Kičevo")</f>
        <v>Kičevo</v>
      </c>
      <c r="F3439" s="9" t="str">
        <f>IFERROR(__xludf.DUMMYFUNCTION("GOOGLETRANSLATE($A3439,""en"",""it"")"),"Kicevo")</f>
        <v>Kicevo</v>
      </c>
      <c r="G3439" s="9" t="str">
        <f>IFERROR(__xludf.DUMMYFUNCTION("GOOGLETRANSLATE($A3439,""en"",""zh-cn"")"),"基切沃")</f>
        <v>基切沃</v>
      </c>
      <c r="H3439" s="9" t="str">
        <f>IFERROR(__xludf.DUMMYFUNCTION("GOOGLETRANSLATE($A3439,""en"",""ja"")"),"キチェヴォ")</f>
        <v>キチェヴォ</v>
      </c>
      <c r="I3439" s="9" t="str">
        <f>IFERROR(__xludf.DUMMYFUNCTION("GOOGLETRANSLATE($A3439,""en"",""ko"")"),"키체보")</f>
        <v>키체보</v>
      </c>
      <c r="J3439" s="9" t="str">
        <f>IFERROR(__xludf.DUMMYFUNCTION("GOOGLETRANSLATE($A3439,""en"",""pt-BR"")"),"Kičevo")</f>
        <v>Kičevo</v>
      </c>
    </row>
    <row r="3440">
      <c r="A3440" s="9" t="str">
        <f>IFERROR(__xludf.DUMMYFUNCTION("""COMPUTED_VALUE"""),"Štip")</f>
        <v>Štip</v>
      </c>
      <c r="B3440" s="9" t="str">
        <f>IFERROR(__xludf.DUMMYFUNCTION("""COMPUTED_VALUE"""),"mk-83")</f>
        <v>mk-83</v>
      </c>
      <c r="C3440" s="9" t="str">
        <f>IFERROR(__xludf.DUMMYFUNCTION("GOOGLETRANSLATE($A3440,""en"",""de"")"),"Štip")</f>
        <v>Štip</v>
      </c>
      <c r="D3440" s="9" t="str">
        <f>IFERROR(__xludf.DUMMYFUNCTION("GOOGLETRANSLATE($A3440,""en"",""fr"")"),"Astuce")</f>
        <v>Astuce</v>
      </c>
      <c r="E3440" s="9" t="str">
        <f>IFERROR(__xludf.DUMMYFUNCTION("GOOGLETRANSLATE($A3440,""en"",""es"")"),"Štip")</f>
        <v>Štip</v>
      </c>
      <c r="F3440" s="9" t="str">
        <f>IFERROR(__xludf.DUMMYFUNCTION("GOOGLETRANSLATE($A3440,""en"",""it"")"),"Štip")</f>
        <v>Štip</v>
      </c>
      <c r="G3440" s="9" t="str">
        <f>IFERROR(__xludf.DUMMYFUNCTION("GOOGLETRANSLATE($A3440,""en"",""zh-cn"")"),"什蒂普")</f>
        <v>什蒂普</v>
      </c>
      <c r="H3440" s="9" t="str">
        <f>IFERROR(__xludf.DUMMYFUNCTION("GOOGLETRANSLATE($A3440,""en"",""ja"")"),"シュティプ")</f>
        <v>シュティプ</v>
      </c>
      <c r="I3440" s="9" t="str">
        <f>IFERROR(__xludf.DUMMYFUNCTION("GOOGLETRANSLATE($A3440,""en"",""ko"")"),"슈팁")</f>
        <v>슈팁</v>
      </c>
      <c r="J3440" s="9" t="str">
        <f>IFERROR(__xludf.DUMMYFUNCTION("GOOGLETRANSLATE($A3440,""en"",""pt-BR"")"),"Štip")</f>
        <v>Štip</v>
      </c>
    </row>
    <row r="3441">
      <c r="A3441" s="9" t="str">
        <f>IFERROR(__xludf.DUMMYFUNCTION("""COMPUTED_VALUE"""),"Makedonska Kamenica")</f>
        <v>Makedonska Kamenica</v>
      </c>
      <c r="B3441" s="9" t="str">
        <f>IFERROR(__xludf.DUMMYFUNCTION("""COMPUTED_VALUE"""),"mk-51")</f>
        <v>mk-51</v>
      </c>
      <c r="C3441" s="9" t="str">
        <f>IFERROR(__xludf.DUMMYFUNCTION("GOOGLETRANSLATE($A3441,""en"",""de"")"),"Makedonska Kamenica")</f>
        <v>Makedonska Kamenica</v>
      </c>
      <c r="D3441" s="9" t="str">
        <f>IFERROR(__xludf.DUMMYFUNCTION("GOOGLETRANSLATE($A3441,""en"",""fr"")"),"Makedonska Kamenica")</f>
        <v>Makedonska Kamenica</v>
      </c>
      <c r="E3441" s="9" t="str">
        <f>IFERROR(__xludf.DUMMYFUNCTION("GOOGLETRANSLATE($A3441,""en"",""es"")"),"Makedonska Kamenica")</f>
        <v>Makedonska Kamenica</v>
      </c>
      <c r="F3441" s="9" t="str">
        <f>IFERROR(__xludf.DUMMYFUNCTION("GOOGLETRANSLATE($A3441,""en"",""it"")"),"Makedonska Kamenica")</f>
        <v>Makedonska Kamenica</v>
      </c>
      <c r="G3441" s="9" t="str">
        <f>IFERROR(__xludf.DUMMYFUNCTION("GOOGLETRANSLATE($A3441,""en"",""zh-cn"")"),"马其顿卡梅尼察")</f>
        <v>马其顿卡梅尼察</v>
      </c>
      <c r="H3441" s="9" t="str">
        <f>IFERROR(__xludf.DUMMYFUNCTION("GOOGLETRANSLATE($A3441,""en"",""ja"")"),"マケドンスカ・カメニカ")</f>
        <v>マケドンスカ・カメニカ</v>
      </c>
      <c r="I3441" s="9" t="str">
        <f>IFERROR(__xludf.DUMMYFUNCTION("GOOGLETRANSLATE($A3441,""en"",""ko"")"),"마케돈스카 카메니카")</f>
        <v>마케돈스카 카메니카</v>
      </c>
      <c r="J3441" s="9" t="str">
        <f>IFERROR(__xludf.DUMMYFUNCTION("GOOGLETRANSLATE($A3441,""en"",""pt-BR"")"),"Makedonska Kamenica")</f>
        <v>Makedonska Kamenica</v>
      </c>
    </row>
    <row r="3442">
      <c r="A3442" s="9" t="str">
        <f>IFERROR(__xludf.DUMMYFUNCTION("""COMPUTED_VALUE"""),"Mavrovo i Rostuša")</f>
        <v>Mavrovo i Rostuša</v>
      </c>
      <c r="B3442" s="9" t="str">
        <f>IFERROR(__xludf.DUMMYFUNCTION("""COMPUTED_VALUE"""),"mk-50")</f>
        <v>mk-50</v>
      </c>
      <c r="C3442" s="9" t="str">
        <f>IFERROR(__xludf.DUMMYFUNCTION("GOOGLETRANSLATE($A3442,""en"",""de"")"),"Mavrovo und Rostuša")</f>
        <v>Mavrovo und Rostuša</v>
      </c>
      <c r="D3442" s="9" t="str">
        <f>IFERROR(__xludf.DUMMYFUNCTION("GOOGLETRANSLATE($A3442,""en"",""fr"")"),"Mavrovo et Rostoucha")</f>
        <v>Mavrovo et Rostoucha</v>
      </c>
      <c r="E3442" s="9" t="str">
        <f>IFERROR(__xludf.DUMMYFUNCTION("GOOGLETRANSLATE($A3442,""en"",""es"")"),"Mavrovo y Rostuša")</f>
        <v>Mavrovo y Rostuša</v>
      </c>
      <c r="F3442" s="9" t="str">
        <f>IFERROR(__xludf.DUMMYFUNCTION("GOOGLETRANSLATE($A3442,""en"",""it"")"),"Mavrovo i Rostuša")</f>
        <v>Mavrovo i Rostuša</v>
      </c>
      <c r="G3442" s="9" t="str">
        <f>IFERROR(__xludf.DUMMYFUNCTION("GOOGLETRANSLATE($A3442,""en"",""zh-cn"")"),"马夫罗沃和罗斯图萨")</f>
        <v>马夫罗沃和罗斯图萨</v>
      </c>
      <c r="H3442" s="9" t="str">
        <f>IFERROR(__xludf.DUMMYFUNCTION("GOOGLETRANSLATE($A3442,""en"",""ja"")"),"マヴロボ・イ・ロストゥシャ")</f>
        <v>マヴロボ・イ・ロストゥシャ</v>
      </c>
      <c r="I3442" s="9" t="str">
        <f>IFERROR(__xludf.DUMMYFUNCTION("GOOGLETRANSLATE($A3442,""en"",""ko"")"),"마브로보 이 로스투샤")</f>
        <v>마브로보 이 로스투샤</v>
      </c>
      <c r="J3442" s="9" t="str">
        <f>IFERROR(__xludf.DUMMYFUNCTION("GOOGLETRANSLATE($A3442,""en"",""pt-BR"")"),"Mavrovo e Rostuša")</f>
        <v>Mavrovo e Rostuša</v>
      </c>
    </row>
    <row r="3443">
      <c r="A3443" s="9" t="str">
        <f>IFERROR(__xludf.DUMMYFUNCTION("""COMPUTED_VALUE"""),"Valandovo")</f>
        <v>Valandovo</v>
      </c>
      <c r="B3443" s="9" t="str">
        <f>IFERROR(__xludf.DUMMYFUNCTION("""COMPUTED_VALUE"""),"mk-10")</f>
        <v>mk-10</v>
      </c>
      <c r="C3443" s="9" t="str">
        <f>IFERROR(__xludf.DUMMYFUNCTION("GOOGLETRANSLATE($A3443,""en"",""de"")"),"Valandovo")</f>
        <v>Valandovo</v>
      </c>
      <c r="D3443" s="9" t="str">
        <f>IFERROR(__xludf.DUMMYFUNCTION("GOOGLETRANSLATE($A3443,""en"",""fr"")"),"Valandovo")</f>
        <v>Valandovo</v>
      </c>
      <c r="E3443" s="9" t="str">
        <f>IFERROR(__xludf.DUMMYFUNCTION("GOOGLETRANSLATE($A3443,""en"",""es"")"),"Valandovo")</f>
        <v>Valandovo</v>
      </c>
      <c r="F3443" s="9" t="str">
        <f>IFERROR(__xludf.DUMMYFUNCTION("GOOGLETRANSLATE($A3443,""en"",""it"")"),"Valandovo")</f>
        <v>Valandovo</v>
      </c>
      <c r="G3443" s="9" t="str">
        <f>IFERROR(__xludf.DUMMYFUNCTION("GOOGLETRANSLATE($A3443,""en"",""zh-cn"")"),"瓦兰多沃")</f>
        <v>瓦兰多沃</v>
      </c>
      <c r="H3443" s="9" t="str">
        <f>IFERROR(__xludf.DUMMYFUNCTION("GOOGLETRANSLATE($A3443,""en"",""ja"")"),"ヴァランドボ")</f>
        <v>ヴァランドボ</v>
      </c>
      <c r="I3443" s="9" t="str">
        <f>IFERROR(__xludf.DUMMYFUNCTION("GOOGLETRANSLATE($A3443,""en"",""ko"")"),"발란도보")</f>
        <v>발란도보</v>
      </c>
      <c r="J3443" s="9" t="str">
        <f>IFERROR(__xludf.DUMMYFUNCTION("GOOGLETRANSLATE($A3443,""en"",""pt-BR"")"),"Valandovo")</f>
        <v>Valandovo</v>
      </c>
    </row>
    <row r="3444">
      <c r="A3444" s="9" t="str">
        <f>IFERROR(__xludf.DUMMYFUNCTION("""COMPUTED_VALUE"""),"Debarca")</f>
        <v>Debarca</v>
      </c>
      <c r="B3444" s="9" t="str">
        <f>IFERROR(__xludf.DUMMYFUNCTION("""COMPUTED_VALUE"""),"mk-22")</f>
        <v>mk-22</v>
      </c>
      <c r="C3444" s="9" t="str">
        <f>IFERROR(__xludf.DUMMYFUNCTION("GOOGLETRANSLATE($A3444,""en"",""de"")"),"Debarca")</f>
        <v>Debarca</v>
      </c>
      <c r="D3444" s="9" t="str">
        <f>IFERROR(__xludf.DUMMYFUNCTION("GOOGLETRANSLATE($A3444,""en"",""fr"")"),"Débarque")</f>
        <v>Débarque</v>
      </c>
      <c r="E3444" s="9" t="str">
        <f>IFERROR(__xludf.DUMMYFUNCTION("GOOGLETRANSLATE($A3444,""en"",""es"")"),"Debarca")</f>
        <v>Debarca</v>
      </c>
      <c r="F3444" s="9" t="str">
        <f>IFERROR(__xludf.DUMMYFUNCTION("GOOGLETRANSLATE($A3444,""en"",""it"")"),"Debarca")</f>
        <v>Debarca</v>
      </c>
      <c r="G3444" s="9" t="str">
        <f>IFERROR(__xludf.DUMMYFUNCTION("GOOGLETRANSLATE($A3444,""en"",""zh-cn"")"),"德巴尔卡")</f>
        <v>德巴尔卡</v>
      </c>
      <c r="H3444" s="9" t="str">
        <f>IFERROR(__xludf.DUMMYFUNCTION("GOOGLETRANSLATE($A3444,""en"",""ja"")"),"デバーカ")</f>
        <v>デバーカ</v>
      </c>
      <c r="I3444" s="9" t="str">
        <f>IFERROR(__xludf.DUMMYFUNCTION("GOOGLETRANSLATE($A3444,""en"",""ko"")"),"데바르카")</f>
        <v>데바르카</v>
      </c>
      <c r="J3444" s="9" t="str">
        <f>IFERROR(__xludf.DUMMYFUNCTION("GOOGLETRANSLATE($A3444,""en"",""pt-BR"")"),"Debarca")</f>
        <v>Debarca</v>
      </c>
    </row>
    <row r="3445">
      <c r="A3445" s="9" t="str">
        <f>IFERROR(__xludf.DUMMYFUNCTION("""COMPUTED_VALUE"""),"Veles")</f>
        <v>Veles</v>
      </c>
      <c r="B3445" s="9" t="str">
        <f>IFERROR(__xludf.DUMMYFUNCTION("""COMPUTED_VALUE"""),"mk-13")</f>
        <v>mk-13</v>
      </c>
      <c r="C3445" s="9" t="str">
        <f>IFERROR(__xludf.DUMMYFUNCTION("GOOGLETRANSLATE($A3445,""en"",""de"")"),"Veles")</f>
        <v>Veles</v>
      </c>
      <c r="D3445" s="9" t="str">
        <f>IFERROR(__xludf.DUMMYFUNCTION("GOOGLETRANSLATE($A3445,""en"",""fr"")"),"Vélès")</f>
        <v>Vélès</v>
      </c>
      <c r="E3445" s="9" t="str">
        <f>IFERROR(__xludf.DUMMYFUNCTION("GOOGLETRANSLATE($A3445,""en"",""es"")"),"Vélez")</f>
        <v>Vélez</v>
      </c>
      <c r="F3445" s="9" t="str">
        <f>IFERROR(__xludf.DUMMYFUNCTION("GOOGLETRANSLATE($A3445,""en"",""it"")"),"Veles")</f>
        <v>Veles</v>
      </c>
      <c r="G3445" s="9" t="str">
        <f>IFERROR(__xludf.DUMMYFUNCTION("GOOGLETRANSLATE($A3445,""en"",""zh-cn"")"),"韦莱斯")</f>
        <v>韦莱斯</v>
      </c>
      <c r="H3445" s="9" t="str">
        <f>IFERROR(__xludf.DUMMYFUNCTION("GOOGLETRANSLATE($A3445,""en"",""ja"")"),"ヴェレス")</f>
        <v>ヴェレス</v>
      </c>
      <c r="I3445" s="9" t="str">
        <f>IFERROR(__xludf.DUMMYFUNCTION("GOOGLETRANSLATE($A3445,""en"",""ko"")"),"벨레스")</f>
        <v>벨레스</v>
      </c>
      <c r="J3445" s="9" t="str">
        <f>IFERROR(__xludf.DUMMYFUNCTION("GOOGLETRANSLATE($A3445,""en"",""pt-BR"")"),"Veles")</f>
        <v>Veles</v>
      </c>
    </row>
    <row r="3446">
      <c r="A3446" s="9" t="str">
        <f>IFERROR(__xludf.DUMMYFUNCTION("""COMPUTED_VALUE"""),"Bogdanci")</f>
        <v>Bogdanci</v>
      </c>
      <c r="B3446" s="9" t="str">
        <f>IFERROR(__xludf.DUMMYFUNCTION("""COMPUTED_VALUE"""),"mk-05")</f>
        <v>mk-05</v>
      </c>
      <c r="C3446" s="9" t="str">
        <f>IFERROR(__xludf.DUMMYFUNCTION("GOOGLETRANSLATE($A3446,""en"",""de"")"),"Bogdanci")</f>
        <v>Bogdanci</v>
      </c>
      <c r="D3446" s="9" t="str">
        <f>IFERROR(__xludf.DUMMYFUNCTION("GOOGLETRANSLATE($A3446,""en"",""fr"")"),"Bogdantsi")</f>
        <v>Bogdantsi</v>
      </c>
      <c r="E3446" s="9" t="str">
        <f>IFERROR(__xludf.DUMMYFUNCTION("GOOGLETRANSLATE($A3446,""en"",""es"")"),"Bogdanci")</f>
        <v>Bogdanci</v>
      </c>
      <c r="F3446" s="9" t="str">
        <f>IFERROR(__xludf.DUMMYFUNCTION("GOOGLETRANSLATE($A3446,""en"",""it"")"),"Bogdanci")</f>
        <v>Bogdanci</v>
      </c>
      <c r="G3446" s="9" t="str">
        <f>IFERROR(__xludf.DUMMYFUNCTION("GOOGLETRANSLATE($A3446,""en"",""zh-cn"")"),"博格丹奇")</f>
        <v>博格丹奇</v>
      </c>
      <c r="H3446" s="9" t="str">
        <f>IFERROR(__xludf.DUMMYFUNCTION("GOOGLETRANSLATE($A3446,""en"",""ja"")"),"ボグダンシ")</f>
        <v>ボグダンシ</v>
      </c>
      <c r="I3446" s="9" t="str">
        <f>IFERROR(__xludf.DUMMYFUNCTION("GOOGLETRANSLATE($A3446,""en"",""ko"")"),"보그댄치")</f>
        <v>보그댄치</v>
      </c>
      <c r="J3446" s="9" t="str">
        <f>IFERROR(__xludf.DUMMYFUNCTION("GOOGLETRANSLATE($A3446,""en"",""pt-BR"")"),"Bogdanci")</f>
        <v>Bogdanci</v>
      </c>
    </row>
    <row r="3447">
      <c r="A3447" s="9" t="str">
        <f>IFERROR(__xludf.DUMMYFUNCTION("""COMPUTED_VALUE"""),"Kočani")</f>
        <v>Kočani</v>
      </c>
      <c r="B3447" s="9" t="str">
        <f>IFERROR(__xludf.DUMMYFUNCTION("""COMPUTED_VALUE"""),"mk-42")</f>
        <v>mk-42</v>
      </c>
      <c r="C3447" s="9" t="str">
        <f>IFERROR(__xludf.DUMMYFUNCTION("GOOGLETRANSLATE($A3447,""en"",""de"")"),"Kočani")</f>
        <v>Kočani</v>
      </c>
      <c r="D3447" s="9" t="str">
        <f>IFERROR(__xludf.DUMMYFUNCTION("GOOGLETRANSLATE($A3447,""en"",""fr"")"),"Kotchani")</f>
        <v>Kotchani</v>
      </c>
      <c r="E3447" s="9" t="str">
        <f>IFERROR(__xludf.DUMMYFUNCTION("GOOGLETRANSLATE($A3447,""en"",""es"")"),"Kočani")</f>
        <v>Kočani</v>
      </c>
      <c r="F3447" s="9" t="str">
        <f>IFERROR(__xludf.DUMMYFUNCTION("GOOGLETRANSLATE($A3447,""en"",""it"")"),"Kočani")</f>
        <v>Kočani</v>
      </c>
      <c r="G3447" s="9" t="str">
        <f>IFERROR(__xludf.DUMMYFUNCTION("GOOGLETRANSLATE($A3447,""en"",""zh-cn"")"),"科查尼")</f>
        <v>科查尼</v>
      </c>
      <c r="H3447" s="9" t="str">
        <f>IFERROR(__xludf.DUMMYFUNCTION("GOOGLETRANSLATE($A3447,""en"",""ja"")"),"コチャニ")</f>
        <v>コチャニ</v>
      </c>
      <c r="I3447" s="9" t="str">
        <f>IFERROR(__xludf.DUMMYFUNCTION("GOOGLETRANSLATE($A3447,""en"",""ko"")"),"코차니")</f>
        <v>코차니</v>
      </c>
      <c r="J3447" s="9" t="str">
        <f>IFERROR(__xludf.DUMMYFUNCTION("GOOGLETRANSLATE($A3447,""en"",""pt-BR"")"),"Kočani")</f>
        <v>Kočani</v>
      </c>
    </row>
    <row r="3448">
      <c r="A3448" s="9" t="str">
        <f>IFERROR(__xludf.DUMMYFUNCTION("""COMPUTED_VALUE"""),"Dolneni")</f>
        <v>Dolneni</v>
      </c>
      <c r="B3448" s="9" t="str">
        <f>IFERROR(__xludf.DUMMYFUNCTION("""COMPUTED_VALUE"""),"mk-27")</f>
        <v>mk-27</v>
      </c>
      <c r="C3448" s="9" t="str">
        <f>IFERROR(__xludf.DUMMYFUNCTION("GOOGLETRANSLATE($A3448,""en"",""de"")"),"Dolneni")</f>
        <v>Dolneni</v>
      </c>
      <c r="D3448" s="9" t="str">
        <f>IFERROR(__xludf.DUMMYFUNCTION("GOOGLETRANSLATE($A3448,""en"",""fr"")"),"Dolnéni")</f>
        <v>Dolnéni</v>
      </c>
      <c r="E3448" s="9" t="str">
        <f>IFERROR(__xludf.DUMMYFUNCTION("GOOGLETRANSLATE($A3448,""en"",""es"")"),"dolneni")</f>
        <v>dolneni</v>
      </c>
      <c r="F3448" s="9" t="str">
        <f>IFERROR(__xludf.DUMMYFUNCTION("GOOGLETRANSLATE($A3448,""en"",""it"")"),"Dolneni")</f>
        <v>Dolneni</v>
      </c>
      <c r="G3448" s="9" t="str">
        <f>IFERROR(__xludf.DUMMYFUNCTION("GOOGLETRANSLATE($A3448,""en"",""zh-cn"")"),"多尔内尼")</f>
        <v>多尔内尼</v>
      </c>
      <c r="H3448" s="9" t="str">
        <f>IFERROR(__xludf.DUMMYFUNCTION("GOOGLETRANSLATE($A3448,""en"",""ja"")"),"ドルネーニ")</f>
        <v>ドルネーニ</v>
      </c>
      <c r="I3448" s="9" t="str">
        <f>IFERROR(__xludf.DUMMYFUNCTION("GOOGLETRANSLATE($A3448,""en"",""ko"")"),"돌네니")</f>
        <v>돌네니</v>
      </c>
      <c r="J3448" s="9" t="str">
        <f>IFERROR(__xludf.DUMMYFUNCTION("GOOGLETRANSLATE($A3448,""en"",""pt-BR"")"),"Dolneni")</f>
        <v>Dolneni</v>
      </c>
    </row>
    <row r="3449">
      <c r="A3449" s="9" t="str">
        <f>IFERROR(__xludf.DUMMYFUNCTION("""COMPUTED_VALUE"""),"Kumanovo")</f>
        <v>Kumanovo</v>
      </c>
      <c r="B3449" s="9" t="str">
        <f>IFERROR(__xludf.DUMMYFUNCTION("""COMPUTED_VALUE"""),"mk-47")</f>
        <v>mk-47</v>
      </c>
      <c r="C3449" s="9" t="str">
        <f>IFERROR(__xludf.DUMMYFUNCTION("GOOGLETRANSLATE($A3449,""en"",""de"")"),"Kumanovo")</f>
        <v>Kumanovo</v>
      </c>
      <c r="D3449" s="9" t="str">
        <f>IFERROR(__xludf.DUMMYFUNCTION("GOOGLETRANSLATE($A3449,""en"",""fr"")"),"Koumanovo")</f>
        <v>Koumanovo</v>
      </c>
      <c r="E3449" s="9" t="str">
        <f>IFERROR(__xludf.DUMMYFUNCTION("GOOGLETRANSLATE($A3449,""en"",""es"")"),"Kumanovo")</f>
        <v>Kumanovo</v>
      </c>
      <c r="F3449" s="9" t="str">
        <f>IFERROR(__xludf.DUMMYFUNCTION("GOOGLETRANSLATE($A3449,""en"",""it"")"),"Kumanovo")</f>
        <v>Kumanovo</v>
      </c>
      <c r="G3449" s="9" t="str">
        <f>IFERROR(__xludf.DUMMYFUNCTION("GOOGLETRANSLATE($A3449,""en"",""zh-cn"")"),"库马诺沃")</f>
        <v>库马诺沃</v>
      </c>
      <c r="H3449" s="9" t="str">
        <f>IFERROR(__xludf.DUMMYFUNCTION("GOOGLETRANSLATE($A3449,""en"",""ja"")"),"クマノヴォ")</f>
        <v>クマノヴォ</v>
      </c>
      <c r="I3449" s="9" t="str">
        <f>IFERROR(__xludf.DUMMYFUNCTION("GOOGLETRANSLATE($A3449,""en"",""ko"")"),"쿠마노보")</f>
        <v>쿠마노보</v>
      </c>
      <c r="J3449" s="9" t="str">
        <f>IFERROR(__xludf.DUMMYFUNCTION("GOOGLETRANSLATE($A3449,""en"",""pt-BR"")"),"Kumanovo")</f>
        <v>Kumanovo</v>
      </c>
    </row>
    <row r="3450">
      <c r="A3450" s="9" t="str">
        <f>IFERROR(__xludf.DUMMYFUNCTION("""COMPUTED_VALUE"""),"Gradsko")</f>
        <v>Gradsko</v>
      </c>
      <c r="B3450" s="9" t="str">
        <f>IFERROR(__xludf.DUMMYFUNCTION("""COMPUTED_VALUE"""),"mk-20")</f>
        <v>mk-20</v>
      </c>
      <c r="C3450" s="9" t="str">
        <f>IFERROR(__xludf.DUMMYFUNCTION("GOOGLETRANSLATE($A3450,""en"",""de"")"),"Gradsko")</f>
        <v>Gradsko</v>
      </c>
      <c r="D3450" s="9" t="str">
        <f>IFERROR(__xludf.DUMMYFUNCTION("GOOGLETRANSLATE($A3450,""en"",""fr"")"),"Gradsko")</f>
        <v>Gradsko</v>
      </c>
      <c r="E3450" s="9" t="str">
        <f>IFERROR(__xludf.DUMMYFUNCTION("GOOGLETRANSLATE($A3450,""en"",""es"")"),"Gradsko")</f>
        <v>Gradsko</v>
      </c>
      <c r="F3450" s="9" t="str">
        <f>IFERROR(__xludf.DUMMYFUNCTION("GOOGLETRANSLATE($A3450,""en"",""it"")"),"Gradsko")</f>
        <v>Gradsko</v>
      </c>
      <c r="G3450" s="9" t="str">
        <f>IFERROR(__xludf.DUMMYFUNCTION("GOOGLETRANSLATE($A3450,""en"",""zh-cn"")"),"格拉德斯科")</f>
        <v>格拉德斯科</v>
      </c>
      <c r="H3450" s="9" t="str">
        <f>IFERROR(__xludf.DUMMYFUNCTION("GOOGLETRANSLATE($A3450,""en"",""ja"")"),"グラドスコ")</f>
        <v>グラドスコ</v>
      </c>
      <c r="I3450" s="9" t="str">
        <f>IFERROR(__xludf.DUMMYFUNCTION("GOOGLETRANSLATE($A3450,""en"",""ko"")"),"그라드스코")</f>
        <v>그라드스코</v>
      </c>
      <c r="J3450" s="9" t="str">
        <f>IFERROR(__xludf.DUMMYFUNCTION("GOOGLETRANSLATE($A3450,""en"",""pt-BR"")"),"Gradsko")</f>
        <v>Gradsko</v>
      </c>
    </row>
    <row r="3451">
      <c r="A3451" s="9" t="str">
        <f>IFERROR(__xludf.DUMMYFUNCTION("""COMPUTED_VALUE"""),"Drugovo")</f>
        <v>Drugovo</v>
      </c>
      <c r="B3451" s="9" t="str">
        <f>IFERROR(__xludf.DUMMYFUNCTION("""COMPUTED_VALUE"""),"mk-28")</f>
        <v>mk-28</v>
      </c>
      <c r="C3451" s="9" t="str">
        <f>IFERROR(__xludf.DUMMYFUNCTION("GOOGLETRANSLATE($A3451,""en"",""de"")"),"Drugovo")</f>
        <v>Drugovo</v>
      </c>
      <c r="D3451" s="9" t="str">
        <f>IFERROR(__xludf.DUMMYFUNCTION("GOOGLETRANSLATE($A3451,""en"",""fr"")"),"Droguevo")</f>
        <v>Droguevo</v>
      </c>
      <c r="E3451" s="9" t="str">
        <f>IFERROR(__xludf.DUMMYFUNCTION("GOOGLETRANSLATE($A3451,""en"",""es"")"),"Drogavo")</f>
        <v>Drogavo</v>
      </c>
      <c r="F3451" s="9" t="str">
        <f>IFERROR(__xludf.DUMMYFUNCTION("GOOGLETRANSLATE($A3451,""en"",""it"")"),"Drugovo")</f>
        <v>Drugovo</v>
      </c>
      <c r="G3451" s="9" t="str">
        <f>IFERROR(__xludf.DUMMYFUNCTION("GOOGLETRANSLATE($A3451,""en"",""zh-cn"")"),"德鲁戈沃")</f>
        <v>德鲁戈沃</v>
      </c>
      <c r="H3451" s="9" t="str">
        <f>IFERROR(__xludf.DUMMYFUNCTION("GOOGLETRANSLATE($A3451,""en"",""ja"")"),"ドゥルゴヴォ")</f>
        <v>ドゥルゴヴォ</v>
      </c>
      <c r="I3451" s="9" t="str">
        <f>IFERROR(__xludf.DUMMYFUNCTION("GOOGLETRANSLATE($A3451,""en"",""ko"")"),"드루고보")</f>
        <v>드루고보</v>
      </c>
      <c r="J3451" s="9" t="str">
        <f>IFERROR(__xludf.DUMMYFUNCTION("GOOGLETRANSLATE($A3451,""en"",""pt-BR"")"),"Drogavo")</f>
        <v>Drogavo</v>
      </c>
    </row>
    <row r="3452">
      <c r="A3452" s="9" t="str">
        <f>IFERROR(__xludf.DUMMYFUNCTION("""COMPUTED_VALUE"""),"Zelenikovo")</f>
        <v>Zelenikovo</v>
      </c>
      <c r="B3452" s="9" t="str">
        <f>IFERROR(__xludf.DUMMYFUNCTION("""COMPUTED_VALUE"""),"mk-32")</f>
        <v>mk-32</v>
      </c>
      <c r="C3452" s="9" t="str">
        <f>IFERROR(__xludf.DUMMYFUNCTION("GOOGLETRANSLATE($A3452,""en"",""de"")"),"Selenikowo")</f>
        <v>Selenikowo</v>
      </c>
      <c r="D3452" s="9" t="str">
        <f>IFERROR(__xludf.DUMMYFUNCTION("GOOGLETRANSLATE($A3452,""en"",""fr"")"),"Zelenikovo")</f>
        <v>Zelenikovo</v>
      </c>
      <c r="E3452" s="9" t="str">
        <f>IFERROR(__xludf.DUMMYFUNCTION("GOOGLETRANSLATE($A3452,""en"",""es"")"),"zelénikovo")</f>
        <v>zelénikovo</v>
      </c>
      <c r="F3452" s="9" t="str">
        <f>IFERROR(__xludf.DUMMYFUNCTION("GOOGLETRANSLATE($A3452,""en"",""it"")"),"Zelenikovo")</f>
        <v>Zelenikovo</v>
      </c>
      <c r="G3452" s="9" t="str">
        <f>IFERROR(__xludf.DUMMYFUNCTION("GOOGLETRANSLATE($A3452,""en"",""zh-cn"")"),"泽列尼科沃")</f>
        <v>泽列尼科沃</v>
      </c>
      <c r="H3452" s="9" t="str">
        <f>IFERROR(__xludf.DUMMYFUNCTION("GOOGLETRANSLATE($A3452,""en"",""ja"")"),"ゼレニコヴォ")</f>
        <v>ゼレニコヴォ</v>
      </c>
      <c r="I3452" s="9" t="str">
        <f>IFERROR(__xludf.DUMMYFUNCTION("GOOGLETRANSLATE($A3452,""en"",""ko"")"),"젤레니코보")</f>
        <v>젤레니코보</v>
      </c>
      <c r="J3452" s="9" t="str">
        <f>IFERROR(__xludf.DUMMYFUNCTION("GOOGLETRANSLATE($A3452,""en"",""pt-BR"")"),"Zelenikovo")</f>
        <v>Zelenikovo</v>
      </c>
    </row>
    <row r="3453">
      <c r="A3453" s="9" t="str">
        <f>IFERROR(__xludf.DUMMYFUNCTION("""COMPUTED_VALUE"""),"Bosilovo")</f>
        <v>Bosilovo</v>
      </c>
      <c r="B3453" s="9" t="str">
        <f>IFERROR(__xludf.DUMMYFUNCTION("""COMPUTED_VALUE"""),"mk-07")</f>
        <v>mk-07</v>
      </c>
      <c r="C3453" s="9" t="str">
        <f>IFERROR(__xludf.DUMMYFUNCTION("GOOGLETRANSLATE($A3453,""en"",""de"")"),"Bosilovo")</f>
        <v>Bosilovo</v>
      </c>
      <c r="D3453" s="9" t="str">
        <f>IFERROR(__xludf.DUMMYFUNCTION("GOOGLETRANSLATE($A3453,""en"",""fr"")"),"Bosilovo")</f>
        <v>Bosilovo</v>
      </c>
      <c r="E3453" s="9" t="str">
        <f>IFERROR(__xludf.DUMMYFUNCTION("GOOGLETRANSLATE($A3453,""en"",""es"")"),"Bosílovo")</f>
        <v>Bosílovo</v>
      </c>
      <c r="F3453" s="9" t="str">
        <f>IFERROR(__xludf.DUMMYFUNCTION("GOOGLETRANSLATE($A3453,""en"",""it"")"),"Bosilovo")</f>
        <v>Bosilovo</v>
      </c>
      <c r="G3453" s="9" t="str">
        <f>IFERROR(__xludf.DUMMYFUNCTION("GOOGLETRANSLATE($A3453,""en"",""zh-cn"")"),"博西洛沃")</f>
        <v>博西洛沃</v>
      </c>
      <c r="H3453" s="9" t="str">
        <f>IFERROR(__xludf.DUMMYFUNCTION("GOOGLETRANSLATE($A3453,""en"",""ja"")"),"ボシロヴォ")</f>
        <v>ボシロヴォ</v>
      </c>
      <c r="I3453" s="9" t="str">
        <f>IFERROR(__xludf.DUMMYFUNCTION("GOOGLETRANSLATE($A3453,""en"",""ko"")"),"보실로보")</f>
        <v>보실로보</v>
      </c>
      <c r="J3453" s="9" t="str">
        <f>IFERROR(__xludf.DUMMYFUNCTION("GOOGLETRANSLATE($A3453,""en"",""pt-BR"")"),"Bosilovo")</f>
        <v>Bosilovo</v>
      </c>
    </row>
    <row r="3454">
      <c r="A3454" s="9" t="str">
        <f>IFERROR(__xludf.DUMMYFUNCTION("""COMPUTED_VALUE"""),"Vrapčište")</f>
        <v>Vrapčište</v>
      </c>
      <c r="B3454" s="9" t="str">
        <f>IFERROR(__xludf.DUMMYFUNCTION("""COMPUTED_VALUE"""),"mk-16")</f>
        <v>mk-16</v>
      </c>
      <c r="C3454" s="9" t="str">
        <f>IFERROR(__xludf.DUMMYFUNCTION("GOOGLETRANSLATE($A3454,""en"",""de"")"),"Vrapčište")</f>
        <v>Vrapčište</v>
      </c>
      <c r="D3454" s="9" t="str">
        <f>IFERROR(__xludf.DUMMYFUNCTION("GOOGLETRANSLATE($A3454,""en"",""fr"")"),"Vrapchichte")</f>
        <v>Vrapchichte</v>
      </c>
      <c r="E3454" s="9" t="str">
        <f>IFERROR(__xludf.DUMMYFUNCTION("GOOGLETRANSLATE($A3454,""en"",""es"")"),"Vrapčište")</f>
        <v>Vrapčište</v>
      </c>
      <c r="F3454" s="9" t="str">
        <f>IFERROR(__xludf.DUMMYFUNCTION("GOOGLETRANSLATE($A3454,""en"",""it"")"),"Vrapčiste")</f>
        <v>Vrapčiste</v>
      </c>
      <c r="G3454" s="9" t="str">
        <f>IFERROR(__xludf.DUMMYFUNCTION("GOOGLETRANSLATE($A3454,""en"",""zh-cn"")"),"弗拉普西斯特")</f>
        <v>弗拉普西斯特</v>
      </c>
      <c r="H3454" s="9" t="str">
        <f>IFERROR(__xludf.DUMMYFUNCTION("GOOGLETRANSLATE($A3454,""en"",""ja"")"),"ヴラプチシュテ")</f>
        <v>ヴラプチシュテ</v>
      </c>
      <c r="I3454" s="9" t="str">
        <f>IFERROR(__xludf.DUMMYFUNCTION("GOOGLETRANSLATE($A3454,""en"",""ko"")"),"브라프치슈테")</f>
        <v>브라프치슈테</v>
      </c>
      <c r="J3454" s="9" t="str">
        <f>IFERROR(__xludf.DUMMYFUNCTION("GOOGLETRANSLATE($A3454,""en"",""pt-BR"")"),"Vrapčište")</f>
        <v>Vrapčište</v>
      </c>
    </row>
    <row r="3455">
      <c r="A3455" s="9" t="str">
        <f>IFERROR(__xludf.DUMMYFUNCTION("""COMPUTED_VALUE"""),"Lipkovo")</f>
        <v>Lipkovo</v>
      </c>
      <c r="B3455" s="9" t="str">
        <f>IFERROR(__xludf.DUMMYFUNCTION("""COMPUTED_VALUE"""),"mk-48")</f>
        <v>mk-48</v>
      </c>
      <c r="C3455" s="9" t="str">
        <f>IFERROR(__xludf.DUMMYFUNCTION("GOOGLETRANSLATE($A3455,""en"",""de"")"),"Lipkowo")</f>
        <v>Lipkowo</v>
      </c>
      <c r="D3455" s="9" t="str">
        <f>IFERROR(__xludf.DUMMYFUNCTION("GOOGLETRANSLATE($A3455,""en"",""fr"")"),"Lipkovo")</f>
        <v>Lipkovo</v>
      </c>
      <c r="E3455" s="9" t="str">
        <f>IFERROR(__xludf.DUMMYFUNCTION("GOOGLETRANSLATE($A3455,""en"",""es"")"),"Lipkovo")</f>
        <v>Lipkovo</v>
      </c>
      <c r="F3455" s="9" t="str">
        <f>IFERROR(__xludf.DUMMYFUNCTION("GOOGLETRANSLATE($A3455,""en"",""it"")"),"Lipkovo")</f>
        <v>Lipkovo</v>
      </c>
      <c r="G3455" s="9" t="str">
        <f>IFERROR(__xludf.DUMMYFUNCTION("GOOGLETRANSLATE($A3455,""en"",""zh-cn"")"),"利普科沃")</f>
        <v>利普科沃</v>
      </c>
      <c r="H3455" s="9" t="str">
        <f>IFERROR(__xludf.DUMMYFUNCTION("GOOGLETRANSLATE($A3455,""en"",""ja"")"),"リプコヴォ")</f>
        <v>リプコヴォ</v>
      </c>
      <c r="I3455" s="9" t="str">
        <f>IFERROR(__xludf.DUMMYFUNCTION("GOOGLETRANSLATE($A3455,""en"",""ko"")"),"리프코보")</f>
        <v>리프코보</v>
      </c>
      <c r="J3455" s="9" t="str">
        <f>IFERROR(__xludf.DUMMYFUNCTION("GOOGLETRANSLATE($A3455,""en"",""pt-BR"")"),"Lipkovo")</f>
        <v>Lipkovo</v>
      </c>
    </row>
    <row r="3456">
      <c r="A3456" s="9" t="str">
        <f>IFERROR(__xludf.DUMMYFUNCTION("""COMPUTED_VALUE"""),"Gostivar")</f>
        <v>Gostivar</v>
      </c>
      <c r="B3456" s="9" t="str">
        <f>IFERROR(__xludf.DUMMYFUNCTION("""COMPUTED_VALUE"""),"mk-19")</f>
        <v>mk-19</v>
      </c>
      <c r="C3456" s="9" t="str">
        <f>IFERROR(__xludf.DUMMYFUNCTION("GOOGLETRANSLATE($A3456,""en"",""de"")"),"Gostivar")</f>
        <v>Gostivar</v>
      </c>
      <c r="D3456" s="9" t="str">
        <f>IFERROR(__xludf.DUMMYFUNCTION("GOOGLETRANSLATE($A3456,""en"",""fr"")"),"Gostivar")</f>
        <v>Gostivar</v>
      </c>
      <c r="E3456" s="9" t="str">
        <f>IFERROR(__xludf.DUMMYFUNCTION("GOOGLETRANSLATE($A3456,""en"",""es"")"),"gostivar")</f>
        <v>gostivar</v>
      </c>
      <c r="F3456" s="9" t="str">
        <f>IFERROR(__xludf.DUMMYFUNCTION("GOOGLETRANSLATE($A3456,""en"",""it"")"),"Gostivar")</f>
        <v>Gostivar</v>
      </c>
      <c r="G3456" s="9" t="str">
        <f>IFERROR(__xludf.DUMMYFUNCTION("GOOGLETRANSLATE($A3456,""en"",""zh-cn"")"),"戈斯蒂瓦尔")</f>
        <v>戈斯蒂瓦尔</v>
      </c>
      <c r="H3456" s="9" t="str">
        <f>IFERROR(__xludf.DUMMYFUNCTION("GOOGLETRANSLATE($A3456,""en"",""ja"")"),"ゴスティバル")</f>
        <v>ゴスティバル</v>
      </c>
      <c r="I3456" s="9" t="str">
        <f>IFERROR(__xludf.DUMMYFUNCTION("GOOGLETRANSLATE($A3456,""en"",""ko"")"),"고스티바르")</f>
        <v>고스티바르</v>
      </c>
      <c r="J3456" s="9" t="str">
        <f>IFERROR(__xludf.DUMMYFUNCTION("GOOGLETRANSLATE($A3456,""en"",""pt-BR"")"),"Gostivar")</f>
        <v>Gostivar</v>
      </c>
    </row>
    <row r="3457">
      <c r="A3457" s="9" t="str">
        <f>IFERROR(__xludf.DUMMYFUNCTION("""COMPUTED_VALUE"""),"Kruševo")</f>
        <v>Kruševo</v>
      </c>
      <c r="B3457" s="9" t="str">
        <f>IFERROR(__xludf.DUMMYFUNCTION("""COMPUTED_VALUE"""),"mk-46")</f>
        <v>mk-46</v>
      </c>
      <c r="C3457" s="9" t="str">
        <f>IFERROR(__xludf.DUMMYFUNCTION("GOOGLETRANSLATE($A3457,""en"",""de"")"),"Kruševo")</f>
        <v>Kruševo</v>
      </c>
      <c r="D3457" s="9" t="str">
        <f>IFERROR(__xludf.DUMMYFUNCTION("GOOGLETRANSLATE($A3457,""en"",""fr"")"),"Krouchevo")</f>
        <v>Krouchevo</v>
      </c>
      <c r="E3457" s="9" t="str">
        <f>IFERROR(__xludf.DUMMYFUNCTION("GOOGLETRANSLATE($A3457,""en"",""es"")"),"Krusevo")</f>
        <v>Krusevo</v>
      </c>
      <c r="F3457" s="9" t="str">
        <f>IFERROR(__xludf.DUMMYFUNCTION("GOOGLETRANSLATE($A3457,""en"",""it"")"),"Kruševo")</f>
        <v>Kruševo</v>
      </c>
      <c r="G3457" s="9" t="str">
        <f>IFERROR(__xludf.DUMMYFUNCTION("GOOGLETRANSLATE($A3457,""en"",""zh-cn"")"),"克鲁舍沃")</f>
        <v>克鲁舍沃</v>
      </c>
      <c r="H3457" s="9" t="str">
        <f>IFERROR(__xludf.DUMMYFUNCTION("GOOGLETRANSLATE($A3457,""en"",""ja"")"),"クルシェヴォ")</f>
        <v>クルシェヴォ</v>
      </c>
      <c r="I3457" s="9" t="str">
        <f>IFERROR(__xludf.DUMMYFUNCTION("GOOGLETRANSLATE($A3457,""en"",""ko"")"),"크루셰보")</f>
        <v>크루셰보</v>
      </c>
      <c r="J3457" s="9" t="str">
        <f>IFERROR(__xludf.DUMMYFUNCTION("GOOGLETRANSLATE($A3457,""en"",""pt-BR"")"),"Kruševo")</f>
        <v>Kruševo</v>
      </c>
    </row>
    <row r="3458">
      <c r="A3458" s="9" t="str">
        <f>IFERROR(__xludf.DUMMYFUNCTION("""COMPUTED_VALUE"""),"Oslomej")</f>
        <v>Oslomej</v>
      </c>
      <c r="B3458" s="9" t="str">
        <f>IFERROR(__xludf.DUMMYFUNCTION("""COMPUTED_VALUE"""),"mk-57")</f>
        <v>mk-57</v>
      </c>
      <c r="C3458" s="9" t="str">
        <f>IFERROR(__xludf.DUMMYFUNCTION("GOOGLETRANSLATE($A3458,""en"",""de"")"),"Oslomej")</f>
        <v>Oslomej</v>
      </c>
      <c r="D3458" s="9" t="str">
        <f>IFERROR(__xludf.DUMMYFUNCTION("GOOGLETRANSLATE($A3458,""en"",""fr"")"),"Oslomej")</f>
        <v>Oslomej</v>
      </c>
      <c r="E3458" s="9" t="str">
        <f>IFERROR(__xludf.DUMMYFUNCTION("GOOGLETRANSLATE($A3458,""en"",""es"")"),"Oslomej")</f>
        <v>Oslomej</v>
      </c>
      <c r="F3458" s="9" t="str">
        <f>IFERROR(__xludf.DUMMYFUNCTION("GOOGLETRANSLATE($A3458,""en"",""it"")"),"Oslomej")</f>
        <v>Oslomej</v>
      </c>
      <c r="G3458" s="9" t="str">
        <f>IFERROR(__xludf.DUMMYFUNCTION("GOOGLETRANSLATE($A3458,""en"",""zh-cn"")"),"奥斯洛梅")</f>
        <v>奥斯洛梅</v>
      </c>
      <c r="H3458" s="9" t="str">
        <f>IFERROR(__xludf.DUMMYFUNCTION("GOOGLETRANSLATE($A3458,""en"",""ja"")"),"オスロメジ")</f>
        <v>オスロメジ</v>
      </c>
      <c r="I3458" s="9" t="str">
        <f>IFERROR(__xludf.DUMMYFUNCTION("GOOGLETRANSLATE($A3458,""en"",""ko"")"),"오슬로메")</f>
        <v>오슬로메</v>
      </c>
      <c r="J3458" s="9" t="str">
        <f>IFERROR(__xludf.DUMMYFUNCTION("GOOGLETRANSLATE($A3458,""en"",""pt-BR"")"),"Oslomej")</f>
        <v>Oslomej</v>
      </c>
    </row>
    <row r="3459">
      <c r="A3459" s="9" t="str">
        <f>IFERROR(__xludf.DUMMYFUNCTION("""COMPUTED_VALUE"""),"Sveti Nikole")</f>
        <v>Sveti Nikole</v>
      </c>
      <c r="B3459" s="9" t="str">
        <f>IFERROR(__xludf.DUMMYFUNCTION("""COMPUTED_VALUE"""),"mk-69")</f>
        <v>mk-69</v>
      </c>
      <c r="C3459" s="9" t="str">
        <f>IFERROR(__xludf.DUMMYFUNCTION("GOOGLETRANSLATE($A3459,""en"",""de"")"),"Sveti Nikole")</f>
        <v>Sveti Nikole</v>
      </c>
      <c r="D3459" s="9" t="str">
        <f>IFERROR(__xludf.DUMMYFUNCTION("GOOGLETRANSLATE($A3459,""en"",""fr"")"),"Sveti Nikolé")</f>
        <v>Sveti Nikolé</v>
      </c>
      <c r="E3459" s="9" t="str">
        <f>IFERROR(__xludf.DUMMYFUNCTION("GOOGLETRANSLATE($A3459,""en"",""es"")"),"Sveti Nikole")</f>
        <v>Sveti Nikole</v>
      </c>
      <c r="F3459" s="9" t="str">
        <f>IFERROR(__xludf.DUMMYFUNCTION("GOOGLETRANSLATE($A3459,""en"",""it"")"),"Santa Nicola")</f>
        <v>Santa Nicola</v>
      </c>
      <c r="G3459" s="9" t="str">
        <f>IFERROR(__xludf.DUMMYFUNCTION("GOOGLETRANSLATE($A3459,""en"",""zh-cn"")"),"圣尼古拉")</f>
        <v>圣尼古拉</v>
      </c>
      <c r="H3459" s="9" t="str">
        <f>IFERROR(__xludf.DUMMYFUNCTION("GOOGLETRANSLATE($A3459,""en"",""ja"")"),"スヴェティ・ニコル")</f>
        <v>スヴェティ・ニコル</v>
      </c>
      <c r="I3459" s="9" t="str">
        <f>IFERROR(__xludf.DUMMYFUNCTION("GOOGLETRANSLATE($A3459,""en"",""ko"")"),"스베티 니콜레")</f>
        <v>스베티 니콜레</v>
      </c>
      <c r="J3459" s="9" t="str">
        <f>IFERROR(__xludf.DUMMYFUNCTION("GOOGLETRANSLATE($A3459,""en"",""pt-BR"")"),"Sveti Nikole")</f>
        <v>Sveti Nikole</v>
      </c>
    </row>
    <row r="3460">
      <c r="A3460" s="9" t="str">
        <f>IFERROR(__xludf.DUMMYFUNCTION("""COMPUTED_VALUE"""),"Plasnica")</f>
        <v>Plasnica</v>
      </c>
      <c r="B3460" s="9" t="str">
        <f>IFERROR(__xludf.DUMMYFUNCTION("""COMPUTED_VALUE"""),"mk-61")</f>
        <v>mk-61</v>
      </c>
      <c r="C3460" s="9" t="str">
        <f>IFERROR(__xludf.DUMMYFUNCTION("GOOGLETRANSLATE($A3460,""en"",""de"")"),"Plasnica")</f>
        <v>Plasnica</v>
      </c>
      <c r="D3460" s="9" t="str">
        <f>IFERROR(__xludf.DUMMYFUNCTION("GOOGLETRANSLATE($A3460,""en"",""fr"")"),"Plasnica")</f>
        <v>Plasnica</v>
      </c>
      <c r="E3460" s="9" t="str">
        <f>IFERROR(__xludf.DUMMYFUNCTION("GOOGLETRANSLATE($A3460,""en"",""es"")"),"Plasnica")</f>
        <v>Plasnica</v>
      </c>
      <c r="F3460" s="9" t="str">
        <f>IFERROR(__xludf.DUMMYFUNCTION("GOOGLETRANSLATE($A3460,""en"",""it"")"),"Plasnica")</f>
        <v>Plasnica</v>
      </c>
      <c r="G3460" s="9" t="str">
        <f>IFERROR(__xludf.DUMMYFUNCTION("GOOGLETRANSLATE($A3460,""en"",""zh-cn"")"),"普拉斯尼卡")</f>
        <v>普拉斯尼卡</v>
      </c>
      <c r="H3460" s="9" t="str">
        <f>IFERROR(__xludf.DUMMYFUNCTION("GOOGLETRANSLATE($A3460,""en"",""ja"")"),"プラスニツァ")</f>
        <v>プラスニツァ</v>
      </c>
      <c r="I3460" s="9" t="str">
        <f>IFERROR(__xludf.DUMMYFUNCTION("GOOGLETRANSLATE($A3460,""en"",""ko"")"),"플라스니카")</f>
        <v>플라스니카</v>
      </c>
      <c r="J3460" s="9" t="str">
        <f>IFERROR(__xludf.DUMMYFUNCTION("GOOGLETRANSLATE($A3460,""en"",""pt-BR"")"),"Plasnica")</f>
        <v>Plasnica</v>
      </c>
    </row>
    <row r="3461">
      <c r="A3461" s="9" t="str">
        <f>IFERROR(__xludf.DUMMYFUNCTION("""COMPUTED_VALUE"""),"Jegunovce")</f>
        <v>Jegunovce</v>
      </c>
      <c r="B3461" s="9" t="str">
        <f>IFERROR(__xludf.DUMMYFUNCTION("""COMPUTED_VALUE"""),"mk-35")</f>
        <v>mk-35</v>
      </c>
      <c r="C3461" s="9" t="str">
        <f>IFERROR(__xludf.DUMMYFUNCTION("GOOGLETRANSLATE($A3461,""en"",""de"")"),"Jegunovce")</f>
        <v>Jegunovce</v>
      </c>
      <c r="D3461" s="9" t="str">
        <f>IFERROR(__xludf.DUMMYFUNCTION("GOOGLETRANSLATE($A3461,""en"",""fr"")"),"Jégounovce")</f>
        <v>Jégounovce</v>
      </c>
      <c r="E3461" s="9" t="str">
        <f>IFERROR(__xludf.DUMMYFUNCTION("GOOGLETRANSLATE($A3461,""en"",""es"")"),"Jegunovce")</f>
        <v>Jegunovce</v>
      </c>
      <c r="F3461" s="9" t="str">
        <f>IFERROR(__xludf.DUMMYFUNCTION("GOOGLETRANSLATE($A3461,""en"",""it"")"),"Jegunovce")</f>
        <v>Jegunovce</v>
      </c>
      <c r="G3461" s="9" t="str">
        <f>IFERROR(__xludf.DUMMYFUNCTION("GOOGLETRANSLATE($A3461,""en"",""zh-cn"")"),"耶古诺夫采")</f>
        <v>耶古诺夫采</v>
      </c>
      <c r="H3461" s="9" t="str">
        <f>IFERROR(__xludf.DUMMYFUNCTION("GOOGLETRANSLATE($A3461,""en"",""ja"")"),"ジェグノフツェ")</f>
        <v>ジェグノフツェ</v>
      </c>
      <c r="I3461" s="9" t="str">
        <f>IFERROR(__xludf.DUMMYFUNCTION("GOOGLETRANSLATE($A3461,""en"",""ko"")"),"예구노프체")</f>
        <v>예구노프체</v>
      </c>
      <c r="J3461" s="9" t="str">
        <f>IFERROR(__xludf.DUMMYFUNCTION("GOOGLETRANSLATE($A3461,""en"",""pt-BR"")"),"Jegunovce")</f>
        <v>Jegunovce</v>
      </c>
    </row>
    <row r="3462">
      <c r="A3462" s="9" t="str">
        <f>IFERROR(__xludf.DUMMYFUNCTION("""COMPUTED_VALUE"""),"Prilep")</f>
        <v>Prilep</v>
      </c>
      <c r="B3462" s="9" t="str">
        <f>IFERROR(__xludf.DUMMYFUNCTION("""COMPUTED_VALUE"""),"mk-62")</f>
        <v>mk-62</v>
      </c>
      <c r="C3462" s="9" t="str">
        <f>IFERROR(__xludf.DUMMYFUNCTION("GOOGLETRANSLATE($A3462,""en"",""de"")"),"Prilep")</f>
        <v>Prilep</v>
      </c>
      <c r="D3462" s="9" t="str">
        <f>IFERROR(__xludf.DUMMYFUNCTION("GOOGLETRANSLATE($A3462,""en"",""fr"")"),"Prilep")</f>
        <v>Prilep</v>
      </c>
      <c r="E3462" s="9" t="str">
        <f>IFERROR(__xludf.DUMMYFUNCTION("GOOGLETRANSLATE($A3462,""en"",""es"")"),"Prilep")</f>
        <v>Prilep</v>
      </c>
      <c r="F3462" s="9" t="str">
        <f>IFERROR(__xludf.DUMMYFUNCTION("GOOGLETRANSLATE($A3462,""en"",""it"")"),"Prilep")</f>
        <v>Prilep</v>
      </c>
      <c r="G3462" s="9" t="str">
        <f>IFERROR(__xludf.DUMMYFUNCTION("GOOGLETRANSLATE($A3462,""en"",""zh-cn"")"),"普里莱普")</f>
        <v>普里莱普</v>
      </c>
      <c r="H3462" s="9" t="str">
        <f>IFERROR(__xludf.DUMMYFUNCTION("GOOGLETRANSLATE($A3462,""en"",""ja"")"),"プリレプ")</f>
        <v>プリレプ</v>
      </c>
      <c r="I3462" s="9" t="str">
        <f>IFERROR(__xludf.DUMMYFUNCTION("GOOGLETRANSLATE($A3462,""en"",""ko"")"),"프릴레프")</f>
        <v>프릴레프</v>
      </c>
      <c r="J3462" s="9" t="str">
        <f>IFERROR(__xludf.DUMMYFUNCTION("GOOGLETRANSLATE($A3462,""en"",""pt-BR"")"),"Prilepo")</f>
        <v>Prilepo</v>
      </c>
    </row>
    <row r="3463">
      <c r="A3463" s="9" t="str">
        <f>IFERROR(__xludf.DUMMYFUNCTION("""COMPUTED_VALUE"""),"Butel")</f>
        <v>Butel</v>
      </c>
      <c r="B3463" s="9" t="str">
        <f>IFERROR(__xludf.DUMMYFUNCTION("""COMPUTED_VALUE"""),"mk-09")</f>
        <v>mk-09</v>
      </c>
      <c r="C3463" s="9" t="str">
        <f>IFERROR(__xludf.DUMMYFUNCTION("GOOGLETRANSLATE($A3463,""en"",""de"")"),"Butel")</f>
        <v>Butel</v>
      </c>
      <c r="D3463" s="9" t="str">
        <f>IFERROR(__xludf.DUMMYFUNCTION("GOOGLETRANSLATE($A3463,""en"",""fr"")"),"Butel")</f>
        <v>Butel</v>
      </c>
      <c r="E3463" s="9" t="str">
        <f>IFERROR(__xludf.DUMMYFUNCTION("GOOGLETRANSLATE($A3463,""en"",""es"")"),"Butel")</f>
        <v>Butel</v>
      </c>
      <c r="F3463" s="9" t="str">
        <f>IFERROR(__xludf.DUMMYFUNCTION("GOOGLETRANSLATE($A3463,""en"",""it"")"),"Butel")</f>
        <v>Butel</v>
      </c>
      <c r="G3463" s="9" t="str">
        <f>IFERROR(__xludf.DUMMYFUNCTION("GOOGLETRANSLATE($A3463,""en"",""zh-cn"")"),"布泰尔")</f>
        <v>布泰尔</v>
      </c>
      <c r="H3463" s="9" t="str">
        <f>IFERROR(__xludf.DUMMYFUNCTION("GOOGLETRANSLATE($A3463,""en"",""ja"")"),"ブテル")</f>
        <v>ブテル</v>
      </c>
      <c r="I3463" s="9" t="str">
        <f>IFERROR(__xludf.DUMMYFUNCTION("GOOGLETRANSLATE($A3463,""en"",""ko"")"),"부텔")</f>
        <v>부텔</v>
      </c>
      <c r="J3463" s="9" t="str">
        <f>IFERROR(__xludf.DUMMYFUNCTION("GOOGLETRANSLATE($A3463,""en"",""pt-BR"")"),"Butel")</f>
        <v>Butel</v>
      </c>
    </row>
    <row r="3464">
      <c r="A3464" s="9" t="str">
        <f>IFERROR(__xludf.DUMMYFUNCTION("""COMPUTED_VALUE"""),"Konče")</f>
        <v>Konče</v>
      </c>
      <c r="B3464" s="9" t="str">
        <f>IFERROR(__xludf.DUMMYFUNCTION("""COMPUTED_VALUE"""),"mk-41")</f>
        <v>mk-41</v>
      </c>
      <c r="C3464" s="9" t="str">
        <f>IFERROR(__xludf.DUMMYFUNCTION("GOOGLETRANSLATE($A3464,""en"",""de"")"),"Konče")</f>
        <v>Konče</v>
      </c>
      <c r="D3464" s="9" t="str">
        <f>IFERROR(__xludf.DUMMYFUNCTION("GOOGLETRANSLATE($A3464,""en"",""fr"")"),"Konče")</f>
        <v>Konče</v>
      </c>
      <c r="E3464" s="9" t="str">
        <f>IFERROR(__xludf.DUMMYFUNCTION("GOOGLETRANSLATE($A3464,""en"",""es"")"),"Konče")</f>
        <v>Konče</v>
      </c>
      <c r="F3464" s="9" t="str">
        <f>IFERROR(__xludf.DUMMYFUNCTION("GOOGLETRANSLATE($A3464,""en"",""it"")"),"Konče")</f>
        <v>Konče</v>
      </c>
      <c r="G3464" s="9" t="str">
        <f>IFERROR(__xludf.DUMMYFUNCTION("GOOGLETRANSLATE($A3464,""en"",""zh-cn"")"),"孔切")</f>
        <v>孔切</v>
      </c>
      <c r="H3464" s="9" t="str">
        <f>IFERROR(__xludf.DUMMYFUNCTION("GOOGLETRANSLATE($A3464,""en"",""ja"")"),"コンチェ")</f>
        <v>コンチェ</v>
      </c>
      <c r="I3464" s="9" t="str">
        <f>IFERROR(__xludf.DUMMYFUNCTION("GOOGLETRANSLATE($A3464,""en"",""ko"")"),"콘체")</f>
        <v>콘체</v>
      </c>
      <c r="J3464" s="9" t="str">
        <f>IFERROR(__xludf.DUMMYFUNCTION("GOOGLETRANSLATE($A3464,""en"",""pt-BR"")"),"Konče")</f>
        <v>Konče</v>
      </c>
    </row>
    <row r="3465">
      <c r="A3465" s="9" t="str">
        <f>IFERROR(__xludf.DUMMYFUNCTION("""COMPUTED_VALUE"""),"Radoviš")</f>
        <v>Radoviš</v>
      </c>
      <c r="B3465" s="9" t="str">
        <f>IFERROR(__xludf.DUMMYFUNCTION("""COMPUTED_VALUE"""),"mk-64")</f>
        <v>mk-64</v>
      </c>
      <c r="C3465" s="9" t="str">
        <f>IFERROR(__xludf.DUMMYFUNCTION("GOOGLETRANSLATE($A3465,""en"",""de"")"),"Radoviš")</f>
        <v>Radoviš</v>
      </c>
      <c r="D3465" s="9" t="str">
        <f>IFERROR(__xludf.DUMMYFUNCTION("GOOGLETRANSLATE($A3465,""en"",""fr"")"),"Radoviš")</f>
        <v>Radoviš</v>
      </c>
      <c r="E3465" s="9" t="str">
        <f>IFERROR(__xludf.DUMMYFUNCTION("GOOGLETRANSLATE($A3465,""en"",""es"")"),"Radovis")</f>
        <v>Radovis</v>
      </c>
      <c r="F3465" s="9" t="str">
        <f>IFERROR(__xludf.DUMMYFUNCTION("GOOGLETRANSLATE($A3465,""en"",""it"")"),"Radoviš")</f>
        <v>Radoviš</v>
      </c>
      <c r="G3465" s="9" t="str">
        <f>IFERROR(__xludf.DUMMYFUNCTION("GOOGLETRANSLATE($A3465,""en"",""zh-cn"")"),"拉多维什")</f>
        <v>拉多维什</v>
      </c>
      <c r="H3465" s="9" t="str">
        <f>IFERROR(__xludf.DUMMYFUNCTION("GOOGLETRANSLATE($A3465,""en"",""ja"")"),"ラドヴィシュ")</f>
        <v>ラドヴィシュ</v>
      </c>
      <c r="I3465" s="9" t="str">
        <f>IFERROR(__xludf.DUMMYFUNCTION("GOOGLETRANSLATE($A3465,""en"",""ko"")"),"라도비스")</f>
        <v>라도비스</v>
      </c>
      <c r="J3465" s="9" t="str">
        <f>IFERROR(__xludf.DUMMYFUNCTION("GOOGLETRANSLATE($A3465,""en"",""pt-BR"")"),"Radoviš")</f>
        <v>Radoviš</v>
      </c>
    </row>
    <row r="3466">
      <c r="A3466" s="9" t="str">
        <f>IFERROR(__xludf.DUMMYFUNCTION("""COMPUTED_VALUE"""),"Kavadarci")</f>
        <v>Kavadarci</v>
      </c>
      <c r="B3466" s="9" t="str">
        <f>IFERROR(__xludf.DUMMYFUNCTION("""COMPUTED_VALUE"""),"mk-36")</f>
        <v>mk-36</v>
      </c>
      <c r="C3466" s="9" t="str">
        <f>IFERROR(__xludf.DUMMYFUNCTION("GOOGLETRANSLATE($A3466,""en"",""de"")"),"Kavadarci")</f>
        <v>Kavadarci</v>
      </c>
      <c r="D3466" s="9" t="str">
        <f>IFERROR(__xludf.DUMMYFUNCTION("GOOGLETRANSLATE($A3466,""en"",""fr"")"),"Kavadartsi")</f>
        <v>Kavadartsi</v>
      </c>
      <c r="E3466" s="9" t="str">
        <f>IFERROR(__xludf.DUMMYFUNCTION("GOOGLETRANSLATE($A3466,""en"",""es"")"),"Kavadarci")</f>
        <v>Kavadarci</v>
      </c>
      <c r="F3466" s="9" t="str">
        <f>IFERROR(__xludf.DUMMYFUNCTION("GOOGLETRANSLATE($A3466,""en"",""it"")"),"Kavadarci")</f>
        <v>Kavadarci</v>
      </c>
      <c r="G3466" s="9" t="str">
        <f>IFERROR(__xludf.DUMMYFUNCTION("GOOGLETRANSLATE($A3466,""en"",""zh-cn"")"),"卡瓦达尔奇")</f>
        <v>卡瓦达尔奇</v>
      </c>
      <c r="H3466" s="9" t="str">
        <f>IFERROR(__xludf.DUMMYFUNCTION("GOOGLETRANSLATE($A3466,""en"",""ja"")"),"カヴァダルチ")</f>
        <v>カヴァダルチ</v>
      </c>
      <c r="I3466" s="9" t="str">
        <f>IFERROR(__xludf.DUMMYFUNCTION("GOOGLETRANSLATE($A3466,""en"",""ko"")"),"카바다르시")</f>
        <v>카바다르시</v>
      </c>
      <c r="J3466" s="9" t="str">
        <f>IFERROR(__xludf.DUMMYFUNCTION("GOOGLETRANSLATE($A3466,""en"",""pt-BR"")"),"Kavadarci")</f>
        <v>Kavadarci</v>
      </c>
    </row>
    <row r="3467">
      <c r="A3467" s="9" t="str">
        <f>IFERROR(__xludf.DUMMYFUNCTION("""COMPUTED_VALUE"""),"Kriva Palanka")</f>
        <v>Kriva Palanka</v>
      </c>
      <c r="B3467" s="9" t="str">
        <f>IFERROR(__xludf.DUMMYFUNCTION("""COMPUTED_VALUE"""),"mk-44")</f>
        <v>mk-44</v>
      </c>
      <c r="C3467" s="9" t="str">
        <f>IFERROR(__xludf.DUMMYFUNCTION("GOOGLETRANSLATE($A3467,""en"",""de"")"),"Kriva Palanka")</f>
        <v>Kriva Palanka</v>
      </c>
      <c r="D3467" s="9" t="str">
        <f>IFERROR(__xludf.DUMMYFUNCTION("GOOGLETRANSLATE($A3467,""en"",""fr"")"),"Kriva Palanka")</f>
        <v>Kriva Palanka</v>
      </c>
      <c r="E3467" s="9" t="str">
        <f>IFERROR(__xludf.DUMMYFUNCTION("GOOGLETRANSLATE($A3467,""en"",""es"")"),"Kriva Palanka")</f>
        <v>Kriva Palanka</v>
      </c>
      <c r="F3467" s="9" t="str">
        <f>IFERROR(__xludf.DUMMYFUNCTION("GOOGLETRANSLATE($A3467,""en"",""it"")"),"Kriva Palanka")</f>
        <v>Kriva Palanka</v>
      </c>
      <c r="G3467" s="9" t="str">
        <f>IFERROR(__xludf.DUMMYFUNCTION("GOOGLETRANSLATE($A3467,""en"",""zh-cn"")"),"克里瓦·帕兰卡")</f>
        <v>克里瓦·帕兰卡</v>
      </c>
      <c r="H3467" s="9" t="str">
        <f>IFERROR(__xludf.DUMMYFUNCTION("GOOGLETRANSLATE($A3467,""en"",""ja"")"),"クリヴァ・パランカ")</f>
        <v>クリヴァ・パランカ</v>
      </c>
      <c r="I3467" s="9" t="str">
        <f>IFERROR(__xludf.DUMMYFUNCTION("GOOGLETRANSLATE($A3467,""en"",""ko"")"),"크리바 팔랑카")</f>
        <v>크리바 팔랑카</v>
      </c>
      <c r="J3467" s="9" t="str">
        <f>IFERROR(__xludf.DUMMYFUNCTION("GOOGLETRANSLATE($A3467,""en"",""pt-BR"")"),"Kriva Palanka")</f>
        <v>Kriva Palanka</v>
      </c>
    </row>
    <row r="3468">
      <c r="A3468" s="9" t="str">
        <f>IFERROR(__xludf.DUMMYFUNCTION("""COMPUTED_VALUE"""),"Negotino")</f>
        <v>Negotino</v>
      </c>
      <c r="B3468" s="9" t="str">
        <f>IFERROR(__xludf.DUMMYFUNCTION("""COMPUTED_VALUE"""),"mk-54")</f>
        <v>mk-54</v>
      </c>
      <c r="C3468" s="9" t="str">
        <f>IFERROR(__xludf.DUMMYFUNCTION("GOOGLETRANSLATE($A3468,""en"",""de"")"),"Negotino")</f>
        <v>Negotino</v>
      </c>
      <c r="D3468" s="9" t="str">
        <f>IFERROR(__xludf.DUMMYFUNCTION("GOOGLETRANSLATE($A3468,""en"",""fr"")"),"Négociation")</f>
        <v>Négociation</v>
      </c>
      <c r="E3468" s="9" t="str">
        <f>IFERROR(__xludf.DUMMYFUNCTION("GOOGLETRANSLATE($A3468,""en"",""es"")"),"negociante")</f>
        <v>negociante</v>
      </c>
      <c r="F3468" s="9" t="str">
        <f>IFERROR(__xludf.DUMMYFUNCTION("GOOGLETRANSLATE($A3468,""en"",""it"")"),"Negoziato")</f>
        <v>Negoziato</v>
      </c>
      <c r="G3468" s="9" t="str">
        <f>IFERROR(__xludf.DUMMYFUNCTION("GOOGLETRANSLATE($A3468,""en"",""zh-cn"")"),"内戈蒂诺")</f>
        <v>内戈蒂诺</v>
      </c>
      <c r="H3468" s="9" t="str">
        <f>IFERROR(__xludf.DUMMYFUNCTION("GOOGLETRANSLATE($A3468,""en"",""ja"")"),"ネゴティーノ")</f>
        <v>ネゴティーノ</v>
      </c>
      <c r="I3468" s="9" t="str">
        <f>IFERROR(__xludf.DUMMYFUNCTION("GOOGLETRANSLATE($A3468,""en"",""ko"")"),"네고티노")</f>
        <v>네고티노</v>
      </c>
      <c r="J3468" s="9" t="str">
        <f>IFERROR(__xludf.DUMMYFUNCTION("GOOGLETRANSLATE($A3468,""en"",""pt-BR"")"),"Negotino")</f>
        <v>Negotino</v>
      </c>
    </row>
    <row r="3469">
      <c r="A3469" s="9" t="str">
        <f>IFERROR(__xludf.DUMMYFUNCTION("""COMPUTED_VALUE"""),"Berovo")</f>
        <v>Berovo</v>
      </c>
      <c r="B3469" s="9" t="str">
        <f>IFERROR(__xludf.DUMMYFUNCTION("""COMPUTED_VALUE"""),"mk-03")</f>
        <v>mk-03</v>
      </c>
      <c r="C3469" s="9" t="str">
        <f>IFERROR(__xludf.DUMMYFUNCTION("GOOGLETRANSLATE($A3469,""en"",""de"")"),"Berovo")</f>
        <v>Berovo</v>
      </c>
      <c r="D3469" s="9" t="str">
        <f>IFERROR(__xludf.DUMMYFUNCTION("GOOGLETRANSLATE($A3469,""en"",""fr"")"),"Berovo")</f>
        <v>Berovo</v>
      </c>
      <c r="E3469" s="9" t="str">
        <f>IFERROR(__xludf.DUMMYFUNCTION("GOOGLETRANSLATE($A3469,""en"",""es"")"),"Berovo")</f>
        <v>Berovo</v>
      </c>
      <c r="F3469" s="9" t="str">
        <f>IFERROR(__xludf.DUMMYFUNCTION("GOOGLETRANSLATE($A3469,""en"",""it"")"),"Berovo")</f>
        <v>Berovo</v>
      </c>
      <c r="G3469" s="9" t="str">
        <f>IFERROR(__xludf.DUMMYFUNCTION("GOOGLETRANSLATE($A3469,""en"",""zh-cn"")"),"贝罗沃")</f>
        <v>贝罗沃</v>
      </c>
      <c r="H3469" s="9" t="str">
        <f>IFERROR(__xludf.DUMMYFUNCTION("GOOGLETRANSLATE($A3469,""en"",""ja"")"),"ベロヴォ")</f>
        <v>ベロヴォ</v>
      </c>
      <c r="I3469" s="9" t="str">
        <f>IFERROR(__xludf.DUMMYFUNCTION("GOOGLETRANSLATE($A3469,""en"",""ko"")"),"베로보")</f>
        <v>베로보</v>
      </c>
      <c r="J3469" s="9" t="str">
        <f>IFERROR(__xludf.DUMMYFUNCTION("GOOGLETRANSLATE($A3469,""en"",""pt-BR"")"),"Berovo")</f>
        <v>Berovo</v>
      </c>
    </row>
    <row r="3470">
      <c r="A3470" s="9" t="str">
        <f>IFERROR(__xludf.DUMMYFUNCTION("""COMPUTED_VALUE"""),"Bogovinje")</f>
        <v>Bogovinje</v>
      </c>
      <c r="B3470" s="9" t="str">
        <f>IFERROR(__xludf.DUMMYFUNCTION("""COMPUTED_VALUE"""),"mk-06")</f>
        <v>mk-06</v>
      </c>
      <c r="C3470" s="9" t="str">
        <f>IFERROR(__xludf.DUMMYFUNCTION("GOOGLETRANSLATE($A3470,""en"",""de"")"),"Bogovinje")</f>
        <v>Bogovinje</v>
      </c>
      <c r="D3470" s="9" t="str">
        <f>IFERROR(__xludf.DUMMYFUNCTION("GOOGLETRANSLATE($A3470,""en"",""fr"")"),"Bogovinje")</f>
        <v>Bogovinje</v>
      </c>
      <c r="E3470" s="9" t="str">
        <f>IFERROR(__xludf.DUMMYFUNCTION("GOOGLETRANSLATE($A3470,""en"",""es"")"),"Bogovinje")</f>
        <v>Bogovinje</v>
      </c>
      <c r="F3470" s="9" t="str">
        <f>IFERROR(__xludf.DUMMYFUNCTION("GOOGLETRANSLATE($A3470,""en"",""it"")"),"Bogovinje")</f>
        <v>Bogovinje</v>
      </c>
      <c r="G3470" s="9" t="str">
        <f>IFERROR(__xludf.DUMMYFUNCTION("GOOGLETRANSLATE($A3470,""en"",""zh-cn"")"),"博戈维涅")</f>
        <v>博戈维涅</v>
      </c>
      <c r="H3470" s="9" t="str">
        <f>IFERROR(__xludf.DUMMYFUNCTION("GOOGLETRANSLATE($A3470,""en"",""ja"")"),"ボゴヴィニェ")</f>
        <v>ボゴヴィニェ</v>
      </c>
      <c r="I3470" s="9" t="str">
        <f>IFERROR(__xludf.DUMMYFUNCTION("GOOGLETRANSLATE($A3470,""en"",""ko"")"),"보고비네")</f>
        <v>보고비네</v>
      </c>
      <c r="J3470" s="9" t="str">
        <f>IFERROR(__xludf.DUMMYFUNCTION("GOOGLETRANSLATE($A3470,""en"",""pt-BR"")"),"Bogovinje")</f>
        <v>Bogovinje</v>
      </c>
    </row>
    <row r="3471">
      <c r="A3471" s="9" t="str">
        <f>IFERROR(__xludf.DUMMYFUNCTION("""COMPUTED_VALUE"""),"Struga")</f>
        <v>Struga</v>
      </c>
      <c r="B3471" s="9" t="str">
        <f>IFERROR(__xludf.DUMMYFUNCTION("""COMPUTED_VALUE"""),"mk-72")</f>
        <v>mk-72</v>
      </c>
      <c r="C3471" s="9" t="str">
        <f>IFERROR(__xludf.DUMMYFUNCTION("GOOGLETRANSLATE($A3471,""en"",""de"")"),"Struga")</f>
        <v>Struga</v>
      </c>
      <c r="D3471" s="9" t="str">
        <f>IFERROR(__xludf.DUMMYFUNCTION("GOOGLETRANSLATE($A3471,""en"",""fr"")"),"Struga")</f>
        <v>Struga</v>
      </c>
      <c r="E3471" s="9" t="str">
        <f>IFERROR(__xludf.DUMMYFUNCTION("GOOGLETRANSLATE($A3471,""en"",""es"")"),"Struga")</f>
        <v>Struga</v>
      </c>
      <c r="F3471" s="9" t="str">
        <f>IFERROR(__xludf.DUMMYFUNCTION("GOOGLETRANSLATE($A3471,""en"",""it"")"),"Struga")</f>
        <v>Struga</v>
      </c>
      <c r="G3471" s="9" t="str">
        <f>IFERROR(__xludf.DUMMYFUNCTION("GOOGLETRANSLATE($A3471,""en"",""zh-cn"")"),"斯特鲁加")</f>
        <v>斯特鲁加</v>
      </c>
      <c r="H3471" s="9" t="str">
        <f>IFERROR(__xludf.DUMMYFUNCTION("GOOGLETRANSLATE($A3471,""en"",""ja"")"),"ストルガ")</f>
        <v>ストルガ</v>
      </c>
      <c r="I3471" s="9" t="str">
        <f>IFERROR(__xludf.DUMMYFUNCTION("GOOGLETRANSLATE($A3471,""en"",""ko"")"),"스트루가")</f>
        <v>스트루가</v>
      </c>
      <c r="J3471" s="9" t="str">
        <f>IFERROR(__xludf.DUMMYFUNCTION("GOOGLETRANSLATE($A3471,""en"",""pt-BR"")"),"Estruga")</f>
        <v>Estruga</v>
      </c>
    </row>
    <row r="3472">
      <c r="A3472" s="9" t="str">
        <f>IFERROR(__xludf.DUMMYFUNCTION("""COMPUTED_VALUE"""),"Delčevo")</f>
        <v>Delčevo</v>
      </c>
      <c r="B3472" s="9" t="str">
        <f>IFERROR(__xludf.DUMMYFUNCTION("""COMPUTED_VALUE"""),"mk-23")</f>
        <v>mk-23</v>
      </c>
      <c r="C3472" s="9" t="str">
        <f>IFERROR(__xludf.DUMMYFUNCTION("GOOGLETRANSLATE($A3472,""en"",""de"")"),"Delčevo")</f>
        <v>Delčevo</v>
      </c>
      <c r="D3472" s="9" t="str">
        <f>IFERROR(__xludf.DUMMYFUNCTION("GOOGLETRANSLATE($A3472,""en"",""fr"")"),"Deltchevo")</f>
        <v>Deltchevo</v>
      </c>
      <c r="E3472" s="9" t="str">
        <f>IFERROR(__xludf.DUMMYFUNCTION("GOOGLETRANSLATE($A3472,""en"",""es"")"),"Delčevo")</f>
        <v>Delčevo</v>
      </c>
      <c r="F3472" s="9" t="str">
        <f>IFERROR(__xludf.DUMMYFUNCTION("GOOGLETRANSLATE($A3472,""en"",""it"")"),"Delčevo")</f>
        <v>Delčevo</v>
      </c>
      <c r="G3472" s="9" t="str">
        <f>IFERROR(__xludf.DUMMYFUNCTION("GOOGLETRANSLATE($A3472,""en"",""zh-cn"")"),"德尔切沃")</f>
        <v>德尔切沃</v>
      </c>
      <c r="H3472" s="9" t="str">
        <f>IFERROR(__xludf.DUMMYFUNCTION("GOOGLETRANSLATE($A3472,""en"",""ja"")"),"デルチェヴォ")</f>
        <v>デルチェヴォ</v>
      </c>
      <c r="I3472" s="9" t="str">
        <f>IFERROR(__xludf.DUMMYFUNCTION("GOOGLETRANSLATE($A3472,""en"",""ko"")"),"델체보")</f>
        <v>델체보</v>
      </c>
      <c r="J3472" s="9" t="str">
        <f>IFERROR(__xludf.DUMMYFUNCTION("GOOGLETRANSLATE($A3472,""en"",""pt-BR"")"),"Delčevo")</f>
        <v>Delčevo</v>
      </c>
    </row>
    <row r="3473">
      <c r="A3473" s="9" t="str">
        <f>IFERROR(__xludf.DUMMYFUNCTION("""COMPUTED_VALUE"""),"Brvenica")</f>
        <v>Brvenica</v>
      </c>
      <c r="B3473" s="9" t="str">
        <f>IFERROR(__xludf.DUMMYFUNCTION("""COMPUTED_VALUE"""),"mk-08")</f>
        <v>mk-08</v>
      </c>
      <c r="C3473" s="9" t="str">
        <f>IFERROR(__xludf.DUMMYFUNCTION("GOOGLETRANSLATE($A3473,""en"",""de"")"),"Brvenica")</f>
        <v>Brvenica</v>
      </c>
      <c r="D3473" s="9" t="str">
        <f>IFERROR(__xludf.DUMMYFUNCTION("GOOGLETRANSLATE($A3473,""en"",""fr"")"),"Brvenica")</f>
        <v>Brvenica</v>
      </c>
      <c r="E3473" s="9" t="str">
        <f>IFERROR(__xludf.DUMMYFUNCTION("GOOGLETRANSLATE($A3473,""en"",""es"")"),"Brvenica")</f>
        <v>Brvenica</v>
      </c>
      <c r="F3473" s="9" t="str">
        <f>IFERROR(__xludf.DUMMYFUNCTION("GOOGLETRANSLATE($A3473,""en"",""it"")"),"Brvenica")</f>
        <v>Brvenica</v>
      </c>
      <c r="G3473" s="9" t="str">
        <f>IFERROR(__xludf.DUMMYFUNCTION("GOOGLETRANSLATE($A3473,""en"",""zh-cn"")"),"布尔韦尼察")</f>
        <v>布尔韦尼察</v>
      </c>
      <c r="H3473" s="9" t="str">
        <f>IFERROR(__xludf.DUMMYFUNCTION("GOOGLETRANSLATE($A3473,""en"",""ja"")"),"ブルヴェニツァ")</f>
        <v>ブルヴェニツァ</v>
      </c>
      <c r="I3473" s="9" t="str">
        <f>IFERROR(__xludf.DUMMYFUNCTION("GOOGLETRANSLATE($A3473,""en"",""ko"")"),"브레베니차")</f>
        <v>브레베니차</v>
      </c>
      <c r="J3473" s="9" t="str">
        <f>IFERROR(__xludf.DUMMYFUNCTION("GOOGLETRANSLATE($A3473,""en"",""pt-BR"")"),"Brvenica")</f>
        <v>Brvenica</v>
      </c>
    </row>
    <row r="3474">
      <c r="A3474" s="9" t="str">
        <f>IFERROR(__xludf.DUMMYFUNCTION("""COMPUTED_VALUE"""),"Sopište")</f>
        <v>Sopište</v>
      </c>
      <c r="B3474" s="9" t="str">
        <f>IFERROR(__xludf.DUMMYFUNCTION("""COMPUTED_VALUE"""),"mk-70")</f>
        <v>mk-70</v>
      </c>
      <c r="C3474" s="9" t="str">
        <f>IFERROR(__xludf.DUMMYFUNCTION("GOOGLETRANSLATE($A3474,""en"",""de"")"),"Sopište")</f>
        <v>Sopište</v>
      </c>
      <c r="D3474" s="9" t="str">
        <f>IFERROR(__xludf.DUMMYFUNCTION("GOOGLETRANSLATE($A3474,""en"",""fr"")"),"Sopichté")</f>
        <v>Sopichté</v>
      </c>
      <c r="E3474" s="9" t="str">
        <f>IFERROR(__xludf.DUMMYFUNCTION("GOOGLETRANSLATE($A3474,""en"",""es"")"),"Sopište")</f>
        <v>Sopište</v>
      </c>
      <c r="F3474" s="9" t="str">
        <f>IFERROR(__xludf.DUMMYFUNCTION("GOOGLETRANSLATE($A3474,""en"",""it"")"),"Sopište")</f>
        <v>Sopište</v>
      </c>
      <c r="G3474" s="9" t="str">
        <f>IFERROR(__xludf.DUMMYFUNCTION("GOOGLETRANSLATE($A3474,""en"",""zh-cn"")"),"索皮什特")</f>
        <v>索皮什特</v>
      </c>
      <c r="H3474" s="9" t="str">
        <f>IFERROR(__xludf.DUMMYFUNCTION("GOOGLETRANSLATE($A3474,""en"",""ja"")"),"ソピシュテ")</f>
        <v>ソピシュテ</v>
      </c>
      <c r="I3474" s="9" t="str">
        <f>IFERROR(__xludf.DUMMYFUNCTION("GOOGLETRANSLATE($A3474,""en"",""ko"")"),"소피슈테")</f>
        <v>소피슈테</v>
      </c>
      <c r="J3474" s="9" t="str">
        <f>IFERROR(__xludf.DUMMYFUNCTION("GOOGLETRANSLATE($A3474,""en"",""pt-BR"")"),"Sopište")</f>
        <v>Sopište</v>
      </c>
    </row>
    <row r="3475">
      <c r="A3475" s="9" t="str">
        <f>IFERROR(__xludf.DUMMYFUNCTION("""COMPUTED_VALUE"""),"Krivogaštani")</f>
        <v>Krivogaštani</v>
      </c>
      <c r="B3475" s="9" t="str">
        <f>IFERROR(__xludf.DUMMYFUNCTION("""COMPUTED_VALUE"""),"mk-45")</f>
        <v>mk-45</v>
      </c>
      <c r="C3475" s="9" t="str">
        <f>IFERROR(__xludf.DUMMYFUNCTION("GOOGLETRANSLATE($A3475,""en"",""de"")"),"Krivogaštani")</f>
        <v>Krivogaštani</v>
      </c>
      <c r="D3475" s="9" t="str">
        <f>IFERROR(__xludf.DUMMYFUNCTION("GOOGLETRANSLATE($A3475,""en"",""fr"")"),"Krivogachtani")</f>
        <v>Krivogachtani</v>
      </c>
      <c r="E3475" s="9" t="str">
        <f>IFERROR(__xludf.DUMMYFUNCTION("GOOGLETRANSLATE($A3475,""en"",""es"")"),"Krivogaštani")</f>
        <v>Krivogaštani</v>
      </c>
      <c r="F3475" s="9" t="str">
        <f>IFERROR(__xludf.DUMMYFUNCTION("GOOGLETRANSLATE($A3475,""en"",""it"")"),"Krivogaštani")</f>
        <v>Krivogaštani</v>
      </c>
      <c r="G3475" s="9" t="str">
        <f>IFERROR(__xludf.DUMMYFUNCTION("GOOGLETRANSLATE($A3475,""en"",""zh-cn"")"),"克里沃加什塔尼")</f>
        <v>克里沃加什塔尼</v>
      </c>
      <c r="H3475" s="9" t="str">
        <f>IFERROR(__xludf.DUMMYFUNCTION("GOOGLETRANSLATE($A3475,""en"",""ja"")"),"クリヴォガスタニ")</f>
        <v>クリヴォガスタニ</v>
      </c>
      <c r="I3475" s="9" t="str">
        <f>IFERROR(__xludf.DUMMYFUNCTION("GOOGLETRANSLATE($A3475,""en"",""ko"")"),"크리보가슈타니")</f>
        <v>크리보가슈타니</v>
      </c>
      <c r="J3475" s="9" t="str">
        <f>IFERROR(__xludf.DUMMYFUNCTION("GOOGLETRANSLATE($A3475,""en"",""pt-BR"")"),"Krivogaštani")</f>
        <v>Krivogaštani</v>
      </c>
    </row>
    <row r="3476">
      <c r="A3476" s="9" t="str">
        <f>IFERROR(__xludf.DUMMYFUNCTION("""COMPUTED_VALUE"""),"Tearce")</f>
        <v>Tearce</v>
      </c>
      <c r="B3476" s="9" t="str">
        <f>IFERROR(__xludf.DUMMYFUNCTION("""COMPUTED_VALUE"""),"mk-75")</f>
        <v>mk-75</v>
      </c>
      <c r="C3476" s="9" t="str">
        <f>IFERROR(__xludf.DUMMYFUNCTION("GOOGLETRANSLATE($A3476,""en"",""de"")"),"Tearce")</f>
        <v>Tearce</v>
      </c>
      <c r="D3476" s="9" t="str">
        <f>IFERROR(__xludf.DUMMYFUNCTION("GOOGLETRANSLATE($A3476,""en"",""fr"")"),"Déchirer")</f>
        <v>Déchirer</v>
      </c>
      <c r="E3476" s="9" t="str">
        <f>IFERROR(__xludf.DUMMYFUNCTION("GOOGLETRANSLATE($A3476,""en"",""es"")"),"Tearce")</f>
        <v>Tearce</v>
      </c>
      <c r="F3476" s="9" t="str">
        <f>IFERROR(__xludf.DUMMYFUNCTION("GOOGLETRANSLATE($A3476,""en"",""it"")"),"Strappo")</f>
        <v>Strappo</v>
      </c>
      <c r="G3476" s="9" t="str">
        <f>IFERROR(__xludf.DUMMYFUNCTION("GOOGLETRANSLATE($A3476,""en"",""zh-cn"")"),"提尔斯")</f>
        <v>提尔斯</v>
      </c>
      <c r="H3476" s="9" t="str">
        <f>IFERROR(__xludf.DUMMYFUNCTION("GOOGLETRANSLATE($A3476,""en"",""ja"")"),"ティアス")</f>
        <v>ティアス</v>
      </c>
      <c r="I3476" s="9" t="str">
        <f>IFERROR(__xludf.DUMMYFUNCTION("GOOGLETRANSLATE($A3476,""en"",""ko"")"),"테어스")</f>
        <v>테어스</v>
      </c>
      <c r="J3476" s="9" t="str">
        <f>IFERROR(__xludf.DUMMYFUNCTION("GOOGLETRANSLATE($A3476,""en"",""pt-BR"")"),"Tearce")</f>
        <v>Tearce</v>
      </c>
    </row>
    <row r="3477">
      <c r="A3477" s="9" t="str">
        <f>IFERROR(__xludf.DUMMYFUNCTION("""COMPUTED_VALUE"""),"Tetovo")</f>
        <v>Tetovo</v>
      </c>
      <c r="B3477" s="9" t="str">
        <f>IFERROR(__xludf.DUMMYFUNCTION("""COMPUTED_VALUE"""),"mk-76")</f>
        <v>mk-76</v>
      </c>
      <c r="C3477" s="9" t="str">
        <f>IFERROR(__xludf.DUMMYFUNCTION("GOOGLETRANSLATE($A3477,""en"",""de"")"),"Tetovo")</f>
        <v>Tetovo</v>
      </c>
      <c r="D3477" s="9" t="str">
        <f>IFERROR(__xludf.DUMMYFUNCTION("GOOGLETRANSLATE($A3477,""en"",""fr"")"),"Tetovo")</f>
        <v>Tetovo</v>
      </c>
      <c r="E3477" s="9" t="str">
        <f>IFERROR(__xludf.DUMMYFUNCTION("GOOGLETRANSLATE($A3477,""en"",""es"")"),"Tétovo")</f>
        <v>Tétovo</v>
      </c>
      <c r="F3477" s="9" t="str">
        <f>IFERROR(__xludf.DUMMYFUNCTION("GOOGLETRANSLATE($A3477,""en"",""it"")"),"Tetovo")</f>
        <v>Tetovo</v>
      </c>
      <c r="G3477" s="9" t="str">
        <f>IFERROR(__xludf.DUMMYFUNCTION("GOOGLETRANSLATE($A3477,""en"",""zh-cn"")"),"泰托沃")</f>
        <v>泰托沃</v>
      </c>
      <c r="H3477" s="9" t="str">
        <f>IFERROR(__xludf.DUMMYFUNCTION("GOOGLETRANSLATE($A3477,""en"",""ja"")"),"テトヴォ")</f>
        <v>テトヴォ</v>
      </c>
      <c r="I3477" s="9" t="str">
        <f>IFERROR(__xludf.DUMMYFUNCTION("GOOGLETRANSLATE($A3477,""en"",""ko"")"),"테토보")</f>
        <v>테토보</v>
      </c>
      <c r="J3477" s="9" t="str">
        <f>IFERROR(__xludf.DUMMYFUNCTION("GOOGLETRANSLATE($A3477,""en"",""pt-BR"")"),"Tetovo")</f>
        <v>Tetovo</v>
      </c>
    </row>
    <row r="3478">
      <c r="A3478" s="9" t="str">
        <f>IFERROR(__xludf.DUMMYFUNCTION("""COMPUTED_VALUE"""),"Centar Župa")</f>
        <v>Centar Župa</v>
      </c>
      <c r="B3478" s="9" t="str">
        <f>IFERROR(__xludf.DUMMYFUNCTION("""COMPUTED_VALUE"""),"mk-78")</f>
        <v>mk-78</v>
      </c>
      <c r="C3478" s="9" t="str">
        <f>IFERROR(__xludf.DUMMYFUNCTION("GOOGLETRANSLATE($A3478,""en"",""de"")"),"Centar Župa")</f>
        <v>Centar Župa</v>
      </c>
      <c r="D3478" s="9" t="str">
        <f>IFERROR(__xludf.DUMMYFUNCTION("GOOGLETRANSLATE($A3478,""en"",""fr"")"),"Centre Zupa")</f>
        <v>Centre Zupa</v>
      </c>
      <c r="E3478" s="9" t="str">
        <f>IFERROR(__xludf.DUMMYFUNCTION("GOOGLETRANSLATE($A3478,""en"",""es"")"),"Centar Župa")</f>
        <v>Centar Župa</v>
      </c>
      <c r="F3478" s="9" t="str">
        <f>IFERROR(__xludf.DUMMYFUNCTION("GOOGLETRANSLATE($A3478,""en"",""it"")"),"Centar Zupa")</f>
        <v>Centar Zupa</v>
      </c>
      <c r="G3478" s="9" t="str">
        <f>IFERROR(__xludf.DUMMYFUNCTION("GOOGLETRANSLATE($A3478,""en"",""zh-cn"")"),"中央祖帕")</f>
        <v>中央祖帕</v>
      </c>
      <c r="H3478" s="9" t="str">
        <f>IFERROR(__xludf.DUMMYFUNCTION("GOOGLETRANSLATE($A3478,""en"",""ja"")"),"センタル ジュパ")</f>
        <v>センタル ジュパ</v>
      </c>
      <c r="I3478" s="9" t="str">
        <f>IFERROR(__xludf.DUMMYFUNCTION("GOOGLETRANSLATE($A3478,""en"",""ko"")"),"센타르 주파")</f>
        <v>센타르 주파</v>
      </c>
      <c r="J3478" s="9" t="str">
        <f>IFERROR(__xludf.DUMMYFUNCTION("GOOGLETRANSLATE($A3478,""en"",""pt-BR"")"),"Centro Župa")</f>
        <v>Centro Župa</v>
      </c>
    </row>
    <row r="3479">
      <c r="A3479" s="9" t="str">
        <f>IFERROR(__xludf.DUMMYFUNCTION("""COMPUTED_VALUE"""),"Zrnovci")</f>
        <v>Zrnovci</v>
      </c>
      <c r="B3479" s="9" t="str">
        <f>IFERROR(__xludf.DUMMYFUNCTION("""COMPUTED_VALUE"""),"mk-33")</f>
        <v>mk-33</v>
      </c>
      <c r="C3479" s="9" t="str">
        <f>IFERROR(__xludf.DUMMYFUNCTION("GOOGLETRANSLATE($A3479,""en"",""de"")"),"Zrnovci")</f>
        <v>Zrnovci</v>
      </c>
      <c r="D3479" s="9" t="str">
        <f>IFERROR(__xludf.DUMMYFUNCTION("GOOGLETRANSLATE($A3479,""en"",""fr"")"),"Zrnovci")</f>
        <v>Zrnovci</v>
      </c>
      <c r="E3479" s="9" t="str">
        <f>IFERROR(__xludf.DUMMYFUNCTION("GOOGLETRANSLATE($A3479,""en"",""es"")"),"Žrnovci")</f>
        <v>Žrnovci</v>
      </c>
      <c r="F3479" s="9" t="str">
        <f>IFERROR(__xludf.DUMMYFUNCTION("GOOGLETRANSLATE($A3479,""en"",""it"")"),"Zrnovci")</f>
        <v>Zrnovci</v>
      </c>
      <c r="G3479" s="9" t="str">
        <f>IFERROR(__xludf.DUMMYFUNCTION("GOOGLETRANSLATE($A3479,""en"",""zh-cn"")"),"兹尔诺夫齐")</f>
        <v>兹尔诺夫齐</v>
      </c>
      <c r="H3479" s="9" t="str">
        <f>IFERROR(__xludf.DUMMYFUNCTION("GOOGLETRANSLATE($A3479,""en"",""ja"")"),"ズルノヴツィ")</f>
        <v>ズルノヴツィ</v>
      </c>
      <c r="I3479" s="9" t="str">
        <f>IFERROR(__xludf.DUMMYFUNCTION("GOOGLETRANSLATE($A3479,""en"",""ko"")"),"즈르노프치")</f>
        <v>즈르노프치</v>
      </c>
      <c r="J3479" s="9" t="str">
        <f>IFERROR(__xludf.DUMMYFUNCTION("GOOGLETRANSLATE($A3479,""en"",""pt-BR"")"),"Zrnovci")</f>
        <v>Zrnovci</v>
      </c>
    </row>
    <row r="3480">
      <c r="A3480" s="9" t="str">
        <f>IFERROR(__xludf.DUMMYFUNCTION("""COMPUTED_VALUE"""),"Vinica")</f>
        <v>Vinica</v>
      </c>
      <c r="B3480" s="9" t="str">
        <f>IFERROR(__xludf.DUMMYFUNCTION("""COMPUTED_VALUE"""),"mk-14")</f>
        <v>mk-14</v>
      </c>
      <c r="C3480" s="9" t="str">
        <f>IFERROR(__xludf.DUMMYFUNCTION("GOOGLETRANSLATE($A3480,""en"",""de"")"),"Vinica")</f>
        <v>Vinica</v>
      </c>
      <c r="D3480" s="9" t="str">
        <f>IFERROR(__xludf.DUMMYFUNCTION("GOOGLETRANSLATE($A3480,""en"",""fr"")"),"Vinica")</f>
        <v>Vinica</v>
      </c>
      <c r="E3480" s="9" t="str">
        <f>IFERROR(__xludf.DUMMYFUNCTION("GOOGLETRANSLATE($A3480,""en"",""es"")"),"vinica")</f>
        <v>vinica</v>
      </c>
      <c r="F3480" s="9" t="str">
        <f>IFERROR(__xludf.DUMMYFUNCTION("GOOGLETRANSLATE($A3480,""en"",""it"")"),"Vinica")</f>
        <v>Vinica</v>
      </c>
      <c r="G3480" s="9" t="str">
        <f>IFERROR(__xludf.DUMMYFUNCTION("GOOGLETRANSLATE($A3480,""en"",""zh-cn"")"),"维尼察")</f>
        <v>维尼察</v>
      </c>
      <c r="H3480" s="9" t="str">
        <f>IFERROR(__xludf.DUMMYFUNCTION("GOOGLETRANSLATE($A3480,""en"",""ja"")"),"ヴィニカ")</f>
        <v>ヴィニカ</v>
      </c>
      <c r="I3480" s="9" t="str">
        <f>IFERROR(__xludf.DUMMYFUNCTION("GOOGLETRANSLATE($A3480,""en"",""ko"")"),"비니카")</f>
        <v>비니카</v>
      </c>
      <c r="J3480" s="9" t="str">
        <f>IFERROR(__xludf.DUMMYFUNCTION("GOOGLETRANSLATE($A3480,""en"",""pt-BR"")"),"Vinica")</f>
        <v>Vinica</v>
      </c>
    </row>
    <row r="3481">
      <c r="A3481" s="9" t="str">
        <f>IFERROR(__xludf.DUMMYFUNCTION("""COMPUTED_VALUE"""),"Pehčevo")</f>
        <v>Pehčevo</v>
      </c>
      <c r="B3481" s="9" t="str">
        <f>IFERROR(__xludf.DUMMYFUNCTION("""COMPUTED_VALUE"""),"mk-60")</f>
        <v>mk-60</v>
      </c>
      <c r="C3481" s="9" t="str">
        <f>IFERROR(__xludf.DUMMYFUNCTION("GOOGLETRANSLATE($A3481,""en"",""de"")"),"Pehčevo")</f>
        <v>Pehčevo</v>
      </c>
      <c r="D3481" s="9" t="str">
        <f>IFERROR(__xludf.DUMMYFUNCTION("GOOGLETRANSLATE($A3481,""en"",""fr"")"),"Pehtchevo")</f>
        <v>Pehtchevo</v>
      </c>
      <c r="E3481" s="9" t="str">
        <f>IFERROR(__xludf.DUMMYFUNCTION("GOOGLETRANSLATE($A3481,""en"",""es"")"),"Pehčevo")</f>
        <v>Pehčevo</v>
      </c>
      <c r="F3481" s="9" t="str">
        <f>IFERROR(__xludf.DUMMYFUNCTION("GOOGLETRANSLATE($A3481,""en"",""it"")"),"Pehčevo")</f>
        <v>Pehčevo</v>
      </c>
      <c r="G3481" s="9" t="str">
        <f>IFERROR(__xludf.DUMMYFUNCTION("GOOGLETRANSLATE($A3481,""en"",""zh-cn"")"),"佩赫切沃")</f>
        <v>佩赫切沃</v>
      </c>
      <c r="H3481" s="9" t="str">
        <f>IFERROR(__xludf.DUMMYFUNCTION("GOOGLETRANSLATE($A3481,""en"",""ja"")"),"ペチェヴォ")</f>
        <v>ペチェヴォ</v>
      </c>
      <c r="I3481" s="9" t="str">
        <f>IFERROR(__xludf.DUMMYFUNCTION("GOOGLETRANSLATE($A3481,""en"",""ko"")"),"페체보")</f>
        <v>페체보</v>
      </c>
      <c r="J3481" s="9" t="str">
        <f>IFERROR(__xludf.DUMMYFUNCTION("GOOGLETRANSLATE($A3481,""en"",""pt-BR"")"),"Pehčevo")</f>
        <v>Pehčevo</v>
      </c>
    </row>
    <row r="3482">
      <c r="A3482" s="9" t="str">
        <f>IFERROR(__xludf.DUMMYFUNCTION("""COMPUTED_VALUE"""),"Gazi Baba")</f>
        <v>Gazi Baba</v>
      </c>
      <c r="B3482" s="9" t="str">
        <f>IFERROR(__xludf.DUMMYFUNCTION("""COMPUTED_VALUE"""),"mk-17")</f>
        <v>mk-17</v>
      </c>
      <c r="C3482" s="9" t="str">
        <f>IFERROR(__xludf.DUMMYFUNCTION("GOOGLETRANSLATE($A3482,""en"",""de"")"),"Gazi Baba")</f>
        <v>Gazi Baba</v>
      </c>
      <c r="D3482" s="9" t="str">
        <f>IFERROR(__xludf.DUMMYFUNCTION("GOOGLETRANSLATE($A3482,""en"",""fr"")"),"Gazi Baba")</f>
        <v>Gazi Baba</v>
      </c>
      <c r="E3482" s="9" t="str">
        <f>IFERROR(__xludf.DUMMYFUNCTION("GOOGLETRANSLATE($A3482,""en"",""es"")"),"Gazi Baba")</f>
        <v>Gazi Baba</v>
      </c>
      <c r="F3482" s="9" t="str">
        <f>IFERROR(__xludf.DUMMYFUNCTION("GOOGLETRANSLATE($A3482,""en"",""it"")"),"Gazi Babà")</f>
        <v>Gazi Babà</v>
      </c>
      <c r="G3482" s="9" t="str">
        <f>IFERROR(__xludf.DUMMYFUNCTION("GOOGLETRANSLATE($A3482,""en"",""zh-cn"")"),"加济巴巴")</f>
        <v>加济巴巴</v>
      </c>
      <c r="H3482" s="9" t="str">
        <f>IFERROR(__xludf.DUMMYFUNCTION("GOOGLETRANSLATE($A3482,""en"",""ja"")"),"ガジ・ババ")</f>
        <v>ガジ・ババ</v>
      </c>
      <c r="I3482" s="9" t="str">
        <f>IFERROR(__xludf.DUMMYFUNCTION("GOOGLETRANSLATE($A3482,""en"",""ko"")"),"가지 바바")</f>
        <v>가지 바바</v>
      </c>
      <c r="J3482" s="9" t="str">
        <f>IFERROR(__xludf.DUMMYFUNCTION("GOOGLETRANSLATE($A3482,""en"",""pt-BR"")"),"Gazi Baba")</f>
        <v>Gazi Baba</v>
      </c>
    </row>
    <row r="3483">
      <c r="A3483" s="9" t="str">
        <f>IFERROR(__xludf.DUMMYFUNCTION("""COMPUTED_VALUE"""),"Želino")</f>
        <v>Želino</v>
      </c>
      <c r="B3483" s="9" t="str">
        <f>IFERROR(__xludf.DUMMYFUNCTION("""COMPUTED_VALUE"""),"mk-30")</f>
        <v>mk-30</v>
      </c>
      <c r="C3483" s="9" t="str">
        <f>IFERROR(__xludf.DUMMYFUNCTION("GOOGLETRANSLATE($A3483,""en"",""de"")"),"Želino")</f>
        <v>Želino</v>
      </c>
      <c r="D3483" s="9" t="str">
        <f>IFERROR(__xludf.DUMMYFUNCTION("GOOGLETRANSLATE($A3483,""en"",""fr"")"),"Zelino")</f>
        <v>Zelino</v>
      </c>
      <c r="E3483" s="9" t="str">
        <f>IFERROR(__xludf.DUMMYFUNCTION("GOOGLETRANSLATE($A3483,""en"",""es"")"),"Želino")</f>
        <v>Želino</v>
      </c>
      <c r="F3483" s="9" t="str">
        <f>IFERROR(__xludf.DUMMYFUNCTION("GOOGLETRANSLATE($A3483,""en"",""it"")"),"Zelino")</f>
        <v>Zelino</v>
      </c>
      <c r="G3483" s="9" t="str">
        <f>IFERROR(__xludf.DUMMYFUNCTION("GOOGLETRANSLATE($A3483,""en"",""zh-cn"")"),"泽利诺")</f>
        <v>泽利诺</v>
      </c>
      <c r="H3483" s="9" t="str">
        <f>IFERROR(__xludf.DUMMYFUNCTION("GOOGLETRANSLATE($A3483,""en"",""ja"")"),"ジェリーノ")</f>
        <v>ジェリーノ</v>
      </c>
      <c r="I3483" s="9" t="str">
        <f>IFERROR(__xludf.DUMMYFUNCTION("GOOGLETRANSLATE($A3483,""en"",""ko"")"),"젤리노")</f>
        <v>젤리노</v>
      </c>
      <c r="J3483" s="9" t="str">
        <f>IFERROR(__xludf.DUMMYFUNCTION("GOOGLETRANSLATE($A3483,""en"",""pt-BR"")"),"Zelino")</f>
        <v>Zelino</v>
      </c>
    </row>
    <row r="3484">
      <c r="A3484" s="9" t="str">
        <f>IFERROR(__xludf.DUMMYFUNCTION("""COMPUTED_VALUE"""),"Zajas")</f>
        <v>Zajas</v>
      </c>
      <c r="B3484" s="9" t="str">
        <f>IFERROR(__xludf.DUMMYFUNCTION("""COMPUTED_VALUE"""),"mk-31")</f>
        <v>mk-31</v>
      </c>
      <c r="C3484" s="9" t="str">
        <f>IFERROR(__xludf.DUMMYFUNCTION("GOOGLETRANSLATE($A3484,""en"",""de"")"),"Zajas")</f>
        <v>Zajas</v>
      </c>
      <c r="D3484" s="9" t="str">
        <f>IFERROR(__xludf.DUMMYFUNCTION("GOOGLETRANSLATE($A3484,""en"",""fr"")"),"Zajas")</f>
        <v>Zajas</v>
      </c>
      <c r="E3484" s="9" t="str">
        <f>IFERROR(__xludf.DUMMYFUNCTION("GOOGLETRANSLATE($A3484,""en"",""es"")"),"zajas")</f>
        <v>zajas</v>
      </c>
      <c r="F3484" s="9" t="str">
        <f>IFERROR(__xludf.DUMMYFUNCTION("GOOGLETRANSLATE($A3484,""en"",""it"")"),"Zajas")</f>
        <v>Zajas</v>
      </c>
      <c r="G3484" s="9" t="str">
        <f>IFERROR(__xludf.DUMMYFUNCTION("GOOGLETRANSLATE($A3484,""en"",""zh-cn"")"),"扎哈斯")</f>
        <v>扎哈斯</v>
      </c>
      <c r="H3484" s="9" t="str">
        <f>IFERROR(__xludf.DUMMYFUNCTION("GOOGLETRANSLATE($A3484,""en"",""ja"")"),"ザジャス")</f>
        <v>ザジャス</v>
      </c>
      <c r="I3484" s="9" t="str">
        <f>IFERROR(__xludf.DUMMYFUNCTION("GOOGLETRANSLATE($A3484,""en"",""ko"")"),"자하스")</f>
        <v>자하스</v>
      </c>
      <c r="J3484" s="9" t="str">
        <f>IFERROR(__xludf.DUMMYFUNCTION("GOOGLETRANSLATE($A3484,""en"",""pt-BR"")"),"Zajas")</f>
        <v>Zajas</v>
      </c>
    </row>
    <row r="3485">
      <c r="A3485" s="9" t="str">
        <f>IFERROR(__xludf.DUMMYFUNCTION("""COMPUTED_VALUE"""),"Saraj")</f>
        <v>Saraj</v>
      </c>
      <c r="B3485" s="9" t="str">
        <f>IFERROR(__xludf.DUMMYFUNCTION("""COMPUTED_VALUE"""),"mk-68")</f>
        <v>mk-68</v>
      </c>
      <c r="C3485" s="9" t="str">
        <f>IFERROR(__xludf.DUMMYFUNCTION("GOOGLETRANSLATE($A3485,""en"",""de"")"),"Saraj")</f>
        <v>Saraj</v>
      </c>
      <c r="D3485" s="9" t="str">
        <f>IFERROR(__xludf.DUMMYFUNCTION("GOOGLETRANSLATE($A3485,""en"",""fr"")"),"Saraj")</f>
        <v>Saraj</v>
      </c>
      <c r="E3485" s="9" t="str">
        <f>IFERROR(__xludf.DUMMYFUNCTION("GOOGLETRANSLATE($A3485,""en"",""es"")"),"saraj")</f>
        <v>saraj</v>
      </c>
      <c r="F3485" s="9" t="str">
        <f>IFERROR(__xludf.DUMMYFUNCTION("GOOGLETRANSLATE($A3485,""en"",""it"")"),"Saraj")</f>
        <v>Saraj</v>
      </c>
      <c r="G3485" s="9" t="str">
        <f>IFERROR(__xludf.DUMMYFUNCTION("GOOGLETRANSLATE($A3485,""en"",""zh-cn"")"),"萨拉吉")</f>
        <v>萨拉吉</v>
      </c>
      <c r="H3485" s="9" t="str">
        <f>IFERROR(__xludf.DUMMYFUNCTION("GOOGLETRANSLATE($A3485,""en"",""ja"")"),"サラジ")</f>
        <v>サラジ</v>
      </c>
      <c r="I3485" s="9" t="str">
        <f>IFERROR(__xludf.DUMMYFUNCTION("GOOGLETRANSLATE($A3485,""en"",""ko"")"),"사라즈")</f>
        <v>사라즈</v>
      </c>
      <c r="J3485" s="9" t="str">
        <f>IFERROR(__xludf.DUMMYFUNCTION("GOOGLETRANSLATE($A3485,""en"",""pt-BR"")"),"Saraj")</f>
        <v>Saraj</v>
      </c>
    </row>
    <row r="3486">
      <c r="A3486" s="9" t="str">
        <f>IFERROR(__xludf.DUMMYFUNCTION("""COMPUTED_VALUE"""),"Kisela Voda")</f>
        <v>Kisela Voda</v>
      </c>
      <c r="B3486" s="9" t="str">
        <f>IFERROR(__xludf.DUMMYFUNCTION("""COMPUTED_VALUE"""),"mk-39")</f>
        <v>mk-39</v>
      </c>
      <c r="C3486" s="9" t="str">
        <f>IFERROR(__xludf.DUMMYFUNCTION("GOOGLETRANSLATE($A3486,""en"",""de"")"),"Kisela Voda")</f>
        <v>Kisela Voda</v>
      </c>
      <c r="D3486" s="9" t="str">
        <f>IFERROR(__xludf.DUMMYFUNCTION("GOOGLETRANSLATE($A3486,""en"",""fr"")"),"Kisela Voda")</f>
        <v>Kisela Voda</v>
      </c>
      <c r="E3486" s="9" t="str">
        <f>IFERROR(__xludf.DUMMYFUNCTION("GOOGLETRANSLATE($A3486,""en"",""es"")"),"Kisela Voda")</f>
        <v>Kisela Voda</v>
      </c>
      <c r="F3486" s="9" t="str">
        <f>IFERROR(__xludf.DUMMYFUNCTION("GOOGLETRANSLATE($A3486,""en"",""it"")"),"Kisela Voda")</f>
        <v>Kisela Voda</v>
      </c>
      <c r="G3486" s="9" t="str">
        <f>IFERROR(__xludf.DUMMYFUNCTION("GOOGLETRANSLATE($A3486,""en"",""zh-cn"")"),"基塞拉·沃达")</f>
        <v>基塞拉·沃达</v>
      </c>
      <c r="H3486" s="9" t="str">
        <f>IFERROR(__xludf.DUMMYFUNCTION("GOOGLETRANSLATE($A3486,""en"",""ja"")"),"キセラ・ヴォダ")</f>
        <v>キセラ・ヴォダ</v>
      </c>
      <c r="I3486" s="9" t="str">
        <f>IFERROR(__xludf.DUMMYFUNCTION("GOOGLETRANSLATE($A3486,""en"",""ko"")"),"키셀라 보다")</f>
        <v>키셀라 보다</v>
      </c>
      <c r="J3486" s="9" t="str">
        <f>IFERROR(__xludf.DUMMYFUNCTION("GOOGLETRANSLATE($A3486,""en"",""pt-BR"")"),"Kisela Voda")</f>
        <v>Kisela Voda</v>
      </c>
    </row>
    <row r="3487">
      <c r="A3487" s="9" t="str">
        <f>IFERROR(__xludf.DUMMYFUNCTION("""COMPUTED_VALUE"""),"Vasilevo")</f>
        <v>Vasilevo</v>
      </c>
      <c r="B3487" s="9" t="str">
        <f>IFERROR(__xludf.DUMMYFUNCTION("""COMPUTED_VALUE"""),"mk-11")</f>
        <v>mk-11</v>
      </c>
      <c r="C3487" s="9" t="str">
        <f>IFERROR(__xludf.DUMMYFUNCTION("GOOGLETRANSLATE($A3487,""en"",""de"")"),"Vasilevo")</f>
        <v>Vasilevo</v>
      </c>
      <c r="D3487" s="9" t="str">
        <f>IFERROR(__xludf.DUMMYFUNCTION("GOOGLETRANSLATE($A3487,""en"",""fr"")"),"Vassilievo")</f>
        <v>Vassilievo</v>
      </c>
      <c r="E3487" s="9" t="str">
        <f>IFERROR(__xludf.DUMMYFUNCTION("GOOGLETRANSLATE($A3487,""en"",""es"")"),"Vasílevo")</f>
        <v>Vasílevo</v>
      </c>
      <c r="F3487" s="9" t="str">
        <f>IFERROR(__xludf.DUMMYFUNCTION("GOOGLETRANSLATE($A3487,""en"",""it"")"),"Vasilevo")</f>
        <v>Vasilevo</v>
      </c>
      <c r="G3487" s="9" t="str">
        <f>IFERROR(__xludf.DUMMYFUNCTION("GOOGLETRANSLATE($A3487,""en"",""zh-cn"")"),"瓦西里沃")</f>
        <v>瓦西里沃</v>
      </c>
      <c r="H3487" s="9" t="str">
        <f>IFERROR(__xludf.DUMMYFUNCTION("GOOGLETRANSLATE($A3487,""en"",""ja"")"),"ヴァシレヴォ")</f>
        <v>ヴァシレヴォ</v>
      </c>
      <c r="I3487" s="9" t="str">
        <f>IFERROR(__xludf.DUMMYFUNCTION("GOOGLETRANSLATE($A3487,""en"",""ko"")"),"바실레보")</f>
        <v>바실레보</v>
      </c>
      <c r="J3487" s="9" t="str">
        <f>IFERROR(__xludf.DUMMYFUNCTION("GOOGLETRANSLATE($A3487,""en"",""pt-BR"")"),"Vasilevo")</f>
        <v>Vasilevo</v>
      </c>
    </row>
    <row r="3488">
      <c r="A3488" s="9" t="str">
        <f>IFERROR(__xludf.DUMMYFUNCTION("""COMPUTED_VALUE"""),"Češinovo-Obleševo")</f>
        <v>Češinovo-Obleševo</v>
      </c>
      <c r="B3488" s="9" t="str">
        <f>IFERROR(__xludf.DUMMYFUNCTION("""COMPUTED_VALUE"""),"mk-81")</f>
        <v>mk-81</v>
      </c>
      <c r="C3488" s="9" t="str">
        <f>IFERROR(__xludf.DUMMYFUNCTION("GOOGLETRANSLATE($A3488,""en"",""de"")"),"Češinovo-Obleševo")</f>
        <v>Češinovo-Obleševo</v>
      </c>
      <c r="D3488" s="9" t="str">
        <f>IFERROR(__xludf.DUMMYFUNCTION("GOOGLETRANSLATE($A3488,""en"",""fr"")"),"Cešinovo-Obleševo")</f>
        <v>Cešinovo-Obleševo</v>
      </c>
      <c r="E3488" s="9" t="str">
        <f>IFERROR(__xludf.DUMMYFUNCTION("GOOGLETRANSLATE($A3488,""en"",""es"")"),"Češinovo-Obleševo")</f>
        <v>Češinovo-Obleševo</v>
      </c>
      <c r="F3488" s="9" t="str">
        <f>IFERROR(__xludf.DUMMYFUNCTION("GOOGLETRANSLATE($A3488,""en"",""it"")"),"Češinovo-Obleševo")</f>
        <v>Češinovo-Obleševo</v>
      </c>
      <c r="G3488" s="9" t="str">
        <f>IFERROR(__xludf.DUMMYFUNCTION("GOOGLETRANSLATE($A3488,""en"",""zh-cn"")"),"切希诺沃-奥布莱舍沃")</f>
        <v>切希诺沃-奥布莱舍沃</v>
      </c>
      <c r="H3488" s="9" t="str">
        <f>IFERROR(__xludf.DUMMYFUNCTION("GOOGLETRANSLATE($A3488,""en"",""ja"")"),"チェシノヴォ・オブレシェヴォ")</f>
        <v>チェシノヴォ・オブレシェヴォ</v>
      </c>
      <c r="I3488" s="9" t="str">
        <f>IFERROR(__xludf.DUMMYFUNCTION("GOOGLETRANSLATE($A3488,""en"",""ko"")"),"체시노보-오블레셰보")</f>
        <v>체시노보-오블레셰보</v>
      </c>
      <c r="J3488" s="9" t="str">
        <f>IFERROR(__xludf.DUMMYFUNCTION("GOOGLETRANSLATE($A3488,""en"",""pt-BR"")"),"Češinovo-Obleševo")</f>
        <v>Češinovo-Obleševo</v>
      </c>
    </row>
    <row r="3489">
      <c r="A3489" s="9" t="str">
        <f>IFERROR(__xludf.DUMMYFUNCTION("""COMPUTED_VALUE"""),"Demir Kapija")</f>
        <v>Demir Kapija</v>
      </c>
      <c r="B3489" s="9" t="str">
        <f>IFERROR(__xludf.DUMMYFUNCTION("""COMPUTED_VALUE"""),"mk-24")</f>
        <v>mk-24</v>
      </c>
      <c r="C3489" s="9" t="str">
        <f>IFERROR(__xludf.DUMMYFUNCTION("GOOGLETRANSLATE($A3489,""en"",""de"")"),"Demir Kapija")</f>
        <v>Demir Kapija</v>
      </c>
      <c r="D3489" s="9" t="str">
        <f>IFERROR(__xludf.DUMMYFUNCTION("GOOGLETRANSLATE($A3489,""en"",""fr"")"),"Demir Kapiya")</f>
        <v>Demir Kapiya</v>
      </c>
      <c r="E3489" s="9" t="str">
        <f>IFERROR(__xludf.DUMMYFUNCTION("GOOGLETRANSLATE($A3489,""en"",""es"")"),"Demir Kapija")</f>
        <v>Demir Kapija</v>
      </c>
      <c r="F3489" s="9" t="str">
        <f>IFERROR(__xludf.DUMMYFUNCTION("GOOGLETRANSLATE($A3489,""en"",""it"")"),"Demir Kapija")</f>
        <v>Demir Kapija</v>
      </c>
      <c r="G3489" s="9" t="str">
        <f>IFERROR(__xludf.DUMMYFUNCTION("GOOGLETRANSLATE($A3489,""en"",""zh-cn"")"),"德米尔·卡皮贾")</f>
        <v>德米尔·卡皮贾</v>
      </c>
      <c r="H3489" s="9" t="str">
        <f>IFERROR(__xludf.DUMMYFUNCTION("GOOGLETRANSLATE($A3489,""en"",""ja"")"),"デミール・カピヤ")</f>
        <v>デミール・カピヤ</v>
      </c>
      <c r="I3489" s="9" t="str">
        <f>IFERROR(__xludf.DUMMYFUNCTION("GOOGLETRANSLATE($A3489,""en"",""ko"")"),"데미르 카피자")</f>
        <v>데미르 카피자</v>
      </c>
      <c r="J3489" s="9" t="str">
        <f>IFERROR(__xludf.DUMMYFUNCTION("GOOGLETRANSLATE($A3489,""en"",""pt-BR"")"),"Demir Kapija")</f>
        <v>Demir Kapija</v>
      </c>
    </row>
    <row r="3490">
      <c r="A3490" s="9" t="str">
        <f>IFERROR(__xludf.DUMMYFUNCTION("""COMPUTED_VALUE"""),"Resen")</f>
        <v>Resen</v>
      </c>
      <c r="B3490" s="9" t="str">
        <f>IFERROR(__xludf.DUMMYFUNCTION("""COMPUTED_VALUE"""),"mk-66")</f>
        <v>mk-66</v>
      </c>
      <c r="C3490" s="9" t="str">
        <f>IFERROR(__xludf.DUMMYFUNCTION("GOOGLETRANSLATE($A3490,""en"",""de"")"),"Resen")</f>
        <v>Resen</v>
      </c>
      <c r="D3490" s="9" t="str">
        <f>IFERROR(__xludf.DUMMYFUNCTION("GOOGLETRANSLATE($A3490,""en"",""fr"")"),"Résoudre")</f>
        <v>Résoudre</v>
      </c>
      <c r="E3490" s="9" t="str">
        <f>IFERROR(__xludf.DUMMYFUNCTION("GOOGLETRANSLATE($A3490,""en"",""es"")"),"Reseña")</f>
        <v>Reseña</v>
      </c>
      <c r="F3490" s="9" t="str">
        <f>IFERROR(__xludf.DUMMYFUNCTION("GOOGLETRANSLATE($A3490,""en"",""it"")"),"Risen")</f>
        <v>Risen</v>
      </c>
      <c r="G3490" s="9" t="str">
        <f>IFERROR(__xludf.DUMMYFUNCTION("GOOGLETRANSLATE($A3490,""en"",""zh-cn"")"),"雷森")</f>
        <v>雷森</v>
      </c>
      <c r="H3490" s="9" t="str">
        <f>IFERROR(__xludf.DUMMYFUNCTION("GOOGLETRANSLATE($A3490,""en"",""ja"")"),"レセン")</f>
        <v>レセン</v>
      </c>
      <c r="I3490" s="9" t="str">
        <f>IFERROR(__xludf.DUMMYFUNCTION("GOOGLETRANSLATE($A3490,""en"",""ko"")"),"레센")</f>
        <v>레센</v>
      </c>
      <c r="J3490" s="9" t="str">
        <f>IFERROR(__xludf.DUMMYFUNCTION("GOOGLETRANSLATE($A3490,""en"",""pt-BR"")"),"Resen")</f>
        <v>Resen</v>
      </c>
    </row>
    <row r="3491">
      <c r="A3491" s="9" t="str">
        <f>IFERROR(__xludf.DUMMYFUNCTION("""COMPUTED_VALUE"""),"Mogila")</f>
        <v>Mogila</v>
      </c>
      <c r="B3491" s="9" t="str">
        <f>IFERROR(__xludf.DUMMYFUNCTION("""COMPUTED_VALUE"""),"mk-53")</f>
        <v>mk-53</v>
      </c>
      <c r="C3491" s="9" t="str">
        <f>IFERROR(__xludf.DUMMYFUNCTION("GOOGLETRANSLATE($A3491,""en"",""de"")"),"Mogila")</f>
        <v>Mogila</v>
      </c>
      <c r="D3491" s="9" t="str">
        <f>IFERROR(__xludf.DUMMYFUNCTION("GOOGLETRANSLATE($A3491,""en"",""fr"")"),"Mogila")</f>
        <v>Mogila</v>
      </c>
      <c r="E3491" s="9" t="str">
        <f>IFERROR(__xludf.DUMMYFUNCTION("GOOGLETRANSLATE($A3491,""en"",""es"")"),"Mogila")</f>
        <v>Mogila</v>
      </c>
      <c r="F3491" s="9" t="str">
        <f>IFERROR(__xludf.DUMMYFUNCTION("GOOGLETRANSLATE($A3491,""en"",""it"")"),"Mogilà")</f>
        <v>Mogilà</v>
      </c>
      <c r="G3491" s="9" t="str">
        <f>IFERROR(__xludf.DUMMYFUNCTION("GOOGLETRANSLATE($A3491,""en"",""zh-cn"")"),"莫吉拉")</f>
        <v>莫吉拉</v>
      </c>
      <c r="H3491" s="9" t="str">
        <f>IFERROR(__xludf.DUMMYFUNCTION("GOOGLETRANSLATE($A3491,""en"",""ja"")"),"モギラ")</f>
        <v>モギラ</v>
      </c>
      <c r="I3491" s="9" t="str">
        <f>IFERROR(__xludf.DUMMYFUNCTION("GOOGLETRANSLATE($A3491,""en"",""ko"")"),"모길라")</f>
        <v>모길라</v>
      </c>
      <c r="J3491" s="9" t="str">
        <f>IFERROR(__xludf.DUMMYFUNCTION("GOOGLETRANSLATE($A3491,""en"",""pt-BR"")"),"Mogila")</f>
        <v>Mogila</v>
      </c>
    </row>
    <row r="3492">
      <c r="A3492" s="9" t="str">
        <f>IFERROR(__xludf.DUMMYFUNCTION("""COMPUTED_VALUE"""),"Čair")</f>
        <v>Čair</v>
      </c>
      <c r="B3492" s="9" t="str">
        <f>IFERROR(__xludf.DUMMYFUNCTION("""COMPUTED_VALUE"""),"mk-79")</f>
        <v>mk-79</v>
      </c>
      <c r="C3492" s="9" t="str">
        <f>IFERROR(__xludf.DUMMYFUNCTION("GOOGLETRANSLATE($A3492,""en"",""de"")"),"Čair")</f>
        <v>Čair</v>
      </c>
      <c r="D3492" s="9" t="str">
        <f>IFERROR(__xludf.DUMMYFUNCTION("GOOGLETRANSLATE($A3492,""en"",""fr"")"),"Cair")</f>
        <v>Cair</v>
      </c>
      <c r="E3492" s="9" t="str">
        <f>IFERROR(__xludf.DUMMYFUNCTION("GOOGLETRANSLATE($A3492,""en"",""es"")"),"Čair")</f>
        <v>Čair</v>
      </c>
      <c r="F3492" s="9" t="str">
        <f>IFERROR(__xludf.DUMMYFUNCTION("GOOGLETRANSLATE($A3492,""en"",""it"")"),"Čair")</f>
        <v>Čair</v>
      </c>
      <c r="G3492" s="9" t="str">
        <f>IFERROR(__xludf.DUMMYFUNCTION("GOOGLETRANSLATE($A3492,""en"",""zh-cn"")"),"恰尔")</f>
        <v>恰尔</v>
      </c>
      <c r="H3492" s="9" t="str">
        <f>IFERROR(__xludf.DUMMYFUNCTION("GOOGLETRANSLATE($A3492,""en"",""ja"")"),"チェル")</f>
        <v>チェル</v>
      </c>
      <c r="I3492" s="9" t="str">
        <f>IFERROR(__xludf.DUMMYFUNCTION("GOOGLETRANSLATE($A3492,""en"",""ko"")"),"체어")</f>
        <v>체어</v>
      </c>
      <c r="J3492" s="9" t="str">
        <f>IFERROR(__xludf.DUMMYFUNCTION("GOOGLETRANSLATE($A3492,""en"",""pt-BR"")"),"Čair")</f>
        <v>Čair</v>
      </c>
    </row>
    <row r="3493">
      <c r="A3493" s="9" t="str">
        <f>IFERROR(__xludf.DUMMYFUNCTION("""COMPUTED_VALUE"""),"Petrovec")</f>
        <v>Petrovec</v>
      </c>
      <c r="B3493" s="9" t="str">
        <f>IFERROR(__xludf.DUMMYFUNCTION("""COMPUTED_VALUE"""),"mk-59")</f>
        <v>mk-59</v>
      </c>
      <c r="C3493" s="9" t="str">
        <f>IFERROR(__xludf.DUMMYFUNCTION("GOOGLETRANSLATE($A3493,""en"",""de"")"),"Petrovec")</f>
        <v>Petrovec</v>
      </c>
      <c r="D3493" s="9" t="str">
        <f>IFERROR(__xludf.DUMMYFUNCTION("GOOGLETRANSLATE($A3493,""en"",""fr"")"),"Petrovets")</f>
        <v>Petrovets</v>
      </c>
      <c r="E3493" s="9" t="str">
        <f>IFERROR(__xludf.DUMMYFUNCTION("GOOGLETRANSLATE($A3493,""en"",""es"")"),"Petrovec")</f>
        <v>Petrovec</v>
      </c>
      <c r="F3493" s="9" t="str">
        <f>IFERROR(__xludf.DUMMYFUNCTION("GOOGLETRANSLATE($A3493,""en"",""it"")"),"Petrovec")</f>
        <v>Petrovec</v>
      </c>
      <c r="G3493" s="9" t="str">
        <f>IFERROR(__xludf.DUMMYFUNCTION("GOOGLETRANSLATE($A3493,""en"",""zh-cn"")"),"彼得罗韦茨")</f>
        <v>彼得罗韦茨</v>
      </c>
      <c r="H3493" s="9" t="str">
        <f>IFERROR(__xludf.DUMMYFUNCTION("GOOGLETRANSLATE($A3493,""en"",""ja"")"),"ペトロヴェック")</f>
        <v>ペトロヴェック</v>
      </c>
      <c r="I3493" s="9" t="str">
        <f>IFERROR(__xludf.DUMMYFUNCTION("GOOGLETRANSLATE($A3493,""en"",""ko"")"),"페트로벡")</f>
        <v>페트로벡</v>
      </c>
      <c r="J3493" s="9" t="str">
        <f>IFERROR(__xludf.DUMMYFUNCTION("GOOGLETRANSLATE($A3493,""en"",""pt-BR"")"),"Petrovec")</f>
        <v>Petrovec</v>
      </c>
    </row>
    <row r="3494">
      <c r="A3494" s="9" t="str">
        <f>IFERROR(__xludf.DUMMYFUNCTION("""COMPUTED_VALUE"""),"Rosoman")</f>
        <v>Rosoman</v>
      </c>
      <c r="B3494" s="9" t="str">
        <f>IFERROR(__xludf.DUMMYFUNCTION("""COMPUTED_VALUE"""),"mk-67")</f>
        <v>mk-67</v>
      </c>
      <c r="C3494" s="9" t="str">
        <f>IFERROR(__xludf.DUMMYFUNCTION("GOOGLETRANSLATE($A3494,""en"",""de"")"),"Rosoman")</f>
        <v>Rosoman</v>
      </c>
      <c r="D3494" s="9" t="str">
        <f>IFERROR(__xludf.DUMMYFUNCTION("GOOGLETRANSLATE($A3494,""en"",""fr"")"),"Rosoman")</f>
        <v>Rosoman</v>
      </c>
      <c r="E3494" s="9" t="str">
        <f>IFERROR(__xludf.DUMMYFUNCTION("GOOGLETRANSLATE($A3494,""en"",""es"")"),"rosomán")</f>
        <v>rosomán</v>
      </c>
      <c r="F3494" s="9" t="str">
        <f>IFERROR(__xludf.DUMMYFUNCTION("GOOGLETRANSLATE($A3494,""en"",""it"")"),"Rosamano")</f>
        <v>Rosamano</v>
      </c>
      <c r="G3494" s="9" t="str">
        <f>IFERROR(__xludf.DUMMYFUNCTION("GOOGLETRANSLATE($A3494,""en"",""zh-cn"")"),"罗索曼")</f>
        <v>罗索曼</v>
      </c>
      <c r="H3494" s="9" t="str">
        <f>IFERROR(__xludf.DUMMYFUNCTION("GOOGLETRANSLATE($A3494,""en"",""ja"")"),"ロゾマン")</f>
        <v>ロゾマン</v>
      </c>
      <c r="I3494" s="9" t="str">
        <f>IFERROR(__xludf.DUMMYFUNCTION("GOOGLETRANSLATE($A3494,""en"",""ko"")"),"로소만")</f>
        <v>로소만</v>
      </c>
      <c r="J3494" s="9" t="str">
        <f>IFERROR(__xludf.DUMMYFUNCTION("GOOGLETRANSLATE($A3494,""en"",""pt-BR"")"),"Rosoman")</f>
        <v>Rosoman</v>
      </c>
    </row>
    <row r="3495">
      <c r="A3495" s="9" t="str">
        <f>IFERROR(__xludf.DUMMYFUNCTION("""COMPUTED_VALUE"""),"Dojran")</f>
        <v>Dojran</v>
      </c>
      <c r="B3495" s="9" t="str">
        <f>IFERROR(__xludf.DUMMYFUNCTION("""COMPUTED_VALUE"""),"mk-26")</f>
        <v>mk-26</v>
      </c>
      <c r="C3495" s="9" t="str">
        <f>IFERROR(__xludf.DUMMYFUNCTION("GOOGLETRANSLATE($A3495,""en"",""de"")"),"Dojran")</f>
        <v>Dojran</v>
      </c>
      <c r="D3495" s="9" t="str">
        <f>IFERROR(__xludf.DUMMYFUNCTION("GOOGLETRANSLATE($A3495,""en"",""fr"")"),"Dojran")</f>
        <v>Dojran</v>
      </c>
      <c r="E3495" s="9" t="str">
        <f>IFERROR(__xludf.DUMMYFUNCTION("GOOGLETRANSLATE($A3495,""en"",""es"")"),"Dojrán")</f>
        <v>Dojrán</v>
      </c>
      <c r="F3495" s="9" t="str">
        <f>IFERROR(__xludf.DUMMYFUNCTION("GOOGLETRANSLATE($A3495,""en"",""it"")"),"Dojran")</f>
        <v>Dojran</v>
      </c>
      <c r="G3495" s="9" t="str">
        <f>IFERROR(__xludf.DUMMYFUNCTION("GOOGLETRANSLATE($A3495,""en"",""zh-cn"")"),"多伊兰")</f>
        <v>多伊兰</v>
      </c>
      <c r="H3495" s="9" t="str">
        <f>IFERROR(__xludf.DUMMYFUNCTION("GOOGLETRANSLATE($A3495,""en"",""ja"")"),"ドジュラン")</f>
        <v>ドジュラン</v>
      </c>
      <c r="I3495" s="9" t="str">
        <f>IFERROR(__xludf.DUMMYFUNCTION("GOOGLETRANSLATE($A3495,""en"",""ko"")"),"도이란")</f>
        <v>도이란</v>
      </c>
      <c r="J3495" s="9" t="str">
        <f>IFERROR(__xludf.DUMMYFUNCTION("GOOGLETRANSLATE($A3495,""en"",""pt-BR"")"),"Dojran")</f>
        <v>Dojran</v>
      </c>
    </row>
    <row r="3496">
      <c r="A3496" s="9" t="str">
        <f>IFERROR(__xludf.DUMMYFUNCTION("""COMPUTED_VALUE"""),"Kratovo")</f>
        <v>Kratovo</v>
      </c>
      <c r="B3496" s="9" t="str">
        <f>IFERROR(__xludf.DUMMYFUNCTION("""COMPUTED_VALUE"""),"mk-43")</f>
        <v>mk-43</v>
      </c>
      <c r="C3496" s="9" t="str">
        <f>IFERROR(__xludf.DUMMYFUNCTION("GOOGLETRANSLATE($A3496,""en"",""de"")"),"Kratovo")</f>
        <v>Kratovo</v>
      </c>
      <c r="D3496" s="9" t="str">
        <f>IFERROR(__xludf.DUMMYFUNCTION("GOOGLETRANSLATE($A3496,""en"",""fr"")"),"Kratovo")</f>
        <v>Kratovo</v>
      </c>
      <c r="E3496" s="9" t="str">
        <f>IFERROR(__xludf.DUMMYFUNCTION("GOOGLETRANSLATE($A3496,""en"",""es"")"),"Kratovo")</f>
        <v>Kratovo</v>
      </c>
      <c r="F3496" s="9" t="str">
        <f>IFERROR(__xludf.DUMMYFUNCTION("GOOGLETRANSLATE($A3496,""en"",""it"")"),"Kratovo")</f>
        <v>Kratovo</v>
      </c>
      <c r="G3496" s="9" t="str">
        <f>IFERROR(__xludf.DUMMYFUNCTION("GOOGLETRANSLATE($A3496,""en"",""zh-cn"")"),"克拉托沃")</f>
        <v>克拉托沃</v>
      </c>
      <c r="H3496" s="9" t="str">
        <f>IFERROR(__xludf.DUMMYFUNCTION("GOOGLETRANSLATE($A3496,""en"",""ja"")"),"クラトヴォ")</f>
        <v>クラトヴォ</v>
      </c>
      <c r="I3496" s="9" t="str">
        <f>IFERROR(__xludf.DUMMYFUNCTION("GOOGLETRANSLATE($A3496,""en"",""ko"")"),"크라토보")</f>
        <v>크라토보</v>
      </c>
      <c r="J3496" s="9" t="str">
        <f>IFERROR(__xludf.DUMMYFUNCTION("GOOGLETRANSLATE($A3496,""en"",""pt-BR"")"),"Kratovo")</f>
        <v>Kratovo</v>
      </c>
    </row>
    <row r="3497">
      <c r="A3497" s="9" t="str">
        <f>IFERROR(__xludf.DUMMYFUNCTION("""COMPUTED_VALUE"""),"Novo Selo")</f>
        <v>Novo Selo</v>
      </c>
      <c r="B3497" s="9" t="str">
        <f>IFERROR(__xludf.DUMMYFUNCTION("""COMPUTED_VALUE"""),"mk-56")</f>
        <v>mk-56</v>
      </c>
      <c r="C3497" s="9" t="str">
        <f>IFERROR(__xludf.DUMMYFUNCTION("GOOGLETRANSLATE($A3497,""en"",""de"")"),"Novo Selo")</f>
        <v>Novo Selo</v>
      </c>
      <c r="D3497" s="9" t="str">
        <f>IFERROR(__xludf.DUMMYFUNCTION("GOOGLETRANSLATE($A3497,""en"",""fr"")"),"Novo Selo")</f>
        <v>Novo Selo</v>
      </c>
      <c r="E3497" s="9" t="str">
        <f>IFERROR(__xludf.DUMMYFUNCTION("GOOGLETRANSLATE($A3497,""en"",""es"")"),"Novo Selo")</f>
        <v>Novo Selo</v>
      </c>
      <c r="F3497" s="9" t="str">
        <f>IFERROR(__xludf.DUMMYFUNCTION("GOOGLETRANSLATE($A3497,""en"",""it"")"),"Novo Selo")</f>
        <v>Novo Selo</v>
      </c>
      <c r="G3497" s="9" t="str">
        <f>IFERROR(__xludf.DUMMYFUNCTION("GOOGLETRANSLATE($A3497,""en"",""zh-cn"")"),"新村")</f>
        <v>新村</v>
      </c>
      <c r="H3497" s="9" t="str">
        <f>IFERROR(__xludf.DUMMYFUNCTION("GOOGLETRANSLATE($A3497,""en"",""ja"")"),"ノボ・セロ")</f>
        <v>ノボ・セロ</v>
      </c>
      <c r="I3497" s="9" t="str">
        <f>IFERROR(__xludf.DUMMYFUNCTION("GOOGLETRANSLATE($A3497,""en"",""ko"")"),"노보 셀로")</f>
        <v>노보 셀로</v>
      </c>
      <c r="J3497" s="9" t="str">
        <f>IFERROR(__xludf.DUMMYFUNCTION("GOOGLETRANSLATE($A3497,""en"",""pt-BR"")"),"Novo Selo")</f>
        <v>Novo Selo</v>
      </c>
    </row>
    <row r="3498">
      <c r="A3498" s="9" t="str">
        <f>IFERROR(__xludf.DUMMYFUNCTION("""COMPUTED_VALUE"""),"Vevčani")</f>
        <v>Vevčani</v>
      </c>
      <c r="B3498" s="9" t="str">
        <f>IFERROR(__xludf.DUMMYFUNCTION("""COMPUTED_VALUE"""),"mk-12")</f>
        <v>mk-12</v>
      </c>
      <c r="C3498" s="9" t="str">
        <f>IFERROR(__xludf.DUMMYFUNCTION("GOOGLETRANSLATE($A3498,""en"",""de"")"),"Vevčani")</f>
        <v>Vevčani</v>
      </c>
      <c r="D3498" s="9" t="str">
        <f>IFERROR(__xludf.DUMMYFUNCTION("GOOGLETRANSLATE($A3498,""en"",""fr"")"),"Vevtchani")</f>
        <v>Vevtchani</v>
      </c>
      <c r="E3498" s="9" t="str">
        <f>IFERROR(__xludf.DUMMYFUNCTION("GOOGLETRANSLATE($A3498,""en"",""es"")"),"Vevčani")</f>
        <v>Vevčani</v>
      </c>
      <c r="F3498" s="9" t="str">
        <f>IFERROR(__xludf.DUMMYFUNCTION("GOOGLETRANSLATE($A3498,""en"",""it"")"),"Vevčani")</f>
        <v>Vevčani</v>
      </c>
      <c r="G3498" s="9" t="str">
        <f>IFERROR(__xludf.DUMMYFUNCTION("GOOGLETRANSLATE($A3498,""en"",""zh-cn"")"),"韦夫恰尼")</f>
        <v>韦夫恰尼</v>
      </c>
      <c r="H3498" s="9" t="str">
        <f>IFERROR(__xludf.DUMMYFUNCTION("GOOGLETRANSLATE($A3498,""en"",""ja"")"),"ヴェヴチャニ")</f>
        <v>ヴェヴチャニ</v>
      </c>
      <c r="I3498" s="9" t="str">
        <f>IFERROR(__xludf.DUMMYFUNCTION("GOOGLETRANSLATE($A3498,""en"",""ko"")"),"베브차니")</f>
        <v>베브차니</v>
      </c>
      <c r="J3498" s="9" t="str">
        <f>IFERROR(__xludf.DUMMYFUNCTION("GOOGLETRANSLATE($A3498,""en"",""pt-BR"")"),"Vevčani")</f>
        <v>Vevčani</v>
      </c>
    </row>
    <row r="3499">
      <c r="A3499" s="9" t="str">
        <f>IFERROR(__xludf.DUMMYFUNCTION("""COMPUTED_VALUE"""),"Aerodrom")</f>
        <v>Aerodrom</v>
      </c>
      <c r="B3499" s="9" t="str">
        <f>IFERROR(__xludf.DUMMYFUNCTION("""COMPUTED_VALUE"""),"mk-01")</f>
        <v>mk-01</v>
      </c>
      <c r="C3499" s="9" t="str">
        <f>IFERROR(__xludf.DUMMYFUNCTION("GOOGLETRANSLATE($A3499,""en"",""de"")"),"Flugplatz")</f>
        <v>Flugplatz</v>
      </c>
      <c r="D3499" s="9" t="str">
        <f>IFERROR(__xludf.DUMMYFUNCTION("GOOGLETRANSLATE($A3499,""en"",""fr"")"),"Aérodrome")</f>
        <v>Aérodrome</v>
      </c>
      <c r="E3499" s="9" t="str">
        <f>IFERROR(__xludf.DUMMYFUNCTION("GOOGLETRANSLATE($A3499,""en"",""es"")"),"aeródromo")</f>
        <v>aeródromo</v>
      </c>
      <c r="F3499" s="9" t="str">
        <f>IFERROR(__xludf.DUMMYFUNCTION("GOOGLETRANSLATE($A3499,""en"",""it"")"),"Aerodromo")</f>
        <v>Aerodromo</v>
      </c>
      <c r="G3499" s="9" t="str">
        <f>IFERROR(__xludf.DUMMYFUNCTION("GOOGLETRANSLATE($A3499,""en"",""zh-cn"")"),"机场")</f>
        <v>机场</v>
      </c>
      <c r="H3499" s="9" t="str">
        <f>IFERROR(__xludf.DUMMYFUNCTION("GOOGLETRANSLATE($A3499,""en"",""ja"")"),"飛行場")</f>
        <v>飛行場</v>
      </c>
      <c r="I3499" s="9" t="str">
        <f>IFERROR(__xludf.DUMMYFUNCTION("GOOGLETRANSLATE($A3499,""en"",""ko"")"),"비행장")</f>
        <v>비행장</v>
      </c>
      <c r="J3499" s="9" t="str">
        <f>IFERROR(__xludf.DUMMYFUNCTION("GOOGLETRANSLATE($A3499,""en"",""pt-BR"")"),"Aeródromo")</f>
        <v>Aeródromo</v>
      </c>
    </row>
    <row r="3500">
      <c r="A3500" s="9" t="str">
        <f>IFERROR(__xludf.DUMMYFUNCTION("""COMPUTED_VALUE"""),"Aračinovo")</f>
        <v>Aračinovo</v>
      </c>
      <c r="B3500" s="9" t="str">
        <f>IFERROR(__xludf.DUMMYFUNCTION("""COMPUTED_VALUE"""),"mk-02")</f>
        <v>mk-02</v>
      </c>
      <c r="C3500" s="9" t="str">
        <f>IFERROR(__xludf.DUMMYFUNCTION("GOOGLETRANSLATE($A3500,""en"",""de"")"),"Aračinovo")</f>
        <v>Aračinovo</v>
      </c>
      <c r="D3500" s="9" t="str">
        <f>IFERROR(__xludf.DUMMYFUNCTION("GOOGLETRANSLATE($A3500,""en"",""fr"")"),"Aracinovo")</f>
        <v>Aracinovo</v>
      </c>
      <c r="E3500" s="9" t="str">
        <f>IFERROR(__xludf.DUMMYFUNCTION("GOOGLETRANSLATE($A3500,""en"",""es"")"),"Aračinovo")</f>
        <v>Aračinovo</v>
      </c>
      <c r="F3500" s="9" t="str">
        <f>IFERROR(__xludf.DUMMYFUNCTION("GOOGLETRANSLATE($A3500,""en"",""it"")"),"Aračinovo")</f>
        <v>Aračinovo</v>
      </c>
      <c r="G3500" s="9" t="str">
        <f>IFERROR(__xludf.DUMMYFUNCTION("GOOGLETRANSLATE($A3500,""en"",""zh-cn"")"),"阿拉奇诺沃")</f>
        <v>阿拉奇诺沃</v>
      </c>
      <c r="H3500" s="9" t="str">
        <f>IFERROR(__xludf.DUMMYFUNCTION("GOOGLETRANSLATE($A3500,""en"",""ja"")"),"アラチノヴォ")</f>
        <v>アラチノヴォ</v>
      </c>
      <c r="I3500" s="9" t="str">
        <f>IFERROR(__xludf.DUMMYFUNCTION("GOOGLETRANSLATE($A3500,""en"",""ko"")"),"아라치노보")</f>
        <v>아라치노보</v>
      </c>
      <c r="J3500" s="9" t="str">
        <f>IFERROR(__xludf.DUMMYFUNCTION("GOOGLETRANSLATE($A3500,""en"",""pt-BR"")"),"Aračinovo")</f>
        <v>Aračinovo</v>
      </c>
    </row>
    <row r="3501">
      <c r="A3501" s="9" t="str">
        <f>IFERROR(__xludf.DUMMYFUNCTION("""COMPUTED_VALUE"""),"Lozovo")</f>
        <v>Lozovo</v>
      </c>
      <c r="B3501" s="9" t="str">
        <f>IFERROR(__xludf.DUMMYFUNCTION("""COMPUTED_VALUE"""),"mk-49")</f>
        <v>mk-49</v>
      </c>
      <c r="C3501" s="9" t="str">
        <f>IFERROR(__xludf.DUMMYFUNCTION("GOOGLETRANSLATE($A3501,""en"",""de"")"),"Losowo")</f>
        <v>Losowo</v>
      </c>
      <c r="D3501" s="9" t="str">
        <f>IFERROR(__xludf.DUMMYFUNCTION("GOOGLETRANSLATE($A3501,""en"",""fr"")"),"Lozovo")</f>
        <v>Lozovo</v>
      </c>
      <c r="E3501" s="9" t="str">
        <f>IFERROR(__xludf.DUMMYFUNCTION("GOOGLETRANSLATE($A3501,""en"",""es"")"),"Lozovo")</f>
        <v>Lozovo</v>
      </c>
      <c r="F3501" s="9" t="str">
        <f>IFERROR(__xludf.DUMMYFUNCTION("GOOGLETRANSLATE($A3501,""en"",""it"")"),"Lozovo")</f>
        <v>Lozovo</v>
      </c>
      <c r="G3501" s="9" t="str">
        <f>IFERROR(__xludf.DUMMYFUNCTION("GOOGLETRANSLATE($A3501,""en"",""zh-cn"")"),"洛佐沃")</f>
        <v>洛佐沃</v>
      </c>
      <c r="H3501" s="9" t="str">
        <f>IFERROR(__xludf.DUMMYFUNCTION("GOOGLETRANSLATE($A3501,""en"",""ja"")"),"ロゾボ")</f>
        <v>ロゾボ</v>
      </c>
      <c r="I3501" s="9" t="str">
        <f>IFERROR(__xludf.DUMMYFUNCTION("GOOGLETRANSLATE($A3501,""en"",""ko"")"),"로조보")</f>
        <v>로조보</v>
      </c>
      <c r="J3501" s="9" t="str">
        <f>IFERROR(__xludf.DUMMYFUNCTION("GOOGLETRANSLATE($A3501,""en"",""pt-BR"")"),"Lozovo")</f>
        <v>Lozovo</v>
      </c>
    </row>
    <row r="3502">
      <c r="A3502" s="9" t="str">
        <f>IFERROR(__xludf.DUMMYFUNCTION("""COMPUTED_VALUE"""),"Karpoš")</f>
        <v>Karpoš</v>
      </c>
      <c r="B3502" s="9" t="str">
        <f>IFERROR(__xludf.DUMMYFUNCTION("""COMPUTED_VALUE"""),"mk-38")</f>
        <v>mk-38</v>
      </c>
      <c r="C3502" s="9" t="str">
        <f>IFERROR(__xludf.DUMMYFUNCTION("GOOGLETRANSLATE($A3502,""en"",""de"")"),"Karpoš")</f>
        <v>Karpoš</v>
      </c>
      <c r="D3502" s="9" t="str">
        <f>IFERROR(__xludf.DUMMYFUNCTION("GOOGLETRANSLATE($A3502,""en"",""fr"")"),"Karpos")</f>
        <v>Karpos</v>
      </c>
      <c r="E3502" s="9" t="str">
        <f>IFERROR(__xludf.DUMMYFUNCTION("GOOGLETRANSLATE($A3502,""en"",""es"")"),"Karpos")</f>
        <v>Karpos</v>
      </c>
      <c r="F3502" s="9" t="str">
        <f>IFERROR(__xludf.DUMMYFUNCTION("GOOGLETRANSLATE($A3502,""en"",""it"")"),"Karpoš")</f>
        <v>Karpoš</v>
      </c>
      <c r="G3502" s="9" t="str">
        <f>IFERROR(__xludf.DUMMYFUNCTION("GOOGLETRANSLATE($A3502,""en"",""zh-cn"")"),"卡尔波什")</f>
        <v>卡尔波什</v>
      </c>
      <c r="H3502" s="9" t="str">
        <f>IFERROR(__xludf.DUMMYFUNCTION("GOOGLETRANSLATE($A3502,""en"",""ja"")"),"カルポシュ")</f>
        <v>カルポシュ</v>
      </c>
      <c r="I3502" s="9" t="str">
        <f>IFERROR(__xludf.DUMMYFUNCTION("GOOGLETRANSLATE($A3502,""en"",""ko"")"),"카르포스")</f>
        <v>카르포스</v>
      </c>
      <c r="J3502" s="9" t="str">
        <f>IFERROR(__xludf.DUMMYFUNCTION("GOOGLETRANSLATE($A3502,""en"",""pt-BR"")"),"Karpoš")</f>
        <v>Karpoš</v>
      </c>
    </row>
    <row r="3503">
      <c r="A3503" s="9" t="str">
        <f>IFERROR(__xludf.DUMMYFUNCTION("""COMPUTED_VALUE"""),"Strumica")</f>
        <v>Strumica</v>
      </c>
      <c r="B3503" s="9" t="str">
        <f>IFERROR(__xludf.DUMMYFUNCTION("""COMPUTED_VALUE"""),"mk-73")</f>
        <v>mk-73</v>
      </c>
      <c r="C3503" s="9" t="str">
        <f>IFERROR(__xludf.DUMMYFUNCTION("GOOGLETRANSLATE($A3503,""en"",""de"")"),"Strumica")</f>
        <v>Strumica</v>
      </c>
      <c r="D3503" s="9" t="str">
        <f>IFERROR(__xludf.DUMMYFUNCTION("GOOGLETRANSLATE($A3503,""en"",""fr"")"),"Stroumitsa")</f>
        <v>Stroumitsa</v>
      </c>
      <c r="E3503" s="9" t="str">
        <f>IFERROR(__xludf.DUMMYFUNCTION("GOOGLETRANSLATE($A3503,""en"",""es"")"),"strumica")</f>
        <v>strumica</v>
      </c>
      <c r="F3503" s="9" t="str">
        <f>IFERROR(__xludf.DUMMYFUNCTION("GOOGLETRANSLATE($A3503,""en"",""it"")"),"Strumica")</f>
        <v>Strumica</v>
      </c>
      <c r="G3503" s="9" t="str">
        <f>IFERROR(__xludf.DUMMYFUNCTION("GOOGLETRANSLATE($A3503,""en"",""zh-cn"")"),"斯特鲁米察")</f>
        <v>斯特鲁米察</v>
      </c>
      <c r="H3503" s="9" t="str">
        <f>IFERROR(__xludf.DUMMYFUNCTION("GOOGLETRANSLATE($A3503,""en"",""ja"")"),"ストラミカ")</f>
        <v>ストラミカ</v>
      </c>
      <c r="I3503" s="9" t="str">
        <f>IFERROR(__xludf.DUMMYFUNCTION("GOOGLETRANSLATE($A3503,""en"",""ko"")"),"스트루미카")</f>
        <v>스트루미카</v>
      </c>
      <c r="J3503" s="9" t="str">
        <f>IFERROR(__xludf.DUMMYFUNCTION("GOOGLETRANSLATE($A3503,""en"",""pt-BR"")"),"Estrúmica")</f>
        <v>Estrúmica</v>
      </c>
    </row>
    <row r="3504">
      <c r="A3504" s="9" t="str">
        <f>IFERROR(__xludf.DUMMYFUNCTION("""COMPUTED_VALUE"""),"Probištip")</f>
        <v>Probištip</v>
      </c>
      <c r="B3504" s="9" t="str">
        <f>IFERROR(__xludf.DUMMYFUNCTION("""COMPUTED_VALUE"""),"mk-63")</f>
        <v>mk-63</v>
      </c>
      <c r="C3504" s="9" t="str">
        <f>IFERROR(__xludf.DUMMYFUNCTION("GOOGLETRANSLATE($A3504,""en"",""de"")"),"Probištip")</f>
        <v>Probištip</v>
      </c>
      <c r="D3504" s="9" t="str">
        <f>IFERROR(__xludf.DUMMYFUNCTION("GOOGLETRANSLATE($A3504,""en"",""fr"")"),"Probichtip")</f>
        <v>Probichtip</v>
      </c>
      <c r="E3504" s="9" t="str">
        <f>IFERROR(__xludf.DUMMYFUNCTION("GOOGLETRANSLATE($A3504,""en"",""es"")"),"Probištip")</f>
        <v>Probištip</v>
      </c>
      <c r="F3504" s="9" t="str">
        <f>IFERROR(__xludf.DUMMYFUNCTION("GOOGLETRANSLATE($A3504,""en"",""it"")"),"Probištip")</f>
        <v>Probištip</v>
      </c>
      <c r="G3504" s="9" t="str">
        <f>IFERROR(__xludf.DUMMYFUNCTION("GOOGLETRANSLATE($A3504,""en"",""zh-cn"")"),"普罗比什蒂普")</f>
        <v>普罗比什蒂普</v>
      </c>
      <c r="H3504" s="9" t="str">
        <f>IFERROR(__xludf.DUMMYFUNCTION("GOOGLETRANSLATE($A3504,""en"",""ja"")"),"プロビシュティプ")</f>
        <v>プロビシュティプ</v>
      </c>
      <c r="I3504" s="9" t="str">
        <f>IFERROR(__xludf.DUMMYFUNCTION("GOOGLETRANSLATE($A3504,""en"",""ko"")"),"프로비스팁")</f>
        <v>프로비스팁</v>
      </c>
      <c r="J3504" s="9" t="str">
        <f>IFERROR(__xludf.DUMMYFUNCTION("GOOGLETRANSLATE($A3504,""en"",""pt-BR"")"),"Probištip")</f>
        <v>Probištip</v>
      </c>
    </row>
    <row r="3505">
      <c r="A3505" s="9" t="str">
        <f>IFERROR(__xludf.DUMMYFUNCTION("""COMPUTED_VALUE"""),"Ilinden")</f>
        <v>Ilinden</v>
      </c>
      <c r="B3505" s="9" t="str">
        <f>IFERROR(__xludf.DUMMYFUNCTION("""COMPUTED_VALUE"""),"mk-34")</f>
        <v>mk-34</v>
      </c>
      <c r="C3505" s="9" t="str">
        <f>IFERROR(__xludf.DUMMYFUNCTION("GOOGLETRANSLATE($A3505,""en"",""de"")"),"Ilinden")</f>
        <v>Ilinden</v>
      </c>
      <c r="D3505" s="9" t="str">
        <f>IFERROR(__xludf.DUMMYFUNCTION("GOOGLETRANSLATE($A3505,""en"",""fr"")"),"Ilinden")</f>
        <v>Ilinden</v>
      </c>
      <c r="E3505" s="9" t="str">
        <f>IFERROR(__xludf.DUMMYFUNCTION("GOOGLETRANSLATE($A3505,""en"",""es"")"),"Ilinden")</f>
        <v>Ilinden</v>
      </c>
      <c r="F3505" s="9" t="str">
        <f>IFERROR(__xludf.DUMMYFUNCTION("GOOGLETRANSLATE($A3505,""en"",""it"")"),"Ilinden")</f>
        <v>Ilinden</v>
      </c>
      <c r="G3505" s="9" t="str">
        <f>IFERROR(__xludf.DUMMYFUNCTION("GOOGLETRANSLATE($A3505,""en"",""zh-cn"")"),"伊林登")</f>
        <v>伊林登</v>
      </c>
      <c r="H3505" s="9" t="str">
        <f>IFERROR(__xludf.DUMMYFUNCTION("GOOGLETRANSLATE($A3505,""en"",""ja"")"),"イリンデン")</f>
        <v>イリンデン</v>
      </c>
      <c r="I3505" s="9" t="str">
        <f>IFERROR(__xludf.DUMMYFUNCTION("GOOGLETRANSLATE($A3505,""en"",""ko"")"),"일린덴")</f>
        <v>일린덴</v>
      </c>
      <c r="J3505" s="9" t="str">
        <f>IFERROR(__xludf.DUMMYFUNCTION("GOOGLETRANSLATE($A3505,""en"",""pt-BR"")"),"Ilinden")</f>
        <v>Ilinden</v>
      </c>
    </row>
    <row r="3506">
      <c r="A3506" s="9" t="str">
        <f>IFERROR(__xludf.DUMMYFUNCTION("""COMPUTED_VALUE"""),"Studeničani")</f>
        <v>Studeničani</v>
      </c>
      <c r="B3506" s="9" t="str">
        <f>IFERROR(__xludf.DUMMYFUNCTION("""COMPUTED_VALUE"""),"mk-74")</f>
        <v>mk-74</v>
      </c>
      <c r="C3506" s="9" t="str">
        <f>IFERROR(__xludf.DUMMYFUNCTION("GOOGLETRANSLATE($A3506,""en"",""de"")"),"Studeničani")</f>
        <v>Studeničani</v>
      </c>
      <c r="D3506" s="9" t="str">
        <f>IFERROR(__xludf.DUMMYFUNCTION("GOOGLETRANSLATE($A3506,""en"",""fr"")"),"Studenitchani")</f>
        <v>Studenitchani</v>
      </c>
      <c r="E3506" s="9" t="str">
        <f>IFERROR(__xludf.DUMMYFUNCTION("GOOGLETRANSLATE($A3506,""en"",""es"")"),"Studeničani")</f>
        <v>Studeničani</v>
      </c>
      <c r="F3506" s="9" t="str">
        <f>IFERROR(__xludf.DUMMYFUNCTION("GOOGLETRANSLATE($A3506,""en"",""it"")"),"Studeničani")</f>
        <v>Studeničani</v>
      </c>
      <c r="G3506" s="9" t="str">
        <f>IFERROR(__xludf.DUMMYFUNCTION("GOOGLETRANSLATE($A3506,""en"",""zh-cn"")"),"斯图德尼卡尼")</f>
        <v>斯图德尼卡尼</v>
      </c>
      <c r="H3506" s="9" t="str">
        <f>IFERROR(__xludf.DUMMYFUNCTION("GOOGLETRANSLATE($A3506,""en"",""ja"")"),"スデニチャニ")</f>
        <v>スデニチャニ</v>
      </c>
      <c r="I3506" s="9" t="str">
        <f>IFERROR(__xludf.DUMMYFUNCTION("GOOGLETRANSLATE($A3506,""en"",""ko"")"),"스투데니차니")</f>
        <v>스투데니차니</v>
      </c>
      <c r="J3506" s="9" t="str">
        <f>IFERROR(__xludf.DUMMYFUNCTION("GOOGLETRANSLATE($A3506,""en"",""pt-BR"")"),"Studenicani")</f>
        <v>Studenicani</v>
      </c>
    </row>
    <row r="3507">
      <c r="A3507" s="9" t="str">
        <f>IFERROR(__xludf.DUMMYFUNCTION("""COMPUTED_VALUE"""),"Gjorče Petrov")</f>
        <v>Gjorče Petrov</v>
      </c>
      <c r="B3507" s="9" t="str">
        <f>IFERROR(__xludf.DUMMYFUNCTION("""COMPUTED_VALUE"""),"mk-29")</f>
        <v>mk-29</v>
      </c>
      <c r="C3507" s="9" t="str">
        <f>IFERROR(__xludf.DUMMYFUNCTION("GOOGLETRANSLATE($A3507,""en"",""de"")"),"Gjorče Petrov")</f>
        <v>Gjorče Petrov</v>
      </c>
      <c r="D3507" s="9" t="str">
        <f>IFERROR(__xludf.DUMMYFUNCTION("GOOGLETRANSLATE($A3507,""en"",""fr"")"),"Gjorce Petrov")</f>
        <v>Gjorce Petrov</v>
      </c>
      <c r="E3507" s="9" t="str">
        <f>IFERROR(__xludf.DUMMYFUNCTION("GOOGLETRANSLATE($A3507,""en"",""es"")"),"Gjorče Petrov")</f>
        <v>Gjorče Petrov</v>
      </c>
      <c r="F3507" s="9" t="str">
        <f>IFERROR(__xludf.DUMMYFUNCTION("GOOGLETRANSLATE($A3507,""en"",""it"")"),"Gjorče Petrov")</f>
        <v>Gjorče Petrov</v>
      </c>
      <c r="G3507" s="9" t="str">
        <f>IFERROR(__xludf.DUMMYFUNCTION("GOOGLETRANSLATE($A3507,""en"",""zh-cn"")"),"乔切·彼得罗夫")</f>
        <v>乔切·彼得罗夫</v>
      </c>
      <c r="H3507" s="9" t="str">
        <f>IFERROR(__xludf.DUMMYFUNCTION("GOOGLETRANSLATE($A3507,""en"",""ja"")"),"ジョルチェ・ペトロフ")</f>
        <v>ジョルチェ・ペトロフ</v>
      </c>
      <c r="I3507" s="9" t="str">
        <f>IFERROR(__xludf.DUMMYFUNCTION("GOOGLETRANSLATE($A3507,""en"",""ko"")"),"조르체 페트로프")</f>
        <v>조르체 페트로프</v>
      </c>
      <c r="J3507" s="9" t="str">
        <f>IFERROR(__xludf.DUMMYFUNCTION("GOOGLETRANSLATE($A3507,""en"",""pt-BR"")"),"Gjorče Petrov")</f>
        <v>Gjorče Petrov</v>
      </c>
    </row>
    <row r="3508">
      <c r="A3508" s="9" t="str">
        <f>IFERROR(__xludf.DUMMYFUNCTION("""COMPUTED_VALUE"""),"Hedmark")</f>
        <v>Hedmark</v>
      </c>
      <c r="B3508" s="9" t="str">
        <f>IFERROR(__xludf.DUMMYFUNCTION("""COMPUTED_VALUE"""),"no-04")</f>
        <v>no-04</v>
      </c>
      <c r="C3508" s="9" t="str">
        <f>IFERROR(__xludf.DUMMYFUNCTION("GOOGLETRANSLATE($A3508,""en"",""de"")"),"Hedmark")</f>
        <v>Hedmark</v>
      </c>
      <c r="D3508" s="9" t="str">
        <f>IFERROR(__xludf.DUMMYFUNCTION("GOOGLETRANSLATE($A3508,""en"",""fr"")"),"Hedmark")</f>
        <v>Hedmark</v>
      </c>
      <c r="E3508" s="9" t="str">
        <f>IFERROR(__xludf.DUMMYFUNCTION("GOOGLETRANSLATE($A3508,""en"",""es"")"),"Hedmark")</f>
        <v>Hedmark</v>
      </c>
      <c r="F3508" s="9" t="str">
        <f>IFERROR(__xludf.DUMMYFUNCTION("GOOGLETRANSLATE($A3508,""en"",""it"")"),"Hedmark")</f>
        <v>Hedmark</v>
      </c>
      <c r="G3508" s="9" t="str">
        <f>IFERROR(__xludf.DUMMYFUNCTION("GOOGLETRANSLATE($A3508,""en"",""zh-cn"")"),"海德马克")</f>
        <v>海德马克</v>
      </c>
      <c r="H3508" s="9" t="str">
        <f>IFERROR(__xludf.DUMMYFUNCTION("GOOGLETRANSLATE($A3508,""en"",""ja"")"),"ヘドマルク")</f>
        <v>ヘドマルク</v>
      </c>
      <c r="I3508" s="9" t="str">
        <f>IFERROR(__xludf.DUMMYFUNCTION("GOOGLETRANSLATE($A3508,""en"",""ko"")"),"헤드마크")</f>
        <v>헤드마크</v>
      </c>
      <c r="J3508" s="9" t="str">
        <f>IFERROR(__xludf.DUMMYFUNCTION("GOOGLETRANSLATE($A3508,""en"",""pt-BR"")"),"marca de marca")</f>
        <v>marca de marca</v>
      </c>
    </row>
    <row r="3509">
      <c r="A3509" s="9" t="str">
        <f>IFERROR(__xludf.DUMMYFUNCTION("""COMPUTED_VALUE"""),"Hordaland")</f>
        <v>Hordaland</v>
      </c>
      <c r="B3509" s="9" t="str">
        <f>IFERROR(__xludf.DUMMYFUNCTION("""COMPUTED_VALUE"""),"no-12")</f>
        <v>no-12</v>
      </c>
      <c r="C3509" s="9" t="str">
        <f>IFERROR(__xludf.DUMMYFUNCTION("GOOGLETRANSLATE($A3509,""en"",""de"")"),"Hordaland")</f>
        <v>Hordaland</v>
      </c>
      <c r="D3509" s="9" t="str">
        <f>IFERROR(__xludf.DUMMYFUNCTION("GOOGLETRANSLATE($A3509,""en"",""fr"")"),"Hordaland")</f>
        <v>Hordaland</v>
      </c>
      <c r="E3509" s="9" t="str">
        <f>IFERROR(__xludf.DUMMYFUNCTION("GOOGLETRANSLATE($A3509,""en"",""es"")"),"Hordaland")</f>
        <v>Hordaland</v>
      </c>
      <c r="F3509" s="9" t="str">
        <f>IFERROR(__xludf.DUMMYFUNCTION("GOOGLETRANSLATE($A3509,""en"",""it"")"),"Hordaland")</f>
        <v>Hordaland</v>
      </c>
      <c r="G3509" s="9" t="str">
        <f>IFERROR(__xludf.DUMMYFUNCTION("GOOGLETRANSLATE($A3509,""en"",""zh-cn"")"),"霍达兰")</f>
        <v>霍达兰</v>
      </c>
      <c r="H3509" s="9" t="str">
        <f>IFERROR(__xludf.DUMMYFUNCTION("GOOGLETRANSLATE($A3509,""en"",""ja"")"),"ホルダラン")</f>
        <v>ホルダラン</v>
      </c>
      <c r="I3509" s="9" t="str">
        <f>IFERROR(__xludf.DUMMYFUNCTION("GOOGLETRANSLATE($A3509,""en"",""ko"")"),"호르다랜드")</f>
        <v>호르다랜드</v>
      </c>
      <c r="J3509" s="9" t="str">
        <f>IFERROR(__xludf.DUMMYFUNCTION("GOOGLETRANSLATE($A3509,""en"",""pt-BR"")"),"Hordalândia")</f>
        <v>Hordalândia</v>
      </c>
    </row>
    <row r="3510">
      <c r="A3510" s="9" t="str">
        <f>IFERROR(__xludf.DUMMYFUNCTION("""COMPUTED_VALUE"""),"Møre og Romsdal")</f>
        <v>Møre og Romsdal</v>
      </c>
      <c r="B3510" s="9" t="str">
        <f>IFERROR(__xludf.DUMMYFUNCTION("""COMPUTED_VALUE"""),"no-15")</f>
        <v>no-15</v>
      </c>
      <c r="C3510" s="9" t="str">
        <f>IFERROR(__xludf.DUMMYFUNCTION("GOOGLETRANSLATE($A3510,""en"",""de"")"),"Mehr und Romsdal")</f>
        <v>Mehr und Romsdal</v>
      </c>
      <c r="D3510" s="9" t="str">
        <f>IFERROR(__xludf.DUMMYFUNCTION("GOOGLETRANSLATE($A3510,""en"",""fr"")"),"Møre et Romsdal")</f>
        <v>Møre et Romsdal</v>
      </c>
      <c r="E3510" s="9" t="str">
        <f>IFERROR(__xludf.DUMMYFUNCTION("GOOGLETRANSLATE($A3510,""en"",""es"")"),"Más y Romsdal")</f>
        <v>Más y Romsdal</v>
      </c>
      <c r="F3510" s="9" t="str">
        <f>IFERROR(__xludf.DUMMYFUNCTION("GOOGLETRANSLATE($A3510,""en"",""it"")"),"Møre og Romsdal")</f>
        <v>Møre og Romsdal</v>
      </c>
      <c r="G3510" s="9" t="str">
        <f>IFERROR(__xludf.DUMMYFUNCTION("GOOGLETRANSLATE($A3510,""en"",""zh-cn"")"),"莫勒和鲁姆斯达尔")</f>
        <v>莫勒和鲁姆斯达尔</v>
      </c>
      <c r="H3510" s="9" t="str">
        <f>IFERROR(__xludf.DUMMYFUNCTION("GOOGLETRANSLATE($A3510,""en"",""ja"")"),"ロムスダル以上")</f>
        <v>ロムスダル以上</v>
      </c>
      <c r="I3510" s="9" t="str">
        <f>IFERROR(__xludf.DUMMYFUNCTION("GOOGLETRANSLATE($A3510,""en"",""ko"")"),"뫼레 오그 롬스달")</f>
        <v>뫼레 오그 롬스달</v>
      </c>
      <c r="J3510" s="9" t="str">
        <f>IFERROR(__xludf.DUMMYFUNCTION("GOOGLETRANSLATE($A3510,""en"",""pt-BR"")"),"Mais e Romsdal")</f>
        <v>Mais e Romsdal</v>
      </c>
    </row>
    <row r="3511">
      <c r="A3511" s="9" t="str">
        <f>IFERROR(__xludf.DUMMYFUNCTION("""COMPUTED_VALUE"""),"Nordland")</f>
        <v>Nordland</v>
      </c>
      <c r="B3511" s="9" t="str">
        <f>IFERROR(__xludf.DUMMYFUNCTION("""COMPUTED_VALUE"""),"no-18")</f>
        <v>no-18</v>
      </c>
      <c r="C3511" s="9" t="str">
        <f>IFERROR(__xludf.DUMMYFUNCTION("GOOGLETRANSLATE($A3511,""en"",""de"")"),"Nordland")</f>
        <v>Nordland</v>
      </c>
      <c r="D3511" s="9" t="str">
        <f>IFERROR(__xludf.DUMMYFUNCTION("GOOGLETRANSLATE($A3511,""en"",""fr"")"),"Nordland")</f>
        <v>Nordland</v>
      </c>
      <c r="E3511" s="9" t="str">
        <f>IFERROR(__xludf.DUMMYFUNCTION("GOOGLETRANSLATE($A3511,""en"",""es"")"),"Nordlandia")</f>
        <v>Nordlandia</v>
      </c>
      <c r="F3511" s="9" t="str">
        <f>IFERROR(__xludf.DUMMYFUNCTION("GOOGLETRANSLATE($A3511,""en"",""it"")"),"Nordland")</f>
        <v>Nordland</v>
      </c>
      <c r="G3511" s="9" t="str">
        <f>IFERROR(__xludf.DUMMYFUNCTION("GOOGLETRANSLATE($A3511,""en"",""zh-cn"")"),"诺德兰")</f>
        <v>诺德兰</v>
      </c>
      <c r="H3511" s="9" t="str">
        <f>IFERROR(__xludf.DUMMYFUNCTION("GOOGLETRANSLATE($A3511,""en"",""ja"")"),"ヌールラン")</f>
        <v>ヌールラン</v>
      </c>
      <c r="I3511" s="9" t="str">
        <f>IFERROR(__xludf.DUMMYFUNCTION("GOOGLETRANSLATE($A3511,""en"",""ko"")"),"노르들란트")</f>
        <v>노르들란트</v>
      </c>
      <c r="J3511" s="9" t="str">
        <f>IFERROR(__xludf.DUMMYFUNCTION("GOOGLETRANSLATE($A3511,""en"",""pt-BR"")"),"Nordlândia")</f>
        <v>Nordlândia</v>
      </c>
    </row>
    <row r="3512">
      <c r="A3512" s="9" t="str">
        <f>IFERROR(__xludf.DUMMYFUNCTION("""COMPUTED_VALUE"""),"Akershus")</f>
        <v>Akershus</v>
      </c>
      <c r="B3512" s="9" t="str">
        <f>IFERROR(__xludf.DUMMYFUNCTION("""COMPUTED_VALUE"""),"no-02")</f>
        <v>no-02</v>
      </c>
      <c r="C3512" s="9" t="str">
        <f>IFERROR(__xludf.DUMMYFUNCTION("GOOGLETRANSLATE($A3512,""en"",""de"")"),"Akershus")</f>
        <v>Akershus</v>
      </c>
      <c r="D3512" s="9" t="str">
        <f>IFERROR(__xludf.DUMMYFUNCTION("GOOGLETRANSLATE($A3512,""en"",""fr"")"),"Akershus")</f>
        <v>Akershus</v>
      </c>
      <c r="E3512" s="9" t="str">
        <f>IFERROR(__xludf.DUMMYFUNCTION("GOOGLETRANSLATE($A3512,""en"",""es"")"),"Åkershus")</f>
        <v>Åkershus</v>
      </c>
      <c r="F3512" s="9" t="str">
        <f>IFERROR(__xludf.DUMMYFUNCTION("GOOGLETRANSLATE($A3512,""en"",""it"")"),"Akershus")</f>
        <v>Akershus</v>
      </c>
      <c r="G3512" s="9" t="str">
        <f>IFERROR(__xludf.DUMMYFUNCTION("GOOGLETRANSLATE($A3512,""en"",""zh-cn"")"),"阿克斯胡斯")</f>
        <v>阿克斯胡斯</v>
      </c>
      <c r="H3512" s="9" t="str">
        <f>IFERROR(__xludf.DUMMYFUNCTION("GOOGLETRANSLATE($A3512,""en"",""ja"")"),"アーケシュフース")</f>
        <v>アーケシュフース</v>
      </c>
      <c r="I3512" s="9" t="str">
        <f>IFERROR(__xludf.DUMMYFUNCTION("GOOGLETRANSLATE($A3512,""en"",""ko"")"),"아케르스후스")</f>
        <v>아케르스후스</v>
      </c>
      <c r="J3512" s="9" t="str">
        <f>IFERROR(__xludf.DUMMYFUNCTION("GOOGLETRANSLATE($A3512,""en"",""pt-BR"")"),"Akershus")</f>
        <v>Akershus</v>
      </c>
    </row>
    <row r="3513">
      <c r="A3513" s="9" t="str">
        <f>IFERROR(__xludf.DUMMYFUNCTION("""COMPUTED_VALUE"""),"Aust-Agder")</f>
        <v>Aust-Agder</v>
      </c>
      <c r="B3513" s="9" t="str">
        <f>IFERROR(__xludf.DUMMYFUNCTION("""COMPUTED_VALUE"""),"no-09")</f>
        <v>no-09</v>
      </c>
      <c r="C3513" s="9" t="str">
        <f>IFERROR(__xludf.DUMMYFUNCTION("GOOGLETRANSLATE($A3513,""en"",""de"")"),"Aust-Agder")</f>
        <v>Aust-Agder</v>
      </c>
      <c r="D3513" s="9" t="str">
        <f>IFERROR(__xludf.DUMMYFUNCTION("GOOGLETRANSLATE($A3513,""en"",""fr"")"),"Aust-Agder")</f>
        <v>Aust-Agder</v>
      </c>
      <c r="E3513" s="9" t="str">
        <f>IFERROR(__xludf.DUMMYFUNCTION("GOOGLETRANSLATE($A3513,""en"",""es"")"),"Aust-Agder")</f>
        <v>Aust-Agder</v>
      </c>
      <c r="F3513" s="9" t="str">
        <f>IFERROR(__xludf.DUMMYFUNCTION("GOOGLETRANSLATE($A3513,""en"",""it"")"),"Aust-Agder")</f>
        <v>Aust-Agder</v>
      </c>
      <c r="G3513" s="9" t="str">
        <f>IFERROR(__xludf.DUMMYFUNCTION("GOOGLETRANSLATE($A3513,""en"",""zh-cn"")"),"奥斯特-阿格德尔")</f>
        <v>奥斯特-阿格德尔</v>
      </c>
      <c r="H3513" s="9" t="str">
        <f>IFERROR(__xludf.DUMMYFUNCTION("GOOGLETRANSLATE($A3513,""en"",""ja"")"),"アウスト・アグデル")</f>
        <v>アウスト・アグデル</v>
      </c>
      <c r="I3513" s="9" t="str">
        <f>IFERROR(__xludf.DUMMYFUNCTION("GOOGLETRANSLATE($A3513,""en"",""ko"")"),"아우스트-아그데르")</f>
        <v>아우스트-아그데르</v>
      </c>
      <c r="J3513" s="9" t="str">
        <f>IFERROR(__xludf.DUMMYFUNCTION("GOOGLETRANSLATE($A3513,""en"",""pt-BR"")"),"Áustria-Agder")</f>
        <v>Áustria-Agder</v>
      </c>
    </row>
    <row r="3514">
      <c r="A3514" s="9" t="str">
        <f>IFERROR(__xludf.DUMMYFUNCTION("""COMPUTED_VALUE"""),"Buskerud")</f>
        <v>Buskerud</v>
      </c>
      <c r="B3514" s="9" t="str">
        <f>IFERROR(__xludf.DUMMYFUNCTION("""COMPUTED_VALUE"""),"no-06")</f>
        <v>no-06</v>
      </c>
      <c r="C3514" s="9" t="str">
        <f>IFERROR(__xludf.DUMMYFUNCTION("GOOGLETRANSLATE($A3514,""en"",""de"")"),"Buskerud")</f>
        <v>Buskerud</v>
      </c>
      <c r="D3514" s="9" t="str">
        <f>IFERROR(__xludf.DUMMYFUNCTION("GOOGLETRANSLATE($A3514,""en"",""fr"")"),"Buskerud")</f>
        <v>Buskerud</v>
      </c>
      <c r="E3514" s="9" t="str">
        <f>IFERROR(__xludf.DUMMYFUNCTION("GOOGLETRANSLATE($A3514,""en"",""es"")"),"músico callejero")</f>
        <v>músico callejero</v>
      </c>
      <c r="F3514" s="9" t="str">
        <f>IFERROR(__xludf.DUMMYFUNCTION("GOOGLETRANSLATE($A3514,""en"",""it"")"),"Buskerud")</f>
        <v>Buskerud</v>
      </c>
      <c r="G3514" s="9" t="str">
        <f>IFERROR(__xludf.DUMMYFUNCTION("GOOGLETRANSLATE($A3514,""en"",""zh-cn"")"),"布斯克鲁德")</f>
        <v>布斯克鲁德</v>
      </c>
      <c r="H3514" s="9" t="str">
        <f>IFERROR(__xludf.DUMMYFUNCTION("GOOGLETRANSLATE($A3514,""en"",""ja"")"),"バスケルド")</f>
        <v>バスケルド</v>
      </c>
      <c r="I3514" s="9" t="str">
        <f>IFERROR(__xludf.DUMMYFUNCTION("GOOGLETRANSLATE($A3514,""en"",""ko"")"),"부스케루드")</f>
        <v>부스케루드</v>
      </c>
      <c r="J3514" s="9" t="str">
        <f>IFERROR(__xludf.DUMMYFUNCTION("GOOGLETRANSLATE($A3514,""en"",""pt-BR"")"),"Buskerud")</f>
        <v>Buskerud</v>
      </c>
    </row>
    <row r="3515">
      <c r="A3515" s="9" t="str">
        <f>IFERROR(__xludf.DUMMYFUNCTION("""COMPUTED_VALUE"""),"Finnmark")</f>
        <v>Finnmark</v>
      </c>
      <c r="B3515" s="9" t="str">
        <f>IFERROR(__xludf.DUMMYFUNCTION("""COMPUTED_VALUE"""),"no-20")</f>
        <v>no-20</v>
      </c>
      <c r="C3515" s="9" t="str">
        <f>IFERROR(__xludf.DUMMYFUNCTION("GOOGLETRANSLATE($A3515,""en"",""de"")"),"Finnmark")</f>
        <v>Finnmark</v>
      </c>
      <c r="D3515" s="9" t="str">
        <f>IFERROR(__xludf.DUMMYFUNCTION("GOOGLETRANSLATE($A3515,""en"",""fr"")"),"Mark finlandais")</f>
        <v>Mark finlandais</v>
      </c>
      <c r="E3515" s="9" t="str">
        <f>IFERROR(__xludf.DUMMYFUNCTION("GOOGLETRANSLATE($A3515,""en"",""es"")"),"Finnmark")</f>
        <v>Finnmark</v>
      </c>
      <c r="F3515" s="9" t="str">
        <f>IFERROR(__xludf.DUMMYFUNCTION("GOOGLETRANSLATE($A3515,""en"",""it"")"),"Finlandia")</f>
        <v>Finlandia</v>
      </c>
      <c r="G3515" s="9" t="str">
        <f>IFERROR(__xludf.DUMMYFUNCTION("GOOGLETRANSLATE($A3515,""en"",""zh-cn"")"),"芬马克")</f>
        <v>芬马克</v>
      </c>
      <c r="H3515" s="9" t="str">
        <f>IFERROR(__xludf.DUMMYFUNCTION("GOOGLETRANSLATE($A3515,""en"",""ja"")"),"フィンマルク")</f>
        <v>フィンマルク</v>
      </c>
      <c r="I3515" s="9" t="str">
        <f>IFERROR(__xludf.DUMMYFUNCTION("GOOGLETRANSLATE($A3515,""en"",""ko"")"),"핀마르크")</f>
        <v>핀마르크</v>
      </c>
      <c r="J3515" s="9" t="str">
        <f>IFERROR(__xludf.DUMMYFUNCTION("GOOGLETRANSLATE($A3515,""en"",""pt-BR"")"),"Finnmark")</f>
        <v>Finnmark</v>
      </c>
    </row>
    <row r="3516">
      <c r="A3516" s="9" t="str">
        <f>IFERROR(__xludf.DUMMYFUNCTION("""COMPUTED_VALUE"""),"Svalbard")</f>
        <v>Svalbard</v>
      </c>
      <c r="B3516" s="9" t="str">
        <f>IFERROR(__xludf.DUMMYFUNCTION("""COMPUTED_VALUE"""),"no-21")</f>
        <v>no-21</v>
      </c>
      <c r="C3516" s="9" t="str">
        <f>IFERROR(__xludf.DUMMYFUNCTION("GOOGLETRANSLATE($A3516,""en"",""de"")"),"Spitzbergen")</f>
        <v>Spitzbergen</v>
      </c>
      <c r="D3516" s="9" t="str">
        <f>IFERROR(__xludf.DUMMYFUNCTION("GOOGLETRANSLATE($A3516,""en"",""fr"")"),"Svalbard")</f>
        <v>Svalbard</v>
      </c>
      <c r="E3516" s="9" t="str">
        <f>IFERROR(__xludf.DUMMYFUNCTION("GOOGLETRANSLATE($A3516,""en"",""es"")"),"Islas Svalbard")</f>
        <v>Islas Svalbard</v>
      </c>
      <c r="F3516" s="9" t="str">
        <f>IFERROR(__xludf.DUMMYFUNCTION("GOOGLETRANSLATE($A3516,""en"",""it"")"),"Svalbard")</f>
        <v>Svalbard</v>
      </c>
      <c r="G3516" s="9" t="str">
        <f>IFERROR(__xludf.DUMMYFUNCTION("GOOGLETRANSLATE($A3516,""en"",""zh-cn"")"),"斯瓦尔巴特群岛")</f>
        <v>斯瓦尔巴特群岛</v>
      </c>
      <c r="H3516" s="9" t="str">
        <f>IFERROR(__xludf.DUMMYFUNCTION("GOOGLETRANSLATE($A3516,""en"",""ja"")"),"スバールバル諸島")</f>
        <v>スバールバル諸島</v>
      </c>
      <c r="I3516" s="9" t="str">
        <f>IFERROR(__xludf.DUMMYFUNCTION("GOOGLETRANSLATE($A3516,""en"",""ko"")"),"스발바르")</f>
        <v>스발바르</v>
      </c>
      <c r="J3516" s="9" t="str">
        <f>IFERROR(__xludf.DUMMYFUNCTION("GOOGLETRANSLATE($A3516,""en"",""pt-BR"")"),"Svalbarda")</f>
        <v>Svalbarda</v>
      </c>
    </row>
    <row r="3517">
      <c r="A3517" s="9" t="str">
        <f>IFERROR(__xludf.DUMMYFUNCTION("""COMPUTED_VALUE"""),"Vest-Agder")</f>
        <v>Vest-Agder</v>
      </c>
      <c r="B3517" s="9" t="str">
        <f>IFERROR(__xludf.DUMMYFUNCTION("""COMPUTED_VALUE"""),"no-10")</f>
        <v>no-10</v>
      </c>
      <c r="C3517" s="9" t="str">
        <f>IFERROR(__xludf.DUMMYFUNCTION("GOOGLETRANSLATE($A3517,""en"",""de"")"),"Vest-Agder")</f>
        <v>Vest-Agder</v>
      </c>
      <c r="D3517" s="9" t="str">
        <f>IFERROR(__xludf.DUMMYFUNCTION("GOOGLETRANSLATE($A3517,""en"",""fr"")"),"Gilet-Agder")</f>
        <v>Gilet-Agder</v>
      </c>
      <c r="E3517" s="9" t="str">
        <f>IFERROR(__xludf.DUMMYFUNCTION("GOOGLETRANSLATE($A3517,""en"",""es"")"),"Chaleco-Agder")</f>
        <v>Chaleco-Agder</v>
      </c>
      <c r="F3517" s="9" t="str">
        <f>IFERROR(__xludf.DUMMYFUNCTION("GOOGLETRANSLATE($A3517,""en"",""it"")"),"Vest-Agder")</f>
        <v>Vest-Agder</v>
      </c>
      <c r="G3517" s="9" t="str">
        <f>IFERROR(__xludf.DUMMYFUNCTION("GOOGLETRANSLATE($A3517,""en"",""zh-cn"")"),"西阿格德尔")</f>
        <v>西阿格德尔</v>
      </c>
      <c r="H3517" s="9" t="str">
        <f>IFERROR(__xludf.DUMMYFUNCTION("GOOGLETRANSLATE($A3517,""en"",""ja"")"),"ベスト・アグデル")</f>
        <v>ベスト・アグデル</v>
      </c>
      <c r="I3517" s="9" t="str">
        <f>IFERROR(__xludf.DUMMYFUNCTION("GOOGLETRANSLATE($A3517,""en"",""ko"")"),"베스트아그데르")</f>
        <v>베스트아그데르</v>
      </c>
      <c r="J3517" s="9" t="str">
        <f>IFERROR(__xludf.DUMMYFUNCTION("GOOGLETRANSLATE($A3517,""en"",""pt-BR"")"),"Colete-Agder")</f>
        <v>Colete-Agder</v>
      </c>
    </row>
    <row r="3518">
      <c r="A3518" s="9" t="str">
        <f>IFERROR(__xludf.DUMMYFUNCTION("""COMPUTED_VALUE"""),"Vestfold")</f>
        <v>Vestfold</v>
      </c>
      <c r="B3518" s="9" t="str">
        <f>IFERROR(__xludf.DUMMYFUNCTION("""COMPUTED_VALUE"""),"no-07")</f>
        <v>no-07</v>
      </c>
      <c r="C3518" s="9" t="str">
        <f>IFERROR(__xludf.DUMMYFUNCTION("GOOGLETRANSLATE($A3518,""en"",""de"")"),"Vestfold")</f>
        <v>Vestfold</v>
      </c>
      <c r="D3518" s="9" t="str">
        <f>IFERROR(__xludf.DUMMYFUNCTION("GOOGLETRANSLATE($A3518,""en"",""fr"")"),"Vestfold")</f>
        <v>Vestfold</v>
      </c>
      <c r="E3518" s="9" t="str">
        <f>IFERROR(__xludf.DUMMYFUNCTION("GOOGLETRANSLATE($A3518,""en"",""es"")"),"Vestfold")</f>
        <v>Vestfold</v>
      </c>
      <c r="F3518" s="9" t="str">
        <f>IFERROR(__xludf.DUMMYFUNCTION("GOOGLETRANSLATE($A3518,""en"",""it"")"),"Vestfold")</f>
        <v>Vestfold</v>
      </c>
      <c r="G3518" s="9" t="str">
        <f>IFERROR(__xludf.DUMMYFUNCTION("GOOGLETRANSLATE($A3518,""en"",""zh-cn"")"),"西福尔德")</f>
        <v>西福尔德</v>
      </c>
      <c r="H3518" s="9" t="str">
        <f>IFERROR(__xludf.DUMMYFUNCTION("GOOGLETRANSLATE($A3518,""en"",""ja"")"),"ベストフォールド")</f>
        <v>ベストフォールド</v>
      </c>
      <c r="I3518" s="9" t="str">
        <f>IFERROR(__xludf.DUMMYFUNCTION("GOOGLETRANSLATE($A3518,""en"",""ko"")"),"조끼")</f>
        <v>조끼</v>
      </c>
      <c r="J3518" s="9" t="str">
        <f>IFERROR(__xludf.DUMMYFUNCTION("GOOGLETRANSLATE($A3518,""en"",""pt-BR"")"),"Colete dobrado")</f>
        <v>Colete dobrado</v>
      </c>
    </row>
    <row r="3519">
      <c r="A3519" s="9" t="str">
        <f>IFERROR(__xludf.DUMMYFUNCTION("""COMPUTED_VALUE"""),"Østfold")</f>
        <v>Østfold</v>
      </c>
      <c r="B3519" s="9" t="str">
        <f>IFERROR(__xludf.DUMMYFUNCTION("""COMPUTED_VALUE"""),"no-01")</f>
        <v>no-01</v>
      </c>
      <c r="C3519" s="9" t="str">
        <f>IFERROR(__xludf.DUMMYFUNCTION("GOOGLETRANSLATE($A3519,""en"",""de"")"),"Østfold")</f>
        <v>Østfold</v>
      </c>
      <c r="D3519" s="9" t="str">
        <f>IFERROR(__xludf.DUMMYFUNCTION("GOOGLETRANSLATE($A3519,""en"",""fr"")"),"Østfold")</f>
        <v>Østfold</v>
      </c>
      <c r="E3519" s="9" t="str">
        <f>IFERROR(__xludf.DUMMYFUNCTION("GOOGLETRANSLATE($A3519,""en"",""es"")"),"Østfold")</f>
        <v>Østfold</v>
      </c>
      <c r="F3519" s="9" t="str">
        <f>IFERROR(__xludf.DUMMYFUNCTION("GOOGLETRANSLATE($A3519,""en"",""it"")"),"Østfold")</f>
        <v>Østfold</v>
      </c>
      <c r="G3519" s="9" t="str">
        <f>IFERROR(__xludf.DUMMYFUNCTION("GOOGLETRANSLATE($A3519,""en"",""zh-cn"")"),"奥斯特福尔德")</f>
        <v>奥斯特福尔德</v>
      </c>
      <c r="H3519" s="9" t="str">
        <f>IFERROR(__xludf.DUMMYFUNCTION("GOOGLETRANSLATE($A3519,""en"",""ja"")"),"エストフォールド")</f>
        <v>エストフォールド</v>
      </c>
      <c r="I3519" s="9" t="str">
        <f>IFERROR(__xludf.DUMMYFUNCTION("GOOGLETRANSLATE($A3519,""en"",""ko"")"),"Østfold")</f>
        <v>Østfold</v>
      </c>
      <c r="J3519" s="9" t="str">
        <f>IFERROR(__xludf.DUMMYFUNCTION("GOOGLETRANSLATE($A3519,""en"",""pt-BR"")"),"Østfold")</f>
        <v>Østfold</v>
      </c>
    </row>
    <row r="3520">
      <c r="A3520" s="9" t="str">
        <f>IFERROR(__xludf.DUMMYFUNCTION("""COMPUTED_VALUE"""),"Jan Mayen")</f>
        <v>Jan Mayen</v>
      </c>
      <c r="B3520" s="9" t="str">
        <f>IFERROR(__xludf.DUMMYFUNCTION("""COMPUTED_VALUE"""),"no-22")</f>
        <v>no-22</v>
      </c>
      <c r="C3520" s="9" t="str">
        <f>IFERROR(__xludf.DUMMYFUNCTION("GOOGLETRANSLATE($A3520,""en"",""de"")"),"Jan Mayen")</f>
        <v>Jan Mayen</v>
      </c>
      <c r="D3520" s="9" t="str">
        <f>IFERROR(__xludf.DUMMYFUNCTION("GOOGLETRANSLATE($A3520,""en"",""fr"")"),"Jan Mayen")</f>
        <v>Jan Mayen</v>
      </c>
      <c r="E3520" s="9" t="str">
        <f>IFERROR(__xludf.DUMMYFUNCTION("GOOGLETRANSLATE($A3520,""en"",""es"")"),"Jan Mayen")</f>
        <v>Jan Mayen</v>
      </c>
      <c r="F3520" s="9" t="str">
        <f>IFERROR(__xludf.DUMMYFUNCTION("GOOGLETRANSLATE($A3520,""en"",""it"")"),"Jan Mayen")</f>
        <v>Jan Mayen</v>
      </c>
      <c r="G3520" s="9" t="str">
        <f>IFERROR(__xludf.DUMMYFUNCTION("GOOGLETRANSLATE($A3520,""en"",""zh-cn"")"),"扬马延")</f>
        <v>扬马延</v>
      </c>
      <c r="H3520" s="9" t="str">
        <f>IFERROR(__xludf.DUMMYFUNCTION("GOOGLETRANSLATE($A3520,""en"",""ja"")"),"ヤンマイエン")</f>
        <v>ヤンマイエン</v>
      </c>
      <c r="I3520" s="9" t="str">
        <f>IFERROR(__xludf.DUMMYFUNCTION("GOOGLETRANSLATE($A3520,""en"",""ko"")"),"얀 마옌")</f>
        <v>얀 마옌</v>
      </c>
      <c r="J3520" s="9" t="str">
        <f>IFERROR(__xludf.DUMMYFUNCTION("GOOGLETRANSLATE($A3520,""en"",""pt-BR"")"),"Jan Mayen")</f>
        <v>Jan Mayen</v>
      </c>
    </row>
    <row r="3521">
      <c r="A3521" s="9" t="str">
        <f>IFERROR(__xludf.DUMMYFUNCTION("""COMPUTED_VALUE"""),"Sogn og Fjordane")</f>
        <v>Sogn og Fjordane</v>
      </c>
      <c r="B3521" s="9" t="str">
        <f>IFERROR(__xludf.DUMMYFUNCTION("""COMPUTED_VALUE"""),"no-14")</f>
        <v>no-14</v>
      </c>
      <c r="C3521" s="9" t="str">
        <f>IFERROR(__xludf.DUMMYFUNCTION("GOOGLETRANSLATE($A3521,""en"",""de"")"),"Sogn og Fjordane")</f>
        <v>Sogn og Fjordane</v>
      </c>
      <c r="D3521" s="9" t="str">
        <f>IFERROR(__xludf.DUMMYFUNCTION("GOOGLETRANSLATE($A3521,""en"",""fr"")"),"Sogn et Fjordane")</f>
        <v>Sogn et Fjordane</v>
      </c>
      <c r="E3521" s="9" t="str">
        <f>IFERROR(__xludf.DUMMYFUNCTION("GOOGLETRANSLATE($A3521,""en"",""es"")"),"Sogn y Fjordane")</f>
        <v>Sogn y Fjordane</v>
      </c>
      <c r="F3521" s="9" t="str">
        <f>IFERROR(__xludf.DUMMYFUNCTION("GOOGLETRANSLATE($A3521,""en"",""it"")"),"Sogn og Fjordane")</f>
        <v>Sogn og Fjordane</v>
      </c>
      <c r="G3521" s="9" t="str">
        <f>IFERROR(__xludf.DUMMYFUNCTION("GOOGLETRANSLATE($A3521,""en"",""zh-cn"")"),"松恩峡湾")</f>
        <v>松恩峡湾</v>
      </c>
      <c r="H3521" s="9" t="str">
        <f>IFERROR(__xludf.DUMMYFUNCTION("GOOGLETRANSLATE($A3521,""en"",""ja"")"),"ソニョン・オグ・フィヨルダン")</f>
        <v>ソニョン・オグ・フィヨルダン</v>
      </c>
      <c r="I3521" s="9" t="str">
        <f>IFERROR(__xludf.DUMMYFUNCTION("GOOGLETRANSLATE($A3521,""en"",""ko"")"),"송 오그 피요르단")</f>
        <v>송 오그 피요르단</v>
      </c>
      <c r="J3521" s="9" t="str">
        <f>IFERROR(__xludf.DUMMYFUNCTION("GOOGLETRANSLATE($A3521,""en"",""pt-BR"")"),"Sog e Fjordane")</f>
        <v>Sog e Fjordane</v>
      </c>
    </row>
    <row r="3522">
      <c r="A3522" s="9" t="str">
        <f>IFERROR(__xludf.DUMMYFUNCTION("""COMPUTED_VALUE"""),"Sør-Trøndelag")</f>
        <v>Sør-Trøndelag</v>
      </c>
      <c r="B3522" s="9" t="str">
        <f>IFERROR(__xludf.DUMMYFUNCTION("""COMPUTED_VALUE"""),"no-16")</f>
        <v>no-16</v>
      </c>
      <c r="C3522" s="9" t="str">
        <f>IFERROR(__xludf.DUMMYFUNCTION("GOOGLETRANSLATE($A3522,""en"",""de"")"),"Süd-Trøndelag")</f>
        <v>Süd-Trøndelag</v>
      </c>
      <c r="D3522" s="9" t="str">
        <f>IFERROR(__xludf.DUMMYFUNCTION("GOOGLETRANSLATE($A3522,""en"",""fr"")"),"Sør-Trøndelag")</f>
        <v>Sør-Trøndelag</v>
      </c>
      <c r="E3522" s="9" t="str">
        <f>IFERROR(__xludf.DUMMYFUNCTION("GOOGLETRANSLATE($A3522,""en"",""es"")"),"Sør-Trøndelag")</f>
        <v>Sør-Trøndelag</v>
      </c>
      <c r="F3522" s="9" t="str">
        <f>IFERROR(__xludf.DUMMYFUNCTION("GOOGLETRANSLATE($A3522,""en"",""it"")"),"Sør-Trøndelag")</f>
        <v>Sør-Trøndelag</v>
      </c>
      <c r="G3522" s="9" t="str">
        <f>IFERROR(__xludf.DUMMYFUNCTION("GOOGLETRANSLATE($A3522,""en"",""zh-cn"")"),"南特伦德拉格郡")</f>
        <v>南特伦德拉格郡</v>
      </c>
      <c r="H3522" s="9" t="str">
        <f>IFERROR(__xludf.DUMMYFUNCTION("GOOGLETRANSLATE($A3522,""en"",""ja"")"),"ソール・トロンデラーグ")</f>
        <v>ソール・トロンデラーグ</v>
      </c>
      <c r="I3522" s="9" t="str">
        <f>IFERROR(__xludf.DUMMYFUNCTION("GOOGLETRANSLATE($A3522,""en"",""ko"")"),"쇠르트뢰넬라그")</f>
        <v>쇠르트뢰넬라그</v>
      </c>
      <c r="J3522" s="9" t="str">
        <f>IFERROR(__xludf.DUMMYFUNCTION("GOOGLETRANSLATE($A3522,""en"",""pt-BR"")"),"Sør-Trøndelag")</f>
        <v>Sør-Trøndelag</v>
      </c>
    </row>
    <row r="3523">
      <c r="A3523" s="9" t="str">
        <f>IFERROR(__xludf.DUMMYFUNCTION("""COMPUTED_VALUE"""),"Telemark")</f>
        <v>Telemark</v>
      </c>
      <c r="B3523" s="9" t="str">
        <f>IFERROR(__xludf.DUMMYFUNCTION("""COMPUTED_VALUE"""),"no-08")</f>
        <v>no-08</v>
      </c>
      <c r="C3523" s="9" t="str">
        <f>IFERROR(__xludf.DUMMYFUNCTION("GOOGLETRANSLATE($A3523,""en"",""de"")"),"Telemark")</f>
        <v>Telemark</v>
      </c>
      <c r="D3523" s="9" t="str">
        <f>IFERROR(__xludf.DUMMYFUNCTION("GOOGLETRANSLATE($A3523,""en"",""fr"")"),"Télémark")</f>
        <v>Télémark</v>
      </c>
      <c r="E3523" s="9" t="str">
        <f>IFERROR(__xludf.DUMMYFUNCTION("GOOGLETRANSLATE($A3523,""en"",""es"")"),"telemarca")</f>
        <v>telemarca</v>
      </c>
      <c r="F3523" s="9" t="str">
        <f>IFERROR(__xludf.DUMMYFUNCTION("GOOGLETRANSLATE($A3523,""en"",""it"")"),"Telemark")</f>
        <v>Telemark</v>
      </c>
      <c r="G3523" s="9" t="str">
        <f>IFERROR(__xludf.DUMMYFUNCTION("GOOGLETRANSLATE($A3523,""en"",""zh-cn"")"),"泰勒马克")</f>
        <v>泰勒马克</v>
      </c>
      <c r="H3523" s="9" t="str">
        <f>IFERROR(__xludf.DUMMYFUNCTION("GOOGLETRANSLATE($A3523,""en"",""ja"")"),"テレマーク")</f>
        <v>テレマーク</v>
      </c>
      <c r="I3523" s="9" t="str">
        <f>IFERROR(__xludf.DUMMYFUNCTION("GOOGLETRANSLATE($A3523,""en"",""ko"")"),"텔레마크")</f>
        <v>텔레마크</v>
      </c>
      <c r="J3523" s="9" t="str">
        <f>IFERROR(__xludf.DUMMYFUNCTION("GOOGLETRANSLATE($A3523,""en"",""pt-BR"")"),"Telemarca")</f>
        <v>Telemarca</v>
      </c>
    </row>
    <row r="3524">
      <c r="A3524" s="9" t="str">
        <f>IFERROR(__xludf.DUMMYFUNCTION("""COMPUTED_VALUE"""),"Troms")</f>
        <v>Troms</v>
      </c>
      <c r="B3524" s="9" t="str">
        <f>IFERROR(__xludf.DUMMYFUNCTION("""COMPUTED_VALUE"""),"no-19")</f>
        <v>no-19</v>
      </c>
      <c r="C3524" s="9" t="str">
        <f>IFERROR(__xludf.DUMMYFUNCTION("GOOGLETRANSLATE($A3524,""en"",""de"")"),"Troms")</f>
        <v>Troms</v>
      </c>
      <c r="D3524" s="9" t="str">
        <f>IFERROR(__xludf.DUMMYFUNCTION("GOOGLETRANSLATE($A3524,""en"",""fr"")"),"Troms")</f>
        <v>Troms</v>
      </c>
      <c r="E3524" s="9" t="str">
        <f>IFERROR(__xludf.DUMMYFUNCTION("GOOGLETRANSLATE($A3524,""en"",""es"")"),"Troms")</f>
        <v>Troms</v>
      </c>
      <c r="F3524" s="9" t="str">
        <f>IFERROR(__xludf.DUMMYFUNCTION("GOOGLETRANSLATE($A3524,""en"",""it"")"),"Troms")</f>
        <v>Troms</v>
      </c>
      <c r="G3524" s="9" t="str">
        <f>IFERROR(__xludf.DUMMYFUNCTION("GOOGLETRANSLATE($A3524,""en"",""zh-cn"")"),"特罗姆斯")</f>
        <v>特罗姆斯</v>
      </c>
      <c r="H3524" s="9" t="str">
        <f>IFERROR(__xludf.DUMMYFUNCTION("GOOGLETRANSLATE($A3524,""en"",""ja"")"),"トロムス")</f>
        <v>トロムス</v>
      </c>
      <c r="I3524" s="9" t="str">
        <f>IFERROR(__xludf.DUMMYFUNCTION("GOOGLETRANSLATE($A3524,""en"",""ko"")"),"트롬스")</f>
        <v>트롬스</v>
      </c>
      <c r="J3524" s="9" t="str">
        <f>IFERROR(__xludf.DUMMYFUNCTION("GOOGLETRANSLATE($A3524,""en"",""pt-BR"")"),"Troms")</f>
        <v>Troms</v>
      </c>
    </row>
    <row r="3525">
      <c r="A3525" s="9" t="str">
        <f>IFERROR(__xludf.DUMMYFUNCTION("""COMPUTED_VALUE"""),"Nord-Trøndelag")</f>
        <v>Nord-Trøndelag</v>
      </c>
      <c r="B3525" s="9" t="str">
        <f>IFERROR(__xludf.DUMMYFUNCTION("""COMPUTED_VALUE"""),"no-17")</f>
        <v>no-17</v>
      </c>
      <c r="C3525" s="9" t="str">
        <f>IFERROR(__xludf.DUMMYFUNCTION("GOOGLETRANSLATE($A3525,""en"",""de"")"),"Nord-Trøndelag")</f>
        <v>Nord-Trøndelag</v>
      </c>
      <c r="D3525" s="9" t="str">
        <f>IFERROR(__xludf.DUMMYFUNCTION("GOOGLETRANSLATE($A3525,""en"",""fr"")"),"Nord-Trøndelag")</f>
        <v>Nord-Trøndelag</v>
      </c>
      <c r="E3525" s="9" t="str">
        <f>IFERROR(__xludf.DUMMYFUNCTION("GOOGLETRANSLATE($A3525,""en"",""es"")"),"Norte-Trøndelag")</f>
        <v>Norte-Trøndelag</v>
      </c>
      <c r="F3525" s="9" t="str">
        <f>IFERROR(__xludf.DUMMYFUNCTION("GOOGLETRANSLATE($A3525,""en"",""it"")"),"Nord-Trøndelag")</f>
        <v>Nord-Trøndelag</v>
      </c>
      <c r="G3525" s="9" t="str">
        <f>IFERROR(__xludf.DUMMYFUNCTION("GOOGLETRANSLATE($A3525,""en"",""zh-cn"")"),"北特伦德拉格郡")</f>
        <v>北特伦德拉格郡</v>
      </c>
      <c r="H3525" s="9" t="str">
        <f>IFERROR(__xludf.DUMMYFUNCTION("GOOGLETRANSLATE($A3525,""en"",""ja"")"),"ノール・トロンデラーグ")</f>
        <v>ノール・トロンデラーグ</v>
      </c>
      <c r="I3525" s="9" t="str">
        <f>IFERROR(__xludf.DUMMYFUNCTION("GOOGLETRANSLATE($A3525,""en"",""ko"")"),"노르드트뢴델라그")</f>
        <v>노르드트뢴델라그</v>
      </c>
      <c r="J3525" s="9" t="str">
        <f>IFERROR(__xludf.DUMMYFUNCTION("GOOGLETRANSLATE($A3525,""en"",""pt-BR"")"),"Norte-Trøndelag")</f>
        <v>Norte-Trøndelag</v>
      </c>
    </row>
    <row r="3526">
      <c r="A3526" s="9" t="str">
        <f>IFERROR(__xludf.DUMMYFUNCTION("""COMPUTED_VALUE"""),"Oppland")</f>
        <v>Oppland</v>
      </c>
      <c r="B3526" s="9" t="str">
        <f>IFERROR(__xludf.DUMMYFUNCTION("""COMPUTED_VALUE"""),"no-05")</f>
        <v>no-05</v>
      </c>
      <c r="C3526" s="9" t="str">
        <f>IFERROR(__xludf.DUMMYFUNCTION("GOOGLETRANSLATE($A3526,""en"",""de"")"),"Oppland")</f>
        <v>Oppland</v>
      </c>
      <c r="D3526" s="9" t="str">
        <f>IFERROR(__xludf.DUMMYFUNCTION("GOOGLETRANSLATE($A3526,""en"",""fr"")"),"Oppland")</f>
        <v>Oppland</v>
      </c>
      <c r="E3526" s="9" t="str">
        <f>IFERROR(__xludf.DUMMYFUNCTION("GOOGLETRANSLATE($A3526,""en"",""es"")"),"Opplandia")</f>
        <v>Opplandia</v>
      </c>
      <c r="F3526" s="9" t="str">
        <f>IFERROR(__xludf.DUMMYFUNCTION("GOOGLETRANSLATE($A3526,""en"",""it"")"),"Oppland")</f>
        <v>Oppland</v>
      </c>
      <c r="G3526" s="9" t="str">
        <f>IFERROR(__xludf.DUMMYFUNCTION("GOOGLETRANSLATE($A3526,""en"",""zh-cn"")"),"奥普兰")</f>
        <v>奥普兰</v>
      </c>
      <c r="H3526" s="9" t="str">
        <f>IFERROR(__xludf.DUMMYFUNCTION("GOOGLETRANSLATE($A3526,""en"",""ja"")"),"オップラン")</f>
        <v>オップラン</v>
      </c>
      <c r="I3526" s="9" t="str">
        <f>IFERROR(__xludf.DUMMYFUNCTION("GOOGLETRANSLATE($A3526,""en"",""ko"")"),"오플란드")</f>
        <v>오플란드</v>
      </c>
      <c r="J3526" s="9" t="str">
        <f>IFERROR(__xludf.DUMMYFUNCTION("GOOGLETRANSLATE($A3526,""en"",""pt-BR"")"),"Oppland")</f>
        <v>Oppland</v>
      </c>
    </row>
    <row r="3527">
      <c r="A3527" s="9" t="str">
        <f>IFERROR(__xludf.DUMMYFUNCTION("""COMPUTED_VALUE"""),"Oslo")</f>
        <v>Oslo</v>
      </c>
      <c r="B3527" s="9" t="str">
        <f>IFERROR(__xludf.DUMMYFUNCTION("""COMPUTED_VALUE"""),"no-03")</f>
        <v>no-03</v>
      </c>
      <c r="C3527" s="9" t="str">
        <f>IFERROR(__xludf.DUMMYFUNCTION("GOOGLETRANSLATE($A3527,""en"",""de"")"),"Oslo")</f>
        <v>Oslo</v>
      </c>
      <c r="D3527" s="9" t="str">
        <f>IFERROR(__xludf.DUMMYFUNCTION("GOOGLETRANSLATE($A3527,""en"",""fr"")"),"Oslo")</f>
        <v>Oslo</v>
      </c>
      <c r="E3527" s="9" t="str">
        <f>IFERROR(__xludf.DUMMYFUNCTION("GOOGLETRANSLATE($A3527,""en"",""es"")"),"Oslo")</f>
        <v>Oslo</v>
      </c>
      <c r="F3527" s="9" t="str">
        <f>IFERROR(__xludf.DUMMYFUNCTION("GOOGLETRANSLATE($A3527,""en"",""it"")"),"Oslo")</f>
        <v>Oslo</v>
      </c>
      <c r="G3527" s="9" t="str">
        <f>IFERROR(__xludf.DUMMYFUNCTION("GOOGLETRANSLATE($A3527,""en"",""zh-cn"")"),"奥斯陆")</f>
        <v>奥斯陆</v>
      </c>
      <c r="H3527" s="9" t="str">
        <f>IFERROR(__xludf.DUMMYFUNCTION("GOOGLETRANSLATE($A3527,""en"",""ja"")"),"オスロ")</f>
        <v>オスロ</v>
      </c>
      <c r="I3527" s="9" t="str">
        <f>IFERROR(__xludf.DUMMYFUNCTION("GOOGLETRANSLATE($A3527,""en"",""ko"")"),"오슬로")</f>
        <v>오슬로</v>
      </c>
      <c r="J3527" s="9" t="str">
        <f>IFERROR(__xludf.DUMMYFUNCTION("GOOGLETRANSLATE($A3527,""en"",""pt-BR"")"),"Oslo")</f>
        <v>Oslo</v>
      </c>
    </row>
    <row r="3528">
      <c r="A3528" s="9" t="str">
        <f>IFERROR(__xludf.DUMMYFUNCTION("""COMPUTED_VALUE"""),"Rogaland")</f>
        <v>Rogaland</v>
      </c>
      <c r="B3528" s="9" t="str">
        <f>IFERROR(__xludf.DUMMYFUNCTION("""COMPUTED_VALUE"""),"no-11")</f>
        <v>no-11</v>
      </c>
      <c r="C3528" s="9" t="str">
        <f>IFERROR(__xludf.DUMMYFUNCTION("GOOGLETRANSLATE($A3528,""en"",""de"")"),"Rogaland")</f>
        <v>Rogaland</v>
      </c>
      <c r="D3528" s="9" t="str">
        <f>IFERROR(__xludf.DUMMYFUNCTION("GOOGLETRANSLATE($A3528,""en"",""fr"")"),"Rogaland")</f>
        <v>Rogaland</v>
      </c>
      <c r="E3528" s="9" t="str">
        <f>IFERROR(__xludf.DUMMYFUNCTION("GOOGLETRANSLATE($A3528,""en"",""es"")"),"Rogalandia")</f>
        <v>Rogalandia</v>
      </c>
      <c r="F3528" s="9" t="str">
        <f>IFERROR(__xludf.DUMMYFUNCTION("GOOGLETRANSLATE($A3528,""en"",""it"")"),"Rogaland")</f>
        <v>Rogaland</v>
      </c>
      <c r="G3528" s="9" t="str">
        <f>IFERROR(__xludf.DUMMYFUNCTION("GOOGLETRANSLATE($A3528,""en"",""zh-cn"")"),"罗加兰")</f>
        <v>罗加兰</v>
      </c>
      <c r="H3528" s="9" t="str">
        <f>IFERROR(__xludf.DUMMYFUNCTION("GOOGLETRANSLATE($A3528,""en"",""ja"")"),"ローガランド")</f>
        <v>ローガランド</v>
      </c>
      <c r="I3528" s="9" t="str">
        <f>IFERROR(__xludf.DUMMYFUNCTION("GOOGLETRANSLATE($A3528,""en"",""ko"")"),"로갈랜드")</f>
        <v>로갈랜드</v>
      </c>
      <c r="J3528" s="9" t="str">
        <f>IFERROR(__xludf.DUMMYFUNCTION("GOOGLETRANSLATE($A3528,""en"",""pt-BR"")"),"Rogaland")</f>
        <v>Rogaland</v>
      </c>
    </row>
    <row r="3529">
      <c r="A3529" s="9" t="str">
        <f>IFERROR(__xludf.DUMMYFUNCTION("""COMPUTED_VALUE"""),"Vestland")</f>
        <v>Vestland</v>
      </c>
      <c r="B3529" s="9" t="str">
        <f>IFERROR(__xludf.DUMMYFUNCTION("""COMPUTED_VALUE"""),"no-46")</f>
        <v>no-46</v>
      </c>
      <c r="C3529" s="9" t="str">
        <f>IFERROR(__xludf.DUMMYFUNCTION("GOOGLETRANSLATE($A3529,""en"",""de"")"),"Vestland")</f>
        <v>Vestland</v>
      </c>
      <c r="D3529" s="9" t="str">
        <f>IFERROR(__xludf.DUMMYFUNCTION("GOOGLETRANSLATE($A3529,""en"",""fr"")"),"Vestland")</f>
        <v>Vestland</v>
      </c>
      <c r="E3529" s="9" t="str">
        <f>IFERROR(__xludf.DUMMYFUNCTION("GOOGLETRANSLATE($A3529,""en"",""es"")"),"Vestlandia")</f>
        <v>Vestlandia</v>
      </c>
      <c r="F3529" s="9" t="str">
        <f>IFERROR(__xludf.DUMMYFUNCTION("GOOGLETRANSLATE($A3529,""en"",""it"")"),"Vestland")</f>
        <v>Vestland</v>
      </c>
      <c r="G3529" s="9" t="str">
        <f>IFERROR(__xludf.DUMMYFUNCTION("GOOGLETRANSLATE($A3529,""en"",""zh-cn"")"),"韦斯特兰")</f>
        <v>韦斯特兰</v>
      </c>
      <c r="H3529" s="9" t="str">
        <f>IFERROR(__xludf.DUMMYFUNCTION("GOOGLETRANSLATE($A3529,""en"",""ja"")"),"ベストランド")</f>
        <v>ベストランド</v>
      </c>
      <c r="I3529" s="9" t="str">
        <f>IFERROR(__xludf.DUMMYFUNCTION("GOOGLETRANSLATE($A3529,""en"",""ko"")"),"베스트랜드")</f>
        <v>베스트랜드</v>
      </c>
      <c r="J3529" s="9" t="str">
        <f>IFERROR(__xludf.DUMMYFUNCTION("GOOGLETRANSLATE($A3529,""en"",""pt-BR"")"),"Vestlândia")</f>
        <v>Vestlândia</v>
      </c>
    </row>
    <row r="3530">
      <c r="A3530" s="9" t="str">
        <f>IFERROR(__xludf.DUMMYFUNCTION("""COMPUTED_VALUE"""),"Vestfold og Telemark")</f>
        <v>Vestfold og Telemark</v>
      </c>
      <c r="B3530" s="9" t="str">
        <f>IFERROR(__xludf.DUMMYFUNCTION("""COMPUTED_VALUE"""),"no-38")</f>
        <v>no-38</v>
      </c>
      <c r="C3530" s="9" t="str">
        <f>IFERROR(__xludf.DUMMYFUNCTION("GOOGLETRANSLATE($A3530,""en"",""de"")"),"Vestfold und Telemark")</f>
        <v>Vestfold und Telemark</v>
      </c>
      <c r="D3530" s="9" t="str">
        <f>IFERROR(__xludf.DUMMYFUNCTION("GOOGLETRANSLATE($A3530,""en"",""fr"")"),"Vestfold et Telemark")</f>
        <v>Vestfold et Telemark</v>
      </c>
      <c r="E3530" s="9" t="str">
        <f>IFERROR(__xludf.DUMMYFUNCTION("GOOGLETRANSLATE($A3530,""en"",""es"")"),"Vestfold y Telemark")</f>
        <v>Vestfold y Telemark</v>
      </c>
      <c r="F3530" s="9" t="str">
        <f>IFERROR(__xludf.DUMMYFUNCTION("GOOGLETRANSLATE($A3530,""en"",""it"")"),"Vestfold e Telemark")</f>
        <v>Vestfold e Telemark</v>
      </c>
      <c r="G3530" s="9" t="str">
        <f>IFERROR(__xludf.DUMMYFUNCTION("GOOGLETRANSLATE($A3530,""en"",""zh-cn"")"),"西福尔德和泰勒马克郡")</f>
        <v>西福尔德和泰勒马克郡</v>
      </c>
      <c r="H3530" s="9" t="str">
        <f>IFERROR(__xludf.DUMMYFUNCTION("GOOGLETRANSLATE($A3530,""en"",""ja"")"),"ベストフォールドとテレマーク")</f>
        <v>ベストフォールドとテレマーク</v>
      </c>
      <c r="I3530" s="9" t="str">
        <f>IFERROR(__xludf.DUMMYFUNCTION("GOOGLETRANSLATE($A3530,""en"",""ko"")"),"조끼와 텔레마크")</f>
        <v>조끼와 텔레마크</v>
      </c>
      <c r="J3530" s="9" t="str">
        <f>IFERROR(__xludf.DUMMYFUNCTION("GOOGLETRANSLATE($A3530,""en"",""pt-BR"")"),"Vestfold e Telemark")</f>
        <v>Vestfold e Telemark</v>
      </c>
    </row>
    <row r="3531">
      <c r="A3531" s="9" t="str">
        <f>IFERROR(__xludf.DUMMYFUNCTION("""COMPUTED_VALUE"""),"Agder")</f>
        <v>Agder</v>
      </c>
      <c r="B3531" s="9" t="str">
        <f>IFERROR(__xludf.DUMMYFUNCTION("""COMPUTED_VALUE"""),"no-42")</f>
        <v>no-42</v>
      </c>
      <c r="C3531" s="9" t="str">
        <f>IFERROR(__xludf.DUMMYFUNCTION("GOOGLETRANSLATE($A3531,""en"",""de"")"),"Agder")</f>
        <v>Agder</v>
      </c>
      <c r="D3531" s="9" t="str">
        <f>IFERROR(__xludf.DUMMYFUNCTION("GOOGLETRANSLATE($A3531,""en"",""fr"")"),"Agder")</f>
        <v>Agder</v>
      </c>
      <c r="E3531" s="9" t="str">
        <f>IFERROR(__xludf.DUMMYFUNCTION("GOOGLETRANSLATE($A3531,""en"",""es"")"),"Agder")</f>
        <v>Agder</v>
      </c>
      <c r="F3531" s="9" t="str">
        <f>IFERROR(__xludf.DUMMYFUNCTION("GOOGLETRANSLATE($A3531,""en"",""it"")"),"Agder")</f>
        <v>Agder</v>
      </c>
      <c r="G3531" s="9" t="str">
        <f>IFERROR(__xludf.DUMMYFUNCTION("GOOGLETRANSLATE($A3531,""en"",""zh-cn"")"),"阿格德尔")</f>
        <v>阿格德尔</v>
      </c>
      <c r="H3531" s="9" t="str">
        <f>IFERROR(__xludf.DUMMYFUNCTION("GOOGLETRANSLATE($A3531,""en"",""ja"")"),"アグデル")</f>
        <v>アグデル</v>
      </c>
      <c r="I3531" s="9" t="str">
        <f>IFERROR(__xludf.DUMMYFUNCTION("GOOGLETRANSLATE($A3531,""en"",""ko"")"),"아그데르")</f>
        <v>아그데르</v>
      </c>
      <c r="J3531" s="9" t="str">
        <f>IFERROR(__xludf.DUMMYFUNCTION("GOOGLETRANSLATE($A3531,""en"",""pt-BR"")"),"Agder")</f>
        <v>Agder</v>
      </c>
    </row>
    <row r="3532">
      <c r="A3532" s="9" t="str">
        <f>IFERROR(__xludf.DUMMYFUNCTION("""COMPUTED_VALUE"""),"Viken")</f>
        <v>Viken</v>
      </c>
      <c r="B3532" s="9" t="str">
        <f>IFERROR(__xludf.DUMMYFUNCTION("""COMPUTED_VALUE"""),"no-30")</f>
        <v>no-30</v>
      </c>
      <c r="C3532" s="9" t="str">
        <f>IFERROR(__xludf.DUMMYFUNCTION("GOOGLETRANSLATE($A3532,""en"",""de"")"),"Viken")</f>
        <v>Viken</v>
      </c>
      <c r="D3532" s="9" t="str">
        <f>IFERROR(__xludf.DUMMYFUNCTION("GOOGLETRANSLATE($A3532,""en"",""fr"")"),"Viking")</f>
        <v>Viking</v>
      </c>
      <c r="E3532" s="9" t="str">
        <f>IFERROR(__xludf.DUMMYFUNCTION("GOOGLETRANSLATE($A3532,""en"",""es"")"),"viken")</f>
        <v>viken</v>
      </c>
      <c r="F3532" s="9" t="str">
        <f>IFERROR(__xludf.DUMMYFUNCTION("GOOGLETRANSLATE($A3532,""en"",""it"")"),"Viken")</f>
        <v>Viken</v>
      </c>
      <c r="G3532" s="9" t="str">
        <f>IFERROR(__xludf.DUMMYFUNCTION("GOOGLETRANSLATE($A3532,""en"",""zh-cn"")"),"维肯")</f>
        <v>维肯</v>
      </c>
      <c r="H3532" s="9" t="str">
        <f>IFERROR(__xludf.DUMMYFUNCTION("GOOGLETRANSLATE($A3532,""en"",""ja"")"),"ヴィケン")</f>
        <v>ヴィケン</v>
      </c>
      <c r="I3532" s="9" t="str">
        <f>IFERROR(__xludf.DUMMYFUNCTION("GOOGLETRANSLATE($A3532,""en"",""ko"")"),"비켄")</f>
        <v>비켄</v>
      </c>
      <c r="J3532" s="9" t="str">
        <f>IFERROR(__xludf.DUMMYFUNCTION("GOOGLETRANSLATE($A3532,""en"",""pt-BR"")"),"Viken")</f>
        <v>Viken</v>
      </c>
    </row>
    <row r="3533">
      <c r="A3533" s="9" t="str">
        <f>IFERROR(__xludf.DUMMYFUNCTION("""COMPUTED_VALUE"""),"Innlandet")</f>
        <v>Innlandet</v>
      </c>
      <c r="B3533" s="9" t="str">
        <f>IFERROR(__xludf.DUMMYFUNCTION("""COMPUTED_VALUE"""),"no-34")</f>
        <v>no-34</v>
      </c>
      <c r="C3533" s="9" t="str">
        <f>IFERROR(__xludf.DUMMYFUNCTION("GOOGLETRANSLATE($A3533,""en"",""de"")"),"Innlandet")</f>
        <v>Innlandet</v>
      </c>
      <c r="D3533" s="9" t="str">
        <f>IFERROR(__xludf.DUMMYFUNCTION("GOOGLETRANSLATE($A3533,""en"",""fr"")"),"Innlandet")</f>
        <v>Innlandet</v>
      </c>
      <c r="E3533" s="9" t="str">
        <f>IFERROR(__xludf.DUMMYFUNCTION("GOOGLETRANSLATE($A3533,""en"",""es"")"),"Innlandet")</f>
        <v>Innlandet</v>
      </c>
      <c r="F3533" s="9" t="str">
        <f>IFERROR(__xludf.DUMMYFUNCTION("GOOGLETRANSLATE($A3533,""en"",""it"")"),"Innlandet")</f>
        <v>Innlandet</v>
      </c>
      <c r="G3533" s="9" t="str">
        <f>IFERROR(__xludf.DUMMYFUNCTION("GOOGLETRANSLATE($A3533,""en"",""zh-cn"")"),"因兰德特")</f>
        <v>因兰德特</v>
      </c>
      <c r="H3533" s="9" t="str">
        <f>IFERROR(__xludf.DUMMYFUNCTION("GOOGLETRANSLATE($A3533,""en"",""ja"")"),"インランデット")</f>
        <v>インランデット</v>
      </c>
      <c r="I3533" s="9" t="str">
        <f>IFERROR(__xludf.DUMMYFUNCTION("GOOGLETRANSLATE($A3533,""en"",""ko"")"),"인란뎃")</f>
        <v>인란뎃</v>
      </c>
      <c r="J3533" s="9" t="str">
        <f>IFERROR(__xludf.DUMMYFUNCTION("GOOGLETRANSLATE($A3533,""en"",""pt-BR"")"),"Innlandet")</f>
        <v>Innlandet</v>
      </c>
    </row>
    <row r="3534">
      <c r="A3534" s="9" t="str">
        <f>IFERROR(__xludf.DUMMYFUNCTION("""COMPUTED_VALUE"""),"Troms og Finnmark")</f>
        <v>Troms og Finnmark</v>
      </c>
      <c r="B3534" s="9" t="str">
        <f>IFERROR(__xludf.DUMMYFUNCTION("""COMPUTED_VALUE"""),"no-54")</f>
        <v>no-54</v>
      </c>
      <c r="C3534" s="9" t="str">
        <f>IFERROR(__xludf.DUMMYFUNCTION("GOOGLETRANSLATE($A3534,""en"",""de"")"),"Troms und Finnmark")</f>
        <v>Troms und Finnmark</v>
      </c>
      <c r="D3534" s="9" t="str">
        <f>IFERROR(__xludf.DUMMYFUNCTION("GOOGLETRANSLATE($A3534,""en"",""fr"")"),"Troms et Finnmark")</f>
        <v>Troms et Finnmark</v>
      </c>
      <c r="E3534" s="9" t="str">
        <f>IFERROR(__xludf.DUMMYFUNCTION("GOOGLETRANSLATE($A3534,""en"",""es"")"),"Troms y Finnmark")</f>
        <v>Troms y Finnmark</v>
      </c>
      <c r="F3534" s="9" t="str">
        <f>IFERROR(__xludf.DUMMYFUNCTION("GOOGLETRANSLATE($A3534,""en"",""it"")"),"Troms e Finlandia")</f>
        <v>Troms e Finlandia</v>
      </c>
      <c r="G3534" s="9" t="str">
        <f>IFERROR(__xludf.DUMMYFUNCTION("GOOGLETRANSLATE($A3534,""en"",""zh-cn"")"),"特罗姆瑟和芬马克")</f>
        <v>特罗姆瑟和芬马克</v>
      </c>
      <c r="H3534" s="9" t="str">
        <f>IFERROR(__xludf.DUMMYFUNCTION("GOOGLETRANSLATE($A3534,""en"",""ja"")"),"トロムスとフィンマルク")</f>
        <v>トロムスとフィンマルク</v>
      </c>
      <c r="I3534" s="9" t="str">
        <f>IFERROR(__xludf.DUMMYFUNCTION("GOOGLETRANSLATE($A3534,""en"",""ko"")"),"트롬스 및 핀마르크")</f>
        <v>트롬스 및 핀마르크</v>
      </c>
      <c r="J3534" s="9" t="str">
        <f>IFERROR(__xludf.DUMMYFUNCTION("GOOGLETRANSLATE($A3534,""en"",""pt-BR"")"),"Troms e Finnmark")</f>
        <v>Troms e Finnmark</v>
      </c>
    </row>
    <row r="3535">
      <c r="A3535" s="9" t="str">
        <f>IFERROR(__xludf.DUMMYFUNCTION("""COMPUTED_VALUE"""),"Trøndelag")</f>
        <v>Trøndelag</v>
      </c>
      <c r="B3535" s="9" t="str">
        <f>IFERROR(__xludf.DUMMYFUNCTION("""COMPUTED_VALUE"""),"no-23")</f>
        <v>no-23</v>
      </c>
      <c r="C3535" s="9" t="str">
        <f>IFERROR(__xludf.DUMMYFUNCTION("GOOGLETRANSLATE($A3535,""en"",""de"")"),"Trøndelag")</f>
        <v>Trøndelag</v>
      </c>
      <c r="D3535" s="9" t="str">
        <f>IFERROR(__xludf.DUMMYFUNCTION("GOOGLETRANSLATE($A3535,""en"",""fr"")"),"Trøndelag")</f>
        <v>Trøndelag</v>
      </c>
      <c r="E3535" s="9" t="str">
        <f>IFERROR(__xludf.DUMMYFUNCTION("GOOGLETRANSLATE($A3535,""en"",""es"")"),"Trøndelag")</f>
        <v>Trøndelag</v>
      </c>
      <c r="F3535" s="9" t="str">
        <f>IFERROR(__xludf.DUMMYFUNCTION("GOOGLETRANSLATE($A3535,""en"",""it"")"),"Trondelag")</f>
        <v>Trondelag</v>
      </c>
      <c r="G3535" s="9" t="str">
        <f>IFERROR(__xludf.DUMMYFUNCTION("GOOGLETRANSLATE($A3535,""en"",""zh-cn"")"),"特伦德拉格")</f>
        <v>特伦德拉格</v>
      </c>
      <c r="H3535" s="9" t="str">
        <f>IFERROR(__xludf.DUMMYFUNCTION("GOOGLETRANSLATE($A3535,""en"",""ja"")"),"トロンデラーグ")</f>
        <v>トロンデラーグ</v>
      </c>
      <c r="I3535" s="9" t="str">
        <f>IFERROR(__xludf.DUMMYFUNCTION("GOOGLETRANSLATE($A3535,""en"",""ko"")"),"트뢴델라그")</f>
        <v>트뢴델라그</v>
      </c>
      <c r="J3535" s="9" t="str">
        <f>IFERROR(__xludf.DUMMYFUNCTION("GOOGLETRANSLATE($A3535,""en"",""pt-BR"")"),"Trøndelag")</f>
        <v>Trøndelag</v>
      </c>
    </row>
    <row r="3536">
      <c r="A3536" s="9" t="str">
        <f>IFERROR(__xludf.DUMMYFUNCTION("""COMPUTED_VALUE"""),"Ad Dākhilīyah")</f>
        <v>Ad Dākhilīyah</v>
      </c>
      <c r="B3536" s="9" t="str">
        <f>IFERROR(__xludf.DUMMYFUNCTION("""COMPUTED_VALUE"""),"om-da")</f>
        <v>om-da</v>
      </c>
      <c r="C3536" s="9" t="str">
        <f>IFERROR(__xludf.DUMMYFUNCTION("GOOGLETRANSLATE($A3536,""en"",""de"")"),"Ad Dākhiliyah")</f>
        <v>Ad Dākhiliyah</v>
      </c>
      <c r="D3536" s="9" t="str">
        <f>IFERROR(__xludf.DUMMYFUNCTION("GOOGLETRANSLATE($A3536,""en"",""fr"")"),"Ad Dakhiliyah")</f>
        <v>Ad Dakhiliyah</v>
      </c>
      <c r="E3536" s="9" t="str">
        <f>IFERROR(__xludf.DUMMYFUNCTION("GOOGLETRANSLATE($A3536,""en"",""es"")"),"Ad Dakhiliyah")</f>
        <v>Ad Dakhiliyah</v>
      </c>
      <c r="F3536" s="9" t="str">
        <f>IFERROR(__xludf.DUMMYFUNCTION("GOOGLETRANSLATE($A3536,""en"",""it"")"),"Ad Dākhilīyah")</f>
        <v>Ad Dākhilīyah</v>
      </c>
      <c r="G3536" s="9" t="str">
        <f>IFERROR(__xludf.DUMMYFUNCTION("GOOGLETRANSLATE($A3536,""en"",""zh-cn"")"),"达赫利耶")</f>
        <v>达赫利耶</v>
      </c>
      <c r="H3536" s="9" t="str">
        <f>IFERROR(__xludf.DUMMYFUNCTION("GOOGLETRANSLATE($A3536,""en"",""ja"")"),"アド・ダーヒリーヤ")</f>
        <v>アド・ダーヒリーヤ</v>
      </c>
      <c r="I3536" s="9" t="str">
        <f>IFERROR(__xludf.DUMMYFUNCTION("GOOGLETRANSLATE($A3536,""en"",""ko"")"),"애드 다킬리야")</f>
        <v>애드 다킬리야</v>
      </c>
      <c r="J3536" s="9" t="str">
        <f>IFERROR(__xludf.DUMMYFUNCTION("GOOGLETRANSLATE($A3536,""en"",""pt-BR"")"),"Ad Dakhiliyah")</f>
        <v>Ad Dakhiliyah</v>
      </c>
    </row>
    <row r="3537">
      <c r="A3537" s="9" t="str">
        <f>IFERROR(__xludf.DUMMYFUNCTION("""COMPUTED_VALUE"""),"Musandam")</f>
        <v>Musandam</v>
      </c>
      <c r="B3537" s="9" t="str">
        <f>IFERROR(__xludf.DUMMYFUNCTION("""COMPUTED_VALUE"""),"om-mu")</f>
        <v>om-mu</v>
      </c>
      <c r="C3537" s="9" t="str">
        <f>IFERROR(__xludf.DUMMYFUNCTION("GOOGLETRANSLATE($A3537,""en"",""de"")"),"Musandam")</f>
        <v>Musandam</v>
      </c>
      <c r="D3537" s="9" t="str">
        <f>IFERROR(__xludf.DUMMYFUNCTION("GOOGLETRANSLATE($A3537,""en"",""fr"")"),"Moussandam")</f>
        <v>Moussandam</v>
      </c>
      <c r="E3537" s="9" t="str">
        <f>IFERROR(__xludf.DUMMYFUNCTION("GOOGLETRANSLATE($A3537,""en"",""es"")"),"Musandam")</f>
        <v>Musandam</v>
      </c>
      <c r="F3537" s="9" t="str">
        <f>IFERROR(__xludf.DUMMYFUNCTION("GOOGLETRANSLATE($A3537,""en"",""it"")"),"Musandam")</f>
        <v>Musandam</v>
      </c>
      <c r="G3537" s="9" t="str">
        <f>IFERROR(__xludf.DUMMYFUNCTION("GOOGLETRANSLATE($A3537,""en"",""zh-cn"")"),"穆桑达姆")</f>
        <v>穆桑达姆</v>
      </c>
      <c r="H3537" s="9" t="str">
        <f>IFERROR(__xludf.DUMMYFUNCTION("GOOGLETRANSLATE($A3537,""en"",""ja"")"),"ムサンダム")</f>
        <v>ムサンダム</v>
      </c>
      <c r="I3537" s="9" t="str">
        <f>IFERROR(__xludf.DUMMYFUNCTION("GOOGLETRANSLATE($A3537,""en"",""ko"")"),"무산담")</f>
        <v>무산담</v>
      </c>
      <c r="J3537" s="9" t="str">
        <f>IFERROR(__xludf.DUMMYFUNCTION("GOOGLETRANSLATE($A3537,""en"",""pt-BR"")"),"Musandam")</f>
        <v>Musandam</v>
      </c>
    </row>
    <row r="3538">
      <c r="A3538" s="9" t="str">
        <f>IFERROR(__xludf.DUMMYFUNCTION("""COMPUTED_VALUE"""),"Masqaţ")</f>
        <v>Masqaţ</v>
      </c>
      <c r="B3538" s="9" t="str">
        <f>IFERROR(__xludf.DUMMYFUNCTION("""COMPUTED_VALUE"""),"om-ma")</f>
        <v>om-ma</v>
      </c>
      <c r="C3538" s="9" t="str">
        <f>IFERROR(__xludf.DUMMYFUNCTION("GOOGLETRANSLATE($A3538,""en"",""de"")"),"Masqaţ")</f>
        <v>Masqaţ</v>
      </c>
      <c r="D3538" s="9" t="str">
        <f>IFERROR(__xludf.DUMMYFUNCTION("GOOGLETRANSLATE($A3538,""en"",""fr"")"),"Masqaţ")</f>
        <v>Masqaţ</v>
      </c>
      <c r="E3538" s="9" t="str">
        <f>IFERROR(__xludf.DUMMYFUNCTION("GOOGLETRANSLATE($A3538,""en"",""es"")"),"Masqaţ")</f>
        <v>Masqaţ</v>
      </c>
      <c r="F3538" s="9" t="str">
        <f>IFERROR(__xludf.DUMMYFUNCTION("GOOGLETRANSLATE($A3538,""en"",""it"")"),"Masqaţ")</f>
        <v>Masqaţ</v>
      </c>
      <c r="G3538" s="9" t="str">
        <f>IFERROR(__xludf.DUMMYFUNCTION("GOOGLETRANSLATE($A3538,""en"",""zh-cn"")"),"马斯卡特")</f>
        <v>马斯卡特</v>
      </c>
      <c r="H3538" s="9" t="str">
        <f>IFERROR(__xludf.DUMMYFUNCTION("GOOGLETRANSLATE($A3538,""en"",""ja"")"),"マスカシュ")</f>
        <v>マスカシュ</v>
      </c>
      <c r="I3538" s="9" t="str">
        <f>IFERROR(__xludf.DUMMYFUNCTION("GOOGLETRANSLATE($A3538,""en"",""ko"")"),"마스카츠")</f>
        <v>마스카츠</v>
      </c>
      <c r="J3538" s="9" t="str">
        <f>IFERROR(__xludf.DUMMYFUNCTION("GOOGLETRANSLATE($A3538,""en"",""pt-BR"")"),"Mascate")</f>
        <v>Mascate</v>
      </c>
    </row>
    <row r="3539">
      <c r="A3539" s="9" t="str">
        <f>IFERROR(__xludf.DUMMYFUNCTION("""COMPUTED_VALUE"""),"Az̧ Z̧āhirah")</f>
        <v>Az̧ Z̧āhirah</v>
      </c>
      <c r="B3539" s="9" t="str">
        <f>IFERROR(__xludf.DUMMYFUNCTION("""COMPUTED_VALUE"""),"om-za")</f>
        <v>om-za</v>
      </c>
      <c r="C3539" s="9" t="str">
        <f>IFERROR(__xludf.DUMMYFUNCTION("GOOGLETRANSLATE($A3539,""en"",""de"")"),"Az̧ Z̧āhirah")</f>
        <v>Az̧ Z̧āhirah</v>
      </c>
      <c r="D3539" s="9" t="str">
        <f>IFERROR(__xludf.DUMMYFUNCTION("GOOGLETRANSLATE($A3539,""en"",""fr"")"),"Az̧ Z̧āhirah")</f>
        <v>Az̧ Z̧āhirah</v>
      </c>
      <c r="E3539" s="9" t="str">
        <f>IFERROR(__xludf.DUMMYFUNCTION("GOOGLETRANSLATE($A3539,""en"",""es"")"),"Az̧ Z̧āhirah")</f>
        <v>Az̧ Z̧āhirah</v>
      </c>
      <c r="F3539" s="9" t="str">
        <f>IFERROR(__xludf.DUMMYFUNCTION("GOOGLETRANSLATE($A3539,""en"",""it"")"),"Az̧ Z̧āhirah")</f>
        <v>Az̧ Z̧āhirah</v>
      </c>
      <c r="G3539" s="9" t="str">
        <f>IFERROR(__xludf.DUMMYFUNCTION("GOOGLETRANSLATE($A3539,""en"",""zh-cn"")"),"Az̧ Z̧āhirah")</f>
        <v>Az̧ Z̧āhirah</v>
      </c>
      <c r="H3539" s="9" t="str">
        <f>IFERROR(__xludf.DUMMYFUNCTION("GOOGLETRANSLATE($A3539,""en"",""ja"")"),"アズー・ザヒラ")</f>
        <v>アズー・ザヒラ</v>
      </c>
      <c r="I3539" s="9" t="str">
        <f>IFERROR(__xludf.DUMMYFUNCTION("GOOGLETRANSLATE($A3539,""en"",""ko"")"),"아즈 자히라")</f>
        <v>아즈 자히라</v>
      </c>
      <c r="J3539" s="9" t="str">
        <f>IFERROR(__xludf.DUMMYFUNCTION("GOOGLETRANSLATE($A3539,""en"",""pt-BR"")"),"Az̧ Z̧āhirah")</f>
        <v>Az̧ Z̧āhirah</v>
      </c>
    </row>
    <row r="3540">
      <c r="A3540" s="9" t="str">
        <f>IFERROR(__xludf.DUMMYFUNCTION("""COMPUTED_VALUE"""),"Z̧ufār")</f>
        <v>Z̧ufār</v>
      </c>
      <c r="B3540" s="9" t="str">
        <f>IFERROR(__xludf.DUMMYFUNCTION("""COMPUTED_VALUE"""),"om-zu")</f>
        <v>om-zu</v>
      </c>
      <c r="C3540" s="9" t="str">
        <f>IFERROR(__xludf.DUMMYFUNCTION("GOOGLETRANSLATE($A3540,""en"",""de"")"),"Z̧ufār")</f>
        <v>Z̧ufār</v>
      </c>
      <c r="D3540" s="9" t="str">
        <f>IFERROR(__xludf.DUMMYFUNCTION("GOOGLETRANSLATE($A3540,""en"",""fr"")"),"Zoufar")</f>
        <v>Zoufar</v>
      </c>
      <c r="E3540" s="9" t="str">
        <f>IFERROR(__xludf.DUMMYFUNCTION("GOOGLETRANSLATE($A3540,""en"",""es"")"),"Z̧ufār")</f>
        <v>Z̧ufār</v>
      </c>
      <c r="F3540" s="9" t="str">
        <f>IFERROR(__xludf.DUMMYFUNCTION("GOOGLETRANSLATE($A3540,""en"",""it"")"),"Z̧ufār")</f>
        <v>Z̧ufār</v>
      </c>
      <c r="G3540" s="9" t="str">
        <f>IFERROR(__xludf.DUMMYFUNCTION("GOOGLETRANSLATE($A3540,""en"",""zh-cn"")"),"祖法尔")</f>
        <v>祖法尔</v>
      </c>
      <c r="H3540" s="9" t="str">
        <f>IFERROR(__xludf.DUMMYFUNCTION("GOOGLETRANSLATE($A3540,""en"",""ja"")"),"ズファール")</f>
        <v>ズファール</v>
      </c>
      <c r="I3540" s="9" t="str">
        <f>IFERROR(__xludf.DUMMYFUNCTION("GOOGLETRANSLATE($A3540,""en"",""ko"")"),"주파르")</f>
        <v>주파르</v>
      </c>
      <c r="J3540" s="9" t="str">
        <f>IFERROR(__xludf.DUMMYFUNCTION("GOOGLETRANSLATE($A3540,""en"",""pt-BR"")"),"Zufar")</f>
        <v>Zufar</v>
      </c>
    </row>
    <row r="3541">
      <c r="A3541" s="9" t="str">
        <f>IFERROR(__xludf.DUMMYFUNCTION("""COMPUTED_VALUE"""),"Al Buraymī")</f>
        <v>Al Buraymī</v>
      </c>
      <c r="B3541" s="9" t="str">
        <f>IFERROR(__xludf.DUMMYFUNCTION("""COMPUTED_VALUE"""),"om-bu")</f>
        <v>om-bu</v>
      </c>
      <c r="C3541" s="9" t="str">
        <f>IFERROR(__xludf.DUMMYFUNCTION("GOOGLETRANSLATE($A3541,""en"",""de"")"),"Al Buraymi")</f>
        <v>Al Buraymi</v>
      </c>
      <c r="D3541" s="9" t="str">
        <f>IFERROR(__xludf.DUMMYFUNCTION("GOOGLETRANSLATE($A3541,""en"",""fr"")"),"Al Buraymi")</f>
        <v>Al Buraymi</v>
      </c>
      <c r="E3541" s="9" t="str">
        <f>IFERROR(__xludf.DUMMYFUNCTION("GOOGLETRANSLATE($A3541,""en"",""es"")"),"Al Buraimi")</f>
        <v>Al Buraimi</v>
      </c>
      <c r="F3541" s="9" t="str">
        <f>IFERROR(__xludf.DUMMYFUNCTION("GOOGLETRANSLATE($A3541,""en"",""it"")"),"Al Buraymi")</f>
        <v>Al Buraymi</v>
      </c>
      <c r="G3541" s="9" t="str">
        <f>IFERROR(__xludf.DUMMYFUNCTION("GOOGLETRANSLATE($A3541,""en"",""zh-cn"")"),"布赖米省")</f>
        <v>布赖米省</v>
      </c>
      <c r="H3541" s="9" t="str">
        <f>IFERROR(__xludf.DUMMYFUNCTION("GOOGLETRANSLATE($A3541,""en"",""ja"")"),"アル ブライミー")</f>
        <v>アル ブライミー</v>
      </c>
      <c r="I3541" s="9" t="str">
        <f>IFERROR(__xludf.DUMMYFUNCTION("GOOGLETRANSLATE($A3541,""en"",""ko"")"),"알 부라이미")</f>
        <v>알 부라이미</v>
      </c>
      <c r="J3541" s="9" t="str">
        <f>IFERROR(__xludf.DUMMYFUNCTION("GOOGLETRANSLATE($A3541,""en"",""pt-BR"")"),"Al Buraymi")</f>
        <v>Al Buraymi</v>
      </c>
    </row>
    <row r="3542">
      <c r="A3542" s="9" t="str">
        <f>IFERROR(__xludf.DUMMYFUNCTION("""COMPUTED_VALUE"""),"Al Bāţinah")</f>
        <v>Al Bāţinah</v>
      </c>
      <c r="B3542" s="9" t="str">
        <f>IFERROR(__xludf.DUMMYFUNCTION("""COMPUTED_VALUE"""),"om-ba")</f>
        <v>om-ba</v>
      </c>
      <c r="C3542" s="9" t="str">
        <f>IFERROR(__xludf.DUMMYFUNCTION("GOOGLETRANSLATE($A3542,""en"",""de"")"),"Al Bāţinah")</f>
        <v>Al Bāţinah</v>
      </c>
      <c r="D3542" s="9" t="str">
        <f>IFERROR(__xludf.DUMMYFUNCTION("GOOGLETRANSLATE($A3542,""en"",""fr"")"),"Al Batinah")</f>
        <v>Al Batinah</v>
      </c>
      <c r="E3542" s="9" t="str">
        <f>IFERROR(__xludf.DUMMYFUNCTION("GOOGLETRANSLATE($A3542,""en"",""es"")"),"Al Bāţinah")</f>
        <v>Al Bāţinah</v>
      </c>
      <c r="F3542" s="9" t="str">
        <f>IFERROR(__xludf.DUMMYFUNCTION("GOOGLETRANSLATE($A3542,""en"",""it"")"),"Al Bāţinah")</f>
        <v>Al Bāţinah</v>
      </c>
      <c r="G3542" s="9" t="str">
        <f>IFERROR(__xludf.DUMMYFUNCTION("GOOGLETRANSLATE($A3542,""en"",""zh-cn"")"),"巴希纳")</f>
        <v>巴希纳</v>
      </c>
      <c r="H3542" s="9" t="str">
        <f>IFERROR(__xludf.DUMMYFUNCTION("GOOGLETRANSLATE($A3542,""en"",""ja"")"),"アル・バジナ")</f>
        <v>アル・バジナ</v>
      </c>
      <c r="I3542" s="9" t="str">
        <f>IFERROR(__xludf.DUMMYFUNCTION("GOOGLETRANSLATE($A3542,""en"",""ko"")"),"알 바티나")</f>
        <v>알 바티나</v>
      </c>
      <c r="J3542" s="9" t="str">
        <f>IFERROR(__xludf.DUMMYFUNCTION("GOOGLETRANSLATE($A3542,""en"",""pt-BR"")"),"Al Bāţinah")</f>
        <v>Al Bāţinah</v>
      </c>
    </row>
    <row r="3543">
      <c r="A3543" s="9" t="str">
        <f>IFERROR(__xludf.DUMMYFUNCTION("""COMPUTED_VALUE"""),"Ash Sharqīyah Region")</f>
        <v>Ash Sharqīyah Region</v>
      </c>
      <c r="B3543" s="9" t="str">
        <f>IFERROR(__xludf.DUMMYFUNCTION("""COMPUTED_VALUE"""),"om-sh")</f>
        <v>om-sh</v>
      </c>
      <c r="C3543" s="9" t="str">
        <f>IFERROR(__xludf.DUMMYFUNCTION("GOOGLETRANSLATE($A3543,""en"",""de"")"),"Region Asch-Scharqiyah")</f>
        <v>Region Asch-Scharqiyah</v>
      </c>
      <c r="D3543" s="9" t="str">
        <f>IFERROR(__xludf.DUMMYFUNCTION("GOOGLETRANSLATE($A3543,""en"",""fr"")"),"Région d'Ash Sharqiyah")</f>
        <v>Région d'Ash Sharqiyah</v>
      </c>
      <c r="E3543" s="9" t="str">
        <f>IFERROR(__xludf.DUMMYFUNCTION("GOOGLETRANSLATE($A3543,""en"",""es"")"),"Región de Ash Sharqīyah")</f>
        <v>Región de Ash Sharqīyah</v>
      </c>
      <c r="F3543" s="9" t="str">
        <f>IFERROR(__xludf.DUMMYFUNCTION("GOOGLETRANSLATE($A3543,""en"",""it"")"),"Regione di Ash Sharqīyah")</f>
        <v>Regione di Ash Sharqīyah</v>
      </c>
      <c r="G3543" s="9" t="str">
        <f>IFERROR(__xludf.DUMMYFUNCTION("GOOGLETRANSLATE($A3543,""en"",""zh-cn"")"),"阿什沙尔基亚地区")</f>
        <v>阿什沙尔基亚地区</v>
      </c>
      <c r="H3543" s="9" t="str">
        <f>IFERROR(__xludf.DUMMYFUNCTION("GOOGLETRANSLATE($A3543,""en"",""ja"")"),"アッシュ・シャルキーヤ地方")</f>
        <v>アッシュ・シャルキーヤ地方</v>
      </c>
      <c r="I3543" s="9" t="str">
        <f>IFERROR(__xludf.DUMMYFUNCTION("GOOGLETRANSLATE($A3543,""en"",""ko"")"),"아쉬 샤르키야 지역")</f>
        <v>아쉬 샤르키야 지역</v>
      </c>
      <c r="J3543" s="9" t="str">
        <f>IFERROR(__xludf.DUMMYFUNCTION("GOOGLETRANSLATE($A3543,""en"",""pt-BR"")"),"Região de Ash Sharqīyah")</f>
        <v>Região de Ash Sharqīyah</v>
      </c>
    </row>
    <row r="3544">
      <c r="A3544" s="9" t="str">
        <f>IFERROR(__xludf.DUMMYFUNCTION("""COMPUTED_VALUE"""),"Al Wusţá (OM)")</f>
        <v>Al Wusţá (OM)</v>
      </c>
      <c r="B3544" s="9" t="str">
        <f>IFERROR(__xludf.DUMMYFUNCTION("""COMPUTED_VALUE"""),"om-wu")</f>
        <v>om-wu</v>
      </c>
      <c r="C3544" s="9" t="str">
        <f>IFERROR(__xludf.DUMMYFUNCTION("GOOGLETRANSLATE($A3544,""en"",""de"")"),"Al Wusţá (OM)")</f>
        <v>Al Wusţá (OM)</v>
      </c>
      <c r="D3544" s="9" t="str">
        <f>IFERROR(__xludf.DUMMYFUNCTION("GOOGLETRANSLATE($A3544,""en"",""fr"")"),"Al Wusta (OM)")</f>
        <v>Al Wusta (OM)</v>
      </c>
      <c r="E3544" s="9" t="str">
        <f>IFERROR(__xludf.DUMMYFUNCTION("GOOGLETRANSLATE($A3544,""en"",""es"")"),"Al Wusţá (OM)")</f>
        <v>Al Wusţá (OM)</v>
      </c>
      <c r="F3544" s="9" t="str">
        <f>IFERROR(__xludf.DUMMYFUNCTION("GOOGLETRANSLATE($A3544,""en"",""it"")"),"Al Wustá (OM)")</f>
        <v>Al Wustá (OM)</v>
      </c>
      <c r="G3544" s="9" t="str">
        <f>IFERROR(__xludf.DUMMYFUNCTION("GOOGLETRANSLATE($A3544,""en"",""zh-cn"")"),"乌萨 (OM)")</f>
        <v>乌萨 (OM)</v>
      </c>
      <c r="H3544" s="9" t="str">
        <f>IFERROR(__xludf.DUMMYFUNCTION("GOOGLETRANSLATE($A3544,""en"",""ja"")"),"アル・ウシャ (OM)")</f>
        <v>アル・ウシャ (OM)</v>
      </c>
      <c r="I3544" s="9" t="str">
        <f>IFERROR(__xludf.DUMMYFUNCTION("GOOGLETRANSLATE($A3544,""en"",""ko"")"),"알 우자(OM)")</f>
        <v>알 우자(OM)</v>
      </c>
      <c r="J3544" s="9" t="str">
        <f>IFERROR(__xludf.DUMMYFUNCTION("GOOGLETRANSLATE($A3544,""en"",""pt-BR"")"),"Al Wusţá (OM)")</f>
        <v>Al Wusţá (OM)</v>
      </c>
    </row>
    <row r="3545">
      <c r="A3545" s="9" t="str">
        <f>IFERROR(__xludf.DUMMYFUNCTION("""COMPUTED_VALUE"""),"Khyber Pakhtunkhwa")</f>
        <v>Khyber Pakhtunkhwa</v>
      </c>
      <c r="B3545" s="9" t="str">
        <f>IFERROR(__xludf.DUMMYFUNCTION("""COMPUTED_VALUE"""),"pk-kp")</f>
        <v>pk-kp</v>
      </c>
      <c r="C3545" s="9" t="str">
        <f>IFERROR(__xludf.DUMMYFUNCTION("GOOGLETRANSLATE($A3545,""en"",""de"")"),"Khyber Pakhtunkhwa")</f>
        <v>Khyber Pakhtunkhwa</v>
      </c>
      <c r="D3545" s="9" t="str">
        <f>IFERROR(__xludf.DUMMYFUNCTION("GOOGLETRANSLATE($A3545,""en"",""fr"")"),"Khyber Pakhtunkhwa")</f>
        <v>Khyber Pakhtunkhwa</v>
      </c>
      <c r="E3545" s="9" t="str">
        <f>IFERROR(__xludf.DUMMYFUNCTION("GOOGLETRANSLATE($A3545,""en"",""es"")"),"Khyber Pakhtunkhwa")</f>
        <v>Khyber Pakhtunkhwa</v>
      </c>
      <c r="F3545" s="9" t="str">
        <f>IFERROR(__xludf.DUMMYFUNCTION("GOOGLETRANSLATE($A3545,""en"",""it"")"),"Khyber Pakhtunkhwa")</f>
        <v>Khyber Pakhtunkhwa</v>
      </c>
      <c r="G3545" s="9" t="str">
        <f>IFERROR(__xludf.DUMMYFUNCTION("GOOGLETRANSLATE($A3545,""en"",""zh-cn"")"),"开伯尔-普赫图赫瓦省")</f>
        <v>开伯尔-普赫图赫瓦省</v>
      </c>
      <c r="H3545" s="9" t="str">
        <f>IFERROR(__xludf.DUMMYFUNCTION("GOOGLETRANSLATE($A3545,""en"",""ja"")"),"カイバル・パクタンクワ")</f>
        <v>カイバル・パクタンクワ</v>
      </c>
      <c r="I3545" s="9" t="str">
        <f>IFERROR(__xludf.DUMMYFUNCTION("GOOGLETRANSLATE($A3545,""en"",""ko"")"),"키베르 파크툰크와")</f>
        <v>키베르 파크툰크와</v>
      </c>
      <c r="J3545" s="9" t="str">
        <f>IFERROR(__xludf.DUMMYFUNCTION("GOOGLETRANSLATE($A3545,""en"",""pt-BR"")"),"Khyber Pakhtunkhwa")</f>
        <v>Khyber Pakhtunkhwa</v>
      </c>
    </row>
    <row r="3546">
      <c r="A3546" s="9" t="str">
        <f>IFERROR(__xludf.DUMMYFUNCTION("""COMPUTED_VALUE"""),"Islamabad")</f>
        <v>Islamabad</v>
      </c>
      <c r="B3546" s="9" t="str">
        <f>IFERROR(__xludf.DUMMYFUNCTION("""COMPUTED_VALUE"""),"pk-is")</f>
        <v>pk-is</v>
      </c>
      <c r="C3546" s="9" t="str">
        <f>IFERROR(__xludf.DUMMYFUNCTION("GOOGLETRANSLATE($A3546,""en"",""de"")"),"Islamabad")</f>
        <v>Islamabad</v>
      </c>
      <c r="D3546" s="9" t="str">
        <f>IFERROR(__xludf.DUMMYFUNCTION("GOOGLETRANSLATE($A3546,""en"",""fr"")"),"Islamabad")</f>
        <v>Islamabad</v>
      </c>
      <c r="E3546" s="9" t="str">
        <f>IFERROR(__xludf.DUMMYFUNCTION("GOOGLETRANSLATE($A3546,""en"",""es"")"),"islamabad")</f>
        <v>islamabad</v>
      </c>
      <c r="F3546" s="9" t="str">
        <f>IFERROR(__xludf.DUMMYFUNCTION("GOOGLETRANSLATE($A3546,""en"",""it"")"),"Islamabad")</f>
        <v>Islamabad</v>
      </c>
      <c r="G3546" s="9" t="str">
        <f>IFERROR(__xludf.DUMMYFUNCTION("GOOGLETRANSLATE($A3546,""en"",""zh-cn"")"),"伊斯兰堡")</f>
        <v>伊斯兰堡</v>
      </c>
      <c r="H3546" s="9" t="str">
        <f>IFERROR(__xludf.DUMMYFUNCTION("GOOGLETRANSLATE($A3546,""en"",""ja"")"),"イスラマバード")</f>
        <v>イスラマバード</v>
      </c>
      <c r="I3546" s="9" t="str">
        <f>IFERROR(__xludf.DUMMYFUNCTION("GOOGLETRANSLATE($A3546,""en"",""ko"")"),"이슬라마바드")</f>
        <v>이슬라마바드</v>
      </c>
      <c r="J3546" s="9" t="str">
        <f>IFERROR(__xludf.DUMMYFUNCTION("GOOGLETRANSLATE($A3546,""en"",""pt-BR"")"),"Islamabade")</f>
        <v>Islamabade</v>
      </c>
    </row>
    <row r="3547">
      <c r="A3547" s="9" t="str">
        <f>IFERROR(__xludf.DUMMYFUNCTION("""COMPUTED_VALUE"""),"Punjab (PK)")</f>
        <v>Punjab (PK)</v>
      </c>
      <c r="B3547" s="9" t="str">
        <f>IFERROR(__xludf.DUMMYFUNCTION("""COMPUTED_VALUE"""),"pk-pb")</f>
        <v>pk-pb</v>
      </c>
      <c r="C3547" s="9" t="str">
        <f>IFERROR(__xludf.DUMMYFUNCTION("GOOGLETRANSLATE($A3547,""en"",""de"")"),"Punjab (PK)")</f>
        <v>Punjab (PK)</v>
      </c>
      <c r="D3547" s="9" t="str">
        <f>IFERROR(__xludf.DUMMYFUNCTION("GOOGLETRANSLATE($A3547,""en"",""fr"")"),"Pendjab (PK)")</f>
        <v>Pendjab (PK)</v>
      </c>
      <c r="E3547" s="9" t="str">
        <f>IFERROR(__xludf.DUMMYFUNCTION("GOOGLETRANSLATE($A3547,""en"",""es"")"),"Punjab (PK)")</f>
        <v>Punjab (PK)</v>
      </c>
      <c r="F3547" s="9" t="str">
        <f>IFERROR(__xludf.DUMMYFUNCTION("GOOGLETRANSLATE($A3547,""en"",""it"")"),"Punjab (PK)")</f>
        <v>Punjab (PK)</v>
      </c>
      <c r="G3547" s="9" t="str">
        <f>IFERROR(__xludf.DUMMYFUNCTION("GOOGLETRANSLATE($A3547,""en"",""zh-cn"")"),"旁遮普邦（PK）")</f>
        <v>旁遮普邦（PK）</v>
      </c>
      <c r="H3547" s="9" t="str">
        <f>IFERROR(__xludf.DUMMYFUNCTION("GOOGLETRANSLATE($A3547,""en"",""ja"")"),"パンジャーブ州 (PK)")</f>
        <v>パンジャーブ州 (PK)</v>
      </c>
      <c r="I3547" s="9" t="str">
        <f>IFERROR(__xludf.DUMMYFUNCTION("GOOGLETRANSLATE($A3547,""en"",""ko"")"),"펀자브(PK)")</f>
        <v>펀자브(PK)</v>
      </c>
      <c r="J3547" s="9" t="str">
        <f>IFERROR(__xludf.DUMMYFUNCTION("GOOGLETRANSLATE($A3547,""en"",""pt-BR"")"),"Punjab (PK)")</f>
        <v>Punjab (PK)</v>
      </c>
    </row>
    <row r="3548">
      <c r="A3548" s="9" t="str">
        <f>IFERROR(__xludf.DUMMYFUNCTION("""COMPUTED_VALUE"""),"Sindh")</f>
        <v>Sindh</v>
      </c>
      <c r="B3548" s="9" t="str">
        <f>IFERROR(__xludf.DUMMYFUNCTION("""COMPUTED_VALUE"""),"pk-sd")</f>
        <v>pk-sd</v>
      </c>
      <c r="C3548" s="9" t="str">
        <f>IFERROR(__xludf.DUMMYFUNCTION("GOOGLETRANSLATE($A3548,""en"",""de"")"),"Sindh")</f>
        <v>Sindh</v>
      </c>
      <c r="D3548" s="9" t="str">
        <f>IFERROR(__xludf.DUMMYFUNCTION("GOOGLETRANSLATE($A3548,""en"",""fr"")"),"Sind")</f>
        <v>Sind</v>
      </c>
      <c r="E3548" s="9" t="str">
        <f>IFERROR(__xludf.DUMMYFUNCTION("GOOGLETRANSLATE($A3548,""en"",""es"")"),"Sind")</f>
        <v>Sind</v>
      </c>
      <c r="F3548" s="9" t="str">
        <f>IFERROR(__xludf.DUMMYFUNCTION("GOOGLETRANSLATE($A3548,""en"",""it"")"),"Sindh")</f>
        <v>Sindh</v>
      </c>
      <c r="G3548" s="9" t="str">
        <f>IFERROR(__xludf.DUMMYFUNCTION("GOOGLETRANSLATE($A3548,""en"",""zh-cn"")"),"信德省")</f>
        <v>信德省</v>
      </c>
      <c r="H3548" s="9" t="str">
        <f>IFERROR(__xludf.DUMMYFUNCTION("GOOGLETRANSLATE($A3548,""en"",""ja"")"),"シンド州")</f>
        <v>シンド州</v>
      </c>
      <c r="I3548" s="9" t="str">
        <f>IFERROR(__xludf.DUMMYFUNCTION("GOOGLETRANSLATE($A3548,""en"",""ko"")"),"신드")</f>
        <v>신드</v>
      </c>
      <c r="J3548" s="9" t="str">
        <f>IFERROR(__xludf.DUMMYFUNCTION("GOOGLETRANSLATE($A3548,""en"",""pt-BR"")"),"Sind")</f>
        <v>Sind</v>
      </c>
    </row>
    <row r="3549">
      <c r="A3549" s="9" t="str">
        <f>IFERROR(__xludf.DUMMYFUNCTION("""COMPUTED_VALUE"""),"Gilgit-Baltistan")</f>
        <v>Gilgit-Baltistan</v>
      </c>
      <c r="B3549" s="9" t="str">
        <f>IFERROR(__xludf.DUMMYFUNCTION("""COMPUTED_VALUE"""),"pk-gb")</f>
        <v>pk-gb</v>
      </c>
      <c r="C3549" s="9" t="str">
        <f>IFERROR(__xludf.DUMMYFUNCTION("GOOGLETRANSLATE($A3549,""en"",""de"")"),"Gilgit-Baltistan")</f>
        <v>Gilgit-Baltistan</v>
      </c>
      <c r="D3549" s="9" t="str">
        <f>IFERROR(__xludf.DUMMYFUNCTION("GOOGLETRANSLATE($A3549,""en"",""fr"")"),"Gilgit-Baltistan")</f>
        <v>Gilgit-Baltistan</v>
      </c>
      <c r="E3549" s="9" t="str">
        <f>IFERROR(__xludf.DUMMYFUNCTION("GOOGLETRANSLATE($A3549,""en"",""es"")"),"Gilgit-Baltistán")</f>
        <v>Gilgit-Baltistán</v>
      </c>
      <c r="F3549" s="9" t="str">
        <f>IFERROR(__xludf.DUMMYFUNCTION("GOOGLETRANSLATE($A3549,""en"",""it"")"),"Gilgit-Baltistan")</f>
        <v>Gilgit-Baltistan</v>
      </c>
      <c r="G3549" s="9" t="str">
        <f>IFERROR(__xludf.DUMMYFUNCTION("GOOGLETRANSLATE($A3549,""en"",""zh-cn"")"),"吉尔吉特-巴尔蒂斯坦")</f>
        <v>吉尔吉特-巴尔蒂斯坦</v>
      </c>
      <c r="H3549" s="9" t="str">
        <f>IFERROR(__xludf.DUMMYFUNCTION("GOOGLETRANSLATE($A3549,""en"",""ja"")"),"ギルギット・バルティスタン州")</f>
        <v>ギルギット・バルティスタン州</v>
      </c>
      <c r="I3549" s="9" t="str">
        <f>IFERROR(__xludf.DUMMYFUNCTION("GOOGLETRANSLATE($A3549,""en"",""ko"")"),"길기트발티스탄")</f>
        <v>길기트발티스탄</v>
      </c>
      <c r="J3549" s="9" t="str">
        <f>IFERROR(__xludf.DUMMYFUNCTION("GOOGLETRANSLATE($A3549,""en"",""pt-BR"")"),"Gilgit-Baltistão")</f>
        <v>Gilgit-Baltistão</v>
      </c>
    </row>
    <row r="3550">
      <c r="A3550" s="9" t="str">
        <f>IFERROR(__xludf.DUMMYFUNCTION("""COMPUTED_VALUE"""),"Balochistan")</f>
        <v>Balochistan</v>
      </c>
      <c r="B3550" s="9" t="str">
        <f>IFERROR(__xludf.DUMMYFUNCTION("""COMPUTED_VALUE"""),"pk-ba")</f>
        <v>pk-ba</v>
      </c>
      <c r="C3550" s="9" t="str">
        <f>IFERROR(__xludf.DUMMYFUNCTION("GOOGLETRANSLATE($A3550,""en"",""de"")"),"Belutschistan")</f>
        <v>Belutschistan</v>
      </c>
      <c r="D3550" s="9" t="str">
        <f>IFERROR(__xludf.DUMMYFUNCTION("GOOGLETRANSLATE($A3550,""en"",""fr"")"),"Baloutchistan")</f>
        <v>Baloutchistan</v>
      </c>
      <c r="E3550" s="9" t="str">
        <f>IFERROR(__xludf.DUMMYFUNCTION("GOOGLETRANSLATE($A3550,""en"",""es"")"),"Baluchistán")</f>
        <v>Baluchistán</v>
      </c>
      <c r="F3550" s="9" t="str">
        <f>IFERROR(__xludf.DUMMYFUNCTION("GOOGLETRANSLATE($A3550,""en"",""it"")"),"Baluchistan")</f>
        <v>Baluchistan</v>
      </c>
      <c r="G3550" s="9" t="str">
        <f>IFERROR(__xludf.DUMMYFUNCTION("GOOGLETRANSLATE($A3550,""en"",""zh-cn"")"),"俾路支省")</f>
        <v>俾路支省</v>
      </c>
      <c r="H3550" s="9" t="str">
        <f>IFERROR(__xludf.DUMMYFUNCTION("GOOGLETRANSLATE($A3550,""en"",""ja"")"),"バロチスタン州")</f>
        <v>バロチスタン州</v>
      </c>
      <c r="I3550" s="9" t="str">
        <f>IFERROR(__xludf.DUMMYFUNCTION("GOOGLETRANSLATE($A3550,""en"",""ko"")"),"발루치스탄")</f>
        <v>발루치스탄</v>
      </c>
      <c r="J3550" s="9" t="str">
        <f>IFERROR(__xludf.DUMMYFUNCTION("GOOGLETRANSLATE($A3550,""en"",""pt-BR"")"),"Baluchistão")</f>
        <v>Baluchistão</v>
      </c>
    </row>
    <row r="3551">
      <c r="A3551" s="9" t="str">
        <f>IFERROR(__xludf.DUMMYFUNCTION("""COMPUTED_VALUE"""),"Azad Jammu and Kashmir")</f>
        <v>Azad Jammu and Kashmir</v>
      </c>
      <c r="B3551" s="9" t="str">
        <f>IFERROR(__xludf.DUMMYFUNCTION("""COMPUTED_VALUE"""),"pk-jk")</f>
        <v>pk-jk</v>
      </c>
      <c r="C3551" s="9" t="str">
        <f>IFERROR(__xludf.DUMMYFUNCTION("GOOGLETRANSLATE($A3551,""en"",""de"")"),"Azad Jammu und Kaschmir")</f>
        <v>Azad Jammu und Kaschmir</v>
      </c>
      <c r="D3551" s="9" t="str">
        <f>IFERROR(__xludf.DUMMYFUNCTION("GOOGLETRANSLATE($A3551,""en"",""fr"")"),"Azad Jammu-et-Cachemire")</f>
        <v>Azad Jammu-et-Cachemire</v>
      </c>
      <c r="E3551" s="9" t="str">
        <f>IFERROR(__xludf.DUMMYFUNCTION("GOOGLETRANSLATE($A3551,""en"",""es"")"),"Azad Jammu y Cachemira")</f>
        <v>Azad Jammu y Cachemira</v>
      </c>
      <c r="F3551" s="9" t="str">
        <f>IFERROR(__xludf.DUMMYFUNCTION("GOOGLETRANSLATE($A3551,""en"",""it"")"),"Azad Jammu e Kashmir")</f>
        <v>Azad Jammu e Kashmir</v>
      </c>
      <c r="G3551" s="9" t="str">
        <f>IFERROR(__xludf.DUMMYFUNCTION("GOOGLETRANSLATE($A3551,""en"",""zh-cn"")"),"自由查谟和克什米尔")</f>
        <v>自由查谟和克什米尔</v>
      </c>
      <c r="H3551" s="9" t="str">
        <f>IFERROR(__xludf.DUMMYFUNCTION("GOOGLETRANSLATE($A3551,""en"",""ja"")"),"アザド ジャンム &amp; カシミール")</f>
        <v>アザド ジャンム &amp; カシミール</v>
      </c>
      <c r="I3551" s="9" t="str">
        <f>IFERROR(__xludf.DUMMYFUNCTION("GOOGLETRANSLATE($A3551,""en"",""ko"")"),"아자드잠무카슈미르")</f>
        <v>아자드잠무카슈미르</v>
      </c>
      <c r="J3551" s="9" t="str">
        <f>IFERROR(__xludf.DUMMYFUNCTION("GOOGLETRANSLATE($A3551,""en"",""pt-BR"")"),"Azad Jammu e Caxemira")</f>
        <v>Azad Jammu e Caxemira</v>
      </c>
    </row>
    <row r="3552">
      <c r="A3552" s="9" t="str">
        <f>IFERROR(__xludf.DUMMYFUNCTION("""COMPUTED_VALUE"""),"Federally Administered Tribal Areas")</f>
        <v>Federally Administered Tribal Areas</v>
      </c>
      <c r="B3552" s="9" t="str">
        <f>IFERROR(__xludf.DUMMYFUNCTION("""COMPUTED_VALUE"""),"pk-ta")</f>
        <v>pk-ta</v>
      </c>
      <c r="C3552" s="9" t="str">
        <f>IFERROR(__xludf.DUMMYFUNCTION("GOOGLETRANSLATE($A3552,""en"",""de"")"),"Stammesgebiete unter Bundesverwaltung")</f>
        <v>Stammesgebiete unter Bundesverwaltung</v>
      </c>
      <c r="D3552" s="9" t="str">
        <f>IFERROR(__xludf.DUMMYFUNCTION("GOOGLETRANSLATE($A3552,""en"",""fr"")"),"Zones tribales sous administration fédérale")</f>
        <v>Zones tribales sous administration fédérale</v>
      </c>
      <c r="E3552" s="9" t="str">
        <f>IFERROR(__xludf.DUMMYFUNCTION("GOOGLETRANSLATE($A3552,""en"",""es"")"),"Áreas tribales administradas federalmente")</f>
        <v>Áreas tribales administradas federalmente</v>
      </c>
      <c r="F3552" s="9" t="str">
        <f>IFERROR(__xludf.DUMMYFUNCTION("GOOGLETRANSLATE($A3552,""en"",""it"")"),"Aree tribali ad amministrazione federale")</f>
        <v>Aree tribali ad amministrazione federale</v>
      </c>
      <c r="G3552" s="9" t="str">
        <f>IFERROR(__xludf.DUMMYFUNCTION("GOOGLETRANSLATE($A3552,""en"",""zh-cn"")"),"联邦直辖部落地区")</f>
        <v>联邦直辖部落地区</v>
      </c>
      <c r="H3552" s="9" t="str">
        <f>IFERROR(__xludf.DUMMYFUNCTION("GOOGLETRANSLATE($A3552,""en"",""ja"")"),"連邦直轄部族地域")</f>
        <v>連邦直轄部族地域</v>
      </c>
      <c r="I3552" s="9" t="str">
        <f>IFERROR(__xludf.DUMMYFUNCTION("GOOGLETRANSLATE($A3552,""en"",""ko"")"),"연방 관리 부족 지역")</f>
        <v>연방 관리 부족 지역</v>
      </c>
      <c r="J3552" s="9" t="str">
        <f>IFERROR(__xludf.DUMMYFUNCTION("GOOGLETRANSLATE($A3552,""en"",""pt-BR"")"),"Áreas Tribais Administradas Federalmente")</f>
        <v>Áreas Tribais Administradas Federalmente</v>
      </c>
    </row>
    <row r="3553">
      <c r="A3553" s="9" t="str">
        <f>IFERROR(__xludf.DUMMYFUNCTION("""COMPUTED_VALUE"""),"Ngeremlengui")</f>
        <v>Ngeremlengui</v>
      </c>
      <c r="B3553" s="9" t="str">
        <f>IFERROR(__xludf.DUMMYFUNCTION("""COMPUTED_VALUE"""),"pw-227")</f>
        <v>pw-227</v>
      </c>
      <c r="C3553" s="9" t="str">
        <f>IFERROR(__xludf.DUMMYFUNCTION("GOOGLETRANSLATE($A3553,""en"",""de"")"),"Ngeremlengui")</f>
        <v>Ngeremlengui</v>
      </c>
      <c r="D3553" s="9" t="str">
        <f>IFERROR(__xludf.DUMMYFUNCTION("GOOGLETRANSLATE($A3553,""en"",""fr"")"),"Ngeremlengui")</f>
        <v>Ngeremlengui</v>
      </c>
      <c r="E3553" s="9" t="str">
        <f>IFERROR(__xludf.DUMMYFUNCTION("GOOGLETRANSLATE($A3553,""en"",""es"")"),"Ngeremlengui")</f>
        <v>Ngeremlengui</v>
      </c>
      <c r="F3553" s="9" t="str">
        <f>IFERROR(__xludf.DUMMYFUNCTION("GOOGLETRANSLATE($A3553,""en"",""it"")"),"Ngeremlengui")</f>
        <v>Ngeremlengui</v>
      </c>
      <c r="G3553" s="9" t="str">
        <f>IFERROR(__xludf.DUMMYFUNCTION("GOOGLETRANSLATE($A3553,""en"",""zh-cn"")"),"恩格莱姆伦吉")</f>
        <v>恩格莱姆伦吉</v>
      </c>
      <c r="H3553" s="9" t="str">
        <f>IFERROR(__xludf.DUMMYFUNCTION("GOOGLETRANSLATE($A3553,""en"",""ja"")"),"ンゲレムレンギ")</f>
        <v>ンゲレムレンギ</v>
      </c>
      <c r="I3553" s="9" t="str">
        <f>IFERROR(__xludf.DUMMYFUNCTION("GOOGLETRANSLATE($A3553,""en"",""ko"")"),"응게렘렝기")</f>
        <v>응게렘렝기</v>
      </c>
      <c r="J3553" s="9" t="str">
        <f>IFERROR(__xludf.DUMMYFUNCTION("GOOGLETRANSLATE($A3553,""en"",""pt-BR"")"),"Ngeremlengui")</f>
        <v>Ngeremlengui</v>
      </c>
    </row>
    <row r="3554">
      <c r="A3554" s="9" t="str">
        <f>IFERROR(__xludf.DUMMYFUNCTION("""COMPUTED_VALUE"""),"Ngarchelong")</f>
        <v>Ngarchelong</v>
      </c>
      <c r="B3554" s="9" t="str">
        <f>IFERROR(__xludf.DUMMYFUNCTION("""COMPUTED_VALUE"""),"pw-218")</f>
        <v>pw-218</v>
      </c>
      <c r="C3554" s="9" t="str">
        <f>IFERROR(__xludf.DUMMYFUNCTION("GOOGLETRANSLATE($A3554,""en"",""de"")"),"Ngarchelong")</f>
        <v>Ngarchelong</v>
      </c>
      <c r="D3554" s="9" t="str">
        <f>IFERROR(__xludf.DUMMYFUNCTION("GOOGLETRANSLATE($A3554,""en"",""fr"")"),"Ngarchelong")</f>
        <v>Ngarchelong</v>
      </c>
      <c r="E3554" s="9" t="str">
        <f>IFERROR(__xludf.DUMMYFUNCTION("GOOGLETRANSLATE($A3554,""en"",""es"")"),"Ngarchelong")</f>
        <v>Ngarchelong</v>
      </c>
      <c r="F3554" s="9" t="str">
        <f>IFERROR(__xludf.DUMMYFUNCTION("GOOGLETRANSLATE($A3554,""en"",""it"")"),"Ngarchelong")</f>
        <v>Ngarchelong</v>
      </c>
      <c r="G3554" s="9" t="str">
        <f>IFERROR(__xludf.DUMMYFUNCTION("GOOGLETRANSLATE($A3554,""en"",""zh-cn"")"),"恩加什隆")</f>
        <v>恩加什隆</v>
      </c>
      <c r="H3554" s="9" t="str">
        <f>IFERROR(__xludf.DUMMYFUNCTION("GOOGLETRANSLATE($A3554,""en"",""ja"")"),"ンガルシュロン")</f>
        <v>ンガルシュロン</v>
      </c>
      <c r="I3554" s="9" t="str">
        <f>IFERROR(__xludf.DUMMYFUNCTION("GOOGLETRANSLATE($A3554,""en"",""ko"")"),"응가첼롱")</f>
        <v>응가첼롱</v>
      </c>
      <c r="J3554" s="9" t="str">
        <f>IFERROR(__xludf.DUMMYFUNCTION("GOOGLETRANSLATE($A3554,""en"",""pt-BR"")"),"Ngarchelong")</f>
        <v>Ngarchelong</v>
      </c>
    </row>
    <row r="3555">
      <c r="A3555" s="9" t="str">
        <f>IFERROR(__xludf.DUMMYFUNCTION("""COMPUTED_VALUE"""),"Melekeok")</f>
        <v>Melekeok</v>
      </c>
      <c r="B3555" s="9" t="str">
        <f>IFERROR(__xludf.DUMMYFUNCTION("""COMPUTED_VALUE"""),"pw-212")</f>
        <v>pw-212</v>
      </c>
      <c r="C3555" s="9" t="str">
        <f>IFERROR(__xludf.DUMMYFUNCTION("GOOGLETRANSLATE($A3555,""en"",""de"")"),"Melekeok")</f>
        <v>Melekeok</v>
      </c>
      <c r="D3555" s="9" t="str">
        <f>IFERROR(__xludf.DUMMYFUNCTION("GOOGLETRANSLATE($A3555,""en"",""fr"")"),"Mélékeok")</f>
        <v>Mélékeok</v>
      </c>
      <c r="E3555" s="9" t="str">
        <f>IFERROR(__xludf.DUMMYFUNCTION("GOOGLETRANSLATE($A3555,""en"",""es"")"),"melekeok")</f>
        <v>melekeok</v>
      </c>
      <c r="F3555" s="9" t="str">
        <f>IFERROR(__xludf.DUMMYFUNCTION("GOOGLETRANSLATE($A3555,""en"",""it"")"),"Melekeok")</f>
        <v>Melekeok</v>
      </c>
      <c r="G3555" s="9" t="str">
        <f>IFERROR(__xludf.DUMMYFUNCTION("GOOGLETRANSLATE($A3555,""en"",""zh-cn"")"),"梅莱凯奥克")</f>
        <v>梅莱凯奥克</v>
      </c>
      <c r="H3555" s="9" t="str">
        <f>IFERROR(__xludf.DUMMYFUNCTION("GOOGLETRANSLATE($A3555,""en"",""ja"")"),"マルキョク")</f>
        <v>マルキョク</v>
      </c>
      <c r="I3555" s="9" t="str">
        <f>IFERROR(__xludf.DUMMYFUNCTION("GOOGLETRANSLATE($A3555,""en"",""ko"")"),"멜레케오크")</f>
        <v>멜레케오크</v>
      </c>
      <c r="J3555" s="9" t="str">
        <f>IFERROR(__xludf.DUMMYFUNCTION("GOOGLETRANSLATE($A3555,""en"",""pt-BR"")"),"Melekok")</f>
        <v>Melekok</v>
      </c>
    </row>
    <row r="3556">
      <c r="A3556" s="9" t="str">
        <f>IFERROR(__xludf.DUMMYFUNCTION("""COMPUTED_VALUE"""),"Peleliu")</f>
        <v>Peleliu</v>
      </c>
      <c r="B3556" s="9" t="str">
        <f>IFERROR(__xludf.DUMMYFUNCTION("""COMPUTED_VALUE"""),"pw-350")</f>
        <v>pw-350</v>
      </c>
      <c r="C3556" s="9" t="str">
        <f>IFERROR(__xludf.DUMMYFUNCTION("GOOGLETRANSLATE($A3556,""en"",""de"")"),"Peleliu")</f>
        <v>Peleliu</v>
      </c>
      <c r="D3556" s="9" t="str">
        <f>IFERROR(__xludf.DUMMYFUNCTION("GOOGLETRANSLATE($A3556,""en"",""fr"")"),"Peleliou")</f>
        <v>Peleliou</v>
      </c>
      <c r="E3556" s="9" t="str">
        <f>IFERROR(__xludf.DUMMYFUNCTION("GOOGLETRANSLATE($A3556,""en"",""es"")"),"Peleliú")</f>
        <v>Peleliú</v>
      </c>
      <c r="F3556" s="9" t="str">
        <f>IFERROR(__xludf.DUMMYFUNCTION("GOOGLETRANSLATE($A3556,""en"",""it"")"),"Peleliu")</f>
        <v>Peleliu</v>
      </c>
      <c r="G3556" s="9" t="str">
        <f>IFERROR(__xludf.DUMMYFUNCTION("GOOGLETRANSLATE($A3556,""en"",""zh-cn"")"),"贝里琉州")</f>
        <v>贝里琉州</v>
      </c>
      <c r="H3556" s="9" t="str">
        <f>IFERROR(__xludf.DUMMYFUNCTION("GOOGLETRANSLATE($A3556,""en"",""ja"")"),"ペリリュー")</f>
        <v>ペリリュー</v>
      </c>
      <c r="I3556" s="9" t="str">
        <f>IFERROR(__xludf.DUMMYFUNCTION("GOOGLETRANSLATE($A3556,""en"",""ko"")"),"펠렐리우")</f>
        <v>펠렐리우</v>
      </c>
      <c r="J3556" s="9" t="str">
        <f>IFERROR(__xludf.DUMMYFUNCTION("GOOGLETRANSLATE($A3556,""en"",""pt-BR"")"),"Peleliu")</f>
        <v>Peleliu</v>
      </c>
    </row>
    <row r="3557">
      <c r="A3557" s="9" t="str">
        <f>IFERROR(__xludf.DUMMYFUNCTION("""COMPUTED_VALUE"""),"Ngiwal")</f>
        <v>Ngiwal</v>
      </c>
      <c r="B3557" s="9" t="str">
        <f>IFERROR(__xludf.DUMMYFUNCTION("""COMPUTED_VALUE"""),"pw-228")</f>
        <v>pw-228</v>
      </c>
      <c r="C3557" s="9" t="str">
        <f>IFERROR(__xludf.DUMMYFUNCTION("GOOGLETRANSLATE($A3557,""en"",""de"")"),"Ngiwal")</f>
        <v>Ngiwal</v>
      </c>
      <c r="D3557" s="9" t="str">
        <f>IFERROR(__xludf.DUMMYFUNCTION("GOOGLETRANSLATE($A3557,""en"",""fr"")"),"Ngiwal")</f>
        <v>Ngiwal</v>
      </c>
      <c r="E3557" s="9" t="str">
        <f>IFERROR(__xludf.DUMMYFUNCTION("GOOGLETRANSLATE($A3557,""en"",""es"")"),"Ngiwal")</f>
        <v>Ngiwal</v>
      </c>
      <c r="F3557" s="9" t="str">
        <f>IFERROR(__xludf.DUMMYFUNCTION("GOOGLETRANSLATE($A3557,""en"",""it"")"),"Ngiwal")</f>
        <v>Ngiwal</v>
      </c>
      <c r="G3557" s="9" t="str">
        <f>IFERROR(__xludf.DUMMYFUNCTION("GOOGLETRANSLATE($A3557,""en"",""zh-cn"")"),"恩吉瓦尔")</f>
        <v>恩吉瓦尔</v>
      </c>
      <c r="H3557" s="9" t="str">
        <f>IFERROR(__xludf.DUMMYFUNCTION("GOOGLETRANSLATE($A3557,""en"",""ja"")"),"ンギワル")</f>
        <v>ンギワル</v>
      </c>
      <c r="I3557" s="9" t="str">
        <f>IFERROR(__xludf.DUMMYFUNCTION("GOOGLETRANSLATE($A3557,""en"",""ko"")"),"응기왈")</f>
        <v>응기왈</v>
      </c>
      <c r="J3557" s="9" t="str">
        <f>IFERROR(__xludf.DUMMYFUNCTION("GOOGLETRANSLATE($A3557,""en"",""pt-BR"")"),"Ngiwal")</f>
        <v>Ngiwal</v>
      </c>
    </row>
    <row r="3558">
      <c r="A3558" s="9" t="str">
        <f>IFERROR(__xludf.DUMMYFUNCTION("""COMPUTED_VALUE"""),"Ngardmau")</f>
        <v>Ngardmau</v>
      </c>
      <c r="B3558" s="9" t="str">
        <f>IFERROR(__xludf.DUMMYFUNCTION("""COMPUTED_VALUE"""),"pw-222")</f>
        <v>pw-222</v>
      </c>
      <c r="C3558" s="9" t="str">
        <f>IFERROR(__xludf.DUMMYFUNCTION("GOOGLETRANSLATE($A3558,""en"",""de"")"),"Ngardmau")</f>
        <v>Ngardmau</v>
      </c>
      <c r="D3558" s="9" t="str">
        <f>IFERROR(__xludf.DUMMYFUNCTION("GOOGLETRANSLATE($A3558,""en"",""fr"")"),"Ngardmau")</f>
        <v>Ngardmau</v>
      </c>
      <c r="E3558" s="9" t="str">
        <f>IFERROR(__xludf.DUMMYFUNCTION("GOOGLETRANSLATE($A3558,""en"",""es"")"),"Ngardmau")</f>
        <v>Ngardmau</v>
      </c>
      <c r="F3558" s="9" t="str">
        <f>IFERROR(__xludf.DUMMYFUNCTION("GOOGLETRANSLATE($A3558,""en"",""it"")"),"Ngardmau")</f>
        <v>Ngardmau</v>
      </c>
      <c r="G3558" s="9" t="str">
        <f>IFERROR(__xludf.DUMMYFUNCTION("GOOGLETRANSLATE($A3558,""en"",""zh-cn"")"),"恩加德毛")</f>
        <v>恩加德毛</v>
      </c>
      <c r="H3558" s="9" t="str">
        <f>IFERROR(__xludf.DUMMYFUNCTION("GOOGLETRANSLATE($A3558,""en"",""ja"")"),"ンガードマウ")</f>
        <v>ンガードマウ</v>
      </c>
      <c r="I3558" s="9" t="str">
        <f>IFERROR(__xludf.DUMMYFUNCTION("GOOGLETRANSLATE($A3558,""en"",""ko"")"),"응가르드마우")</f>
        <v>응가르드마우</v>
      </c>
      <c r="J3558" s="9" t="str">
        <f>IFERROR(__xludf.DUMMYFUNCTION("GOOGLETRANSLATE($A3558,""en"",""pt-BR"")"),"Ngardmau")</f>
        <v>Ngardmau</v>
      </c>
    </row>
    <row r="3559">
      <c r="A3559" s="9" t="str">
        <f>IFERROR(__xludf.DUMMYFUNCTION("""COMPUTED_VALUE"""),"Koror")</f>
        <v>Koror</v>
      </c>
      <c r="B3559" s="9" t="str">
        <f>IFERROR(__xludf.DUMMYFUNCTION("""COMPUTED_VALUE"""),"pw-150")</f>
        <v>pw-150</v>
      </c>
      <c r="C3559" s="9" t="str">
        <f>IFERROR(__xludf.DUMMYFUNCTION("GOOGLETRANSLATE($A3559,""en"",""de"")"),"Koror")</f>
        <v>Koror</v>
      </c>
      <c r="D3559" s="9" t="str">
        <f>IFERROR(__xludf.DUMMYFUNCTION("GOOGLETRANSLATE($A3559,""en"",""fr"")"),"Koror")</f>
        <v>Koror</v>
      </c>
      <c r="E3559" s="9" t="str">
        <f>IFERROR(__xludf.DUMMYFUNCTION("GOOGLETRANSLATE($A3559,""en"",""es"")"),"Koror")</f>
        <v>Koror</v>
      </c>
      <c r="F3559" s="9" t="str">
        <f>IFERROR(__xludf.DUMMYFUNCTION("GOOGLETRANSLATE($A3559,""en"",""it"")"),"Koror")</f>
        <v>Koror</v>
      </c>
      <c r="G3559" s="9" t="str">
        <f>IFERROR(__xludf.DUMMYFUNCTION("GOOGLETRANSLATE($A3559,""en"",""zh-cn"")"),"科罗尔")</f>
        <v>科罗尔</v>
      </c>
      <c r="H3559" s="9" t="str">
        <f>IFERROR(__xludf.DUMMYFUNCTION("GOOGLETRANSLATE($A3559,""en"",""ja"")"),"コロール")</f>
        <v>コロール</v>
      </c>
      <c r="I3559" s="9" t="str">
        <f>IFERROR(__xludf.DUMMYFUNCTION("GOOGLETRANSLATE($A3559,""en"",""ko"")"),"코로르")</f>
        <v>코로르</v>
      </c>
      <c r="J3559" s="9" t="str">
        <f>IFERROR(__xludf.DUMMYFUNCTION("GOOGLETRANSLATE($A3559,""en"",""pt-BR"")"),"Koror")</f>
        <v>Koror</v>
      </c>
    </row>
    <row r="3560">
      <c r="A3560" s="9" t="str">
        <f>IFERROR(__xludf.DUMMYFUNCTION("""COMPUTED_VALUE"""),"Kayangel")</f>
        <v>Kayangel</v>
      </c>
      <c r="B3560" s="9" t="str">
        <f>IFERROR(__xludf.DUMMYFUNCTION("""COMPUTED_VALUE"""),"pw-100")</f>
        <v>pw-100</v>
      </c>
      <c r="C3560" s="9" t="str">
        <f>IFERROR(__xludf.DUMMYFUNCTION("GOOGLETRANSLATE($A3560,""en"",""de"")"),"Kayangel")</f>
        <v>Kayangel</v>
      </c>
      <c r="D3560" s="9" t="str">
        <f>IFERROR(__xludf.DUMMYFUNCTION("GOOGLETRANSLATE($A3560,""en"",""fr"")"),"Kayangel")</f>
        <v>Kayangel</v>
      </c>
      <c r="E3560" s="9" t="str">
        <f>IFERROR(__xludf.DUMMYFUNCTION("GOOGLETRANSLATE($A3560,""en"",""es"")"),"kayangel")</f>
        <v>kayangel</v>
      </c>
      <c r="F3560" s="9" t="str">
        <f>IFERROR(__xludf.DUMMYFUNCTION("GOOGLETRANSLATE($A3560,""en"",""it"")"),"Kayangel")</f>
        <v>Kayangel</v>
      </c>
      <c r="G3560" s="9" t="str">
        <f>IFERROR(__xludf.DUMMYFUNCTION("GOOGLETRANSLATE($A3560,""en"",""zh-cn"")"),"卡扬格尔")</f>
        <v>卡扬格尔</v>
      </c>
      <c r="H3560" s="9" t="str">
        <f>IFERROR(__xludf.DUMMYFUNCTION("GOOGLETRANSLATE($A3560,""en"",""ja"")"),"カヤンゲル")</f>
        <v>カヤンゲル</v>
      </c>
      <c r="I3560" s="9" t="str">
        <f>IFERROR(__xludf.DUMMYFUNCTION("GOOGLETRANSLATE($A3560,""en"",""ko"")"),"카양겔")</f>
        <v>카양겔</v>
      </c>
      <c r="J3560" s="9" t="str">
        <f>IFERROR(__xludf.DUMMYFUNCTION("GOOGLETRANSLATE($A3560,""en"",""pt-BR"")"),"Kayangel")</f>
        <v>Kayangel</v>
      </c>
    </row>
    <row r="3561">
      <c r="A3561" s="9" t="str">
        <f>IFERROR(__xludf.DUMMYFUNCTION("""COMPUTED_VALUE"""),"Sonsorol")</f>
        <v>Sonsorol</v>
      </c>
      <c r="B3561" s="9" t="str">
        <f>IFERROR(__xludf.DUMMYFUNCTION("""COMPUTED_VALUE"""),"pw-370")</f>
        <v>pw-370</v>
      </c>
      <c r="C3561" s="9" t="str">
        <f>IFERROR(__xludf.DUMMYFUNCTION("GOOGLETRANSLATE($A3561,""en"",""de"")"),"Sonsorol")</f>
        <v>Sonsorol</v>
      </c>
      <c r="D3561" s="9" t="str">
        <f>IFERROR(__xludf.DUMMYFUNCTION("GOOGLETRANSLATE($A3561,""en"",""fr"")"),"Sonsorol")</f>
        <v>Sonsorol</v>
      </c>
      <c r="E3561" s="9" t="str">
        <f>IFERROR(__xludf.DUMMYFUNCTION("GOOGLETRANSLATE($A3561,""en"",""es"")"),"sonsorol")</f>
        <v>sonsorol</v>
      </c>
      <c r="F3561" s="9" t="str">
        <f>IFERROR(__xludf.DUMMYFUNCTION("GOOGLETRANSLATE($A3561,""en"",""it"")"),"Sonsorol")</f>
        <v>Sonsorol</v>
      </c>
      <c r="G3561" s="9" t="str">
        <f>IFERROR(__xludf.DUMMYFUNCTION("GOOGLETRANSLATE($A3561,""en"",""zh-cn"")"),"松索罗")</f>
        <v>松索罗</v>
      </c>
      <c r="H3561" s="9" t="str">
        <f>IFERROR(__xludf.DUMMYFUNCTION("GOOGLETRANSLATE($A3561,""en"",""ja"")"),"ソンソロール")</f>
        <v>ソンソロール</v>
      </c>
      <c r="I3561" s="9" t="str">
        <f>IFERROR(__xludf.DUMMYFUNCTION("GOOGLETRANSLATE($A3561,""en"",""ko"")"),"손소롤")</f>
        <v>손소롤</v>
      </c>
      <c r="J3561" s="9" t="str">
        <f>IFERROR(__xludf.DUMMYFUNCTION("GOOGLETRANSLATE($A3561,""en"",""pt-BR"")"),"Sonsorol")</f>
        <v>Sonsorol</v>
      </c>
    </row>
    <row r="3562">
      <c r="A3562" s="9" t="str">
        <f>IFERROR(__xludf.DUMMYFUNCTION("""COMPUTED_VALUE"""),"Airai")</f>
        <v>Airai</v>
      </c>
      <c r="B3562" s="9" t="str">
        <f>IFERROR(__xludf.DUMMYFUNCTION("""COMPUTED_VALUE"""),"pw-004")</f>
        <v>pw-004</v>
      </c>
      <c r="C3562" s="9" t="str">
        <f>IFERROR(__xludf.DUMMYFUNCTION("GOOGLETRANSLATE($A3562,""en"",""de"")"),"Airai")</f>
        <v>Airai</v>
      </c>
      <c r="D3562" s="9" t="str">
        <f>IFERROR(__xludf.DUMMYFUNCTION("GOOGLETRANSLATE($A3562,""en"",""fr"")"),"Airaï")</f>
        <v>Airaï</v>
      </c>
      <c r="E3562" s="9" t="str">
        <f>IFERROR(__xludf.DUMMYFUNCTION("GOOGLETRANSLATE($A3562,""en"",""es"")"),"Airai")</f>
        <v>Airai</v>
      </c>
      <c r="F3562" s="9" t="str">
        <f>IFERROR(__xludf.DUMMYFUNCTION("GOOGLETRANSLATE($A3562,""en"",""it"")"),"Airai")</f>
        <v>Airai</v>
      </c>
      <c r="G3562" s="9" t="str">
        <f>IFERROR(__xludf.DUMMYFUNCTION("GOOGLETRANSLATE($A3562,""en"",""zh-cn"")"),"艾拉伊")</f>
        <v>艾拉伊</v>
      </c>
      <c r="H3562" s="9" t="str">
        <f>IFERROR(__xludf.DUMMYFUNCTION("GOOGLETRANSLATE($A3562,""en"",""ja"")"),"アイライ")</f>
        <v>アイライ</v>
      </c>
      <c r="I3562" s="9" t="str">
        <f>IFERROR(__xludf.DUMMYFUNCTION("GOOGLETRANSLATE($A3562,""en"",""ko"")"),"아이라이")</f>
        <v>아이라이</v>
      </c>
      <c r="J3562" s="9" t="str">
        <f>IFERROR(__xludf.DUMMYFUNCTION("GOOGLETRANSLATE($A3562,""en"",""pt-BR"")"),"Airai")</f>
        <v>Airai</v>
      </c>
    </row>
    <row r="3563">
      <c r="A3563" s="9" t="str">
        <f>IFERROR(__xludf.DUMMYFUNCTION("""COMPUTED_VALUE"""),"Ngchesar")</f>
        <v>Ngchesar</v>
      </c>
      <c r="B3563" s="9" t="str">
        <f>IFERROR(__xludf.DUMMYFUNCTION("""COMPUTED_VALUE"""),"pw-226")</f>
        <v>pw-226</v>
      </c>
      <c r="C3563" s="9" t="str">
        <f>IFERROR(__xludf.DUMMYFUNCTION("GOOGLETRANSLATE($A3563,""en"",""de"")"),"Ngchesar")</f>
        <v>Ngchesar</v>
      </c>
      <c r="D3563" s="9" t="str">
        <f>IFERROR(__xludf.DUMMYFUNCTION("GOOGLETRANSLATE($A3563,""en"",""fr"")"),"Ngchesar")</f>
        <v>Ngchesar</v>
      </c>
      <c r="E3563" s="9" t="str">
        <f>IFERROR(__xludf.DUMMYFUNCTION("GOOGLETRANSLATE($A3563,""en"",""es"")"),"Ngchesar")</f>
        <v>Ngchesar</v>
      </c>
      <c r="F3563" s="9" t="str">
        <f>IFERROR(__xludf.DUMMYFUNCTION("GOOGLETRANSLATE($A3563,""en"",""it"")"),"Ngchesar")</f>
        <v>Ngchesar</v>
      </c>
      <c r="G3563" s="9" t="str">
        <f>IFERROR(__xludf.DUMMYFUNCTION("GOOGLETRANSLATE($A3563,""en"",""zh-cn"")"),"恩切萨尔")</f>
        <v>恩切萨尔</v>
      </c>
      <c r="H3563" s="9" t="str">
        <f>IFERROR(__xludf.DUMMYFUNCTION("GOOGLETRANSLATE($A3563,""en"",""ja"")"),"ンチェサル")</f>
        <v>ンチェサル</v>
      </c>
      <c r="I3563" s="9" t="str">
        <f>IFERROR(__xludf.DUMMYFUNCTION("GOOGLETRANSLATE($A3563,""en"",""ko"")"),"응체사르")</f>
        <v>응체사르</v>
      </c>
      <c r="J3563" s="9" t="str">
        <f>IFERROR(__xludf.DUMMYFUNCTION("GOOGLETRANSLATE($A3563,""en"",""pt-BR"")"),"Ngchesar")</f>
        <v>Ngchesar</v>
      </c>
    </row>
    <row r="3564">
      <c r="A3564" s="9" t="str">
        <f>IFERROR(__xludf.DUMMYFUNCTION("""COMPUTED_VALUE"""),"Ngatpang")</f>
        <v>Ngatpang</v>
      </c>
      <c r="B3564" s="9" t="str">
        <f>IFERROR(__xludf.DUMMYFUNCTION("""COMPUTED_VALUE"""),"pw-224")</f>
        <v>pw-224</v>
      </c>
      <c r="C3564" s="9" t="str">
        <f>IFERROR(__xludf.DUMMYFUNCTION("GOOGLETRANSLATE($A3564,""en"",""de"")"),"Ngatpang")</f>
        <v>Ngatpang</v>
      </c>
      <c r="D3564" s="9" t="str">
        <f>IFERROR(__xludf.DUMMYFUNCTION("GOOGLETRANSLATE($A3564,""en"",""fr"")"),"Ngatpang")</f>
        <v>Ngatpang</v>
      </c>
      <c r="E3564" s="9" t="str">
        <f>IFERROR(__xludf.DUMMYFUNCTION("GOOGLETRANSLATE($A3564,""en"",""es"")"),"Ngatpang")</f>
        <v>Ngatpang</v>
      </c>
      <c r="F3564" s="9" t="str">
        <f>IFERROR(__xludf.DUMMYFUNCTION("GOOGLETRANSLATE($A3564,""en"",""it"")"),"Ngatpang")</f>
        <v>Ngatpang</v>
      </c>
      <c r="G3564" s="9" t="str">
        <f>IFERROR(__xludf.DUMMYFUNCTION("GOOGLETRANSLATE($A3564,""en"",""zh-cn"")"),"雅邦")</f>
        <v>雅邦</v>
      </c>
      <c r="H3564" s="9" t="str">
        <f>IFERROR(__xludf.DUMMYFUNCTION("GOOGLETRANSLATE($A3564,""en"",""ja"")"),"ガッパン")</f>
        <v>ガッパン</v>
      </c>
      <c r="I3564" s="9" t="str">
        <f>IFERROR(__xludf.DUMMYFUNCTION("GOOGLETRANSLATE($A3564,""en"",""ko"")"),"응가팡")</f>
        <v>응가팡</v>
      </c>
      <c r="J3564" s="9" t="str">
        <f>IFERROR(__xludf.DUMMYFUNCTION("GOOGLETRANSLATE($A3564,""en"",""pt-BR"")"),"Ngatpang")</f>
        <v>Ngatpang</v>
      </c>
    </row>
    <row r="3565">
      <c r="A3565" s="9" t="str">
        <f>IFERROR(__xludf.DUMMYFUNCTION("""COMPUTED_VALUE"""),"Ngaraard")</f>
        <v>Ngaraard</v>
      </c>
      <c r="B3565" s="9" t="str">
        <f>IFERROR(__xludf.DUMMYFUNCTION("""COMPUTED_VALUE"""),"pw-214")</f>
        <v>pw-214</v>
      </c>
      <c r="C3565" s="9" t="str">
        <f>IFERROR(__xludf.DUMMYFUNCTION("GOOGLETRANSLATE($A3565,""en"",""de"")"),"Ngaraard")</f>
        <v>Ngaraard</v>
      </c>
      <c r="D3565" s="9" t="str">
        <f>IFERROR(__xludf.DUMMYFUNCTION("GOOGLETRANSLATE($A3565,""en"",""fr"")"),"Ngaraard")</f>
        <v>Ngaraard</v>
      </c>
      <c r="E3565" s="9" t="str">
        <f>IFERROR(__xludf.DUMMYFUNCTION("GOOGLETRANSLATE($A3565,""en"",""es"")"),"Ngaraard")</f>
        <v>Ngaraard</v>
      </c>
      <c r="F3565" s="9" t="str">
        <f>IFERROR(__xludf.DUMMYFUNCTION("GOOGLETRANSLATE($A3565,""en"",""it"")"),"Ngaraard")</f>
        <v>Ngaraard</v>
      </c>
      <c r="G3565" s="9" t="str">
        <f>IFERROR(__xludf.DUMMYFUNCTION("GOOGLETRANSLATE($A3565,""en"",""zh-cn"")"),"恩加拉德")</f>
        <v>恩加拉德</v>
      </c>
      <c r="H3565" s="9" t="str">
        <f>IFERROR(__xludf.DUMMYFUNCTION("GOOGLETRANSLATE($A3565,""en"",""ja"")"),"ンガラード")</f>
        <v>ンガラード</v>
      </c>
      <c r="I3565" s="9" t="str">
        <f>IFERROR(__xludf.DUMMYFUNCTION("GOOGLETRANSLATE($A3565,""en"",""ko"")"),"응가라드")</f>
        <v>응가라드</v>
      </c>
      <c r="J3565" s="9" t="str">
        <f>IFERROR(__xludf.DUMMYFUNCTION("GOOGLETRANSLATE($A3565,""en"",""pt-BR"")"),"Ngaraard")</f>
        <v>Ngaraard</v>
      </c>
    </row>
    <row r="3566">
      <c r="A3566" s="9" t="str">
        <f>IFERROR(__xludf.DUMMYFUNCTION("""COMPUTED_VALUE"""),"Aimeliik")</f>
        <v>Aimeliik</v>
      </c>
      <c r="B3566" s="9" t="str">
        <f>IFERROR(__xludf.DUMMYFUNCTION("""COMPUTED_VALUE"""),"pw-002")</f>
        <v>pw-002</v>
      </c>
      <c r="C3566" s="9" t="str">
        <f>IFERROR(__xludf.DUMMYFUNCTION("GOOGLETRANSLATE($A3566,""en"",""de"")"),"Aimeliik")</f>
        <v>Aimeliik</v>
      </c>
      <c r="D3566" s="9" t="str">
        <f>IFERROR(__xludf.DUMMYFUNCTION("GOOGLETRANSLATE($A3566,""en"",""fr"")"),"Aimeliik")</f>
        <v>Aimeliik</v>
      </c>
      <c r="E3566" s="9" t="str">
        <f>IFERROR(__xludf.DUMMYFUNCTION("GOOGLETRANSLATE($A3566,""en"",""es"")"),"aimeliik")</f>
        <v>aimeliik</v>
      </c>
      <c r="F3566" s="9" t="str">
        <f>IFERROR(__xludf.DUMMYFUNCTION("GOOGLETRANSLATE($A3566,""en"",""it"")"),"Aimeliik")</f>
        <v>Aimeliik</v>
      </c>
      <c r="G3566" s="9" t="str">
        <f>IFERROR(__xludf.DUMMYFUNCTION("GOOGLETRANSLATE($A3566,""en"",""zh-cn"")"),"艾梅利克")</f>
        <v>艾梅利克</v>
      </c>
      <c r="H3566" s="9" t="str">
        <f>IFERROR(__xludf.DUMMYFUNCTION("GOOGLETRANSLATE($A3566,""en"",""ja"")"),"アイメリク")</f>
        <v>アイメリク</v>
      </c>
      <c r="I3566" s="9" t="str">
        <f>IFERROR(__xludf.DUMMYFUNCTION("GOOGLETRANSLATE($A3566,""en"",""ko"")"),"아이멜리크")</f>
        <v>아이멜리크</v>
      </c>
      <c r="J3566" s="9" t="str">
        <f>IFERROR(__xludf.DUMMYFUNCTION("GOOGLETRANSLATE($A3566,""en"",""pt-BR"")"),"Aimeliik")</f>
        <v>Aimeliik</v>
      </c>
    </row>
    <row r="3567">
      <c r="A3567" s="9" t="str">
        <f>IFERROR(__xludf.DUMMYFUNCTION("""COMPUTED_VALUE"""),"Hatobohei")</f>
        <v>Hatobohei</v>
      </c>
      <c r="B3567" s="9" t="str">
        <f>IFERROR(__xludf.DUMMYFUNCTION("""COMPUTED_VALUE"""),"pw-050")</f>
        <v>pw-050</v>
      </c>
      <c r="C3567" s="9" t="str">
        <f>IFERROR(__xludf.DUMMYFUNCTION("GOOGLETRANSLATE($A3567,""en"",""de"")"),"Hatobohei")</f>
        <v>Hatobohei</v>
      </c>
      <c r="D3567" s="9" t="str">
        <f>IFERROR(__xludf.DUMMYFUNCTION("GOOGLETRANSLATE($A3567,""en"",""fr"")"),"Hatobohei")</f>
        <v>Hatobohei</v>
      </c>
      <c r="E3567" s="9" t="str">
        <f>IFERROR(__xludf.DUMMYFUNCTION("GOOGLETRANSLATE($A3567,""en"",""es"")"),"hatobohei")</f>
        <v>hatobohei</v>
      </c>
      <c r="F3567" s="9" t="str">
        <f>IFERROR(__xludf.DUMMYFUNCTION("GOOGLETRANSLATE($A3567,""en"",""it"")"),"Hatobohei")</f>
        <v>Hatobohei</v>
      </c>
      <c r="G3567" s="9" t="str">
        <f>IFERROR(__xludf.DUMMYFUNCTION("GOOGLETRANSLATE($A3567,""en"",""zh-cn"")"),"鸠平")</f>
        <v>鸠平</v>
      </c>
      <c r="H3567" s="9" t="str">
        <f>IFERROR(__xludf.DUMMYFUNCTION("GOOGLETRANSLATE($A3567,""en"",""ja"")"),"ハトボヘイ")</f>
        <v>ハトボヘイ</v>
      </c>
      <c r="I3567" s="9" t="str">
        <f>IFERROR(__xludf.DUMMYFUNCTION("GOOGLETRANSLATE($A3567,""en"",""ko"")"),"하토보헤이")</f>
        <v>하토보헤이</v>
      </c>
      <c r="J3567" s="9" t="str">
        <f>IFERROR(__xludf.DUMMYFUNCTION("GOOGLETRANSLATE($A3567,""en"",""pt-BR"")"),"Hatobohei")</f>
        <v>Hatobohei</v>
      </c>
    </row>
    <row r="3568">
      <c r="A3568" s="9" t="str">
        <f>IFERROR(__xludf.DUMMYFUNCTION("""COMPUTED_VALUE"""),"Angaur")</f>
        <v>Angaur</v>
      </c>
      <c r="B3568" s="9" t="str">
        <f>IFERROR(__xludf.DUMMYFUNCTION("""COMPUTED_VALUE"""),"pw-010")</f>
        <v>pw-010</v>
      </c>
      <c r="C3568" s="9" t="str">
        <f>IFERROR(__xludf.DUMMYFUNCTION("GOOGLETRANSLATE($A3568,""en"",""de"")"),"Angaur")</f>
        <v>Angaur</v>
      </c>
      <c r="D3568" s="9" t="str">
        <f>IFERROR(__xludf.DUMMYFUNCTION("GOOGLETRANSLATE($A3568,""en"",""fr"")"),"Angaur")</f>
        <v>Angaur</v>
      </c>
      <c r="E3568" s="9" t="str">
        <f>IFERROR(__xludf.DUMMYFUNCTION("GOOGLETRANSLATE($A3568,""en"",""es"")"),"angar")</f>
        <v>angar</v>
      </c>
      <c r="F3568" s="9" t="str">
        <f>IFERROR(__xludf.DUMMYFUNCTION("GOOGLETRANSLATE($A3568,""en"",""it"")"),"Angaur")</f>
        <v>Angaur</v>
      </c>
      <c r="G3568" s="9" t="str">
        <f>IFERROR(__xludf.DUMMYFUNCTION("GOOGLETRANSLATE($A3568,""en"",""zh-cn"")"),"安加尔")</f>
        <v>安加尔</v>
      </c>
      <c r="H3568" s="9" t="str">
        <f>IFERROR(__xludf.DUMMYFUNCTION("GOOGLETRANSLATE($A3568,""en"",""ja"")"),"アンガウル")</f>
        <v>アンガウル</v>
      </c>
      <c r="I3568" s="9" t="str">
        <f>IFERROR(__xludf.DUMMYFUNCTION("GOOGLETRANSLATE($A3568,""en"",""ko"")"),"앙가우르")</f>
        <v>앙가우르</v>
      </c>
      <c r="J3568" s="9" t="str">
        <f>IFERROR(__xludf.DUMMYFUNCTION("GOOGLETRANSLATE($A3568,""en"",""pt-BR"")"),"Angaur")</f>
        <v>Angaur</v>
      </c>
    </row>
    <row r="3569">
      <c r="A3569" s="9" t="str">
        <f>IFERROR(__xludf.DUMMYFUNCTION("""COMPUTED_VALUE"""),"Panamá")</f>
        <v>Panamá</v>
      </c>
      <c r="B3569" s="9" t="str">
        <f>IFERROR(__xludf.DUMMYFUNCTION("""COMPUTED_VALUE"""),"pa-8")</f>
        <v>pa-8</v>
      </c>
      <c r="C3569" s="9" t="str">
        <f>IFERROR(__xludf.DUMMYFUNCTION("GOOGLETRANSLATE($A3569,""en"",""de"")"),"Panama")</f>
        <v>Panama</v>
      </c>
      <c r="D3569" s="9" t="str">
        <f>IFERROR(__xludf.DUMMYFUNCTION("GOOGLETRANSLATE($A3569,""en"",""fr"")"),"Panama")</f>
        <v>Panama</v>
      </c>
      <c r="E3569" s="9" t="str">
        <f>IFERROR(__xludf.DUMMYFUNCTION("GOOGLETRANSLATE($A3569,""en"",""es"")"),"Panamá")</f>
        <v>Panamá</v>
      </c>
      <c r="F3569" s="9" t="str">
        <f>IFERROR(__xludf.DUMMYFUNCTION("GOOGLETRANSLATE($A3569,""en"",""it"")"),"Panama")</f>
        <v>Panama</v>
      </c>
      <c r="G3569" s="9" t="str">
        <f>IFERROR(__xludf.DUMMYFUNCTION("GOOGLETRANSLATE($A3569,""en"",""zh-cn"")"),"巴拿马")</f>
        <v>巴拿马</v>
      </c>
      <c r="H3569" s="9" t="str">
        <f>IFERROR(__xludf.DUMMYFUNCTION("GOOGLETRANSLATE($A3569,""en"",""ja"")"),"パナマ")</f>
        <v>パナマ</v>
      </c>
      <c r="I3569" s="9" t="str">
        <f>IFERROR(__xludf.DUMMYFUNCTION("GOOGLETRANSLATE($A3569,""en"",""ko"")"),"파나마")</f>
        <v>파나마</v>
      </c>
      <c r="J3569" s="9" t="str">
        <f>IFERROR(__xludf.DUMMYFUNCTION("GOOGLETRANSLATE($A3569,""en"",""pt-BR"")"),"Panamá")</f>
        <v>Panamá</v>
      </c>
    </row>
    <row r="3570">
      <c r="A3570" s="9" t="str">
        <f>IFERROR(__xludf.DUMMYFUNCTION("""COMPUTED_VALUE"""),"Coclé")</f>
        <v>Coclé</v>
      </c>
      <c r="B3570" s="9" t="str">
        <f>IFERROR(__xludf.DUMMYFUNCTION("""COMPUTED_VALUE"""),"pa-2")</f>
        <v>pa-2</v>
      </c>
      <c r="C3570" s="9" t="str">
        <f>IFERROR(__xludf.DUMMYFUNCTION("GOOGLETRANSLATE($A3570,""en"",""de"")"),"Coclé")</f>
        <v>Coclé</v>
      </c>
      <c r="D3570" s="9" t="str">
        <f>IFERROR(__xludf.DUMMYFUNCTION("GOOGLETRANSLATE($A3570,""en"",""fr"")"),"Coclé")</f>
        <v>Coclé</v>
      </c>
      <c r="E3570" s="9" t="str">
        <f>IFERROR(__xludf.DUMMYFUNCTION("GOOGLETRANSLATE($A3570,""en"",""es"")"),"Coclé")</f>
        <v>Coclé</v>
      </c>
      <c r="F3570" s="9" t="str">
        <f>IFERROR(__xludf.DUMMYFUNCTION("GOOGLETRANSLATE($A3570,""en"",""it"")"),"Coclè")</f>
        <v>Coclè</v>
      </c>
      <c r="G3570" s="9" t="str">
        <f>IFERROR(__xludf.DUMMYFUNCTION("GOOGLETRANSLATE($A3570,""en"",""zh-cn"")"),"科克莱")</f>
        <v>科克莱</v>
      </c>
      <c r="H3570" s="9" t="str">
        <f>IFERROR(__xludf.DUMMYFUNCTION("GOOGLETRANSLATE($A3570,""en"",""ja"")"),"コクレ")</f>
        <v>コクレ</v>
      </c>
      <c r="I3570" s="9" t="str">
        <f>IFERROR(__xludf.DUMMYFUNCTION("GOOGLETRANSLATE($A3570,""en"",""ko"")"),"코클레")</f>
        <v>코클레</v>
      </c>
      <c r="J3570" s="9" t="str">
        <f>IFERROR(__xludf.DUMMYFUNCTION("GOOGLETRANSLATE($A3570,""en"",""pt-BR"")"),"Coclé")</f>
        <v>Coclé</v>
      </c>
    </row>
    <row r="3571">
      <c r="A3571" s="9" t="str">
        <f>IFERROR(__xludf.DUMMYFUNCTION("""COMPUTED_VALUE"""),"Veraguas")</f>
        <v>Veraguas</v>
      </c>
      <c r="B3571" s="9" t="str">
        <f>IFERROR(__xludf.DUMMYFUNCTION("""COMPUTED_VALUE"""),"pa-9")</f>
        <v>pa-9</v>
      </c>
      <c r="C3571" s="9" t="str">
        <f>IFERROR(__xludf.DUMMYFUNCTION("GOOGLETRANSLATE($A3571,""en"",""de"")"),"Veraguas")</f>
        <v>Veraguas</v>
      </c>
      <c r="D3571" s="9" t="str">
        <f>IFERROR(__xludf.DUMMYFUNCTION("GOOGLETRANSLATE($A3571,""en"",""fr"")"),"Veraguas")</f>
        <v>Veraguas</v>
      </c>
      <c r="E3571" s="9" t="str">
        <f>IFERROR(__xludf.DUMMYFUNCTION("GOOGLETRANSLATE($A3571,""en"",""es"")"),"Veraguas")</f>
        <v>Veraguas</v>
      </c>
      <c r="F3571" s="9" t="str">
        <f>IFERROR(__xludf.DUMMYFUNCTION("GOOGLETRANSLATE($A3571,""en"",""it"")"),"Veraguas")</f>
        <v>Veraguas</v>
      </c>
      <c r="G3571" s="9" t="str">
        <f>IFERROR(__xludf.DUMMYFUNCTION("GOOGLETRANSLATE($A3571,""en"",""zh-cn"")"),"贝拉瓜斯")</f>
        <v>贝拉瓜斯</v>
      </c>
      <c r="H3571" s="9" t="str">
        <f>IFERROR(__xludf.DUMMYFUNCTION("GOOGLETRANSLATE($A3571,""en"",""ja"")"),"ベラグアス")</f>
        <v>ベラグアス</v>
      </c>
      <c r="I3571" s="9" t="str">
        <f>IFERROR(__xludf.DUMMYFUNCTION("GOOGLETRANSLATE($A3571,""en"",""ko"")"),"베라과스")</f>
        <v>베라과스</v>
      </c>
      <c r="J3571" s="9" t="str">
        <f>IFERROR(__xludf.DUMMYFUNCTION("GOOGLETRANSLATE($A3571,""en"",""pt-BR"")"),"Veráguas")</f>
        <v>Veráguas</v>
      </c>
    </row>
    <row r="3572">
      <c r="A3572" s="9" t="str">
        <f>IFERROR(__xludf.DUMMYFUNCTION("""COMPUTED_VALUE"""),"Panamá Oeste")</f>
        <v>Panamá Oeste</v>
      </c>
      <c r="B3572" s="9" t="str">
        <f>IFERROR(__xludf.DUMMYFUNCTION("""COMPUTED_VALUE"""),"pa-10")</f>
        <v>pa-10</v>
      </c>
      <c r="C3572" s="9" t="str">
        <f>IFERROR(__xludf.DUMMYFUNCTION("GOOGLETRANSLATE($A3572,""en"",""de"")"),"Panama Ost")</f>
        <v>Panama Ost</v>
      </c>
      <c r="D3572" s="9" t="str">
        <f>IFERROR(__xludf.DUMMYFUNCTION("GOOGLETRANSLATE($A3572,""en"",""fr"")"),"Panama Ouest")</f>
        <v>Panama Ouest</v>
      </c>
      <c r="E3572" s="9" t="str">
        <f>IFERROR(__xludf.DUMMYFUNCTION("GOOGLETRANSLATE($A3572,""en"",""es"")"),"Panamá Oeste")</f>
        <v>Panamá Oeste</v>
      </c>
      <c r="F3572" s="9" t="str">
        <f>IFERROR(__xludf.DUMMYFUNCTION("GOOGLETRANSLATE($A3572,""en"",""it"")"),"Panama Oeste")</f>
        <v>Panama Oeste</v>
      </c>
      <c r="G3572" s="9" t="str">
        <f>IFERROR(__xludf.DUMMYFUNCTION("GOOGLETRANSLATE($A3572,""en"",""zh-cn"")"),"巴拿马西部")</f>
        <v>巴拿马西部</v>
      </c>
      <c r="H3572" s="9" t="str">
        <f>IFERROR(__xludf.DUMMYFUNCTION("GOOGLETRANSLATE($A3572,""en"",""ja"")"),"パナマ オエステ")</f>
        <v>パナマ オエステ</v>
      </c>
      <c r="I3572" s="9" t="str">
        <f>IFERROR(__xludf.DUMMYFUNCTION("GOOGLETRANSLATE($A3572,""en"",""ko"")"),"파나마 오에스테")</f>
        <v>파나마 오에스테</v>
      </c>
      <c r="J3572" s="9" t="str">
        <f>IFERROR(__xludf.DUMMYFUNCTION("GOOGLETRANSLATE($A3572,""en"",""pt-BR"")"),"Panamá Oeste")</f>
        <v>Panamá Oeste</v>
      </c>
    </row>
    <row r="3573">
      <c r="A3573" s="9" t="str">
        <f>IFERROR(__xludf.DUMMYFUNCTION("""COMPUTED_VALUE"""),"Colón (PA)")</f>
        <v>Colón (PA)</v>
      </c>
      <c r="B3573" s="9" t="str">
        <f>IFERROR(__xludf.DUMMYFUNCTION("""COMPUTED_VALUE"""),"pa-3")</f>
        <v>pa-3</v>
      </c>
      <c r="C3573" s="9" t="str">
        <f>IFERROR(__xludf.DUMMYFUNCTION("GOOGLETRANSLATE($A3573,""en"",""de"")"),"Colón (PA)")</f>
        <v>Colón (PA)</v>
      </c>
      <c r="D3573" s="9" t="str">
        <f>IFERROR(__xludf.DUMMYFUNCTION("GOOGLETRANSLATE($A3573,""en"",""fr"")"),"Colón (PA)")</f>
        <v>Colón (PA)</v>
      </c>
      <c r="E3573" s="9" t="str">
        <f>IFERROR(__xludf.DUMMYFUNCTION("GOOGLETRANSLATE($A3573,""en"",""es"")"),"Colón (PA)")</f>
        <v>Colón (PA)</v>
      </c>
      <c r="F3573" s="9" t="str">
        <f>IFERROR(__xludf.DUMMYFUNCTION("GOOGLETRANSLATE($A3573,""en"",""it"")"),"Colon (PA)")</f>
        <v>Colon (PA)</v>
      </c>
      <c r="G3573" s="9" t="str">
        <f>IFERROR(__xludf.DUMMYFUNCTION("GOOGLETRANSLATE($A3573,""en"",""zh-cn"")"),"科隆 (宾夕法尼亚州)")</f>
        <v>科隆 (宾夕法尼亚州)</v>
      </c>
      <c r="H3573" s="9" t="str">
        <f>IFERROR(__xludf.DUMMYFUNCTION("GOOGLETRANSLATE($A3573,""en"",""ja"")"),"コロン (PA)")</f>
        <v>コロン (PA)</v>
      </c>
      <c r="I3573" s="9" t="str">
        <f>IFERROR(__xludf.DUMMYFUNCTION("GOOGLETRANSLATE($A3573,""en"",""ko"")"),"콜론(PA)")</f>
        <v>콜론(PA)</v>
      </c>
      <c r="J3573" s="9" t="str">
        <f>IFERROR(__xludf.DUMMYFUNCTION("GOOGLETRANSLATE($A3573,""en"",""pt-BR"")"),"Colón (PA)")</f>
        <v>Colón (PA)</v>
      </c>
    </row>
    <row r="3574">
      <c r="A3574" s="9" t="str">
        <f>IFERROR(__xludf.DUMMYFUNCTION("""COMPUTED_VALUE"""),"Bocas del Toro")</f>
        <v>Bocas del Toro</v>
      </c>
      <c r="B3574" s="9" t="str">
        <f>IFERROR(__xludf.DUMMYFUNCTION("""COMPUTED_VALUE"""),"pa-1")</f>
        <v>pa-1</v>
      </c>
      <c r="C3574" s="9" t="str">
        <f>IFERROR(__xludf.DUMMYFUNCTION("GOOGLETRANSLATE($A3574,""en"",""de"")"),"Bocas del Toro")</f>
        <v>Bocas del Toro</v>
      </c>
      <c r="D3574" s="9" t="str">
        <f>IFERROR(__xludf.DUMMYFUNCTION("GOOGLETRANSLATE($A3574,""en"",""fr"")"),"Bocas del Toro")</f>
        <v>Bocas del Toro</v>
      </c>
      <c r="E3574" s="9" t="str">
        <f>IFERROR(__xludf.DUMMYFUNCTION("GOOGLETRANSLATE($A3574,""en"",""es"")"),"bocas del toro")</f>
        <v>bocas del toro</v>
      </c>
      <c r="F3574" s="9" t="str">
        <f>IFERROR(__xludf.DUMMYFUNCTION("GOOGLETRANSLATE($A3574,""en"",""it"")"),"Bocas del Toro")</f>
        <v>Bocas del Toro</v>
      </c>
      <c r="G3574" s="9" t="str">
        <f>IFERROR(__xludf.DUMMYFUNCTION("GOOGLETRANSLATE($A3574,""en"",""zh-cn"")"),"博卡斯德尔托罗")</f>
        <v>博卡斯德尔托罗</v>
      </c>
      <c r="H3574" s="9" t="str">
        <f>IFERROR(__xludf.DUMMYFUNCTION("GOOGLETRANSLATE($A3574,""en"",""ja"")"),"ボカス デル トロ")</f>
        <v>ボカス デル トロ</v>
      </c>
      <c r="I3574" s="9" t="str">
        <f>IFERROR(__xludf.DUMMYFUNCTION("GOOGLETRANSLATE($A3574,""en"",""ko"")"),"보카스델토로")</f>
        <v>보카스델토로</v>
      </c>
      <c r="J3574" s="9" t="str">
        <f>IFERROR(__xludf.DUMMYFUNCTION("GOOGLETRANSLATE($A3574,""en"",""pt-BR"")"),"Bocas del Toro")</f>
        <v>Bocas del Toro</v>
      </c>
    </row>
    <row r="3575">
      <c r="A3575" s="9" t="str">
        <f>IFERROR(__xludf.DUMMYFUNCTION("""COMPUTED_VALUE"""),"Los Santos")</f>
        <v>Los Santos</v>
      </c>
      <c r="B3575" s="9" t="str">
        <f>IFERROR(__xludf.DUMMYFUNCTION("""COMPUTED_VALUE"""),"pa-7")</f>
        <v>pa-7</v>
      </c>
      <c r="C3575" s="9" t="str">
        <f>IFERROR(__xludf.DUMMYFUNCTION("GOOGLETRANSLATE($A3575,""en"",""de"")"),"Los Santos")</f>
        <v>Los Santos</v>
      </c>
      <c r="D3575" s="9" t="str">
        <f>IFERROR(__xludf.DUMMYFUNCTION("GOOGLETRANSLATE($A3575,""en"",""fr"")"),"Los Santos")</f>
        <v>Los Santos</v>
      </c>
      <c r="E3575" s="9" t="str">
        <f>IFERROR(__xludf.DUMMYFUNCTION("GOOGLETRANSLATE($A3575,""en"",""es"")"),"Los Santos")</f>
        <v>Los Santos</v>
      </c>
      <c r="F3575" s="9" t="str">
        <f>IFERROR(__xludf.DUMMYFUNCTION("GOOGLETRANSLATE($A3575,""en"",""it"")"),"Los Santos")</f>
        <v>Los Santos</v>
      </c>
      <c r="G3575" s="9" t="str">
        <f>IFERROR(__xludf.DUMMYFUNCTION("GOOGLETRANSLATE($A3575,""en"",""zh-cn"")"),"洛桑托斯")</f>
        <v>洛桑托斯</v>
      </c>
      <c r="H3575" s="9" t="str">
        <f>IFERROR(__xludf.DUMMYFUNCTION("GOOGLETRANSLATE($A3575,""en"",""ja"")"),"ロスサントス")</f>
        <v>ロスサントス</v>
      </c>
      <c r="I3575" s="9" t="str">
        <f>IFERROR(__xludf.DUMMYFUNCTION("GOOGLETRANSLATE($A3575,""en"",""ko"")"),"로스 산토스")</f>
        <v>로스 산토스</v>
      </c>
      <c r="J3575" s="9" t="str">
        <f>IFERROR(__xludf.DUMMYFUNCTION("GOOGLETRANSLATE($A3575,""en"",""pt-BR"")"),"Los Santos")</f>
        <v>Los Santos</v>
      </c>
    </row>
    <row r="3576">
      <c r="A3576" s="9" t="str">
        <f>IFERROR(__xludf.DUMMYFUNCTION("""COMPUTED_VALUE"""),"Herrera")</f>
        <v>Herrera</v>
      </c>
      <c r="B3576" s="9" t="str">
        <f>IFERROR(__xludf.DUMMYFUNCTION("""COMPUTED_VALUE"""),"pa-6")</f>
        <v>pa-6</v>
      </c>
      <c r="C3576" s="9" t="str">
        <f>IFERROR(__xludf.DUMMYFUNCTION("GOOGLETRANSLATE($A3576,""en"",""de"")"),"Herrera")</f>
        <v>Herrera</v>
      </c>
      <c r="D3576" s="9" t="str">
        <f>IFERROR(__xludf.DUMMYFUNCTION("GOOGLETRANSLATE($A3576,""en"",""fr"")"),"Herrera")</f>
        <v>Herrera</v>
      </c>
      <c r="E3576" s="9" t="str">
        <f>IFERROR(__xludf.DUMMYFUNCTION("GOOGLETRANSLATE($A3576,""en"",""es"")"),"Herrera")</f>
        <v>Herrera</v>
      </c>
      <c r="F3576" s="9" t="str">
        <f>IFERROR(__xludf.DUMMYFUNCTION("GOOGLETRANSLATE($A3576,""en"",""it"")"),"Herrera")</f>
        <v>Herrera</v>
      </c>
      <c r="G3576" s="9" t="str">
        <f>IFERROR(__xludf.DUMMYFUNCTION("GOOGLETRANSLATE($A3576,""en"",""zh-cn"")"),"埃雷拉")</f>
        <v>埃雷拉</v>
      </c>
      <c r="H3576" s="9" t="str">
        <f>IFERROR(__xludf.DUMMYFUNCTION("GOOGLETRANSLATE($A3576,""en"",""ja"")"),"エレーラ")</f>
        <v>エレーラ</v>
      </c>
      <c r="I3576" s="9" t="str">
        <f>IFERROR(__xludf.DUMMYFUNCTION("GOOGLETRANSLATE($A3576,""en"",""ko"")"),"헤레라")</f>
        <v>헤레라</v>
      </c>
      <c r="J3576" s="9" t="str">
        <f>IFERROR(__xludf.DUMMYFUNCTION("GOOGLETRANSLATE($A3576,""en"",""pt-BR"")"),"Herrera")</f>
        <v>Herrera</v>
      </c>
    </row>
    <row r="3577">
      <c r="A3577" s="9" t="str">
        <f>IFERROR(__xludf.DUMMYFUNCTION("""COMPUTED_VALUE"""),"Emberá")</f>
        <v>Emberá</v>
      </c>
      <c r="B3577" s="9" t="str">
        <f>IFERROR(__xludf.DUMMYFUNCTION("""COMPUTED_VALUE"""),"pa-em")</f>
        <v>pa-em</v>
      </c>
      <c r="C3577" s="9" t="str">
        <f>IFERROR(__xludf.DUMMYFUNCTION("GOOGLETRANSLATE($A3577,""en"",""de"")"),"Emberá")</f>
        <v>Emberá</v>
      </c>
      <c r="D3577" s="9" t="str">
        <f>IFERROR(__xludf.DUMMYFUNCTION("GOOGLETRANSLATE($A3577,""en"",""fr"")"),"Embéra")</f>
        <v>Embéra</v>
      </c>
      <c r="E3577" s="9" t="str">
        <f>IFERROR(__xludf.DUMMYFUNCTION("GOOGLETRANSLATE($A3577,""en"",""es"")"),"Emberá")</f>
        <v>Emberá</v>
      </c>
      <c r="F3577" s="9" t="str">
        <f>IFERROR(__xludf.DUMMYFUNCTION("GOOGLETRANSLATE($A3577,""en"",""it"")"),"Emberá")</f>
        <v>Emberá</v>
      </c>
      <c r="G3577" s="9" t="str">
        <f>IFERROR(__xludf.DUMMYFUNCTION("GOOGLETRANSLATE($A3577,""en"",""zh-cn"")"),"恩贝拉")</f>
        <v>恩贝拉</v>
      </c>
      <c r="H3577" s="9" t="str">
        <f>IFERROR(__xludf.DUMMYFUNCTION("GOOGLETRANSLATE($A3577,""en"",""ja"")"),"エンベラ")</f>
        <v>エンベラ</v>
      </c>
      <c r="I3577" s="9" t="str">
        <f>IFERROR(__xludf.DUMMYFUNCTION("GOOGLETRANSLATE($A3577,""en"",""ko"")"),"엠베라")</f>
        <v>엠베라</v>
      </c>
      <c r="J3577" s="9" t="str">
        <f>IFERROR(__xludf.DUMMYFUNCTION("GOOGLETRANSLATE($A3577,""en"",""pt-BR"")"),"Emberá")</f>
        <v>Emberá</v>
      </c>
    </row>
    <row r="3578">
      <c r="A3578" s="9" t="str">
        <f>IFERROR(__xludf.DUMMYFUNCTION("""COMPUTED_VALUE"""),"Darién")</f>
        <v>Darién</v>
      </c>
      <c r="B3578" s="9" t="str">
        <f>IFERROR(__xludf.DUMMYFUNCTION("""COMPUTED_VALUE"""),"pa-5")</f>
        <v>pa-5</v>
      </c>
      <c r="C3578" s="9" t="str">
        <f>IFERROR(__xludf.DUMMYFUNCTION("GOOGLETRANSLATE($A3578,""en"",""de"")"),"Darien")</f>
        <v>Darien</v>
      </c>
      <c r="D3578" s="9" t="str">
        <f>IFERROR(__xludf.DUMMYFUNCTION("GOOGLETRANSLATE($A3578,""en"",""fr"")"),"Darién")</f>
        <v>Darién</v>
      </c>
      <c r="E3578" s="9" t="str">
        <f>IFERROR(__xludf.DUMMYFUNCTION("GOOGLETRANSLATE($A3578,""en"",""es"")"),"Darién")</f>
        <v>Darién</v>
      </c>
      <c r="F3578" s="9" t="str">
        <f>IFERROR(__xludf.DUMMYFUNCTION("GOOGLETRANSLATE($A3578,""en"",""it"")"),"Darién")</f>
        <v>Darién</v>
      </c>
      <c r="G3578" s="9" t="str">
        <f>IFERROR(__xludf.DUMMYFUNCTION("GOOGLETRANSLATE($A3578,""en"",""zh-cn"")"),"达连")</f>
        <v>达连</v>
      </c>
      <c r="H3578" s="9" t="str">
        <f>IFERROR(__xludf.DUMMYFUNCTION("GOOGLETRANSLATE($A3578,""en"",""ja"")"),"ダリエン")</f>
        <v>ダリエン</v>
      </c>
      <c r="I3578" s="9" t="str">
        <f>IFERROR(__xludf.DUMMYFUNCTION("GOOGLETRANSLATE($A3578,""en"",""ko"")"),"다리엔")</f>
        <v>다리엔</v>
      </c>
      <c r="J3578" s="9" t="str">
        <f>IFERROR(__xludf.DUMMYFUNCTION("GOOGLETRANSLATE($A3578,""en"",""pt-BR"")"),"Darién")</f>
        <v>Darién</v>
      </c>
    </row>
    <row r="3579">
      <c r="A3579" s="9" t="str">
        <f>IFERROR(__xludf.DUMMYFUNCTION("""COMPUTED_VALUE"""),"Chiriquí")</f>
        <v>Chiriquí</v>
      </c>
      <c r="B3579" s="9" t="str">
        <f>IFERROR(__xludf.DUMMYFUNCTION("""COMPUTED_VALUE"""),"pa-4")</f>
        <v>pa-4</v>
      </c>
      <c r="C3579" s="9" t="str">
        <f>IFERROR(__xludf.DUMMYFUNCTION("GOOGLETRANSLATE($A3579,""en"",""de"")"),"Chiriquí")</f>
        <v>Chiriquí</v>
      </c>
      <c r="D3579" s="9" t="str">
        <f>IFERROR(__xludf.DUMMYFUNCTION("GOOGLETRANSLATE($A3579,""en"",""fr"")"),"Chiriquí")</f>
        <v>Chiriquí</v>
      </c>
      <c r="E3579" s="9" t="str">
        <f>IFERROR(__xludf.DUMMYFUNCTION("GOOGLETRANSLATE($A3579,""en"",""es"")"),"Chiriquí")</f>
        <v>Chiriquí</v>
      </c>
      <c r="F3579" s="9" t="str">
        <f>IFERROR(__xludf.DUMMYFUNCTION("GOOGLETRANSLATE($A3579,""en"",""it"")"),"Chiriquí")</f>
        <v>Chiriquí</v>
      </c>
      <c r="G3579" s="9" t="str">
        <f>IFERROR(__xludf.DUMMYFUNCTION("GOOGLETRANSLATE($A3579,""en"",""zh-cn"")"),"奇里基")</f>
        <v>奇里基</v>
      </c>
      <c r="H3579" s="9" t="str">
        <f>IFERROR(__xludf.DUMMYFUNCTION("GOOGLETRANSLATE($A3579,""en"",""ja"")"),"チリキ")</f>
        <v>チリキ</v>
      </c>
      <c r="I3579" s="9" t="str">
        <f>IFERROR(__xludf.DUMMYFUNCTION("GOOGLETRANSLATE($A3579,""en"",""ko"")"),"치리키")</f>
        <v>치리키</v>
      </c>
      <c r="J3579" s="9" t="str">
        <f>IFERROR(__xludf.DUMMYFUNCTION("GOOGLETRANSLATE($A3579,""en"",""pt-BR"")"),"Chiriquí")</f>
        <v>Chiriquí</v>
      </c>
    </row>
    <row r="3580">
      <c r="A3580" s="9" t="str">
        <f>IFERROR(__xludf.DUMMYFUNCTION("""COMPUTED_VALUE"""),"Ngöbe-Buglé")</f>
        <v>Ngöbe-Buglé</v>
      </c>
      <c r="B3580" s="9" t="str">
        <f>IFERROR(__xludf.DUMMYFUNCTION("""COMPUTED_VALUE"""),"pa-nb")</f>
        <v>pa-nb</v>
      </c>
      <c r="C3580" s="9" t="str">
        <f>IFERROR(__xludf.DUMMYFUNCTION("GOOGLETRANSLATE($A3580,""en"",""de"")"),"Ngöbe-Buglé")</f>
        <v>Ngöbe-Buglé</v>
      </c>
      <c r="D3580" s="9" t="str">
        <f>IFERROR(__xludf.DUMMYFUNCTION("GOOGLETRANSLATE($A3580,""en"",""fr"")"),"Ngöbe-Buglé")</f>
        <v>Ngöbe-Buglé</v>
      </c>
      <c r="E3580" s="9" t="str">
        <f>IFERROR(__xludf.DUMMYFUNCTION("GOOGLETRANSLATE($A3580,""en"",""es"")"),"Ngöbe-Buglé")</f>
        <v>Ngöbe-Buglé</v>
      </c>
      <c r="F3580" s="9" t="str">
        <f>IFERROR(__xludf.DUMMYFUNCTION("GOOGLETRANSLATE($A3580,""en"",""it"")"),"Ngöbe-Buglé")</f>
        <v>Ngöbe-Buglé</v>
      </c>
      <c r="G3580" s="9" t="str">
        <f>IFERROR(__xludf.DUMMYFUNCTION("GOOGLETRANSLATE($A3580,""en"",""zh-cn"")"),"恩戈贝-布格莱")</f>
        <v>恩戈贝-布格莱</v>
      </c>
      <c r="H3580" s="9" t="str">
        <f>IFERROR(__xludf.DUMMYFUNCTION("GOOGLETRANSLATE($A3580,""en"",""ja"")"),"ンゴベ・ビューグレ")</f>
        <v>ンゴベ・ビューグレ</v>
      </c>
      <c r="I3580" s="9" t="str">
        <f>IFERROR(__xludf.DUMMYFUNCTION("GOOGLETRANSLATE($A3580,""en"",""ko"")"),"응괴베부글레")</f>
        <v>응괴베부글레</v>
      </c>
      <c r="J3580" s="9" t="str">
        <f>IFERROR(__xludf.DUMMYFUNCTION("GOOGLETRANSLATE($A3580,""en"",""pt-BR"")"),"Ngöbe-Buglé")</f>
        <v>Ngöbe-Buglé</v>
      </c>
    </row>
    <row r="3581">
      <c r="A3581" s="9" t="str">
        <f>IFERROR(__xludf.DUMMYFUNCTION("""COMPUTED_VALUE"""),"Guna Yala")</f>
        <v>Guna Yala</v>
      </c>
      <c r="B3581" s="9" t="str">
        <f>IFERROR(__xludf.DUMMYFUNCTION("""COMPUTED_VALUE"""),"pa-ky")</f>
        <v>pa-ky</v>
      </c>
      <c r="C3581" s="9" t="str">
        <f>IFERROR(__xludf.DUMMYFUNCTION("GOOGLETRANSLATE($A3581,""en"",""de"")"),"Guna Yala")</f>
        <v>Guna Yala</v>
      </c>
      <c r="D3581" s="9" t="str">
        <f>IFERROR(__xludf.DUMMYFUNCTION("GOOGLETRANSLATE($A3581,""en"",""fr"")"),"Guna Yala")</f>
        <v>Guna Yala</v>
      </c>
      <c r="E3581" s="9" t="str">
        <f>IFERROR(__xludf.DUMMYFUNCTION("GOOGLETRANSLATE($A3581,""en"",""es"")"),"Guna Yala")</f>
        <v>Guna Yala</v>
      </c>
      <c r="F3581" s="9" t="str">
        <f>IFERROR(__xludf.DUMMYFUNCTION("GOOGLETRANSLATE($A3581,""en"",""it"")"),"Guna Yala")</f>
        <v>Guna Yala</v>
      </c>
      <c r="G3581" s="9" t="str">
        <f>IFERROR(__xludf.DUMMYFUNCTION("GOOGLETRANSLATE($A3581,""en"",""zh-cn"")"),"古纳亚拉")</f>
        <v>古纳亚拉</v>
      </c>
      <c r="H3581" s="9" t="str">
        <f>IFERROR(__xludf.DUMMYFUNCTION("GOOGLETRANSLATE($A3581,""en"",""ja"")"),"グナ・ヤラ")</f>
        <v>グナ・ヤラ</v>
      </c>
      <c r="I3581" s="9" t="str">
        <f>IFERROR(__xludf.DUMMYFUNCTION("GOOGLETRANSLATE($A3581,""en"",""ko"")"),"구나 얄라")</f>
        <v>구나 얄라</v>
      </c>
      <c r="J3581" s="9" t="str">
        <f>IFERROR(__xludf.DUMMYFUNCTION("GOOGLETRANSLATE($A3581,""en"",""pt-BR"")"),"Guna Yala")</f>
        <v>Guna Yala</v>
      </c>
    </row>
    <row r="3582">
      <c r="A3582" s="9" t="str">
        <f>IFERROR(__xludf.DUMMYFUNCTION("""COMPUTED_VALUE"""),"Manus")</f>
        <v>Manus</v>
      </c>
      <c r="B3582" s="9" t="str">
        <f>IFERROR(__xludf.DUMMYFUNCTION("""COMPUTED_VALUE"""),"pg-mrl")</f>
        <v>pg-mrl</v>
      </c>
      <c r="C3582" s="9" t="str">
        <f>IFERROR(__xludf.DUMMYFUNCTION("GOOGLETRANSLATE($A3582,""en"",""de"")"),"Manus")</f>
        <v>Manus</v>
      </c>
      <c r="D3582" s="9" t="str">
        <f>IFERROR(__xludf.DUMMYFUNCTION("GOOGLETRANSLATE($A3582,""en"",""fr"")"),"Manus")</f>
        <v>Manus</v>
      </c>
      <c r="E3582" s="9" t="str">
        <f>IFERROR(__xludf.DUMMYFUNCTION("GOOGLETRANSLATE($A3582,""en"",""es"")"),"manus")</f>
        <v>manus</v>
      </c>
      <c r="F3582" s="9" t="str">
        <f>IFERROR(__xludf.DUMMYFUNCTION("GOOGLETRANSLATE($A3582,""en"",""it"")"),"Manus")</f>
        <v>Manus</v>
      </c>
      <c r="G3582" s="9" t="str">
        <f>IFERROR(__xludf.DUMMYFUNCTION("GOOGLETRANSLATE($A3582,""en"",""zh-cn"")"),"马努斯")</f>
        <v>马努斯</v>
      </c>
      <c r="H3582" s="9" t="str">
        <f>IFERROR(__xludf.DUMMYFUNCTION("GOOGLETRANSLATE($A3582,""en"",""ja"")"),"マヌス")</f>
        <v>マヌス</v>
      </c>
      <c r="I3582" s="9" t="str">
        <f>IFERROR(__xludf.DUMMYFUNCTION("GOOGLETRANSLATE($A3582,""en"",""ko"")"),"마누스")</f>
        <v>마누스</v>
      </c>
      <c r="J3582" s="9" t="str">
        <f>IFERROR(__xludf.DUMMYFUNCTION("GOOGLETRANSLATE($A3582,""en"",""pt-BR"")"),"Manus")</f>
        <v>Manus</v>
      </c>
    </row>
    <row r="3583">
      <c r="A3583" s="9" t="str">
        <f>IFERROR(__xludf.DUMMYFUNCTION("""COMPUTED_VALUE"""),"Western (PG)")</f>
        <v>Western (PG)</v>
      </c>
      <c r="B3583" s="9" t="str">
        <f>IFERROR(__xludf.DUMMYFUNCTION("""COMPUTED_VALUE"""),"pg-wpd")</f>
        <v>pg-wpd</v>
      </c>
      <c r="C3583" s="9" t="str">
        <f>IFERROR(__xludf.DUMMYFUNCTION("GOOGLETRANSLATE($A3583,""en"",""de"")"),"Western (PG)")</f>
        <v>Western (PG)</v>
      </c>
      <c r="D3583" s="9" t="str">
        <f>IFERROR(__xludf.DUMMYFUNCTION("GOOGLETRANSLATE($A3583,""en"",""fr"")"),"Ouest (PG)")</f>
        <v>Ouest (PG)</v>
      </c>
      <c r="E3583" s="9" t="str">
        <f>IFERROR(__xludf.DUMMYFUNCTION("GOOGLETRANSLATE($A3583,""en"",""es"")"),"Occidental (PG)")</f>
        <v>Occidental (PG)</v>
      </c>
      <c r="F3583" s="9" t="str">
        <f>IFERROR(__xludf.DUMMYFUNCTION("GOOGLETRANSLATE($A3583,""en"",""it"")"),"Occidentale (PG)")</f>
        <v>Occidentale (PG)</v>
      </c>
      <c r="G3583" s="9" t="str">
        <f>IFERROR(__xludf.DUMMYFUNCTION("GOOGLETRANSLATE($A3583,""en"",""zh-cn"")"),"西部（PG）")</f>
        <v>西部（PG）</v>
      </c>
      <c r="H3583" s="9" t="str">
        <f>IFERROR(__xludf.DUMMYFUNCTION("GOOGLETRANSLATE($A3583,""en"",""ja"")"),"ウエスタン (PG)")</f>
        <v>ウエスタン (PG)</v>
      </c>
      <c r="I3583" s="9" t="str">
        <f>IFERROR(__xludf.DUMMYFUNCTION("GOOGLETRANSLATE($A3583,""en"",""ko"")"),"서부(PG)")</f>
        <v>서부(PG)</v>
      </c>
      <c r="J3583" s="9" t="str">
        <f>IFERROR(__xludf.DUMMYFUNCTION("GOOGLETRANSLATE($A3583,""en"",""pt-BR"")"),"Ocidental (PG)")</f>
        <v>Ocidental (PG)</v>
      </c>
    </row>
    <row r="3584">
      <c r="A3584" s="9" t="str">
        <f>IFERROR(__xludf.DUMMYFUNCTION("""COMPUTED_VALUE"""),"New Ireland")</f>
        <v>New Ireland</v>
      </c>
      <c r="B3584" s="9" t="str">
        <f>IFERROR(__xludf.DUMMYFUNCTION("""COMPUTED_VALUE"""),"pg-nik")</f>
        <v>pg-nik</v>
      </c>
      <c r="C3584" s="9" t="str">
        <f>IFERROR(__xludf.DUMMYFUNCTION("GOOGLETRANSLATE($A3584,""en"",""de"")"),"Neuirland")</f>
        <v>Neuirland</v>
      </c>
      <c r="D3584" s="9" t="str">
        <f>IFERROR(__xludf.DUMMYFUNCTION("GOOGLETRANSLATE($A3584,""en"",""fr"")"),"Nouvelle-Irlande")</f>
        <v>Nouvelle-Irlande</v>
      </c>
      <c r="E3584" s="9" t="str">
        <f>IFERROR(__xludf.DUMMYFUNCTION("GOOGLETRANSLATE($A3584,""en"",""es"")"),"Nueva Irlanda")</f>
        <v>Nueva Irlanda</v>
      </c>
      <c r="F3584" s="9" t="str">
        <f>IFERROR(__xludf.DUMMYFUNCTION("GOOGLETRANSLATE($A3584,""en"",""it"")"),"Nuova Irlanda")</f>
        <v>Nuova Irlanda</v>
      </c>
      <c r="G3584" s="9" t="str">
        <f>IFERROR(__xludf.DUMMYFUNCTION("GOOGLETRANSLATE($A3584,""en"",""zh-cn"")"),"新爱尔兰")</f>
        <v>新爱尔兰</v>
      </c>
      <c r="H3584" s="9" t="str">
        <f>IFERROR(__xludf.DUMMYFUNCTION("GOOGLETRANSLATE($A3584,""en"",""ja"")"),"ニューアイルランド")</f>
        <v>ニューアイルランド</v>
      </c>
      <c r="I3584" s="9" t="str">
        <f>IFERROR(__xludf.DUMMYFUNCTION("GOOGLETRANSLATE($A3584,""en"",""ko"")"),"뉴아일랜드")</f>
        <v>뉴아일랜드</v>
      </c>
      <c r="J3584" s="9" t="str">
        <f>IFERROR(__xludf.DUMMYFUNCTION("GOOGLETRANSLATE($A3584,""en"",""pt-BR"")"),"Nova Irlanda")</f>
        <v>Nova Irlanda</v>
      </c>
    </row>
    <row r="3585">
      <c r="A3585" s="9" t="str">
        <f>IFERROR(__xludf.DUMMYFUNCTION("""COMPUTED_VALUE"""),"Madang")</f>
        <v>Madang</v>
      </c>
      <c r="B3585" s="9" t="str">
        <f>IFERROR(__xludf.DUMMYFUNCTION("""COMPUTED_VALUE"""),"pg-mpm")</f>
        <v>pg-mpm</v>
      </c>
      <c r="C3585" s="9" t="str">
        <f>IFERROR(__xludf.DUMMYFUNCTION("GOOGLETRANSLATE($A3585,""en"",""de"")"),"Madang")</f>
        <v>Madang</v>
      </c>
      <c r="D3585" s="9" t="str">
        <f>IFERROR(__xludf.DUMMYFUNCTION("GOOGLETRANSLATE($A3585,""en"",""fr"")"),"Madang")</f>
        <v>Madang</v>
      </c>
      <c r="E3585" s="9" t="str">
        <f>IFERROR(__xludf.DUMMYFUNCTION("GOOGLETRANSLATE($A3585,""en"",""es"")"),"Madang")</f>
        <v>Madang</v>
      </c>
      <c r="F3585" s="9" t="str">
        <f>IFERROR(__xludf.DUMMYFUNCTION("GOOGLETRANSLATE($A3585,""en"",""it"")"),"Madang")</f>
        <v>Madang</v>
      </c>
      <c r="G3585" s="9" t="str">
        <f>IFERROR(__xludf.DUMMYFUNCTION("GOOGLETRANSLATE($A3585,""en"",""zh-cn"")"),"马当")</f>
        <v>马当</v>
      </c>
      <c r="H3585" s="9" t="str">
        <f>IFERROR(__xludf.DUMMYFUNCTION("GOOGLETRANSLATE($A3585,""en"",""ja"")"),"マダン")</f>
        <v>マダン</v>
      </c>
      <c r="I3585" s="9" t="str">
        <f>IFERROR(__xludf.DUMMYFUNCTION("GOOGLETRANSLATE($A3585,""en"",""ko"")"),"마당")</f>
        <v>마당</v>
      </c>
      <c r="J3585" s="9" t="str">
        <f>IFERROR(__xludf.DUMMYFUNCTION("GOOGLETRANSLATE($A3585,""en"",""pt-BR"")"),"Madang")</f>
        <v>Madang</v>
      </c>
    </row>
    <row r="3586">
      <c r="A3586" s="9" t="str">
        <f>IFERROR(__xludf.DUMMYFUNCTION("""COMPUTED_VALUE"""),"Central (PG)")</f>
        <v>Central (PG)</v>
      </c>
      <c r="B3586" s="9" t="str">
        <f>IFERROR(__xludf.DUMMYFUNCTION("""COMPUTED_VALUE"""),"pg-cpm")</f>
        <v>pg-cpm</v>
      </c>
      <c r="C3586" s="9" t="str">
        <f>IFERROR(__xludf.DUMMYFUNCTION("GOOGLETRANSLATE($A3586,""en"",""de"")"),"Zentral (PG)")</f>
        <v>Zentral (PG)</v>
      </c>
      <c r="D3586" s="9" t="str">
        <f>IFERROR(__xludf.DUMMYFUNCTION("GOOGLETRANSLATE($A3586,""en"",""fr"")"),"Centrale (PG)")</f>
        <v>Centrale (PG)</v>
      </c>
      <c r="E3586" s="9" t="str">
        <f>IFERROR(__xludf.DUMMYFUNCTION("GOOGLETRANSLATE($A3586,""en"",""es"")"),"Central (PG)")</f>
        <v>Central (PG)</v>
      </c>
      <c r="F3586" s="9" t="str">
        <f>IFERROR(__xludf.DUMMYFUNCTION("GOOGLETRANSLATE($A3586,""en"",""it"")"),"Centrale (PG)")</f>
        <v>Centrale (PG)</v>
      </c>
      <c r="G3586" s="9" t="str">
        <f>IFERROR(__xludf.DUMMYFUNCTION("GOOGLETRANSLATE($A3586,""en"",""zh-cn"")"),"中环 (PG)")</f>
        <v>中环 (PG)</v>
      </c>
      <c r="H3586" s="9" t="str">
        <f>IFERROR(__xludf.DUMMYFUNCTION("GOOGLETRANSLATE($A3586,""en"",""ja"")"),"セントラル (PG)")</f>
        <v>セントラル (PG)</v>
      </c>
      <c r="I3586" s="9" t="str">
        <f>IFERROR(__xludf.DUMMYFUNCTION("GOOGLETRANSLATE($A3586,""en"",""ko"")"),"센트럴(PG)")</f>
        <v>센트럴(PG)</v>
      </c>
      <c r="J3586" s="9" t="str">
        <f>IFERROR(__xludf.DUMMYFUNCTION("GOOGLETRANSLATE($A3586,""en"",""pt-BR"")"),"Central (PG)")</f>
        <v>Central (PG)</v>
      </c>
    </row>
    <row r="3587">
      <c r="A3587" s="9" t="str">
        <f>IFERROR(__xludf.DUMMYFUNCTION("""COMPUTED_VALUE"""),"Northern (PG)")</f>
        <v>Northern (PG)</v>
      </c>
      <c r="B3587" s="9" t="str">
        <f>IFERROR(__xludf.DUMMYFUNCTION("""COMPUTED_VALUE"""),"pg-npp")</f>
        <v>pg-npp</v>
      </c>
      <c r="C3587" s="9" t="str">
        <f>IFERROR(__xludf.DUMMYFUNCTION("GOOGLETRANSLATE($A3587,""en"",""de"")"),"Nord (PG)")</f>
        <v>Nord (PG)</v>
      </c>
      <c r="D3587" s="9" t="str">
        <f>IFERROR(__xludf.DUMMYFUNCTION("GOOGLETRANSLATE($A3587,""en"",""fr"")"),"Nord (PG)")</f>
        <v>Nord (PG)</v>
      </c>
      <c r="E3587" s="9" t="str">
        <f>IFERROR(__xludf.DUMMYFUNCTION("GOOGLETRANSLATE($A3587,""en"",""es"")"),"Norte (PG)")</f>
        <v>Norte (PG)</v>
      </c>
      <c r="F3587" s="9" t="str">
        <f>IFERROR(__xludf.DUMMYFUNCTION("GOOGLETRANSLATE($A3587,""en"",""it"")"),"Nord (PG)")</f>
        <v>Nord (PG)</v>
      </c>
      <c r="G3587" s="9" t="str">
        <f>IFERROR(__xludf.DUMMYFUNCTION("GOOGLETRANSLATE($A3587,""en"",""zh-cn"")"),"北部 (PG)")</f>
        <v>北部 (PG)</v>
      </c>
      <c r="H3587" s="9" t="str">
        <f>IFERROR(__xludf.DUMMYFUNCTION("GOOGLETRANSLATE($A3587,""en"",""ja"")"),"ノーザン (PG)")</f>
        <v>ノーザン (PG)</v>
      </c>
      <c r="I3587" s="9" t="str">
        <f>IFERROR(__xludf.DUMMYFUNCTION("GOOGLETRANSLATE($A3587,""en"",""ko"")"),"북부(PG)")</f>
        <v>북부(PG)</v>
      </c>
      <c r="J3587" s="9" t="str">
        <f>IFERROR(__xludf.DUMMYFUNCTION("GOOGLETRANSLATE($A3587,""en"",""pt-BR"")"),"Norte (PG)")</f>
        <v>Norte (PG)</v>
      </c>
    </row>
    <row r="3588">
      <c r="A3588" s="9" t="str">
        <f>IFERROR(__xludf.DUMMYFUNCTION("""COMPUTED_VALUE"""),"West New Britain")</f>
        <v>West New Britain</v>
      </c>
      <c r="B3588" s="9" t="str">
        <f>IFERROR(__xludf.DUMMYFUNCTION("""COMPUTED_VALUE"""),"pg-wbk")</f>
        <v>pg-wbk</v>
      </c>
      <c r="C3588" s="9" t="str">
        <f>IFERROR(__xludf.DUMMYFUNCTION("GOOGLETRANSLATE($A3588,""en"",""de"")"),"West-Neubritannien")</f>
        <v>West-Neubritannien</v>
      </c>
      <c r="D3588" s="9" t="str">
        <f>IFERROR(__xludf.DUMMYFUNCTION("GOOGLETRANSLATE($A3588,""en"",""fr"")"),"Ouest de la Nouvelle-Bretagne")</f>
        <v>Ouest de la Nouvelle-Bretagne</v>
      </c>
      <c r="E3588" s="9" t="str">
        <f>IFERROR(__xludf.DUMMYFUNCTION("GOOGLETRANSLATE($A3588,""en"",""es"")"),"Nueva Bretaña occidental")</f>
        <v>Nueva Bretaña occidental</v>
      </c>
      <c r="F3588" s="9" t="str">
        <f>IFERROR(__xludf.DUMMYFUNCTION("GOOGLETRANSLATE($A3588,""en"",""it"")"),"Nuova Britannia occidentale")</f>
        <v>Nuova Britannia occidentale</v>
      </c>
      <c r="G3588" s="9" t="str">
        <f>IFERROR(__xludf.DUMMYFUNCTION("GOOGLETRANSLATE($A3588,""en"",""zh-cn"")"),"西新不列颠")</f>
        <v>西新不列颠</v>
      </c>
      <c r="H3588" s="9" t="str">
        <f>IFERROR(__xludf.DUMMYFUNCTION("GOOGLETRANSLATE($A3588,""en"",""ja"")"),"ウェスト・ニューブリテン")</f>
        <v>ウェスト・ニューブリテン</v>
      </c>
      <c r="I3588" s="9" t="str">
        <f>IFERROR(__xludf.DUMMYFUNCTION("GOOGLETRANSLATE($A3588,""en"",""ko"")"),"웨스트 뉴브리튼")</f>
        <v>웨스트 뉴브리튼</v>
      </c>
      <c r="J3588" s="9" t="str">
        <f>IFERROR(__xludf.DUMMYFUNCTION("GOOGLETRANSLATE($A3588,""en"",""pt-BR"")"),"Oeste da Nova Grã-Bretanha")</f>
        <v>Oeste da Nova Grã-Bretanha</v>
      </c>
    </row>
    <row r="3589">
      <c r="A3589" s="9" t="str">
        <f>IFERROR(__xludf.DUMMYFUNCTION("""COMPUTED_VALUE"""),"Milne Bay")</f>
        <v>Milne Bay</v>
      </c>
      <c r="B3589" s="9" t="str">
        <f>IFERROR(__xludf.DUMMYFUNCTION("""COMPUTED_VALUE"""),"pg-mba")</f>
        <v>pg-mba</v>
      </c>
      <c r="C3589" s="9" t="str">
        <f>IFERROR(__xludf.DUMMYFUNCTION("GOOGLETRANSLATE($A3589,""en"",""de"")"),"Milne Bay")</f>
        <v>Milne Bay</v>
      </c>
      <c r="D3589" s="9" t="str">
        <f>IFERROR(__xludf.DUMMYFUNCTION("GOOGLETRANSLATE($A3589,""en"",""fr"")"),"Baie Milne")</f>
        <v>Baie Milne</v>
      </c>
      <c r="E3589" s="9" t="str">
        <f>IFERROR(__xludf.DUMMYFUNCTION("GOOGLETRANSLATE($A3589,""en"",""es"")"),"Bahía Milne")</f>
        <v>Bahía Milne</v>
      </c>
      <c r="F3589" s="9" t="str">
        <f>IFERROR(__xludf.DUMMYFUNCTION("GOOGLETRANSLATE($A3589,""en"",""it"")"),"Baia di Milne")</f>
        <v>Baia di Milne</v>
      </c>
      <c r="G3589" s="9" t="str">
        <f>IFERROR(__xludf.DUMMYFUNCTION("GOOGLETRANSLATE($A3589,""en"",""zh-cn"")"),"米尔恩湾")</f>
        <v>米尔恩湾</v>
      </c>
      <c r="H3589" s="9" t="str">
        <f>IFERROR(__xludf.DUMMYFUNCTION("GOOGLETRANSLATE($A3589,""en"",""ja"")"),"ミルンベイ")</f>
        <v>ミルンベイ</v>
      </c>
      <c r="I3589" s="9" t="str">
        <f>IFERROR(__xludf.DUMMYFUNCTION("GOOGLETRANSLATE($A3589,""en"",""ko"")"),"밀른 베이")</f>
        <v>밀른 베이</v>
      </c>
      <c r="J3589" s="9" t="str">
        <f>IFERROR(__xludf.DUMMYFUNCTION("GOOGLETRANSLATE($A3589,""en"",""pt-BR"")"),"Baía Milne")</f>
        <v>Baía Milne</v>
      </c>
    </row>
    <row r="3590">
      <c r="A3590" s="9" t="str">
        <f>IFERROR(__xludf.DUMMYFUNCTION("""COMPUTED_VALUE"""),"Chimbu")</f>
        <v>Chimbu</v>
      </c>
      <c r="B3590" s="9" t="str">
        <f>IFERROR(__xludf.DUMMYFUNCTION("""COMPUTED_VALUE"""),"pg-cpk")</f>
        <v>pg-cpk</v>
      </c>
      <c r="C3590" s="9" t="str">
        <f>IFERROR(__xludf.DUMMYFUNCTION("GOOGLETRANSLATE($A3590,""en"",""de"")"),"Chimbu")</f>
        <v>Chimbu</v>
      </c>
      <c r="D3590" s="9" t="str">
        <f>IFERROR(__xludf.DUMMYFUNCTION("GOOGLETRANSLATE($A3590,""en"",""fr"")"),"Chimbu")</f>
        <v>Chimbu</v>
      </c>
      <c r="E3590" s="9" t="str">
        <f>IFERROR(__xludf.DUMMYFUNCTION("GOOGLETRANSLATE($A3590,""en"",""es"")"),"Chimbú")</f>
        <v>Chimbú</v>
      </c>
      <c r="F3590" s="9" t="str">
        <f>IFERROR(__xludf.DUMMYFUNCTION("GOOGLETRANSLATE($A3590,""en"",""it"")"),"Chimbu")</f>
        <v>Chimbu</v>
      </c>
      <c r="G3590" s="9" t="str">
        <f>IFERROR(__xludf.DUMMYFUNCTION("GOOGLETRANSLATE($A3590,""en"",""zh-cn"")"),"钦布")</f>
        <v>钦布</v>
      </c>
      <c r="H3590" s="9" t="str">
        <f>IFERROR(__xludf.DUMMYFUNCTION("GOOGLETRANSLATE($A3590,""en"",""ja"")"),"チンブ")</f>
        <v>チンブ</v>
      </c>
      <c r="I3590" s="9" t="str">
        <f>IFERROR(__xludf.DUMMYFUNCTION("GOOGLETRANSLATE($A3590,""en"",""ko"")"),"침부")</f>
        <v>침부</v>
      </c>
      <c r="J3590" s="9" t="str">
        <f>IFERROR(__xludf.DUMMYFUNCTION("GOOGLETRANSLATE($A3590,""en"",""pt-BR"")"),"Chimbu")</f>
        <v>Chimbu</v>
      </c>
    </row>
    <row r="3591">
      <c r="A3591" s="9" t="str">
        <f>IFERROR(__xludf.DUMMYFUNCTION("""COMPUTED_VALUE"""),"Eastern Highlands")</f>
        <v>Eastern Highlands</v>
      </c>
      <c r="B3591" s="9" t="str">
        <f>IFERROR(__xludf.DUMMYFUNCTION("""COMPUTED_VALUE"""),"pg-ehg")</f>
        <v>pg-ehg</v>
      </c>
      <c r="C3591" s="9" t="str">
        <f>IFERROR(__xludf.DUMMYFUNCTION("GOOGLETRANSLATE($A3591,""en"",""de"")"),"Östliches Hochland")</f>
        <v>Östliches Hochland</v>
      </c>
      <c r="D3591" s="9" t="str">
        <f>IFERROR(__xludf.DUMMYFUNCTION("GOOGLETRANSLATE($A3591,""en"",""fr"")"),"Hautes Terres de l'Est")</f>
        <v>Hautes Terres de l'Est</v>
      </c>
      <c r="E3591" s="9" t="str">
        <f>IFERROR(__xludf.DUMMYFUNCTION("GOOGLETRANSLATE($A3591,""en"",""es"")"),"Tierras Altas del Este")</f>
        <v>Tierras Altas del Este</v>
      </c>
      <c r="F3591" s="9" t="str">
        <f>IFERROR(__xludf.DUMMYFUNCTION("GOOGLETRANSLATE($A3591,""en"",""it"")"),"Altopiani orientali")</f>
        <v>Altopiani orientali</v>
      </c>
      <c r="G3591" s="9" t="str">
        <f>IFERROR(__xludf.DUMMYFUNCTION("GOOGLETRANSLATE($A3591,""en"",""zh-cn"")"),"东部高地")</f>
        <v>东部高地</v>
      </c>
      <c r="H3591" s="9" t="str">
        <f>IFERROR(__xludf.DUMMYFUNCTION("GOOGLETRANSLATE($A3591,""en"",""ja"")"),"東部高地")</f>
        <v>東部高地</v>
      </c>
      <c r="I3591" s="9" t="str">
        <f>IFERROR(__xludf.DUMMYFUNCTION("GOOGLETRANSLATE($A3591,""en"",""ko"")"),"동부고원")</f>
        <v>동부고원</v>
      </c>
      <c r="J3591" s="9" t="str">
        <f>IFERROR(__xludf.DUMMYFUNCTION("GOOGLETRANSLATE($A3591,""en"",""pt-BR"")"),"Terras Altas Orientais")</f>
        <v>Terras Altas Orientais</v>
      </c>
    </row>
    <row r="3592">
      <c r="A3592" s="9" t="str">
        <f>IFERROR(__xludf.DUMMYFUNCTION("""COMPUTED_VALUE"""),"National Capital District (Port Moresby)")</f>
        <v>National Capital District (Port Moresby)</v>
      </c>
      <c r="B3592" s="9" t="str">
        <f>IFERROR(__xludf.DUMMYFUNCTION("""COMPUTED_VALUE"""),"pg-ncd")</f>
        <v>pg-ncd</v>
      </c>
      <c r="C3592" s="9" t="str">
        <f>IFERROR(__xludf.DUMMYFUNCTION("GOOGLETRANSLATE($A3592,""en"",""de"")"),"Nationaler Hauptstadtbezirk (Port Moresby)")</f>
        <v>Nationaler Hauptstadtbezirk (Port Moresby)</v>
      </c>
      <c r="D3592" s="9" t="str">
        <f>IFERROR(__xludf.DUMMYFUNCTION("GOOGLETRANSLATE($A3592,""en"",""fr"")"),"District de la capitale nationale (Port Moresby)")</f>
        <v>District de la capitale nationale (Port Moresby)</v>
      </c>
      <c r="E3592" s="9" t="str">
        <f>IFERROR(__xludf.DUMMYFUNCTION("GOOGLETRANSLATE($A3592,""en"",""es"")"),"Distrito Capital Nacional (Port Moresby)")</f>
        <v>Distrito Capital Nacional (Port Moresby)</v>
      </c>
      <c r="F3592" s="9" t="str">
        <f>IFERROR(__xludf.DUMMYFUNCTION("GOOGLETRANSLATE($A3592,""en"",""it"")"),"Distretto della capitale nazionale (Port Moresby)")</f>
        <v>Distretto della capitale nazionale (Port Moresby)</v>
      </c>
      <c r="G3592" s="9" t="str">
        <f>IFERROR(__xludf.DUMMYFUNCTION("GOOGLETRANSLATE($A3592,""en"",""zh-cn"")"),"国家首都区（莫尔兹比港）")</f>
        <v>国家首都区（莫尔兹比港）</v>
      </c>
      <c r="H3592" s="9" t="str">
        <f>IFERROR(__xludf.DUMMYFUNCTION("GOOGLETRANSLATE($A3592,""en"",""ja"")"),"首都地区 (ポートモレスビー)")</f>
        <v>首都地区 (ポートモレスビー)</v>
      </c>
      <c r="I3592" s="9" t="str">
        <f>IFERROR(__xludf.DUMMYFUNCTION("GOOGLETRANSLATE($A3592,""en"",""ko"")"),"수도 지구(포트모르즈비)")</f>
        <v>수도 지구(포트모르즈비)</v>
      </c>
      <c r="J3592" s="9" t="str">
        <f>IFERROR(__xludf.DUMMYFUNCTION("GOOGLETRANSLATE($A3592,""en"",""pt-BR"")"),"Distrito da Capital Nacional (Port Moresby)")</f>
        <v>Distrito da Capital Nacional (Port Moresby)</v>
      </c>
    </row>
    <row r="3593">
      <c r="A3593" s="9" t="str">
        <f>IFERROR(__xludf.DUMMYFUNCTION("""COMPUTED_VALUE"""),"East Sepik")</f>
        <v>East Sepik</v>
      </c>
      <c r="B3593" s="9" t="str">
        <f>IFERROR(__xludf.DUMMYFUNCTION("""COMPUTED_VALUE"""),"pg-esw")</f>
        <v>pg-esw</v>
      </c>
      <c r="C3593" s="9" t="str">
        <f>IFERROR(__xludf.DUMMYFUNCTION("GOOGLETRANSLATE($A3593,""en"",""de"")"),"Ost-Sepik")</f>
        <v>Ost-Sepik</v>
      </c>
      <c r="D3593" s="9" t="str">
        <f>IFERROR(__xludf.DUMMYFUNCTION("GOOGLETRANSLATE($A3593,""en"",""fr"")"),"Sépik Est")</f>
        <v>Sépik Est</v>
      </c>
      <c r="E3593" s="9" t="str">
        <f>IFERROR(__xludf.DUMMYFUNCTION("GOOGLETRANSLATE($A3593,""en"",""es"")"),"Sepik Oriental")</f>
        <v>Sepik Oriental</v>
      </c>
      <c r="F3593" s="9" t="str">
        <f>IFERROR(__xludf.DUMMYFUNCTION("GOOGLETRANSLATE($A3593,""en"",""it"")"),"Sepik orientale")</f>
        <v>Sepik orientale</v>
      </c>
      <c r="G3593" s="9" t="str">
        <f>IFERROR(__xludf.DUMMYFUNCTION("GOOGLETRANSLATE($A3593,""en"",""zh-cn"")"),"东塞皮克")</f>
        <v>东塞皮克</v>
      </c>
      <c r="H3593" s="9" t="str">
        <f>IFERROR(__xludf.DUMMYFUNCTION("GOOGLETRANSLATE($A3593,""en"",""ja"")"),"東セピック")</f>
        <v>東セピック</v>
      </c>
      <c r="I3593" s="9" t="str">
        <f>IFERROR(__xludf.DUMMYFUNCTION("GOOGLETRANSLATE($A3593,""en"",""ko"")"),"이스트 세픽")</f>
        <v>이스트 세픽</v>
      </c>
      <c r="J3593" s="9" t="str">
        <f>IFERROR(__xludf.DUMMYFUNCTION("GOOGLETRANSLATE($A3593,""en"",""pt-BR"")"),"Sépik Oriental")</f>
        <v>Sépik Oriental</v>
      </c>
    </row>
    <row r="3594">
      <c r="A3594" s="9" t="str">
        <f>IFERROR(__xludf.DUMMYFUNCTION("""COMPUTED_VALUE"""),"Enga")</f>
        <v>Enga</v>
      </c>
      <c r="B3594" s="9" t="str">
        <f>IFERROR(__xludf.DUMMYFUNCTION("""COMPUTED_VALUE"""),"pg-epw")</f>
        <v>pg-epw</v>
      </c>
      <c r="C3594" s="9" t="str">
        <f>IFERROR(__xludf.DUMMYFUNCTION("GOOGLETRANSLATE($A3594,""en"",""de"")"),"Enga")</f>
        <v>Enga</v>
      </c>
      <c r="D3594" s="9" t="str">
        <f>IFERROR(__xludf.DUMMYFUNCTION("GOOGLETRANSLATE($A3594,""en"",""fr"")"),"Enga")</f>
        <v>Enga</v>
      </c>
      <c r="E3594" s="9" t="str">
        <f>IFERROR(__xludf.DUMMYFUNCTION("GOOGLETRANSLATE($A3594,""en"",""es"")"),"Enga")</f>
        <v>Enga</v>
      </c>
      <c r="F3594" s="9" t="str">
        <f>IFERROR(__xludf.DUMMYFUNCTION("GOOGLETRANSLATE($A3594,""en"",""it"")"),"Enga")</f>
        <v>Enga</v>
      </c>
      <c r="G3594" s="9" t="str">
        <f>IFERROR(__xludf.DUMMYFUNCTION("GOOGLETRANSLATE($A3594,""en"",""zh-cn"")"),"恩加")</f>
        <v>恩加</v>
      </c>
      <c r="H3594" s="9" t="str">
        <f>IFERROR(__xludf.DUMMYFUNCTION("GOOGLETRANSLATE($A3594,""en"",""ja"")"),"エンガ")</f>
        <v>エンガ</v>
      </c>
      <c r="I3594" s="9" t="str">
        <f>IFERROR(__xludf.DUMMYFUNCTION("GOOGLETRANSLATE($A3594,""en"",""ko"")"),"엔가")</f>
        <v>엔가</v>
      </c>
      <c r="J3594" s="9" t="str">
        <f>IFERROR(__xludf.DUMMYFUNCTION("GOOGLETRANSLATE($A3594,""en"",""pt-BR"")"),"Enga")</f>
        <v>Enga</v>
      </c>
    </row>
    <row r="3595">
      <c r="A3595" s="9" t="str">
        <f>IFERROR(__xludf.DUMMYFUNCTION("""COMPUTED_VALUE"""),"Gulf")</f>
        <v>Gulf</v>
      </c>
      <c r="B3595" s="9" t="str">
        <f>IFERROR(__xludf.DUMMYFUNCTION("""COMPUTED_VALUE"""),"pg-gpk")</f>
        <v>pg-gpk</v>
      </c>
      <c r="C3595" s="9" t="str">
        <f>IFERROR(__xludf.DUMMYFUNCTION("GOOGLETRANSLATE($A3595,""en"",""de"")"),"Golf")</f>
        <v>Golf</v>
      </c>
      <c r="D3595" s="9" t="str">
        <f>IFERROR(__xludf.DUMMYFUNCTION("GOOGLETRANSLATE($A3595,""en"",""fr"")"),"Golfe")</f>
        <v>Golfe</v>
      </c>
      <c r="E3595" s="9" t="str">
        <f>IFERROR(__xludf.DUMMYFUNCTION("GOOGLETRANSLATE($A3595,""en"",""es"")"),"Golfo")</f>
        <v>Golfo</v>
      </c>
      <c r="F3595" s="9" t="str">
        <f>IFERROR(__xludf.DUMMYFUNCTION("GOOGLETRANSLATE($A3595,""en"",""it"")"),"Golfo")</f>
        <v>Golfo</v>
      </c>
      <c r="G3595" s="9" t="str">
        <f>IFERROR(__xludf.DUMMYFUNCTION("GOOGLETRANSLATE($A3595,""en"",""zh-cn"")"),"海湾")</f>
        <v>海湾</v>
      </c>
      <c r="H3595" s="9" t="str">
        <f>IFERROR(__xludf.DUMMYFUNCTION("GOOGLETRANSLATE($A3595,""en"",""ja"")"),"湾")</f>
        <v>湾</v>
      </c>
      <c r="I3595" s="9" t="str">
        <f>IFERROR(__xludf.DUMMYFUNCTION("GOOGLETRANSLATE($A3595,""en"",""ko"")"),"만")</f>
        <v>만</v>
      </c>
      <c r="J3595" s="9" t="str">
        <f>IFERROR(__xludf.DUMMYFUNCTION("GOOGLETRANSLATE($A3595,""en"",""pt-BR"")"),"Golfo")</f>
        <v>Golfo</v>
      </c>
    </row>
    <row r="3596">
      <c r="A3596" s="9" t="str">
        <f>IFERROR(__xludf.DUMMYFUNCTION("""COMPUTED_VALUE"""),"Morobe")</f>
        <v>Morobe</v>
      </c>
      <c r="B3596" s="9" t="str">
        <f>IFERROR(__xludf.DUMMYFUNCTION("""COMPUTED_VALUE"""),"pg-mpl")</f>
        <v>pg-mpl</v>
      </c>
      <c r="C3596" s="9" t="str">
        <f>IFERROR(__xludf.DUMMYFUNCTION("GOOGLETRANSLATE($A3596,""en"",""de"")"),"Morobe")</f>
        <v>Morobe</v>
      </c>
      <c r="D3596" s="9" t="str">
        <f>IFERROR(__xludf.DUMMYFUNCTION("GOOGLETRANSLATE($A3596,""en"",""fr"")"),"Morobe")</f>
        <v>Morobe</v>
      </c>
      <c r="E3596" s="9" t="str">
        <f>IFERROR(__xludf.DUMMYFUNCTION("GOOGLETRANSLATE($A3596,""en"",""es"")"),"Morobe")</f>
        <v>Morobe</v>
      </c>
      <c r="F3596" s="9" t="str">
        <f>IFERROR(__xludf.DUMMYFUNCTION("GOOGLETRANSLATE($A3596,""en"",""it"")"),"Morobé")</f>
        <v>Morobé</v>
      </c>
      <c r="G3596" s="9" t="str">
        <f>IFERROR(__xludf.DUMMYFUNCTION("GOOGLETRANSLATE($A3596,""en"",""zh-cn"")"),"莫罗贝")</f>
        <v>莫罗贝</v>
      </c>
      <c r="H3596" s="9" t="str">
        <f>IFERROR(__xludf.DUMMYFUNCTION("GOOGLETRANSLATE($A3596,""en"",""ja"")"),"諸部")</f>
        <v>諸部</v>
      </c>
      <c r="I3596" s="9" t="str">
        <f>IFERROR(__xludf.DUMMYFUNCTION("GOOGLETRANSLATE($A3596,""en"",""ko"")"),"모로베")</f>
        <v>모로베</v>
      </c>
      <c r="J3596" s="9" t="str">
        <f>IFERROR(__xludf.DUMMYFUNCTION("GOOGLETRANSLATE($A3596,""en"",""pt-BR"")"),"Morobe")</f>
        <v>Morobe</v>
      </c>
    </row>
    <row r="3597">
      <c r="A3597" s="9" t="str">
        <f>IFERROR(__xludf.DUMMYFUNCTION("""COMPUTED_VALUE"""),"Western Highlands")</f>
        <v>Western Highlands</v>
      </c>
      <c r="B3597" s="9" t="str">
        <f>IFERROR(__xludf.DUMMYFUNCTION("""COMPUTED_VALUE"""),"pg-whm")</f>
        <v>pg-whm</v>
      </c>
      <c r="C3597" s="9" t="str">
        <f>IFERROR(__xludf.DUMMYFUNCTION("GOOGLETRANSLATE($A3597,""en"",""de"")"),"Westliches Hochland")</f>
        <v>Westliches Hochland</v>
      </c>
      <c r="D3597" s="9" t="str">
        <f>IFERROR(__xludf.DUMMYFUNCTION("GOOGLETRANSLATE($A3597,""en"",""fr"")"),"Hautes terres occidentales")</f>
        <v>Hautes terres occidentales</v>
      </c>
      <c r="E3597" s="9" t="str">
        <f>IFERROR(__xludf.DUMMYFUNCTION("GOOGLETRANSLATE($A3597,""en"",""es"")"),"Tierras Altas Occidentales")</f>
        <v>Tierras Altas Occidentales</v>
      </c>
      <c r="F3597" s="9" t="str">
        <f>IFERROR(__xludf.DUMMYFUNCTION("GOOGLETRANSLATE($A3597,""en"",""it"")"),"Altopiani occidentali")</f>
        <v>Altopiani occidentali</v>
      </c>
      <c r="G3597" s="9" t="str">
        <f>IFERROR(__xludf.DUMMYFUNCTION("GOOGLETRANSLATE($A3597,""en"",""zh-cn"")"),"西部高地")</f>
        <v>西部高地</v>
      </c>
      <c r="H3597" s="9" t="str">
        <f>IFERROR(__xludf.DUMMYFUNCTION("GOOGLETRANSLATE($A3597,""en"",""ja"")"),"ウェスタン・ハイランド")</f>
        <v>ウェスタン・ハイランド</v>
      </c>
      <c r="I3597" s="9" t="str">
        <f>IFERROR(__xludf.DUMMYFUNCTION("GOOGLETRANSLATE($A3597,""en"",""ko"")"),"서부고원")</f>
        <v>서부고원</v>
      </c>
      <c r="J3597" s="9" t="str">
        <f>IFERROR(__xludf.DUMMYFUNCTION("GOOGLETRANSLATE($A3597,""en"",""pt-BR"")"),"Terras Altas Ocidentais")</f>
        <v>Terras Altas Ocidentais</v>
      </c>
    </row>
    <row r="3598">
      <c r="A3598" s="9" t="str">
        <f>IFERROR(__xludf.DUMMYFUNCTION("""COMPUTED_VALUE"""),"Southern Highlands")</f>
        <v>Southern Highlands</v>
      </c>
      <c r="B3598" s="9" t="str">
        <f>IFERROR(__xludf.DUMMYFUNCTION("""COMPUTED_VALUE"""),"pg-shm")</f>
        <v>pg-shm</v>
      </c>
      <c r="C3598" s="9" t="str">
        <f>IFERROR(__xludf.DUMMYFUNCTION("GOOGLETRANSLATE($A3598,""en"",""de"")"),"Südliches Hochland")</f>
        <v>Südliches Hochland</v>
      </c>
      <c r="D3598" s="9" t="str">
        <f>IFERROR(__xludf.DUMMYFUNCTION("GOOGLETRANSLATE($A3598,""en"",""fr"")"),"Hautes Terres du Sud")</f>
        <v>Hautes Terres du Sud</v>
      </c>
      <c r="E3598" s="9" t="str">
        <f>IFERROR(__xludf.DUMMYFUNCTION("GOOGLETRANSLATE($A3598,""en"",""es"")"),"Tierras Altas del Sur")</f>
        <v>Tierras Altas del Sur</v>
      </c>
      <c r="F3598" s="9" t="str">
        <f>IFERROR(__xludf.DUMMYFUNCTION("GOOGLETRANSLATE($A3598,""en"",""it"")"),"Altopiani meridionali")</f>
        <v>Altopiani meridionali</v>
      </c>
      <c r="G3598" s="9" t="str">
        <f>IFERROR(__xludf.DUMMYFUNCTION("GOOGLETRANSLATE($A3598,""en"",""zh-cn"")"),"南部高地")</f>
        <v>南部高地</v>
      </c>
      <c r="H3598" s="9" t="str">
        <f>IFERROR(__xludf.DUMMYFUNCTION("GOOGLETRANSLATE($A3598,""en"",""ja"")"),"南部高地")</f>
        <v>南部高地</v>
      </c>
      <c r="I3598" s="9" t="str">
        <f>IFERROR(__xludf.DUMMYFUNCTION("GOOGLETRANSLATE($A3598,""en"",""ko"")"),"서던 하이랜드")</f>
        <v>서던 하이랜드</v>
      </c>
      <c r="J3598" s="9" t="str">
        <f>IFERROR(__xludf.DUMMYFUNCTION("GOOGLETRANSLATE($A3598,""en"",""pt-BR"")"),"Terras Altas do Sul")</f>
        <v>Terras Altas do Sul</v>
      </c>
    </row>
    <row r="3599">
      <c r="A3599" s="9" t="str">
        <f>IFERROR(__xludf.DUMMYFUNCTION("""COMPUTED_VALUE"""),"Bougainville")</f>
        <v>Bougainville</v>
      </c>
      <c r="B3599" s="9" t="str">
        <f>IFERROR(__xludf.DUMMYFUNCTION("""COMPUTED_VALUE"""),"pg-nsb")</f>
        <v>pg-nsb</v>
      </c>
      <c r="C3599" s="9" t="str">
        <f>IFERROR(__xludf.DUMMYFUNCTION("GOOGLETRANSLATE($A3599,""en"",""de"")"),"Bougainville")</f>
        <v>Bougainville</v>
      </c>
      <c r="D3599" s="9" t="str">
        <f>IFERROR(__xludf.DUMMYFUNCTION("GOOGLETRANSLATE($A3599,""en"",""fr"")"),"Bougainville")</f>
        <v>Bougainville</v>
      </c>
      <c r="E3599" s="9" t="str">
        <f>IFERROR(__xludf.DUMMYFUNCTION("GOOGLETRANSLATE($A3599,""en"",""es"")"),"Bougainville")</f>
        <v>Bougainville</v>
      </c>
      <c r="F3599" s="9" t="str">
        <f>IFERROR(__xludf.DUMMYFUNCTION("GOOGLETRANSLATE($A3599,""en"",""it"")"),"Bouganville")</f>
        <v>Bouganville</v>
      </c>
      <c r="G3599" s="9" t="str">
        <f>IFERROR(__xludf.DUMMYFUNCTION("GOOGLETRANSLATE($A3599,""en"",""zh-cn"")"),"布干维尔岛")</f>
        <v>布干维尔岛</v>
      </c>
      <c r="H3599" s="9" t="str">
        <f>IFERROR(__xludf.DUMMYFUNCTION("GOOGLETRANSLATE($A3599,""en"",""ja"")"),"ブーゲンビル")</f>
        <v>ブーゲンビル</v>
      </c>
      <c r="I3599" s="9" t="str">
        <f>IFERROR(__xludf.DUMMYFUNCTION("GOOGLETRANSLATE($A3599,""en"",""ko"")"),"부겐빌")</f>
        <v>부겐빌</v>
      </c>
      <c r="J3599" s="9" t="str">
        <f>IFERROR(__xludf.DUMMYFUNCTION("GOOGLETRANSLATE($A3599,""en"",""pt-BR"")"),"Bougainville")</f>
        <v>Bougainville</v>
      </c>
    </row>
    <row r="3600">
      <c r="A3600" s="9" t="str">
        <f>IFERROR(__xludf.DUMMYFUNCTION("""COMPUTED_VALUE"""),"East New Britain")</f>
        <v>East New Britain</v>
      </c>
      <c r="B3600" s="9" t="str">
        <f>IFERROR(__xludf.DUMMYFUNCTION("""COMPUTED_VALUE"""),"pg-ebr")</f>
        <v>pg-ebr</v>
      </c>
      <c r="C3600" s="9" t="str">
        <f>IFERROR(__xludf.DUMMYFUNCTION("GOOGLETRANSLATE($A3600,""en"",""de"")"),"Ost-Neubritannien")</f>
        <v>Ost-Neubritannien</v>
      </c>
      <c r="D3600" s="9" t="str">
        <f>IFERROR(__xludf.DUMMYFUNCTION("GOOGLETRANSLATE($A3600,""en"",""fr"")"),"Est de la Nouvelle-Bretagne")</f>
        <v>Est de la Nouvelle-Bretagne</v>
      </c>
      <c r="E3600" s="9" t="str">
        <f>IFERROR(__xludf.DUMMYFUNCTION("GOOGLETRANSLATE($A3600,""en"",""es"")"),"Este de Nueva Bretaña")</f>
        <v>Este de Nueva Bretaña</v>
      </c>
      <c r="F3600" s="9" t="str">
        <f>IFERROR(__xludf.DUMMYFUNCTION("GOOGLETRANSLATE($A3600,""en"",""it"")"),"Nuova Britannia orientale")</f>
        <v>Nuova Britannia orientale</v>
      </c>
      <c r="G3600" s="9" t="str">
        <f>IFERROR(__xludf.DUMMYFUNCTION("GOOGLETRANSLATE($A3600,""en"",""zh-cn"")"),"东新不列颠")</f>
        <v>东新不列颠</v>
      </c>
      <c r="H3600" s="9" t="str">
        <f>IFERROR(__xludf.DUMMYFUNCTION("GOOGLETRANSLATE($A3600,""en"",""ja"")"),"イースト・ニューブリテン")</f>
        <v>イースト・ニューブリテン</v>
      </c>
      <c r="I3600" s="9" t="str">
        <f>IFERROR(__xludf.DUMMYFUNCTION("GOOGLETRANSLATE($A3600,""en"",""ko"")"),"이스트 뉴브리튼")</f>
        <v>이스트 뉴브리튼</v>
      </c>
      <c r="J3600" s="9" t="str">
        <f>IFERROR(__xludf.DUMMYFUNCTION("GOOGLETRANSLATE($A3600,""en"",""pt-BR"")"),"Leste da Nova Grã-Bretanha")</f>
        <v>Leste da Nova Grã-Bretanha</v>
      </c>
    </row>
    <row r="3601">
      <c r="A3601" s="9" t="str">
        <f>IFERROR(__xludf.DUMMYFUNCTION("""COMPUTED_VALUE"""),"Sandaun [West Sepik]")</f>
        <v>Sandaun [West Sepik]</v>
      </c>
      <c r="B3601" s="9" t="str">
        <f>IFERROR(__xludf.DUMMYFUNCTION("""COMPUTED_VALUE"""),"pg-san")</f>
        <v>pg-san</v>
      </c>
      <c r="C3601" s="9" t="str">
        <f>IFERROR(__xludf.DUMMYFUNCTION("GOOGLETRANSLATE($A3601,""en"",""de"")"),"Sandaun [West-Sepik]")</f>
        <v>Sandaun [West-Sepik]</v>
      </c>
      <c r="D3601" s="9" t="str">
        <f>IFERROR(__xludf.DUMMYFUNCTION("GOOGLETRANSLATE($A3601,""en"",""fr"")"),"Sandaun [Sépik Ouest]")</f>
        <v>Sandaun [Sépik Ouest]</v>
      </c>
      <c r="E3601" s="9" t="str">
        <f>IFERROR(__xludf.DUMMYFUNCTION("GOOGLETRANSLATE($A3601,""en"",""es"")"),"Sandaun [Sepik occidental]")</f>
        <v>Sandaun [Sepik occidental]</v>
      </c>
      <c r="F3601" s="9" t="str">
        <f>IFERROR(__xludf.DUMMYFUNCTION("GOOGLETRANSLATE($A3601,""en"",""it"")"),"Sandaun [Sepik occidentale]")</f>
        <v>Sandaun [Sepik occidentale]</v>
      </c>
      <c r="G3601" s="9" t="str">
        <f>IFERROR(__xludf.DUMMYFUNCTION("GOOGLETRANSLATE($A3601,""en"",""zh-cn"")"),"桑道恩 [西塞皮克]")</f>
        <v>桑道恩 [西塞皮克]</v>
      </c>
      <c r="H3601" s="9" t="str">
        <f>IFERROR(__xludf.DUMMYFUNCTION("GOOGLETRANSLATE($A3601,""en"",""ja"")"),"サンダウン [西セピック]")</f>
        <v>サンダウン [西セピック]</v>
      </c>
      <c r="I3601" s="9" t="str">
        <f>IFERROR(__xludf.DUMMYFUNCTION("GOOGLETRANSLATE($A3601,""en"",""ko"")"),"산다운 [웨스트세픽]")</f>
        <v>산다운 [웨스트세픽]</v>
      </c>
      <c r="J3601" s="9" t="str">
        <f>IFERROR(__xludf.DUMMYFUNCTION("GOOGLETRANSLATE($A3601,""en"",""pt-BR"")"),"Sandaun [Sepik Ocidental]")</f>
        <v>Sandaun [Sepik Ocidental]</v>
      </c>
    </row>
    <row r="3602">
      <c r="A3602" s="9" t="str">
        <f>IFERROR(__xludf.DUMMYFUNCTION("""COMPUTED_VALUE"""),"Caaguazú")</f>
        <v>Caaguazú</v>
      </c>
      <c r="B3602" s="9" t="str">
        <f>IFERROR(__xludf.DUMMYFUNCTION("""COMPUTED_VALUE"""),"py-5")</f>
        <v>py-5</v>
      </c>
      <c r="C3602" s="9" t="str">
        <f>IFERROR(__xludf.DUMMYFUNCTION("GOOGLETRANSLATE($A3602,""en"",""de"")"),"Caaguazú")</f>
        <v>Caaguazú</v>
      </c>
      <c r="D3602" s="9" t="str">
        <f>IFERROR(__xludf.DUMMYFUNCTION("GOOGLETRANSLATE($A3602,""en"",""fr"")"),"Caaguazu")</f>
        <v>Caaguazu</v>
      </c>
      <c r="E3602" s="9" t="str">
        <f>IFERROR(__xludf.DUMMYFUNCTION("GOOGLETRANSLATE($A3602,""en"",""es"")"),"Caaguazú")</f>
        <v>Caaguazú</v>
      </c>
      <c r="F3602" s="9" t="str">
        <f>IFERROR(__xludf.DUMMYFUNCTION("GOOGLETRANSLATE($A3602,""en"",""it"")"),"Caaguazu")</f>
        <v>Caaguazu</v>
      </c>
      <c r="G3602" s="9" t="str">
        <f>IFERROR(__xludf.DUMMYFUNCTION("GOOGLETRANSLATE($A3602,""en"",""zh-cn"")"),"卡瓜苏")</f>
        <v>卡瓜苏</v>
      </c>
      <c r="H3602" s="9" t="str">
        <f>IFERROR(__xludf.DUMMYFUNCTION("GOOGLETRANSLATE($A3602,""en"",""ja"")"),"カアグアス")</f>
        <v>カアグアス</v>
      </c>
      <c r="I3602" s="9" t="str">
        <f>IFERROR(__xludf.DUMMYFUNCTION("GOOGLETRANSLATE($A3602,""en"",""ko"")"),"카과수")</f>
        <v>카과수</v>
      </c>
      <c r="J3602" s="9" t="str">
        <f>IFERROR(__xludf.DUMMYFUNCTION("GOOGLETRANSLATE($A3602,""en"",""pt-BR"")"),"Caaguazu")</f>
        <v>Caaguazu</v>
      </c>
    </row>
    <row r="3603">
      <c r="A3603" s="9" t="str">
        <f>IFERROR(__xludf.DUMMYFUNCTION("""COMPUTED_VALUE"""),"Boquerón")</f>
        <v>Boquerón</v>
      </c>
      <c r="B3603" s="9" t="str">
        <f>IFERROR(__xludf.DUMMYFUNCTION("""COMPUTED_VALUE"""),"py-19")</f>
        <v>py-19</v>
      </c>
      <c r="C3603" s="9" t="str">
        <f>IFERROR(__xludf.DUMMYFUNCTION("GOOGLETRANSLATE($A3603,""en"",""de"")"),"Boquerón")</f>
        <v>Boquerón</v>
      </c>
      <c r="D3603" s="9" t="str">
        <f>IFERROR(__xludf.DUMMYFUNCTION("GOOGLETRANSLATE($A3603,""en"",""fr"")"),"Boqueron")</f>
        <v>Boqueron</v>
      </c>
      <c r="E3603" s="9" t="str">
        <f>IFERROR(__xludf.DUMMYFUNCTION("GOOGLETRANSLATE($A3603,""en"",""es"")"),"Boquerón")</f>
        <v>Boquerón</v>
      </c>
      <c r="F3603" s="9" t="str">
        <f>IFERROR(__xludf.DUMMYFUNCTION("GOOGLETRANSLATE($A3603,""en"",""it"")"),"Boquerón")</f>
        <v>Boquerón</v>
      </c>
      <c r="G3603" s="9" t="str">
        <f>IFERROR(__xludf.DUMMYFUNCTION("GOOGLETRANSLATE($A3603,""en"",""zh-cn"")"),"博克龙")</f>
        <v>博克龙</v>
      </c>
      <c r="H3603" s="9" t="str">
        <f>IFERROR(__xludf.DUMMYFUNCTION("GOOGLETRANSLATE($A3603,""en"",""ja"")"),"ボケロン")</f>
        <v>ボケロン</v>
      </c>
      <c r="I3603" s="9" t="str">
        <f>IFERROR(__xludf.DUMMYFUNCTION("GOOGLETRANSLATE($A3603,""en"",""ko"")"),"보케론")</f>
        <v>보케론</v>
      </c>
      <c r="J3603" s="9" t="str">
        <f>IFERROR(__xludf.DUMMYFUNCTION("GOOGLETRANSLATE($A3603,""en"",""pt-BR"")"),"Boquerón")</f>
        <v>Boquerón</v>
      </c>
    </row>
    <row r="3604">
      <c r="A3604" s="9" t="str">
        <f>IFERROR(__xludf.DUMMYFUNCTION("""COMPUTED_VALUE"""),"Alto Paraguay")</f>
        <v>Alto Paraguay</v>
      </c>
      <c r="B3604" s="9" t="str">
        <f>IFERROR(__xludf.DUMMYFUNCTION("""COMPUTED_VALUE"""),"py-16")</f>
        <v>py-16</v>
      </c>
      <c r="C3604" s="9" t="str">
        <f>IFERROR(__xludf.DUMMYFUNCTION("GOOGLETRANSLATE($A3604,""en"",""de"")"),"Alto Paraguay")</f>
        <v>Alto Paraguay</v>
      </c>
      <c r="D3604" s="9" t="str">
        <f>IFERROR(__xludf.DUMMYFUNCTION("GOOGLETRANSLATE($A3604,""en"",""fr"")"),"Haut Paraguay")</f>
        <v>Haut Paraguay</v>
      </c>
      <c r="E3604" s="9" t="str">
        <f>IFERROR(__xludf.DUMMYFUNCTION("GOOGLETRANSLATE($A3604,""en"",""es"")"),"Alto Paraguay")</f>
        <v>Alto Paraguay</v>
      </c>
      <c r="F3604" s="9" t="str">
        <f>IFERROR(__xludf.DUMMYFUNCTION("GOOGLETRANSLATE($A3604,""en"",""it"")"),"Alto Paraguay")</f>
        <v>Alto Paraguay</v>
      </c>
      <c r="G3604" s="9" t="str">
        <f>IFERROR(__xludf.DUMMYFUNCTION("GOOGLETRANSLATE($A3604,""en"",""zh-cn"")"),"阿尔托巴拉圭")</f>
        <v>阿尔托巴拉圭</v>
      </c>
      <c r="H3604" s="9" t="str">
        <f>IFERROR(__xludf.DUMMYFUNCTION("GOOGLETRANSLATE($A3604,""en"",""ja"")"),"アルト パラグアイ")</f>
        <v>アルト パラグアイ</v>
      </c>
      <c r="I3604" s="9" t="str">
        <f>IFERROR(__xludf.DUMMYFUNCTION("GOOGLETRANSLATE($A3604,""en"",""ko"")"),"알토 파라과이")</f>
        <v>알토 파라과이</v>
      </c>
      <c r="J3604" s="9" t="str">
        <f>IFERROR(__xludf.DUMMYFUNCTION("GOOGLETRANSLATE($A3604,""en"",""pt-BR"")"),"Alto Paraguai")</f>
        <v>Alto Paraguai</v>
      </c>
    </row>
    <row r="3605">
      <c r="A3605" s="9" t="str">
        <f>IFERROR(__xludf.DUMMYFUNCTION("""COMPUTED_VALUE"""),"Amambay")</f>
        <v>Amambay</v>
      </c>
      <c r="B3605" s="9" t="str">
        <f>IFERROR(__xludf.DUMMYFUNCTION("""COMPUTED_VALUE"""),"py-13")</f>
        <v>py-13</v>
      </c>
      <c r="C3605" s="9" t="str">
        <f>IFERROR(__xludf.DUMMYFUNCTION("GOOGLETRANSLATE($A3605,""en"",""de"")"),"Amambay")</f>
        <v>Amambay</v>
      </c>
      <c r="D3605" s="9" t="str">
        <f>IFERROR(__xludf.DUMMYFUNCTION("GOOGLETRANSLATE($A3605,""en"",""fr"")"),"Amambay")</f>
        <v>Amambay</v>
      </c>
      <c r="E3605" s="9" t="str">
        <f>IFERROR(__xludf.DUMMYFUNCTION("GOOGLETRANSLATE($A3605,""en"",""es"")"),"Amambay")</f>
        <v>Amambay</v>
      </c>
      <c r="F3605" s="9" t="str">
        <f>IFERROR(__xludf.DUMMYFUNCTION("GOOGLETRANSLATE($A3605,""en"",""it"")"),"Amambay")</f>
        <v>Amambay</v>
      </c>
      <c r="G3605" s="9" t="str">
        <f>IFERROR(__xludf.DUMMYFUNCTION("GOOGLETRANSLATE($A3605,""en"",""zh-cn"")"),"阿曼拜")</f>
        <v>阿曼拜</v>
      </c>
      <c r="H3605" s="9" t="str">
        <f>IFERROR(__xludf.DUMMYFUNCTION("GOOGLETRANSLATE($A3605,""en"",""ja"")"),"アマンベイ")</f>
        <v>アマンベイ</v>
      </c>
      <c r="I3605" s="9" t="str">
        <f>IFERROR(__xludf.DUMMYFUNCTION("GOOGLETRANSLATE($A3605,""en"",""ko"")"),"아맘바이")</f>
        <v>아맘바이</v>
      </c>
      <c r="J3605" s="9" t="str">
        <f>IFERROR(__xludf.DUMMYFUNCTION("GOOGLETRANSLATE($A3605,""en"",""pt-BR"")"),"Amambay")</f>
        <v>Amambay</v>
      </c>
    </row>
    <row r="3606">
      <c r="A3606" s="9" t="str">
        <f>IFERROR(__xludf.DUMMYFUNCTION("""COMPUTED_VALUE"""),"Cordillera")</f>
        <v>Cordillera</v>
      </c>
      <c r="B3606" s="9" t="str">
        <f>IFERROR(__xludf.DUMMYFUNCTION("""COMPUTED_VALUE"""),"py-3")</f>
        <v>py-3</v>
      </c>
      <c r="C3606" s="9" t="str">
        <f>IFERROR(__xludf.DUMMYFUNCTION("GOOGLETRANSLATE($A3606,""en"",""de"")"),"Kordilleren")</f>
        <v>Kordilleren</v>
      </c>
      <c r="D3606" s="9" t="str">
        <f>IFERROR(__xludf.DUMMYFUNCTION("GOOGLETRANSLATE($A3606,""en"",""fr"")"),"Cordillère")</f>
        <v>Cordillère</v>
      </c>
      <c r="E3606" s="9" t="str">
        <f>IFERROR(__xludf.DUMMYFUNCTION("GOOGLETRANSLATE($A3606,""en"",""es"")"),"Cordillera")</f>
        <v>Cordillera</v>
      </c>
      <c r="F3606" s="9" t="str">
        <f>IFERROR(__xludf.DUMMYFUNCTION("GOOGLETRANSLATE($A3606,""en"",""it"")"),"Cordigliera")</f>
        <v>Cordigliera</v>
      </c>
      <c r="G3606" s="9" t="str">
        <f>IFERROR(__xludf.DUMMYFUNCTION("GOOGLETRANSLATE($A3606,""en"",""zh-cn"")"),"科迪勒拉")</f>
        <v>科迪勒拉</v>
      </c>
      <c r="H3606" s="9" t="str">
        <f>IFERROR(__xludf.DUMMYFUNCTION("GOOGLETRANSLATE($A3606,""en"",""ja"")"),"山脈")</f>
        <v>山脈</v>
      </c>
      <c r="I3606" s="9" t="str">
        <f>IFERROR(__xludf.DUMMYFUNCTION("GOOGLETRANSLATE($A3606,""en"",""ko"")"),"코르디예라")</f>
        <v>코르디예라</v>
      </c>
      <c r="J3606" s="9" t="str">
        <f>IFERROR(__xludf.DUMMYFUNCTION("GOOGLETRANSLATE($A3606,""en"",""pt-BR"")"),"Cordilheira")</f>
        <v>Cordilheira</v>
      </c>
    </row>
    <row r="3607">
      <c r="A3607" s="9" t="str">
        <f>IFERROR(__xludf.DUMMYFUNCTION("""COMPUTED_VALUE"""),"Canindeyú")</f>
        <v>Canindeyú</v>
      </c>
      <c r="B3607" s="9" t="str">
        <f>IFERROR(__xludf.DUMMYFUNCTION("""COMPUTED_VALUE"""),"py-14")</f>
        <v>py-14</v>
      </c>
      <c r="C3607" s="9" t="str">
        <f>IFERROR(__xludf.DUMMYFUNCTION("GOOGLETRANSLATE($A3607,""en"",""de"")"),"Canindeyú")</f>
        <v>Canindeyú</v>
      </c>
      <c r="D3607" s="9" t="str">
        <f>IFERROR(__xludf.DUMMYFUNCTION("GOOGLETRANSLATE($A3607,""en"",""fr"")"),"Canindeyu")</f>
        <v>Canindeyu</v>
      </c>
      <c r="E3607" s="9" t="str">
        <f>IFERROR(__xludf.DUMMYFUNCTION("GOOGLETRANSLATE($A3607,""en"",""es"")"),"Canindeyú")</f>
        <v>Canindeyú</v>
      </c>
      <c r="F3607" s="9" t="str">
        <f>IFERROR(__xludf.DUMMYFUNCTION("GOOGLETRANSLATE($A3607,""en"",""it"")"),"Canindeyu")</f>
        <v>Canindeyu</v>
      </c>
      <c r="G3607" s="9" t="str">
        <f>IFERROR(__xludf.DUMMYFUNCTION("GOOGLETRANSLATE($A3607,""en"",""zh-cn"")"),"卡宁德尤")</f>
        <v>卡宁德尤</v>
      </c>
      <c r="H3607" s="9" t="str">
        <f>IFERROR(__xludf.DUMMYFUNCTION("GOOGLETRANSLATE($A3607,""en"",""ja"")"),"カニンデユ")</f>
        <v>カニンデユ</v>
      </c>
      <c r="I3607" s="9" t="str">
        <f>IFERROR(__xludf.DUMMYFUNCTION("GOOGLETRANSLATE($A3607,""en"",""ko"")"),"카닌데유")</f>
        <v>카닌데유</v>
      </c>
      <c r="J3607" s="9" t="str">
        <f>IFERROR(__xludf.DUMMYFUNCTION("GOOGLETRANSLATE($A3607,""en"",""pt-BR"")"),"Canindeyú")</f>
        <v>Canindeyú</v>
      </c>
    </row>
    <row r="3608">
      <c r="A3608" s="9" t="str">
        <f>IFERROR(__xludf.DUMMYFUNCTION("""COMPUTED_VALUE"""),"Misiones (PY)")</f>
        <v>Misiones (PY)</v>
      </c>
      <c r="B3608" s="9" t="str">
        <f>IFERROR(__xludf.DUMMYFUNCTION("""COMPUTED_VALUE"""),"py-8")</f>
        <v>py-8</v>
      </c>
      <c r="C3608" s="9" t="str">
        <f>IFERROR(__xludf.DUMMYFUNCTION("GOOGLETRANSLATE($A3608,""en"",""de"")"),"Missionen (PY)")</f>
        <v>Missionen (PY)</v>
      </c>
      <c r="D3608" s="9" t="str">
        <f>IFERROR(__xludf.DUMMYFUNCTION("GOOGLETRANSLATE($A3608,""en"",""fr"")"),"Missions (PY)")</f>
        <v>Missions (PY)</v>
      </c>
      <c r="E3608" s="9" t="str">
        <f>IFERROR(__xludf.DUMMYFUNCTION("GOOGLETRANSLATE($A3608,""en"",""es"")"),"Misiones (PY)")</f>
        <v>Misiones (PY)</v>
      </c>
      <c r="F3608" s="9" t="str">
        <f>IFERROR(__xludf.DUMMYFUNCTION("GOOGLETRANSLATE($A3608,""en"",""it"")"),"Missioni (PY)")</f>
        <v>Missioni (PY)</v>
      </c>
      <c r="G3608" s="9" t="str">
        <f>IFERROR(__xludf.DUMMYFUNCTION("GOOGLETRANSLATE($A3608,""en"",""zh-cn"")"),"米西奥内斯 (PY)")</f>
        <v>米西奥内斯 (PY)</v>
      </c>
      <c r="H3608" s="9" t="str">
        <f>IFERROR(__xludf.DUMMYFUNCTION("GOOGLETRANSLATE($A3608,""en"",""ja"")"),"ミシオネス州 (PY)")</f>
        <v>ミシオネス州 (PY)</v>
      </c>
      <c r="I3608" s="9" t="str">
        <f>IFERROR(__xludf.DUMMYFUNCTION("GOOGLETRANSLATE($A3608,""en"",""ko"")"),"미시오네스(PY)")</f>
        <v>미시오네스(PY)</v>
      </c>
      <c r="J3608" s="9" t="str">
        <f>IFERROR(__xludf.DUMMYFUNCTION("GOOGLETRANSLATE($A3608,""en"",""pt-BR"")"),"Missões (PY)")</f>
        <v>Missões (PY)</v>
      </c>
    </row>
    <row r="3609">
      <c r="A3609" s="9" t="str">
        <f>IFERROR(__xludf.DUMMYFUNCTION("""COMPUTED_VALUE"""),"Asunción")</f>
        <v>Asunción</v>
      </c>
      <c r="B3609" s="9" t="str">
        <f>IFERROR(__xludf.DUMMYFUNCTION("""COMPUTED_VALUE"""),"py-asu")</f>
        <v>py-asu</v>
      </c>
      <c r="C3609" s="9" t="str">
        <f>IFERROR(__xludf.DUMMYFUNCTION("GOOGLETRANSLATE($A3609,""en"",""de"")"),"Asunción")</f>
        <v>Asunción</v>
      </c>
      <c r="D3609" s="9" t="str">
        <f>IFERROR(__xludf.DUMMYFUNCTION("GOOGLETRANSLATE($A3609,""en"",""fr"")"),"Asuncion")</f>
        <v>Asuncion</v>
      </c>
      <c r="E3609" s="9" t="str">
        <f>IFERROR(__xludf.DUMMYFUNCTION("GOOGLETRANSLATE($A3609,""en"",""es"")"),"Asunción")</f>
        <v>Asunción</v>
      </c>
      <c r="F3609" s="9" t="str">
        <f>IFERROR(__xludf.DUMMYFUNCTION("GOOGLETRANSLATE($A3609,""en"",""it"")"),"Asunzione")</f>
        <v>Asunzione</v>
      </c>
      <c r="G3609" s="9" t="str">
        <f>IFERROR(__xludf.DUMMYFUNCTION("GOOGLETRANSLATE($A3609,""en"",""zh-cn"")"),"亚松森")</f>
        <v>亚松森</v>
      </c>
      <c r="H3609" s="9" t="str">
        <f>IFERROR(__xludf.DUMMYFUNCTION("GOOGLETRANSLATE($A3609,""en"",""ja"")"),"アスンシオン")</f>
        <v>アスンシオン</v>
      </c>
      <c r="I3609" s="9" t="str">
        <f>IFERROR(__xludf.DUMMYFUNCTION("GOOGLETRANSLATE($A3609,""en"",""ko"")"),"아순시온")</f>
        <v>아순시온</v>
      </c>
      <c r="J3609" s="9" t="str">
        <f>IFERROR(__xludf.DUMMYFUNCTION("GOOGLETRANSLATE($A3609,""en"",""pt-BR"")"),"Assunção")</f>
        <v>Assunção</v>
      </c>
    </row>
    <row r="3610">
      <c r="A3610" s="9" t="str">
        <f>IFERROR(__xludf.DUMMYFUNCTION("""COMPUTED_VALUE"""),"Central (PY)")</f>
        <v>Central (PY)</v>
      </c>
      <c r="B3610" s="9" t="str">
        <f>IFERROR(__xludf.DUMMYFUNCTION("""COMPUTED_VALUE"""),"py-11")</f>
        <v>py-11</v>
      </c>
      <c r="C3610" s="9" t="str">
        <f>IFERROR(__xludf.DUMMYFUNCTION("GOOGLETRANSLATE($A3610,""en"",""de"")"),"Zentral (PJ)")</f>
        <v>Zentral (PJ)</v>
      </c>
      <c r="D3610" s="9" t="str">
        <f>IFERROR(__xludf.DUMMYFUNCTION("GOOGLETRANSLATE($A3610,""en"",""fr"")"),"Centrale (PY)")</f>
        <v>Centrale (PY)</v>
      </c>
      <c r="E3610" s="9" t="str">
        <f>IFERROR(__xludf.DUMMYFUNCTION("GOOGLETRANSLATE($A3610,""en"",""es"")"),"Centro (PY)")</f>
        <v>Centro (PY)</v>
      </c>
      <c r="F3610" s="9" t="str">
        <f>IFERROR(__xludf.DUMMYFUNCTION("GOOGLETRANSLATE($A3610,""en"",""it"")"),"Centrale (PY)")</f>
        <v>Centrale (PY)</v>
      </c>
      <c r="G3610" s="9" t="str">
        <f>IFERROR(__xludf.DUMMYFUNCTION("GOOGLETRANSLATE($A3610,""en"",""zh-cn"")"),"中环 (PY)")</f>
        <v>中环 (PY)</v>
      </c>
      <c r="H3610" s="9" t="str">
        <f>IFERROR(__xludf.DUMMYFUNCTION("GOOGLETRANSLATE($A3610,""en"",""ja"")"),"中部（ペンシルベニア州）")</f>
        <v>中部（ペンシルベニア州）</v>
      </c>
      <c r="I3610" s="9" t="str">
        <f>IFERROR(__xludf.DUMMYFUNCTION("GOOGLETRANSLATE($A3610,""en"",""ko"")"),"중부(PY)")</f>
        <v>중부(PY)</v>
      </c>
      <c r="J3610" s="9" t="str">
        <f>IFERROR(__xludf.DUMMYFUNCTION("GOOGLETRANSLATE($A3610,""en"",""pt-BR"")"),"Central (PY)")</f>
        <v>Central (PY)</v>
      </c>
    </row>
    <row r="3611">
      <c r="A3611" s="9" t="str">
        <f>IFERROR(__xludf.DUMMYFUNCTION("""COMPUTED_VALUE"""),"San Pedro")</f>
        <v>San Pedro</v>
      </c>
      <c r="B3611" s="9" t="str">
        <f>IFERROR(__xludf.DUMMYFUNCTION("""COMPUTED_VALUE"""),"py-2")</f>
        <v>py-2</v>
      </c>
      <c r="C3611" s="9" t="str">
        <f>IFERROR(__xludf.DUMMYFUNCTION("GOOGLETRANSLATE($A3611,""en"",""de"")"),"San Pedro")</f>
        <v>San Pedro</v>
      </c>
      <c r="D3611" s="9" t="str">
        <f>IFERROR(__xludf.DUMMYFUNCTION("GOOGLETRANSLATE($A3611,""en"",""fr"")"),"Saint-Pierre")</f>
        <v>Saint-Pierre</v>
      </c>
      <c r="E3611" s="9" t="str">
        <f>IFERROR(__xludf.DUMMYFUNCTION("GOOGLETRANSLATE($A3611,""en"",""es"")"),"san pedro")</f>
        <v>san pedro</v>
      </c>
      <c r="F3611" s="9" t="str">
        <f>IFERROR(__xludf.DUMMYFUNCTION("GOOGLETRANSLATE($A3611,""en"",""it"")"),"San Pedro")</f>
        <v>San Pedro</v>
      </c>
      <c r="G3611" s="9" t="str">
        <f>IFERROR(__xludf.DUMMYFUNCTION("GOOGLETRANSLATE($A3611,""en"",""zh-cn"")"),"圣佩德罗")</f>
        <v>圣佩德罗</v>
      </c>
      <c r="H3611" s="9" t="str">
        <f>IFERROR(__xludf.DUMMYFUNCTION("GOOGLETRANSLATE($A3611,""en"",""ja"")"),"サンペドロ")</f>
        <v>サンペドロ</v>
      </c>
      <c r="I3611" s="9" t="str">
        <f>IFERROR(__xludf.DUMMYFUNCTION("GOOGLETRANSLATE($A3611,""en"",""ko"")"),"산페드로")</f>
        <v>산페드로</v>
      </c>
      <c r="J3611" s="9" t="str">
        <f>IFERROR(__xludf.DUMMYFUNCTION("GOOGLETRANSLATE($A3611,""en"",""pt-BR"")"),"São Pedro")</f>
        <v>São Pedro</v>
      </c>
    </row>
    <row r="3612">
      <c r="A3612" s="9" t="str">
        <f>IFERROR(__xludf.DUMMYFUNCTION("""COMPUTED_VALUE"""),"Guairá")</f>
        <v>Guairá</v>
      </c>
      <c r="B3612" s="9" t="str">
        <f>IFERROR(__xludf.DUMMYFUNCTION("""COMPUTED_VALUE"""),"py-4")</f>
        <v>py-4</v>
      </c>
      <c r="C3612" s="9" t="str">
        <f>IFERROR(__xludf.DUMMYFUNCTION("GOOGLETRANSLATE($A3612,""en"",""de"")"),"Guairá")</f>
        <v>Guairá</v>
      </c>
      <c r="D3612" s="9" t="str">
        <f>IFERROR(__xludf.DUMMYFUNCTION("GOOGLETRANSLATE($A3612,""en"",""fr"")"),"Guaira")</f>
        <v>Guaira</v>
      </c>
      <c r="E3612" s="9" t="str">
        <f>IFERROR(__xludf.DUMMYFUNCTION("GOOGLETRANSLATE($A3612,""en"",""es"")"),"Guaira")</f>
        <v>Guaira</v>
      </c>
      <c r="F3612" s="9" t="str">
        <f>IFERROR(__xludf.DUMMYFUNCTION("GOOGLETRANSLATE($A3612,""en"",""it"")"),"Guairà")</f>
        <v>Guairà</v>
      </c>
      <c r="G3612" s="9" t="str">
        <f>IFERROR(__xludf.DUMMYFUNCTION("GOOGLETRANSLATE($A3612,""en"",""zh-cn"")"),"瓜伊拉")</f>
        <v>瓜伊拉</v>
      </c>
      <c r="H3612" s="9" t="str">
        <f>IFERROR(__xludf.DUMMYFUNCTION("GOOGLETRANSLATE($A3612,""en"",""ja"")"),"グアイラ")</f>
        <v>グアイラ</v>
      </c>
      <c r="I3612" s="9" t="str">
        <f>IFERROR(__xludf.DUMMYFUNCTION("GOOGLETRANSLATE($A3612,""en"",""ko"")"),"과이라")</f>
        <v>과이라</v>
      </c>
      <c r="J3612" s="9" t="str">
        <f>IFERROR(__xludf.DUMMYFUNCTION("GOOGLETRANSLATE($A3612,""en"",""pt-BR"")"),"Guairá")</f>
        <v>Guairá</v>
      </c>
    </row>
    <row r="3613">
      <c r="A3613" s="9" t="str">
        <f>IFERROR(__xludf.DUMMYFUNCTION("""COMPUTED_VALUE"""),"Alto Paraná")</f>
        <v>Alto Paraná</v>
      </c>
      <c r="B3613" s="9" t="str">
        <f>IFERROR(__xludf.DUMMYFUNCTION("""COMPUTED_VALUE"""),"py-10")</f>
        <v>py-10</v>
      </c>
      <c r="C3613" s="9" t="str">
        <f>IFERROR(__xludf.DUMMYFUNCTION("GOOGLETRANSLATE($A3613,""en"",""de"")"),"Alto Paraná")</f>
        <v>Alto Paraná</v>
      </c>
      <c r="D3613" s="9" t="str">
        <f>IFERROR(__xludf.DUMMYFUNCTION("GOOGLETRANSLATE($A3613,""en"",""fr"")"),"Haut Paraná")</f>
        <v>Haut Paraná</v>
      </c>
      <c r="E3613" s="9" t="str">
        <f>IFERROR(__xludf.DUMMYFUNCTION("GOOGLETRANSLATE($A3613,""en"",""es"")"),"Alto Paraná")</f>
        <v>Alto Paraná</v>
      </c>
      <c r="F3613" s="9" t="str">
        <f>IFERROR(__xludf.DUMMYFUNCTION("GOOGLETRANSLATE($A3613,""en"",""it"")"),"Alto Paranà")</f>
        <v>Alto Paranà</v>
      </c>
      <c r="G3613" s="9" t="str">
        <f>IFERROR(__xludf.DUMMYFUNCTION("GOOGLETRANSLATE($A3613,""en"",""zh-cn"")"),"上巴拉那州")</f>
        <v>上巴拉那州</v>
      </c>
      <c r="H3613" s="9" t="str">
        <f>IFERROR(__xludf.DUMMYFUNCTION("GOOGLETRANSLATE($A3613,""en"",""ja"")"),"アルト パラナ")</f>
        <v>アルト パラナ</v>
      </c>
      <c r="I3613" s="9" t="str">
        <f>IFERROR(__xludf.DUMMYFUNCTION("GOOGLETRANSLATE($A3613,""en"",""ko"")"),"알토 파라나")</f>
        <v>알토 파라나</v>
      </c>
      <c r="J3613" s="9" t="str">
        <f>IFERROR(__xludf.DUMMYFUNCTION("GOOGLETRANSLATE($A3613,""en"",""pt-BR"")"),"Alto Paraná")</f>
        <v>Alto Paraná</v>
      </c>
    </row>
    <row r="3614">
      <c r="A3614" s="9" t="str">
        <f>IFERROR(__xludf.DUMMYFUNCTION("""COMPUTED_VALUE"""),"Ñeembucú")</f>
        <v>Ñeembucú</v>
      </c>
      <c r="B3614" s="9" t="str">
        <f>IFERROR(__xludf.DUMMYFUNCTION("""COMPUTED_VALUE"""),"py-12")</f>
        <v>py-12</v>
      </c>
      <c r="C3614" s="9" t="str">
        <f>IFERROR(__xludf.DUMMYFUNCTION("GOOGLETRANSLATE($A3614,""en"",""de"")"),"Ñeembucú")</f>
        <v>Ñeembucú</v>
      </c>
      <c r="D3614" s="9" t="str">
        <f>IFERROR(__xludf.DUMMYFUNCTION("GOOGLETRANSLATE($A3614,""en"",""fr"")"),"Ñeembucú")</f>
        <v>Ñeembucú</v>
      </c>
      <c r="E3614" s="9" t="str">
        <f>IFERROR(__xludf.DUMMYFUNCTION("GOOGLETRANSLATE($A3614,""en"",""es"")"),"Ñeembucu")</f>
        <v>Ñeembucu</v>
      </c>
      <c r="F3614" s="9" t="str">
        <f>IFERROR(__xludf.DUMMYFUNCTION("GOOGLETRANSLATE($A3614,""en"",""it"")"),"Ñeembucú")</f>
        <v>Ñeembucú</v>
      </c>
      <c r="G3614" s="9" t="str">
        <f>IFERROR(__xludf.DUMMYFUNCTION("GOOGLETRANSLATE($A3614,""en"",""zh-cn"")"),"埃姆布库")</f>
        <v>埃姆布库</v>
      </c>
      <c r="H3614" s="9" t="str">
        <f>IFERROR(__xludf.DUMMYFUNCTION("GOOGLETRANSLATE($A3614,""en"",""ja"")"),"ジェーンブク")</f>
        <v>ジェーンブク</v>
      </c>
      <c r="I3614" s="9" t="str">
        <f>IFERROR(__xludf.DUMMYFUNCTION("GOOGLETRANSLATE($A3614,""en"",""ko"")"),"Ñeembucu")</f>
        <v>Ñeembucu</v>
      </c>
      <c r="J3614" s="9" t="str">
        <f>IFERROR(__xludf.DUMMYFUNCTION("GOOGLETRANSLATE($A3614,""en"",""pt-BR"")"),"Ñeembucú")</f>
        <v>Ñeembucú</v>
      </c>
    </row>
    <row r="3615">
      <c r="A3615" s="9" t="str">
        <f>IFERROR(__xludf.DUMMYFUNCTION("""COMPUTED_VALUE"""),"Paraguarí")</f>
        <v>Paraguarí</v>
      </c>
      <c r="B3615" s="9" t="str">
        <f>IFERROR(__xludf.DUMMYFUNCTION("""COMPUTED_VALUE"""),"py-9")</f>
        <v>py-9</v>
      </c>
      <c r="C3615" s="9" t="str">
        <f>IFERROR(__xludf.DUMMYFUNCTION("GOOGLETRANSLATE($A3615,""en"",""de"")"),"Paraguarí")</f>
        <v>Paraguarí</v>
      </c>
      <c r="D3615" s="9" t="str">
        <f>IFERROR(__xludf.DUMMYFUNCTION("GOOGLETRANSLATE($A3615,""en"",""fr"")"),"Paraguay")</f>
        <v>Paraguay</v>
      </c>
      <c r="E3615" s="9" t="str">
        <f>IFERROR(__xludf.DUMMYFUNCTION("GOOGLETRANSLATE($A3615,""en"",""es"")"),"Paraguarí")</f>
        <v>Paraguarí</v>
      </c>
      <c r="F3615" s="9" t="str">
        <f>IFERROR(__xludf.DUMMYFUNCTION("GOOGLETRANSLATE($A3615,""en"",""it"")"),"Paraguari")</f>
        <v>Paraguari</v>
      </c>
      <c r="G3615" s="9" t="str">
        <f>IFERROR(__xludf.DUMMYFUNCTION("GOOGLETRANSLATE($A3615,""en"",""zh-cn"")"),"巴拉瓜里")</f>
        <v>巴拉瓜里</v>
      </c>
      <c r="H3615" s="9" t="str">
        <f>IFERROR(__xludf.DUMMYFUNCTION("GOOGLETRANSLATE($A3615,""en"",""ja"")"),"パラグアリ")</f>
        <v>パラグアリ</v>
      </c>
      <c r="I3615" s="9" t="str">
        <f>IFERROR(__xludf.DUMMYFUNCTION("GOOGLETRANSLATE($A3615,""en"",""ko"")"),"파라과리")</f>
        <v>파라과리</v>
      </c>
      <c r="J3615" s="9" t="str">
        <f>IFERROR(__xludf.DUMMYFUNCTION("GOOGLETRANSLATE($A3615,""en"",""pt-BR"")"),"Paraguari")</f>
        <v>Paraguari</v>
      </c>
    </row>
    <row r="3616">
      <c r="A3616" s="9" t="str">
        <f>IFERROR(__xludf.DUMMYFUNCTION("""COMPUTED_VALUE"""),"Caazapá")</f>
        <v>Caazapá</v>
      </c>
      <c r="B3616" s="9" t="str">
        <f>IFERROR(__xludf.DUMMYFUNCTION("""COMPUTED_VALUE"""),"py-6")</f>
        <v>py-6</v>
      </c>
      <c r="C3616" s="9" t="str">
        <f>IFERROR(__xludf.DUMMYFUNCTION("GOOGLETRANSLATE($A3616,""en"",""de"")"),"Caazapá")</f>
        <v>Caazapá</v>
      </c>
      <c r="D3616" s="9" t="str">
        <f>IFERROR(__xludf.DUMMYFUNCTION("GOOGLETRANSLATE($A3616,""en"",""fr"")"),"Caazapa")</f>
        <v>Caazapa</v>
      </c>
      <c r="E3616" s="9" t="str">
        <f>IFERROR(__xludf.DUMMYFUNCTION("GOOGLETRANSLATE($A3616,""en"",""es"")"),"caazapa")</f>
        <v>caazapa</v>
      </c>
      <c r="F3616" s="9" t="str">
        <f>IFERROR(__xludf.DUMMYFUNCTION("GOOGLETRANSLATE($A3616,""en"",""it"")"),"Caazapá")</f>
        <v>Caazapá</v>
      </c>
      <c r="G3616" s="9" t="str">
        <f>IFERROR(__xludf.DUMMYFUNCTION("GOOGLETRANSLATE($A3616,""en"",""zh-cn"")"),"卡萨帕")</f>
        <v>卡萨帕</v>
      </c>
      <c r="H3616" s="9" t="str">
        <f>IFERROR(__xludf.DUMMYFUNCTION("GOOGLETRANSLATE($A3616,""en"",""ja"")"),"カザパ")</f>
        <v>カザパ</v>
      </c>
      <c r="I3616" s="9" t="str">
        <f>IFERROR(__xludf.DUMMYFUNCTION("GOOGLETRANSLATE($A3616,""en"",""ko"")"),"카자파")</f>
        <v>카자파</v>
      </c>
      <c r="J3616" s="9" t="str">
        <f>IFERROR(__xludf.DUMMYFUNCTION("GOOGLETRANSLATE($A3616,""en"",""pt-BR"")"),"Caazapá")</f>
        <v>Caazapá</v>
      </c>
    </row>
    <row r="3617">
      <c r="A3617" s="9" t="str">
        <f>IFERROR(__xludf.DUMMYFUNCTION("""COMPUTED_VALUE"""),"Concepción")</f>
        <v>Concepción</v>
      </c>
      <c r="B3617" s="9" t="str">
        <f>IFERROR(__xludf.DUMMYFUNCTION("""COMPUTED_VALUE"""),"py-1")</f>
        <v>py-1</v>
      </c>
      <c r="C3617" s="9" t="str">
        <f>IFERROR(__xludf.DUMMYFUNCTION("GOOGLETRANSLATE($A3617,""en"",""de"")"),"Konzeption")</f>
        <v>Konzeption</v>
      </c>
      <c r="D3617" s="9" t="str">
        <f>IFERROR(__xludf.DUMMYFUNCTION("GOOGLETRANSLATE($A3617,""en"",""fr"")"),"Conception")</f>
        <v>Conception</v>
      </c>
      <c r="E3617" s="9" t="str">
        <f>IFERROR(__xludf.DUMMYFUNCTION("GOOGLETRANSLATE($A3617,""en"",""es"")"),"Concepcion")</f>
        <v>Concepcion</v>
      </c>
      <c r="F3617" s="9" t="str">
        <f>IFERROR(__xludf.DUMMYFUNCTION("GOOGLETRANSLATE($A3617,""en"",""it"")"),"Concezione")</f>
        <v>Concezione</v>
      </c>
      <c r="G3617" s="9" t="str">
        <f>IFERROR(__xludf.DUMMYFUNCTION("GOOGLETRANSLATE($A3617,""en"",""zh-cn"")"),"康塞普西翁")</f>
        <v>康塞普西翁</v>
      </c>
      <c r="H3617" s="9" t="str">
        <f>IFERROR(__xludf.DUMMYFUNCTION("GOOGLETRANSLATE($A3617,""en"",""ja"")"),"コンセプシオン")</f>
        <v>コンセプシオン</v>
      </c>
      <c r="I3617" s="9" t="str">
        <f>IFERROR(__xludf.DUMMYFUNCTION("GOOGLETRANSLATE($A3617,""en"",""ko"")"),"컨셉시온")</f>
        <v>컨셉시온</v>
      </c>
      <c r="J3617" s="9" t="str">
        <f>IFERROR(__xludf.DUMMYFUNCTION("GOOGLETRANSLATE($A3617,""en"",""pt-BR"")"),"Conceição")</f>
        <v>Conceição</v>
      </c>
    </row>
    <row r="3618">
      <c r="A3618" s="9" t="str">
        <f>IFERROR(__xludf.DUMMYFUNCTION("""COMPUTED_VALUE"""),"Presidente Hayes")</f>
        <v>Presidente Hayes</v>
      </c>
      <c r="B3618" s="9" t="str">
        <f>IFERROR(__xludf.DUMMYFUNCTION("""COMPUTED_VALUE"""),"py-15")</f>
        <v>py-15</v>
      </c>
      <c r="C3618" s="9" t="str">
        <f>IFERROR(__xludf.DUMMYFUNCTION("GOOGLETRANSLATE($A3618,""en"",""de"")"),"Präsident Hayes")</f>
        <v>Präsident Hayes</v>
      </c>
      <c r="D3618" s="9" t="str">
        <f>IFERROR(__xludf.DUMMYFUNCTION("GOOGLETRANSLATE($A3618,""en"",""fr"")"),"Président Hayes")</f>
        <v>Président Hayes</v>
      </c>
      <c r="E3618" s="9" t="str">
        <f>IFERROR(__xludf.DUMMYFUNCTION("GOOGLETRANSLATE($A3618,""en"",""es"")"),"Presidente Hayes")</f>
        <v>Presidente Hayes</v>
      </c>
      <c r="F3618" s="9" t="str">
        <f>IFERROR(__xludf.DUMMYFUNCTION("GOOGLETRANSLATE($A3618,""en"",""it"")"),"Presidente Hayes")</f>
        <v>Presidente Hayes</v>
      </c>
      <c r="G3618" s="9" t="str">
        <f>IFERROR(__xludf.DUMMYFUNCTION("GOOGLETRANSLATE($A3618,""en"",""zh-cn"")"),"海耶斯总统")</f>
        <v>海耶斯总统</v>
      </c>
      <c r="H3618" s="9" t="str">
        <f>IFERROR(__xludf.DUMMYFUNCTION("GOOGLETRANSLATE($A3618,""en"",""ja"")"),"ヘイズ大統領")</f>
        <v>ヘイズ大統領</v>
      </c>
      <c r="I3618" s="9" t="str">
        <f>IFERROR(__xludf.DUMMYFUNCTION("GOOGLETRANSLATE($A3618,""en"",""ko"")"),"헤이즈 대통령")</f>
        <v>헤이즈 대통령</v>
      </c>
      <c r="J3618" s="9" t="str">
        <f>IFERROR(__xludf.DUMMYFUNCTION("GOOGLETRANSLATE($A3618,""en"",""pt-BR"")"),"Presidente Hayes")</f>
        <v>Presidente Hayes</v>
      </c>
    </row>
    <row r="3619">
      <c r="A3619" s="9" t="str">
        <f>IFERROR(__xludf.DUMMYFUNCTION("""COMPUTED_VALUE"""),"Itapúa")</f>
        <v>Itapúa</v>
      </c>
      <c r="B3619" s="9" t="str">
        <f>IFERROR(__xludf.DUMMYFUNCTION("""COMPUTED_VALUE"""),"py-7")</f>
        <v>py-7</v>
      </c>
      <c r="C3619" s="9" t="str">
        <f>IFERROR(__xludf.DUMMYFUNCTION("GOOGLETRANSLATE($A3619,""en"",""de"")"),"Itapúa")</f>
        <v>Itapúa</v>
      </c>
      <c r="D3619" s="9" t="str">
        <f>IFERROR(__xludf.DUMMYFUNCTION("GOOGLETRANSLATE($A3619,""en"",""fr"")"),"Itapua")</f>
        <v>Itapua</v>
      </c>
      <c r="E3619" s="9" t="str">
        <f>IFERROR(__xludf.DUMMYFUNCTION("GOOGLETRANSLATE($A3619,""en"",""es"")"),"Itapúa")</f>
        <v>Itapúa</v>
      </c>
      <c r="F3619" s="9" t="str">
        <f>IFERROR(__xludf.DUMMYFUNCTION("GOOGLETRANSLATE($A3619,""en"",""it"")"),"Itapúa")</f>
        <v>Itapúa</v>
      </c>
      <c r="G3619" s="9" t="str">
        <f>IFERROR(__xludf.DUMMYFUNCTION("GOOGLETRANSLATE($A3619,""en"",""zh-cn"")"),"伊塔普阿")</f>
        <v>伊塔普阿</v>
      </c>
      <c r="H3619" s="9" t="str">
        <f>IFERROR(__xludf.DUMMYFUNCTION("GOOGLETRANSLATE($A3619,""en"",""ja"")"),"イタプア")</f>
        <v>イタプア</v>
      </c>
      <c r="I3619" s="9" t="str">
        <f>IFERROR(__xludf.DUMMYFUNCTION("GOOGLETRANSLATE($A3619,""en"",""ko"")"),"이타푸아")</f>
        <v>이타푸아</v>
      </c>
      <c r="J3619" s="9" t="str">
        <f>IFERROR(__xludf.DUMMYFUNCTION("GOOGLETRANSLATE($A3619,""en"",""pt-BR"")"),"Itapúa")</f>
        <v>Itapúa</v>
      </c>
    </row>
    <row r="3620">
      <c r="A3620" s="9" t="str">
        <f>IFERROR(__xludf.DUMMYFUNCTION("""COMPUTED_VALUE"""),"Puno")</f>
        <v>Puno</v>
      </c>
      <c r="B3620" s="9" t="str">
        <f>IFERROR(__xludf.DUMMYFUNCTION("""COMPUTED_VALUE"""),"pe-pun")</f>
        <v>pe-pun</v>
      </c>
      <c r="C3620" s="9" t="str">
        <f>IFERROR(__xludf.DUMMYFUNCTION("GOOGLETRANSLATE($A3620,""en"",""de"")"),"Puno")</f>
        <v>Puno</v>
      </c>
      <c r="D3620" s="9" t="str">
        <f>IFERROR(__xludf.DUMMYFUNCTION("GOOGLETRANSLATE($A3620,""en"",""fr"")"),"Puno")</f>
        <v>Puno</v>
      </c>
      <c r="E3620" s="9" t="str">
        <f>IFERROR(__xludf.DUMMYFUNCTION("GOOGLETRANSLATE($A3620,""en"",""es"")"),"puno")</f>
        <v>puno</v>
      </c>
      <c r="F3620" s="9" t="str">
        <f>IFERROR(__xludf.DUMMYFUNCTION("GOOGLETRANSLATE($A3620,""en"",""it"")"),"Puno")</f>
        <v>Puno</v>
      </c>
      <c r="G3620" s="9" t="str">
        <f>IFERROR(__xludf.DUMMYFUNCTION("GOOGLETRANSLATE($A3620,""en"",""zh-cn"")"),"普诺")</f>
        <v>普诺</v>
      </c>
      <c r="H3620" s="9" t="str">
        <f>IFERROR(__xludf.DUMMYFUNCTION("GOOGLETRANSLATE($A3620,""en"",""ja"")"),"プーノ")</f>
        <v>プーノ</v>
      </c>
      <c r="I3620" s="9" t="str">
        <f>IFERROR(__xludf.DUMMYFUNCTION("GOOGLETRANSLATE($A3620,""en"",""ko"")"),"푸노")</f>
        <v>푸노</v>
      </c>
      <c r="J3620" s="9" t="str">
        <f>IFERROR(__xludf.DUMMYFUNCTION("GOOGLETRANSLATE($A3620,""en"",""pt-BR"")"),"Puno")</f>
        <v>Puno</v>
      </c>
    </row>
    <row r="3621">
      <c r="A3621" s="9" t="str">
        <f>IFERROR(__xludf.DUMMYFUNCTION("""COMPUTED_VALUE"""),"Lambayeque")</f>
        <v>Lambayeque</v>
      </c>
      <c r="B3621" s="9" t="str">
        <f>IFERROR(__xludf.DUMMYFUNCTION("""COMPUTED_VALUE"""),"pe-lam")</f>
        <v>pe-lam</v>
      </c>
      <c r="C3621" s="9" t="str">
        <f>IFERROR(__xludf.DUMMYFUNCTION("GOOGLETRANSLATE($A3621,""en"",""de"")"),"Lambayeque")</f>
        <v>Lambayeque</v>
      </c>
      <c r="D3621" s="9" t="str">
        <f>IFERROR(__xludf.DUMMYFUNCTION("GOOGLETRANSLATE($A3621,""en"",""fr"")"),"Lambayeque")</f>
        <v>Lambayeque</v>
      </c>
      <c r="E3621" s="9" t="str">
        <f>IFERROR(__xludf.DUMMYFUNCTION("GOOGLETRANSLATE($A3621,""en"",""es"")"),"Lambayeque")</f>
        <v>Lambayeque</v>
      </c>
      <c r="F3621" s="9" t="str">
        <f>IFERROR(__xludf.DUMMYFUNCTION("GOOGLETRANSLATE($A3621,""en"",""it"")"),"Lambayeque")</f>
        <v>Lambayeque</v>
      </c>
      <c r="G3621" s="9" t="str">
        <f>IFERROR(__xludf.DUMMYFUNCTION("GOOGLETRANSLATE($A3621,""en"",""zh-cn"")"),"兰巴耶克")</f>
        <v>兰巴耶克</v>
      </c>
      <c r="H3621" s="9" t="str">
        <f>IFERROR(__xludf.DUMMYFUNCTION("GOOGLETRANSLATE($A3621,""en"",""ja"")"),"ランバエク")</f>
        <v>ランバエク</v>
      </c>
      <c r="I3621" s="9" t="str">
        <f>IFERROR(__xludf.DUMMYFUNCTION("GOOGLETRANSLATE($A3621,""en"",""ko"")"),"람바예케")</f>
        <v>람바예케</v>
      </c>
      <c r="J3621" s="9" t="str">
        <f>IFERROR(__xludf.DUMMYFUNCTION("GOOGLETRANSLATE($A3621,""en"",""pt-BR"")"),"Lambayeque")</f>
        <v>Lambayeque</v>
      </c>
    </row>
    <row r="3622">
      <c r="A3622" s="9" t="str">
        <f>IFERROR(__xludf.DUMMYFUNCTION("""COMPUTED_VALUE"""),"Apurímac")</f>
        <v>Apurímac</v>
      </c>
      <c r="B3622" s="9" t="str">
        <f>IFERROR(__xludf.DUMMYFUNCTION("""COMPUTED_VALUE"""),"pe-apu")</f>
        <v>pe-apu</v>
      </c>
      <c r="C3622" s="9" t="str">
        <f>IFERROR(__xludf.DUMMYFUNCTION("GOOGLETRANSLATE($A3622,""en"",""de"")"),"Apurímac")</f>
        <v>Apurímac</v>
      </c>
      <c r="D3622" s="9" t="str">
        <f>IFERROR(__xludf.DUMMYFUNCTION("GOOGLETRANSLATE($A3622,""en"",""fr"")"),"Apurimac")</f>
        <v>Apurimac</v>
      </c>
      <c r="E3622" s="9" t="str">
        <f>IFERROR(__xludf.DUMMYFUNCTION("GOOGLETRANSLATE($A3622,""en"",""es"")"),"Apurímac")</f>
        <v>Apurímac</v>
      </c>
      <c r="F3622" s="9" t="str">
        <f>IFERROR(__xludf.DUMMYFUNCTION("GOOGLETRANSLATE($A3622,""en"",""it"")"),"Apurimac")</f>
        <v>Apurimac</v>
      </c>
      <c r="G3622" s="9" t="str">
        <f>IFERROR(__xludf.DUMMYFUNCTION("GOOGLETRANSLATE($A3622,""en"",""zh-cn"")"),"阿普里马克")</f>
        <v>阿普里马克</v>
      </c>
      <c r="H3622" s="9" t="str">
        <f>IFERROR(__xludf.DUMMYFUNCTION("GOOGLETRANSLATE($A3622,""en"",""ja"")"),"アプリマック")</f>
        <v>アプリマック</v>
      </c>
      <c r="I3622" s="9" t="str">
        <f>IFERROR(__xludf.DUMMYFUNCTION("GOOGLETRANSLATE($A3622,""en"",""ko"")"),"아푸리막")</f>
        <v>아푸리막</v>
      </c>
      <c r="J3622" s="9" t="str">
        <f>IFERROR(__xludf.DUMMYFUNCTION("GOOGLETRANSLATE($A3622,""en"",""pt-BR"")"),"Apurimac")</f>
        <v>Apurimac</v>
      </c>
    </row>
    <row r="3623">
      <c r="A3623" s="9" t="str">
        <f>IFERROR(__xludf.DUMMYFUNCTION("""COMPUTED_VALUE"""),"Huánuco")</f>
        <v>Huánuco</v>
      </c>
      <c r="B3623" s="9" t="str">
        <f>IFERROR(__xludf.DUMMYFUNCTION("""COMPUTED_VALUE"""),"pe-huc")</f>
        <v>pe-huc</v>
      </c>
      <c r="C3623" s="9" t="str">
        <f>IFERROR(__xludf.DUMMYFUNCTION("GOOGLETRANSLATE($A3623,""en"",""de"")"),"Huánuco")</f>
        <v>Huánuco</v>
      </c>
      <c r="D3623" s="9" t="str">
        <f>IFERROR(__xludf.DUMMYFUNCTION("GOOGLETRANSLATE($A3623,""en"",""fr"")"),"Huánuco")</f>
        <v>Huánuco</v>
      </c>
      <c r="E3623" s="9" t="str">
        <f>IFERROR(__xludf.DUMMYFUNCTION("GOOGLETRANSLATE($A3623,""en"",""es"")"),"Huánuco")</f>
        <v>Huánuco</v>
      </c>
      <c r="F3623" s="9" t="str">
        <f>IFERROR(__xludf.DUMMYFUNCTION("GOOGLETRANSLATE($A3623,""en"",""it"")"),"Huánuco")</f>
        <v>Huánuco</v>
      </c>
      <c r="G3623" s="9" t="str">
        <f>IFERROR(__xludf.DUMMYFUNCTION("GOOGLETRANSLATE($A3623,""en"",""zh-cn"")"),"瓦努科")</f>
        <v>瓦努科</v>
      </c>
      <c r="H3623" s="9" t="str">
        <f>IFERROR(__xludf.DUMMYFUNCTION("GOOGLETRANSLATE($A3623,""en"",""ja"")"),"ワヌコ")</f>
        <v>ワヌコ</v>
      </c>
      <c r="I3623" s="9" t="str">
        <f>IFERROR(__xludf.DUMMYFUNCTION("GOOGLETRANSLATE($A3623,""en"",""ko"")"),"우아누코")</f>
        <v>우아누코</v>
      </c>
      <c r="J3623" s="9" t="str">
        <f>IFERROR(__xludf.DUMMYFUNCTION("GOOGLETRANSLATE($A3623,""en"",""pt-BR"")"),"Huánuco")</f>
        <v>Huánuco</v>
      </c>
    </row>
    <row r="3624">
      <c r="A3624" s="9" t="str">
        <f>IFERROR(__xludf.DUMMYFUNCTION("""COMPUTED_VALUE"""),"Ancash")</f>
        <v>Ancash</v>
      </c>
      <c r="B3624" s="9" t="str">
        <f>IFERROR(__xludf.DUMMYFUNCTION("""COMPUTED_VALUE"""),"pe-anc")</f>
        <v>pe-anc</v>
      </c>
      <c r="C3624" s="9" t="str">
        <f>IFERROR(__xludf.DUMMYFUNCTION("GOOGLETRANSLATE($A3624,""en"",""de"")"),"Ancash")</f>
        <v>Ancash</v>
      </c>
      <c r="D3624" s="9" t="str">
        <f>IFERROR(__xludf.DUMMYFUNCTION("GOOGLETRANSLATE($A3624,""en"",""fr"")"),"Ancash")</f>
        <v>Ancash</v>
      </c>
      <c r="E3624" s="9" t="str">
        <f>IFERROR(__xludf.DUMMYFUNCTION("GOOGLETRANSLATE($A3624,""en"",""es"")"),"Áncash")</f>
        <v>Áncash</v>
      </c>
      <c r="F3624" s="9" t="str">
        <f>IFERROR(__xludf.DUMMYFUNCTION("GOOGLETRANSLATE($A3624,""en"",""it"")"),"Ancash")</f>
        <v>Ancash</v>
      </c>
      <c r="G3624" s="9" t="str">
        <f>IFERROR(__xludf.DUMMYFUNCTION("GOOGLETRANSLATE($A3624,""en"",""zh-cn"")"),"安卡什")</f>
        <v>安卡什</v>
      </c>
      <c r="H3624" s="9" t="str">
        <f>IFERROR(__xludf.DUMMYFUNCTION("GOOGLETRANSLATE($A3624,""en"",""ja"")"),"アンカシュ")</f>
        <v>アンカシュ</v>
      </c>
      <c r="I3624" s="9" t="str">
        <f>IFERROR(__xludf.DUMMYFUNCTION("GOOGLETRANSLATE($A3624,""en"",""ko"")"),"앙캐시")</f>
        <v>앙캐시</v>
      </c>
      <c r="J3624" s="9" t="str">
        <f>IFERROR(__xludf.DUMMYFUNCTION("GOOGLETRANSLATE($A3624,""en"",""pt-BR"")"),"Ancash")</f>
        <v>Ancash</v>
      </c>
    </row>
    <row r="3625">
      <c r="A3625" s="9" t="str">
        <f>IFERROR(__xludf.DUMMYFUNCTION("""COMPUTED_VALUE"""),"Piura")</f>
        <v>Piura</v>
      </c>
      <c r="B3625" s="9" t="str">
        <f>IFERROR(__xludf.DUMMYFUNCTION("""COMPUTED_VALUE"""),"pe-piu")</f>
        <v>pe-piu</v>
      </c>
      <c r="C3625" s="9" t="str">
        <f>IFERROR(__xludf.DUMMYFUNCTION("GOOGLETRANSLATE($A3625,""en"",""de"")"),"Piura")</f>
        <v>Piura</v>
      </c>
      <c r="D3625" s="9" t="str">
        <f>IFERROR(__xludf.DUMMYFUNCTION("GOOGLETRANSLATE($A3625,""en"",""fr"")"),"Piura")</f>
        <v>Piura</v>
      </c>
      <c r="E3625" s="9" t="str">
        <f>IFERROR(__xludf.DUMMYFUNCTION("GOOGLETRANSLATE($A3625,""en"",""es"")"),"Piura")</f>
        <v>Piura</v>
      </c>
      <c r="F3625" s="9" t="str">
        <f>IFERROR(__xludf.DUMMYFUNCTION("GOOGLETRANSLATE($A3625,""en"",""it"")"),"Piura")</f>
        <v>Piura</v>
      </c>
      <c r="G3625" s="9" t="str">
        <f>IFERROR(__xludf.DUMMYFUNCTION("GOOGLETRANSLATE($A3625,""en"",""zh-cn"")"),"皮乌拉")</f>
        <v>皮乌拉</v>
      </c>
      <c r="H3625" s="9" t="str">
        <f>IFERROR(__xludf.DUMMYFUNCTION("GOOGLETRANSLATE($A3625,""en"",""ja"")"),"ピウラ")</f>
        <v>ピウラ</v>
      </c>
      <c r="I3625" s="9" t="str">
        <f>IFERROR(__xludf.DUMMYFUNCTION("GOOGLETRANSLATE($A3625,""en"",""ko"")"),"피우라")</f>
        <v>피우라</v>
      </c>
      <c r="J3625" s="9" t="str">
        <f>IFERROR(__xludf.DUMMYFUNCTION("GOOGLETRANSLATE($A3625,""en"",""pt-BR"")"),"Piura")</f>
        <v>Piura</v>
      </c>
    </row>
    <row r="3626">
      <c r="A3626" s="9" t="str">
        <f>IFERROR(__xludf.DUMMYFUNCTION("""COMPUTED_VALUE"""),"La Libertad (PE)")</f>
        <v>La Libertad (PE)</v>
      </c>
      <c r="B3626" s="9" t="str">
        <f>IFERROR(__xludf.DUMMYFUNCTION("""COMPUTED_VALUE"""),"pe-lal")</f>
        <v>pe-lal</v>
      </c>
      <c r="C3626" s="9" t="str">
        <f>IFERROR(__xludf.DUMMYFUNCTION("GOOGLETRANSLATE($A3626,""en"",""de"")"),"La Libertad (PE)")</f>
        <v>La Libertad (PE)</v>
      </c>
      <c r="D3626" s="9" t="str">
        <f>IFERROR(__xludf.DUMMYFUNCTION("GOOGLETRANSLATE($A3626,""en"",""fr"")"),"La Liberté (PE)")</f>
        <v>La Liberté (PE)</v>
      </c>
      <c r="E3626" s="9" t="str">
        <f>IFERROR(__xludf.DUMMYFUNCTION("GOOGLETRANSLATE($A3626,""en"",""es"")"),"La Libertad (PE)")</f>
        <v>La Libertad (PE)</v>
      </c>
      <c r="F3626" s="9" t="str">
        <f>IFERROR(__xludf.DUMMYFUNCTION("GOOGLETRANSLATE($A3626,""en"",""it"")"),"La Libertad (PE)")</f>
        <v>La Libertad (PE)</v>
      </c>
      <c r="G3626" s="9" t="str">
        <f>IFERROR(__xludf.DUMMYFUNCTION("GOOGLETRANSLATE($A3626,""en"",""zh-cn"")"),"拉利伯塔德 (PE)")</f>
        <v>拉利伯塔德 (PE)</v>
      </c>
      <c r="H3626" s="9" t="str">
        <f>IFERROR(__xludf.DUMMYFUNCTION("GOOGLETRANSLATE($A3626,""en"",""ja"")"),"ラ・リベルタード (PE)")</f>
        <v>ラ・リベルタード (PE)</v>
      </c>
      <c r="I3626" s="9" t="str">
        <f>IFERROR(__xludf.DUMMYFUNCTION("GOOGLETRANSLATE($A3626,""en"",""ko"")"),"라 리베르타드(PE)")</f>
        <v>라 리베르타드(PE)</v>
      </c>
      <c r="J3626" s="9" t="str">
        <f>IFERROR(__xludf.DUMMYFUNCTION("GOOGLETRANSLATE($A3626,""en"",""pt-BR"")"),"La Libertad (PE)")</f>
        <v>La Libertad (PE)</v>
      </c>
    </row>
    <row r="3627">
      <c r="A3627" s="9" t="str">
        <f>IFERROR(__xludf.DUMMYFUNCTION("""COMPUTED_VALUE"""),"Madre de Dios")</f>
        <v>Madre de Dios</v>
      </c>
      <c r="B3627" s="9" t="str">
        <f>IFERROR(__xludf.DUMMYFUNCTION("""COMPUTED_VALUE"""),"pe-mdd")</f>
        <v>pe-mdd</v>
      </c>
      <c r="C3627" s="9" t="str">
        <f>IFERROR(__xludf.DUMMYFUNCTION("GOOGLETRANSLATE($A3627,""en"",""de"")"),"Madre de Dios")</f>
        <v>Madre de Dios</v>
      </c>
      <c r="D3627" s="9" t="str">
        <f>IFERROR(__xludf.DUMMYFUNCTION("GOOGLETRANSLATE($A3627,""en"",""fr"")"),"Mère de Dieu")</f>
        <v>Mère de Dieu</v>
      </c>
      <c r="E3627" s="9" t="str">
        <f>IFERROR(__xludf.DUMMYFUNCTION("GOOGLETRANSLATE($A3627,""en"",""es"")"),"Madre de Dios")</f>
        <v>Madre de Dios</v>
      </c>
      <c r="F3627" s="9" t="str">
        <f>IFERROR(__xludf.DUMMYFUNCTION("GOOGLETRANSLATE($A3627,""en"",""it"")"),"Madre di Dio")</f>
        <v>Madre di Dio</v>
      </c>
      <c r="G3627" s="9" t="str">
        <f>IFERROR(__xludf.DUMMYFUNCTION("GOOGLETRANSLATE($A3627,""en"",""zh-cn"")"),"马德雷·德·迪奥斯")</f>
        <v>马德雷·德·迪奥斯</v>
      </c>
      <c r="H3627" s="9" t="str">
        <f>IFERROR(__xludf.DUMMYFUNCTION("GOOGLETRANSLATE($A3627,""en"",""ja"")"),"マドレ・デ・ディオス")</f>
        <v>マドレ・デ・ディオス</v>
      </c>
      <c r="I3627" s="9" t="str">
        <f>IFERROR(__xludf.DUMMYFUNCTION("GOOGLETRANSLATE($A3627,""en"",""ko"")"),"마드레 데 디오스")</f>
        <v>마드레 데 디오스</v>
      </c>
      <c r="J3627" s="9" t="str">
        <f>IFERROR(__xludf.DUMMYFUNCTION("GOOGLETRANSLATE($A3627,""en"",""pt-BR"")"),"Madre de Deus")</f>
        <v>Madre de Deus</v>
      </c>
    </row>
    <row r="3628">
      <c r="A3628" s="9" t="str">
        <f>IFERROR(__xludf.DUMMYFUNCTION("""COMPUTED_VALUE"""),"Moquegua")</f>
        <v>Moquegua</v>
      </c>
      <c r="B3628" s="9" t="str">
        <f>IFERROR(__xludf.DUMMYFUNCTION("""COMPUTED_VALUE"""),"pe-moq")</f>
        <v>pe-moq</v>
      </c>
      <c r="C3628" s="9" t="str">
        <f>IFERROR(__xludf.DUMMYFUNCTION("GOOGLETRANSLATE($A3628,""en"",""de"")"),"Moquegua")</f>
        <v>Moquegua</v>
      </c>
      <c r="D3628" s="9" t="str">
        <f>IFERROR(__xludf.DUMMYFUNCTION("GOOGLETRANSLATE($A3628,""en"",""fr"")"),"Moquegua")</f>
        <v>Moquegua</v>
      </c>
      <c r="E3628" s="9" t="str">
        <f>IFERROR(__xludf.DUMMYFUNCTION("GOOGLETRANSLATE($A3628,""en"",""es"")"),"Moquegua")</f>
        <v>Moquegua</v>
      </c>
      <c r="F3628" s="9" t="str">
        <f>IFERROR(__xludf.DUMMYFUNCTION("GOOGLETRANSLATE($A3628,""en"",""it"")"),"Moquegua")</f>
        <v>Moquegua</v>
      </c>
      <c r="G3628" s="9" t="str">
        <f>IFERROR(__xludf.DUMMYFUNCTION("GOOGLETRANSLATE($A3628,""en"",""zh-cn"")"),"莫克瓜")</f>
        <v>莫克瓜</v>
      </c>
      <c r="H3628" s="9" t="str">
        <f>IFERROR(__xludf.DUMMYFUNCTION("GOOGLETRANSLATE($A3628,""en"",""ja"")"),"モケグア")</f>
        <v>モケグア</v>
      </c>
      <c r="I3628" s="9" t="str">
        <f>IFERROR(__xludf.DUMMYFUNCTION("GOOGLETRANSLATE($A3628,""en"",""ko"")"),"모케구아")</f>
        <v>모케구아</v>
      </c>
      <c r="J3628" s="9" t="str">
        <f>IFERROR(__xludf.DUMMYFUNCTION("GOOGLETRANSLATE($A3628,""en"",""pt-BR"")"),"Moquegua")</f>
        <v>Moquegua</v>
      </c>
    </row>
    <row r="3629">
      <c r="A3629" s="9" t="str">
        <f>IFERROR(__xludf.DUMMYFUNCTION("""COMPUTED_VALUE"""),"Junín")</f>
        <v>Junín</v>
      </c>
      <c r="B3629" s="9" t="str">
        <f>IFERROR(__xludf.DUMMYFUNCTION("""COMPUTED_VALUE"""),"pe-jun")</f>
        <v>pe-jun</v>
      </c>
      <c r="C3629" s="9" t="str">
        <f>IFERROR(__xludf.DUMMYFUNCTION("GOOGLETRANSLATE($A3629,""en"",""de"")"),"Junín")</f>
        <v>Junín</v>
      </c>
      <c r="D3629" s="9" t="str">
        <f>IFERROR(__xludf.DUMMYFUNCTION("GOOGLETRANSLATE($A3629,""en"",""fr"")"),"Junín")</f>
        <v>Junín</v>
      </c>
      <c r="E3629" s="9" t="str">
        <f>IFERROR(__xludf.DUMMYFUNCTION("GOOGLETRANSLATE($A3629,""en"",""es"")"),"Junín")</f>
        <v>Junín</v>
      </c>
      <c r="F3629" s="9" t="str">
        <f>IFERROR(__xludf.DUMMYFUNCTION("GOOGLETRANSLATE($A3629,""en"",""it"")"),"Junín")</f>
        <v>Junín</v>
      </c>
      <c r="G3629" s="9" t="str">
        <f>IFERROR(__xludf.DUMMYFUNCTION("GOOGLETRANSLATE($A3629,""en"",""zh-cn"")"),"胡宁")</f>
        <v>胡宁</v>
      </c>
      <c r="H3629" s="9" t="str">
        <f>IFERROR(__xludf.DUMMYFUNCTION("GOOGLETRANSLATE($A3629,""en"",""ja"")"),"フニン")</f>
        <v>フニン</v>
      </c>
      <c r="I3629" s="9" t="str">
        <f>IFERROR(__xludf.DUMMYFUNCTION("GOOGLETRANSLATE($A3629,""en"",""ko"")"),"후닌")</f>
        <v>후닌</v>
      </c>
      <c r="J3629" s="9" t="str">
        <f>IFERROR(__xludf.DUMMYFUNCTION("GOOGLETRANSLATE($A3629,""en"",""pt-BR"")"),"Junín")</f>
        <v>Junín</v>
      </c>
    </row>
    <row r="3630">
      <c r="A3630" s="9" t="str">
        <f>IFERROR(__xludf.DUMMYFUNCTION("""COMPUTED_VALUE"""),"San Martín")</f>
        <v>San Martín</v>
      </c>
      <c r="B3630" s="9" t="str">
        <f>IFERROR(__xludf.DUMMYFUNCTION("""COMPUTED_VALUE"""),"pe-sam")</f>
        <v>pe-sam</v>
      </c>
      <c r="C3630" s="9" t="str">
        <f>IFERROR(__xludf.DUMMYFUNCTION("GOOGLETRANSLATE($A3630,""en"",""de"")"),"San Martin")</f>
        <v>San Martin</v>
      </c>
      <c r="D3630" s="9" t="str">
        <f>IFERROR(__xludf.DUMMYFUNCTION("GOOGLETRANSLATE($A3630,""en"",""fr"")"),"Saint-Martin")</f>
        <v>Saint-Martin</v>
      </c>
      <c r="E3630" s="9" t="str">
        <f>IFERROR(__xludf.DUMMYFUNCTION("GOOGLETRANSLATE($A3630,""en"",""es"")"),"San Martín")</f>
        <v>San Martín</v>
      </c>
      <c r="F3630" s="9" t="str">
        <f>IFERROR(__xludf.DUMMYFUNCTION("GOOGLETRANSLATE($A3630,""en"",""it"")"),"San Martino")</f>
        <v>San Martino</v>
      </c>
      <c r="G3630" s="9" t="str">
        <f>IFERROR(__xludf.DUMMYFUNCTION("GOOGLETRANSLATE($A3630,""en"",""zh-cn"")"),"圣马丁")</f>
        <v>圣马丁</v>
      </c>
      <c r="H3630" s="9" t="str">
        <f>IFERROR(__xludf.DUMMYFUNCTION("GOOGLETRANSLATE($A3630,""en"",""ja"")"),"サン マルティン")</f>
        <v>サン マルティン</v>
      </c>
      <c r="I3630" s="9" t="str">
        <f>IFERROR(__xludf.DUMMYFUNCTION("GOOGLETRANSLATE($A3630,""en"",""ko"")"),"산 마르틴")</f>
        <v>산 마르틴</v>
      </c>
      <c r="J3630" s="9" t="str">
        <f>IFERROR(__xludf.DUMMYFUNCTION("GOOGLETRANSLATE($A3630,""en"",""pt-BR"")"),"São Martinho")</f>
        <v>São Martinho</v>
      </c>
    </row>
    <row r="3631">
      <c r="A3631" s="9" t="str">
        <f>IFERROR(__xludf.DUMMYFUNCTION("""COMPUTED_VALUE"""),"Tumbes")</f>
        <v>Tumbes</v>
      </c>
      <c r="B3631" s="9" t="str">
        <f>IFERROR(__xludf.DUMMYFUNCTION("""COMPUTED_VALUE"""),"pe-tum")</f>
        <v>pe-tum</v>
      </c>
      <c r="C3631" s="9" t="str">
        <f>IFERROR(__xludf.DUMMYFUNCTION("GOOGLETRANSLATE($A3631,""en"",""de"")"),"Tumbes")</f>
        <v>Tumbes</v>
      </c>
      <c r="D3631" s="9" t="str">
        <f>IFERROR(__xludf.DUMMYFUNCTION("GOOGLETRANSLATE($A3631,""en"",""fr"")"),"Tumbes")</f>
        <v>Tumbes</v>
      </c>
      <c r="E3631" s="9" t="str">
        <f>IFERROR(__xludf.DUMMYFUNCTION("GOOGLETRANSLATE($A3631,""en"",""es"")"),"tumbes")</f>
        <v>tumbes</v>
      </c>
      <c r="F3631" s="9" t="str">
        <f>IFERROR(__xludf.DUMMYFUNCTION("GOOGLETRANSLATE($A3631,""en"",""it"")"),"Tumbe")</f>
        <v>Tumbe</v>
      </c>
      <c r="G3631" s="9" t="str">
        <f>IFERROR(__xludf.DUMMYFUNCTION("GOOGLETRANSLATE($A3631,""en"",""zh-cn"")"),"通贝斯")</f>
        <v>通贝斯</v>
      </c>
      <c r="H3631" s="9" t="str">
        <f>IFERROR(__xludf.DUMMYFUNCTION("GOOGLETRANSLATE($A3631,""en"",""ja"")"),"トゥンベス")</f>
        <v>トゥンベス</v>
      </c>
      <c r="I3631" s="9" t="str">
        <f>IFERROR(__xludf.DUMMYFUNCTION("GOOGLETRANSLATE($A3631,""en"",""ko"")"),"툼베스")</f>
        <v>툼베스</v>
      </c>
      <c r="J3631" s="9" t="str">
        <f>IFERROR(__xludf.DUMMYFUNCTION("GOOGLETRANSLATE($A3631,""en"",""pt-BR"")"),"Tumbes")</f>
        <v>Tumbes</v>
      </c>
    </row>
    <row r="3632">
      <c r="A3632" s="9" t="str">
        <f>IFERROR(__xludf.DUMMYFUNCTION("""COMPUTED_VALUE"""),"Cusco")</f>
        <v>Cusco</v>
      </c>
      <c r="B3632" s="9" t="str">
        <f>IFERROR(__xludf.DUMMYFUNCTION("""COMPUTED_VALUE"""),"pe-cus")</f>
        <v>pe-cus</v>
      </c>
      <c r="C3632" s="9" t="str">
        <f>IFERROR(__xludf.DUMMYFUNCTION("GOOGLETRANSLATE($A3632,""en"",""de"")"),"Cusco")</f>
        <v>Cusco</v>
      </c>
      <c r="D3632" s="9" t="str">
        <f>IFERROR(__xludf.DUMMYFUNCTION("GOOGLETRANSLATE($A3632,""en"",""fr"")"),"Cuzco")</f>
        <v>Cuzco</v>
      </c>
      <c r="E3632" s="9" t="str">
        <f>IFERROR(__xludf.DUMMYFUNCTION("GOOGLETRANSLATE($A3632,""en"",""es"")"),"Cuzco")</f>
        <v>Cuzco</v>
      </c>
      <c r="F3632" s="9" t="str">
        <f>IFERROR(__xludf.DUMMYFUNCTION("GOOGLETRANSLATE($A3632,""en"",""it"")"),"Cuzco")</f>
        <v>Cuzco</v>
      </c>
      <c r="G3632" s="9" t="str">
        <f>IFERROR(__xludf.DUMMYFUNCTION("GOOGLETRANSLATE($A3632,""en"",""zh-cn"")"),"库斯科")</f>
        <v>库斯科</v>
      </c>
      <c r="H3632" s="9" t="str">
        <f>IFERROR(__xludf.DUMMYFUNCTION("GOOGLETRANSLATE($A3632,""en"",""ja"")"),"クスコ")</f>
        <v>クスコ</v>
      </c>
      <c r="I3632" s="9" t="str">
        <f>IFERROR(__xludf.DUMMYFUNCTION("GOOGLETRANSLATE($A3632,""en"",""ko"")"),"쿠스코")</f>
        <v>쿠스코</v>
      </c>
      <c r="J3632" s="9" t="str">
        <f>IFERROR(__xludf.DUMMYFUNCTION("GOOGLETRANSLATE($A3632,""en"",""pt-BR"")"),"Cuzco")</f>
        <v>Cuzco</v>
      </c>
    </row>
    <row r="3633">
      <c r="A3633" s="9" t="str">
        <f>IFERROR(__xludf.DUMMYFUNCTION("""COMPUTED_VALUE"""),"Amazonas (PE)")</f>
        <v>Amazonas (PE)</v>
      </c>
      <c r="B3633" s="9" t="str">
        <f>IFERROR(__xludf.DUMMYFUNCTION("""COMPUTED_VALUE"""),"pe-ama")</f>
        <v>pe-ama</v>
      </c>
      <c r="C3633" s="9" t="str">
        <f>IFERROR(__xludf.DUMMYFUNCTION("GOOGLETRANSLATE($A3633,""en"",""de"")"),"Amazonas (PE)")</f>
        <v>Amazonas (PE)</v>
      </c>
      <c r="D3633" s="9" t="str">
        <f>IFERROR(__xludf.DUMMYFUNCTION("GOOGLETRANSLATE($A3633,""en"",""fr"")"),"Amazonas (PE)")</f>
        <v>Amazonas (PE)</v>
      </c>
      <c r="E3633" s="9" t="str">
        <f>IFERROR(__xludf.DUMMYFUNCTION("GOOGLETRANSLATE($A3633,""en"",""es"")"),"Amazonas (PE)")</f>
        <v>Amazonas (PE)</v>
      </c>
      <c r="F3633" s="9" t="str">
        <f>IFERROR(__xludf.DUMMYFUNCTION("GOOGLETRANSLATE($A3633,""en"",""it"")"),"Amazzonia (PE)")</f>
        <v>Amazzonia (PE)</v>
      </c>
      <c r="G3633" s="9" t="str">
        <f>IFERROR(__xludf.DUMMYFUNCTION("GOOGLETRANSLATE($A3633,""en"",""zh-cn"")"),"亚马逊 (PE)")</f>
        <v>亚马逊 (PE)</v>
      </c>
      <c r="H3633" s="9" t="str">
        <f>IFERROR(__xludf.DUMMYFUNCTION("GOOGLETRANSLATE($A3633,""en"",""ja"")"),"アマゾナス州 (PE)")</f>
        <v>アマゾナス州 (PE)</v>
      </c>
      <c r="I3633" s="9" t="str">
        <f>IFERROR(__xludf.DUMMYFUNCTION("GOOGLETRANSLATE($A3633,""en"",""ko"")"),"아마조나스(PE)")</f>
        <v>아마조나스(PE)</v>
      </c>
      <c r="J3633" s="9" t="str">
        <f>IFERROR(__xludf.DUMMYFUNCTION("GOOGLETRANSLATE($A3633,""en"",""pt-BR"")"),"Amazonas (PE)")</f>
        <v>Amazonas (PE)</v>
      </c>
    </row>
    <row r="3634">
      <c r="A3634" s="9" t="str">
        <f>IFERROR(__xludf.DUMMYFUNCTION("""COMPUTED_VALUE"""),"Arequipa")</f>
        <v>Arequipa</v>
      </c>
      <c r="B3634" s="9" t="str">
        <f>IFERROR(__xludf.DUMMYFUNCTION("""COMPUTED_VALUE"""),"pe-are")</f>
        <v>pe-are</v>
      </c>
      <c r="C3634" s="9" t="str">
        <f>IFERROR(__xludf.DUMMYFUNCTION("GOOGLETRANSLATE($A3634,""en"",""de"")"),"Arequipa")</f>
        <v>Arequipa</v>
      </c>
      <c r="D3634" s="9" t="str">
        <f>IFERROR(__xludf.DUMMYFUNCTION("GOOGLETRANSLATE($A3634,""en"",""fr"")"),"Arequipa")</f>
        <v>Arequipa</v>
      </c>
      <c r="E3634" s="9" t="str">
        <f>IFERROR(__xludf.DUMMYFUNCTION("GOOGLETRANSLATE($A3634,""en"",""es"")"),"Arequipa")</f>
        <v>Arequipa</v>
      </c>
      <c r="F3634" s="9" t="str">
        <f>IFERROR(__xludf.DUMMYFUNCTION("GOOGLETRANSLATE($A3634,""en"",""it"")"),"Arequipa")</f>
        <v>Arequipa</v>
      </c>
      <c r="G3634" s="9" t="str">
        <f>IFERROR(__xludf.DUMMYFUNCTION("GOOGLETRANSLATE($A3634,""en"",""zh-cn"")"),"阿雷基帕")</f>
        <v>阿雷基帕</v>
      </c>
      <c r="H3634" s="9" t="str">
        <f>IFERROR(__xludf.DUMMYFUNCTION("GOOGLETRANSLATE($A3634,""en"",""ja"")"),"アレキパ")</f>
        <v>アレキパ</v>
      </c>
      <c r="I3634" s="9" t="str">
        <f>IFERROR(__xludf.DUMMYFUNCTION("GOOGLETRANSLATE($A3634,""en"",""ko"")"),"아레키파")</f>
        <v>아레키파</v>
      </c>
      <c r="J3634" s="9" t="str">
        <f>IFERROR(__xludf.DUMMYFUNCTION("GOOGLETRANSLATE($A3634,""en"",""pt-BR"")"),"Arequipa")</f>
        <v>Arequipa</v>
      </c>
    </row>
    <row r="3635">
      <c r="A3635" s="9" t="str">
        <f>IFERROR(__xludf.DUMMYFUNCTION("""COMPUTED_VALUE"""),"Lima")</f>
        <v>Lima</v>
      </c>
      <c r="B3635" s="9" t="str">
        <f>IFERROR(__xludf.DUMMYFUNCTION("""COMPUTED_VALUE"""),"pe-lim")</f>
        <v>pe-lim</v>
      </c>
      <c r="C3635" s="9" t="str">
        <f>IFERROR(__xludf.DUMMYFUNCTION("GOOGLETRANSLATE($A3635,""en"",""de"")"),"Lima")</f>
        <v>Lima</v>
      </c>
      <c r="D3635" s="9" t="str">
        <f>IFERROR(__xludf.DUMMYFUNCTION("GOOGLETRANSLATE($A3635,""en"",""fr"")"),"Lima")</f>
        <v>Lima</v>
      </c>
      <c r="E3635" s="9" t="str">
        <f>IFERROR(__xludf.DUMMYFUNCTION("GOOGLETRANSLATE($A3635,""en"",""es"")"),"lima")</f>
        <v>lima</v>
      </c>
      <c r="F3635" s="9" t="str">
        <f>IFERROR(__xludf.DUMMYFUNCTION("GOOGLETRANSLATE($A3635,""en"",""it"")"),"Lima")</f>
        <v>Lima</v>
      </c>
      <c r="G3635" s="9" t="str">
        <f>IFERROR(__xludf.DUMMYFUNCTION("GOOGLETRANSLATE($A3635,""en"",""zh-cn"")"),"利马")</f>
        <v>利马</v>
      </c>
      <c r="H3635" s="9" t="str">
        <f>IFERROR(__xludf.DUMMYFUNCTION("GOOGLETRANSLATE($A3635,""en"",""ja"")"),"リマ")</f>
        <v>リマ</v>
      </c>
      <c r="I3635" s="9" t="str">
        <f>IFERROR(__xludf.DUMMYFUNCTION("GOOGLETRANSLATE($A3635,""en"",""ko"")"),"리마")</f>
        <v>리마</v>
      </c>
      <c r="J3635" s="9" t="str">
        <f>IFERROR(__xludf.DUMMYFUNCTION("GOOGLETRANSLATE($A3635,""en"",""pt-BR"")"),"Lima")</f>
        <v>Lima</v>
      </c>
    </row>
    <row r="3636">
      <c r="A3636" s="9" t="str">
        <f>IFERROR(__xludf.DUMMYFUNCTION("""COMPUTED_VALUE"""),"Cajamarca")</f>
        <v>Cajamarca</v>
      </c>
      <c r="B3636" s="9" t="str">
        <f>IFERROR(__xludf.DUMMYFUNCTION("""COMPUTED_VALUE"""),"pe-caj")</f>
        <v>pe-caj</v>
      </c>
      <c r="C3636" s="9" t="str">
        <f>IFERROR(__xludf.DUMMYFUNCTION("GOOGLETRANSLATE($A3636,""en"",""de"")"),"Cajamarca")</f>
        <v>Cajamarca</v>
      </c>
      <c r="D3636" s="9" t="str">
        <f>IFERROR(__xludf.DUMMYFUNCTION("GOOGLETRANSLATE($A3636,""en"",""fr"")"),"Cajamarca")</f>
        <v>Cajamarca</v>
      </c>
      <c r="E3636" s="9" t="str">
        <f>IFERROR(__xludf.DUMMYFUNCTION("GOOGLETRANSLATE($A3636,""en"",""es"")"),"Cajamarca")</f>
        <v>Cajamarca</v>
      </c>
      <c r="F3636" s="9" t="str">
        <f>IFERROR(__xludf.DUMMYFUNCTION("GOOGLETRANSLATE($A3636,""en"",""it"")"),"Cajamarca")</f>
        <v>Cajamarca</v>
      </c>
      <c r="G3636" s="9" t="str">
        <f>IFERROR(__xludf.DUMMYFUNCTION("GOOGLETRANSLATE($A3636,""en"",""zh-cn"")"),"卡哈马卡")</f>
        <v>卡哈马卡</v>
      </c>
      <c r="H3636" s="9" t="str">
        <f>IFERROR(__xludf.DUMMYFUNCTION("GOOGLETRANSLATE($A3636,""en"",""ja"")"),"カハマルカ")</f>
        <v>カハマルカ</v>
      </c>
      <c r="I3636" s="9" t="str">
        <f>IFERROR(__xludf.DUMMYFUNCTION("GOOGLETRANSLATE($A3636,""en"",""ko"")"),"카하마르카")</f>
        <v>카하마르카</v>
      </c>
      <c r="J3636" s="9" t="str">
        <f>IFERROR(__xludf.DUMMYFUNCTION("GOOGLETRANSLATE($A3636,""en"",""pt-BR"")"),"Cajamarca")</f>
        <v>Cajamarca</v>
      </c>
    </row>
    <row r="3637">
      <c r="A3637" s="9" t="str">
        <f>IFERROR(__xludf.DUMMYFUNCTION("""COMPUTED_VALUE"""),"Ayacucho")</f>
        <v>Ayacucho</v>
      </c>
      <c r="B3637" s="9" t="str">
        <f>IFERROR(__xludf.DUMMYFUNCTION("""COMPUTED_VALUE"""),"pe-aya")</f>
        <v>pe-aya</v>
      </c>
      <c r="C3637" s="9" t="str">
        <f>IFERROR(__xludf.DUMMYFUNCTION("GOOGLETRANSLATE($A3637,""en"",""de"")"),"Ayacucho")</f>
        <v>Ayacucho</v>
      </c>
      <c r="D3637" s="9" t="str">
        <f>IFERROR(__xludf.DUMMYFUNCTION("GOOGLETRANSLATE($A3637,""en"",""fr"")"),"Ayacucho")</f>
        <v>Ayacucho</v>
      </c>
      <c r="E3637" s="9" t="str">
        <f>IFERROR(__xludf.DUMMYFUNCTION("GOOGLETRANSLATE($A3637,""en"",""es"")"),"Ayacucho")</f>
        <v>Ayacucho</v>
      </c>
      <c r="F3637" s="9" t="str">
        <f>IFERROR(__xludf.DUMMYFUNCTION("GOOGLETRANSLATE($A3637,""en"",""it"")"),"Ayacucho")</f>
        <v>Ayacucho</v>
      </c>
      <c r="G3637" s="9" t="str">
        <f>IFERROR(__xludf.DUMMYFUNCTION("GOOGLETRANSLATE($A3637,""en"",""zh-cn"")"),"阿亚库乔")</f>
        <v>阿亚库乔</v>
      </c>
      <c r="H3637" s="9" t="str">
        <f>IFERROR(__xludf.DUMMYFUNCTION("GOOGLETRANSLATE($A3637,""en"",""ja"")"),"アヤクチョ")</f>
        <v>アヤクチョ</v>
      </c>
      <c r="I3637" s="9" t="str">
        <f>IFERROR(__xludf.DUMMYFUNCTION("GOOGLETRANSLATE($A3637,""en"",""ko"")"),"아야쿠초")</f>
        <v>아야쿠초</v>
      </c>
      <c r="J3637" s="9" t="str">
        <f>IFERROR(__xludf.DUMMYFUNCTION("GOOGLETRANSLATE($A3637,""en"",""pt-BR"")"),"Ayacucho")</f>
        <v>Ayacucho</v>
      </c>
    </row>
    <row r="3638">
      <c r="A3638" s="9" t="str">
        <f>IFERROR(__xludf.DUMMYFUNCTION("""COMPUTED_VALUE"""),"Ucayali")</f>
        <v>Ucayali</v>
      </c>
      <c r="B3638" s="9" t="str">
        <f>IFERROR(__xludf.DUMMYFUNCTION("""COMPUTED_VALUE"""),"pe-uca")</f>
        <v>pe-uca</v>
      </c>
      <c r="C3638" s="9" t="str">
        <f>IFERROR(__xludf.DUMMYFUNCTION("GOOGLETRANSLATE($A3638,""en"",""de"")"),"Ucayali")</f>
        <v>Ucayali</v>
      </c>
      <c r="D3638" s="9" t="str">
        <f>IFERROR(__xludf.DUMMYFUNCTION("GOOGLETRANSLATE($A3638,""en"",""fr"")"),"Ucayali")</f>
        <v>Ucayali</v>
      </c>
      <c r="E3638" s="9" t="str">
        <f>IFERROR(__xludf.DUMMYFUNCTION("GOOGLETRANSLATE($A3638,""en"",""es"")"),"Ucayali")</f>
        <v>Ucayali</v>
      </c>
      <c r="F3638" s="9" t="str">
        <f>IFERROR(__xludf.DUMMYFUNCTION("GOOGLETRANSLATE($A3638,""en"",""it"")"),"Ucayali")</f>
        <v>Ucayali</v>
      </c>
      <c r="G3638" s="9" t="str">
        <f>IFERROR(__xludf.DUMMYFUNCTION("GOOGLETRANSLATE($A3638,""en"",""zh-cn"")"),"乌卡亚利")</f>
        <v>乌卡亚利</v>
      </c>
      <c r="H3638" s="9" t="str">
        <f>IFERROR(__xludf.DUMMYFUNCTION("GOOGLETRANSLATE($A3638,""en"",""ja"")"),"ウカヤリ")</f>
        <v>ウカヤリ</v>
      </c>
      <c r="I3638" s="9" t="str">
        <f>IFERROR(__xludf.DUMMYFUNCTION("GOOGLETRANSLATE($A3638,""en"",""ko"")"),"우카얄리")</f>
        <v>우카얄리</v>
      </c>
      <c r="J3638" s="9" t="str">
        <f>IFERROR(__xludf.DUMMYFUNCTION("GOOGLETRANSLATE($A3638,""en"",""pt-BR"")"),"Ucayali")</f>
        <v>Ucayali</v>
      </c>
    </row>
    <row r="3639">
      <c r="A3639" s="9" t="str">
        <f>IFERROR(__xludf.DUMMYFUNCTION("""COMPUTED_VALUE"""),"Ica")</f>
        <v>Ica</v>
      </c>
      <c r="B3639" s="9" t="str">
        <f>IFERROR(__xludf.DUMMYFUNCTION("""COMPUTED_VALUE"""),"pe-ica")</f>
        <v>pe-ica</v>
      </c>
      <c r="C3639" s="9" t="str">
        <f>IFERROR(__xludf.DUMMYFUNCTION("GOOGLETRANSLATE($A3639,""en"",""de"")"),"Ica")</f>
        <v>Ica</v>
      </c>
      <c r="D3639" s="9" t="str">
        <f>IFERROR(__xludf.DUMMYFUNCTION("GOOGLETRANSLATE($A3639,""en"",""fr"")"),"Ica")</f>
        <v>Ica</v>
      </c>
      <c r="E3639" s="9" t="str">
        <f>IFERROR(__xludf.DUMMYFUNCTION("GOOGLETRANSLATE($A3639,""en"",""es"")"),"ica")</f>
        <v>ica</v>
      </c>
      <c r="F3639" s="9" t="str">
        <f>IFERROR(__xludf.DUMMYFUNCTION("GOOGLETRANSLATE($A3639,""en"",""it"")"),"Ica")</f>
        <v>Ica</v>
      </c>
      <c r="G3639" s="9" t="str">
        <f>IFERROR(__xludf.DUMMYFUNCTION("GOOGLETRANSLATE($A3639,""en"",""zh-cn"")"),"伊卡")</f>
        <v>伊卡</v>
      </c>
      <c r="H3639" s="9" t="str">
        <f>IFERROR(__xludf.DUMMYFUNCTION("GOOGLETRANSLATE($A3639,""en"",""ja"")"),"イカ")</f>
        <v>イカ</v>
      </c>
      <c r="I3639" s="9" t="str">
        <f>IFERROR(__xludf.DUMMYFUNCTION("GOOGLETRANSLATE($A3639,""en"",""ko"")"),"이카")</f>
        <v>이카</v>
      </c>
      <c r="J3639" s="9" t="str">
        <f>IFERROR(__xludf.DUMMYFUNCTION("GOOGLETRANSLATE($A3639,""en"",""pt-BR"")"),"Ica")</f>
        <v>Ica</v>
      </c>
    </row>
    <row r="3640">
      <c r="A3640" s="9" t="str">
        <f>IFERROR(__xludf.DUMMYFUNCTION("""COMPUTED_VALUE"""),"Municipalidad Metropolitana de Lima")</f>
        <v>Municipalidad Metropolitana de Lima</v>
      </c>
      <c r="B3640" s="9" t="str">
        <f>IFERROR(__xludf.DUMMYFUNCTION("""COMPUTED_VALUE"""),"pe-lma")</f>
        <v>pe-lma</v>
      </c>
      <c r="C3640" s="9" t="str">
        <f>IFERROR(__xludf.DUMMYFUNCTION("GOOGLETRANSLATE($A3640,""en"",""de"")"),"Municipalidad Metropolitana de Lima")</f>
        <v>Municipalidad Metropolitana de Lima</v>
      </c>
      <c r="D3640" s="9" t="str">
        <f>IFERROR(__xludf.DUMMYFUNCTION("GOOGLETRANSLATE($A3640,""en"",""fr"")"),"Municipalité métropolitaine de Lima")</f>
        <v>Municipalité métropolitaine de Lima</v>
      </c>
      <c r="E3640" s="9" t="str">
        <f>IFERROR(__xludf.DUMMYFUNCTION("GOOGLETRANSLATE($A3640,""en"",""es"")"),"Municipalidad Metropolitana de Lima")</f>
        <v>Municipalidad Metropolitana de Lima</v>
      </c>
      <c r="F3640" s="9" t="str">
        <f>IFERROR(__xludf.DUMMYFUNCTION("GOOGLETRANSLATE($A3640,""en"",""it"")"),"Municipalità metropolitana di Lima")</f>
        <v>Municipalità metropolitana di Lima</v>
      </c>
      <c r="G3640" s="9" t="str">
        <f>IFERROR(__xludf.DUMMYFUNCTION("GOOGLETRANSLATE($A3640,""en"",""zh-cn"")"),"利马大都会市政局")</f>
        <v>利马大都会市政局</v>
      </c>
      <c r="H3640" s="9" t="str">
        <f>IFERROR(__xludf.DUMMYFUNCTION("GOOGLETRANSLATE($A3640,""en"",""ja"")"),"リマ市立メトロポリターナ デ リマ市")</f>
        <v>リマ市立メトロポリターナ デ リマ市</v>
      </c>
      <c r="I3640" s="9" t="str">
        <f>IFERROR(__xludf.DUMMYFUNCTION("GOOGLETRANSLATE($A3640,""en"",""ko"")"),"무니시팔리다드 메트로폴리타나 데 리마")</f>
        <v>무니시팔리다드 메트로폴리타나 데 리마</v>
      </c>
      <c r="J3640" s="9" t="str">
        <f>IFERROR(__xludf.DUMMYFUNCTION("GOOGLETRANSLATE($A3640,""en"",""pt-BR"")"),"Município Metropolitano de Lima")</f>
        <v>Município Metropolitano de Lima</v>
      </c>
    </row>
    <row r="3641">
      <c r="A3641" s="9" t="str">
        <f>IFERROR(__xludf.DUMMYFUNCTION("""COMPUTED_VALUE"""),"Loreto")</f>
        <v>Loreto</v>
      </c>
      <c r="B3641" s="9" t="str">
        <f>IFERROR(__xludf.DUMMYFUNCTION("""COMPUTED_VALUE"""),"pe-lor")</f>
        <v>pe-lor</v>
      </c>
      <c r="C3641" s="9" t="str">
        <f>IFERROR(__xludf.DUMMYFUNCTION("GOOGLETRANSLATE($A3641,""en"",""de"")"),"Loreto")</f>
        <v>Loreto</v>
      </c>
      <c r="D3641" s="9" t="str">
        <f>IFERROR(__xludf.DUMMYFUNCTION("GOOGLETRANSLATE($A3641,""en"",""fr"")"),"Lorette")</f>
        <v>Lorette</v>
      </c>
      <c r="E3641" s="9" t="str">
        <f>IFERROR(__xludf.DUMMYFUNCTION("GOOGLETRANSLATE($A3641,""en"",""es"")"),"Loreto")</f>
        <v>Loreto</v>
      </c>
      <c r="F3641" s="9" t="str">
        <f>IFERROR(__xludf.DUMMYFUNCTION("GOOGLETRANSLATE($A3641,""en"",""it"")"),"Loreto")</f>
        <v>Loreto</v>
      </c>
      <c r="G3641" s="9" t="str">
        <f>IFERROR(__xludf.DUMMYFUNCTION("GOOGLETRANSLATE($A3641,""en"",""zh-cn"")"),"洛雷托")</f>
        <v>洛雷托</v>
      </c>
      <c r="H3641" s="9" t="str">
        <f>IFERROR(__xludf.DUMMYFUNCTION("GOOGLETRANSLATE($A3641,""en"",""ja"")"),"ロレト")</f>
        <v>ロレト</v>
      </c>
      <c r="I3641" s="9" t="str">
        <f>IFERROR(__xludf.DUMMYFUNCTION("GOOGLETRANSLATE($A3641,""en"",""ko"")"),"로레토")</f>
        <v>로레토</v>
      </c>
      <c r="J3641" s="9" t="str">
        <f>IFERROR(__xludf.DUMMYFUNCTION("GOOGLETRANSLATE($A3641,""en"",""pt-BR"")"),"Loreto")</f>
        <v>Loreto</v>
      </c>
    </row>
    <row r="3642">
      <c r="A3642" s="9" t="str">
        <f>IFERROR(__xludf.DUMMYFUNCTION("""COMPUTED_VALUE"""),"Tacna")</f>
        <v>Tacna</v>
      </c>
      <c r="B3642" s="9" t="str">
        <f>IFERROR(__xludf.DUMMYFUNCTION("""COMPUTED_VALUE"""),"pe-tac")</f>
        <v>pe-tac</v>
      </c>
      <c r="C3642" s="9" t="str">
        <f>IFERROR(__xludf.DUMMYFUNCTION("GOOGLETRANSLATE($A3642,""en"",""de"")"),"Tacna")</f>
        <v>Tacna</v>
      </c>
      <c r="D3642" s="9" t="str">
        <f>IFERROR(__xludf.DUMMYFUNCTION("GOOGLETRANSLATE($A3642,""en"",""fr"")"),"Tacna")</f>
        <v>Tacna</v>
      </c>
      <c r="E3642" s="9" t="str">
        <f>IFERROR(__xludf.DUMMYFUNCTION("GOOGLETRANSLATE($A3642,""en"",""es"")"),"Tacna")</f>
        <v>Tacna</v>
      </c>
      <c r="F3642" s="9" t="str">
        <f>IFERROR(__xludf.DUMMYFUNCTION("GOOGLETRANSLATE($A3642,""en"",""it"")"),"Tacna")</f>
        <v>Tacna</v>
      </c>
      <c r="G3642" s="9" t="str">
        <f>IFERROR(__xludf.DUMMYFUNCTION("GOOGLETRANSLATE($A3642,""en"",""zh-cn"")"),"塔克纳")</f>
        <v>塔克纳</v>
      </c>
      <c r="H3642" s="9" t="str">
        <f>IFERROR(__xludf.DUMMYFUNCTION("GOOGLETRANSLATE($A3642,""en"",""ja"")"),"タクナ")</f>
        <v>タクナ</v>
      </c>
      <c r="I3642" s="9" t="str">
        <f>IFERROR(__xludf.DUMMYFUNCTION("GOOGLETRANSLATE($A3642,""en"",""ko"")"),"타크나")</f>
        <v>타크나</v>
      </c>
      <c r="J3642" s="9" t="str">
        <f>IFERROR(__xludf.DUMMYFUNCTION("GOOGLETRANSLATE($A3642,""en"",""pt-BR"")"),"Tacna")</f>
        <v>Tacna</v>
      </c>
    </row>
    <row r="3643">
      <c r="A3643" s="9" t="str">
        <f>IFERROR(__xludf.DUMMYFUNCTION("""COMPUTED_VALUE"""),"Huancavelica")</f>
        <v>Huancavelica</v>
      </c>
      <c r="B3643" s="9" t="str">
        <f>IFERROR(__xludf.DUMMYFUNCTION("""COMPUTED_VALUE"""),"pe-huv")</f>
        <v>pe-huv</v>
      </c>
      <c r="C3643" s="9" t="str">
        <f>IFERROR(__xludf.DUMMYFUNCTION("GOOGLETRANSLATE($A3643,""en"",""de"")"),"Huancavelica")</f>
        <v>Huancavelica</v>
      </c>
      <c r="D3643" s="9" t="str">
        <f>IFERROR(__xludf.DUMMYFUNCTION("GOOGLETRANSLATE($A3643,""en"",""fr"")"),"Huancavelica")</f>
        <v>Huancavelica</v>
      </c>
      <c r="E3643" s="9" t="str">
        <f>IFERROR(__xludf.DUMMYFUNCTION("GOOGLETRANSLATE($A3643,""en"",""es"")"),"Huancavelica")</f>
        <v>Huancavelica</v>
      </c>
      <c r="F3643" s="9" t="str">
        <f>IFERROR(__xludf.DUMMYFUNCTION("GOOGLETRANSLATE($A3643,""en"",""it"")"),"Huancavelica")</f>
        <v>Huancavelica</v>
      </c>
      <c r="G3643" s="9" t="str">
        <f>IFERROR(__xludf.DUMMYFUNCTION("GOOGLETRANSLATE($A3643,""en"",""zh-cn"")"),"万卡韦利卡")</f>
        <v>万卡韦利卡</v>
      </c>
      <c r="H3643" s="9" t="str">
        <f>IFERROR(__xludf.DUMMYFUNCTION("GOOGLETRANSLATE($A3643,""en"",""ja"")"),"ワンカベリカ")</f>
        <v>ワンカベリカ</v>
      </c>
      <c r="I3643" s="9" t="str">
        <f>IFERROR(__xludf.DUMMYFUNCTION("GOOGLETRANSLATE($A3643,""en"",""ko"")"),"우아카벨리카")</f>
        <v>우아카벨리카</v>
      </c>
      <c r="J3643" s="9" t="str">
        <f>IFERROR(__xludf.DUMMYFUNCTION("GOOGLETRANSLATE($A3643,""en"",""pt-BR"")"),"Huancavélica")</f>
        <v>Huancavélica</v>
      </c>
    </row>
    <row r="3644">
      <c r="A3644" s="9" t="str">
        <f>IFERROR(__xludf.DUMMYFUNCTION("""COMPUTED_VALUE"""),"El Callao")</f>
        <v>El Callao</v>
      </c>
      <c r="B3644" s="9" t="str">
        <f>IFERROR(__xludf.DUMMYFUNCTION("""COMPUTED_VALUE"""),"pe-cal")</f>
        <v>pe-cal</v>
      </c>
      <c r="C3644" s="9" t="str">
        <f>IFERROR(__xludf.DUMMYFUNCTION("GOOGLETRANSLATE($A3644,""en"",""de"")"),"El Callao")</f>
        <v>El Callao</v>
      </c>
      <c r="D3644" s="9" t="str">
        <f>IFERROR(__xludf.DUMMYFUNCTION("GOOGLETRANSLATE($A3644,""en"",""fr"")"),"El Callao")</f>
        <v>El Callao</v>
      </c>
      <c r="E3644" s="9" t="str">
        <f>IFERROR(__xludf.DUMMYFUNCTION("GOOGLETRANSLATE($A3644,""en"",""es"")"),"El Callao")</f>
        <v>El Callao</v>
      </c>
      <c r="F3644" s="9" t="str">
        <f>IFERROR(__xludf.DUMMYFUNCTION("GOOGLETRANSLATE($A3644,""en"",""it"")"),"El Callao")</f>
        <v>El Callao</v>
      </c>
      <c r="G3644" s="9" t="str">
        <f>IFERROR(__xludf.DUMMYFUNCTION("GOOGLETRANSLATE($A3644,""en"",""zh-cn"")"),"埃尔卡亚俄")</f>
        <v>埃尔卡亚俄</v>
      </c>
      <c r="H3644" s="9" t="str">
        <f>IFERROR(__xludf.DUMMYFUNCTION("GOOGLETRANSLATE($A3644,""en"",""ja"")"),"エル・カヤオ")</f>
        <v>エル・カヤオ</v>
      </c>
      <c r="I3644" s="9" t="str">
        <f>IFERROR(__xludf.DUMMYFUNCTION("GOOGLETRANSLATE($A3644,""en"",""ko"")"),"엘 칼라오")</f>
        <v>엘 칼라오</v>
      </c>
      <c r="J3644" s="9" t="str">
        <f>IFERROR(__xludf.DUMMYFUNCTION("GOOGLETRANSLATE($A3644,""en"",""pt-BR"")"),"El Callao")</f>
        <v>El Callao</v>
      </c>
    </row>
    <row r="3645">
      <c r="A3645" s="9" t="str">
        <f>IFERROR(__xludf.DUMMYFUNCTION("""COMPUTED_VALUE"""),"Pasco")</f>
        <v>Pasco</v>
      </c>
      <c r="B3645" s="9" t="str">
        <f>IFERROR(__xludf.DUMMYFUNCTION("""COMPUTED_VALUE"""),"pe-pas")</f>
        <v>pe-pas</v>
      </c>
      <c r="C3645" s="9" t="str">
        <f>IFERROR(__xludf.DUMMYFUNCTION("GOOGLETRANSLATE($A3645,""en"",""de"")"),"Pasco")</f>
        <v>Pasco</v>
      </c>
      <c r="D3645" s="9" t="str">
        <f>IFERROR(__xludf.DUMMYFUNCTION("GOOGLETRANSLATE($A3645,""en"",""fr"")"),"Pasco")</f>
        <v>Pasco</v>
      </c>
      <c r="E3645" s="9" t="str">
        <f>IFERROR(__xludf.DUMMYFUNCTION("GOOGLETRANSLATE($A3645,""en"",""es"")"),"Pasco")</f>
        <v>Pasco</v>
      </c>
      <c r="F3645" s="9" t="str">
        <f>IFERROR(__xludf.DUMMYFUNCTION("GOOGLETRANSLATE($A3645,""en"",""it"")"),"Pasco")</f>
        <v>Pasco</v>
      </c>
      <c r="G3645" s="9" t="str">
        <f>IFERROR(__xludf.DUMMYFUNCTION("GOOGLETRANSLATE($A3645,""en"",""zh-cn"")"),"帕斯科")</f>
        <v>帕斯科</v>
      </c>
      <c r="H3645" s="9" t="str">
        <f>IFERROR(__xludf.DUMMYFUNCTION("GOOGLETRANSLATE($A3645,""en"",""ja"")"),"パスコ")</f>
        <v>パスコ</v>
      </c>
      <c r="I3645" s="9" t="str">
        <f>IFERROR(__xludf.DUMMYFUNCTION("GOOGLETRANSLATE($A3645,""en"",""ko"")"),"파스코")</f>
        <v>파스코</v>
      </c>
      <c r="J3645" s="9" t="str">
        <f>IFERROR(__xludf.DUMMYFUNCTION("GOOGLETRANSLATE($A3645,""en"",""pt-BR"")"),"Pasco")</f>
        <v>Pasco</v>
      </c>
    </row>
    <row r="3646">
      <c r="A3646" s="9" t="str">
        <f>IFERROR(__xludf.DUMMYFUNCTION("""COMPUTED_VALUE"""),"Davao Occidental")</f>
        <v>Davao Occidental</v>
      </c>
      <c r="B3646" s="9" t="str">
        <f>IFERROR(__xludf.DUMMYFUNCTION("""COMPUTED_VALUE"""),"ph-dvo")</f>
        <v>ph-dvo</v>
      </c>
      <c r="C3646" s="9" t="str">
        <f>IFERROR(__xludf.DUMMYFUNCTION("GOOGLETRANSLATE($A3646,""en"",""de"")"),"Davao Occidental")</f>
        <v>Davao Occidental</v>
      </c>
      <c r="D3646" s="9" t="str">
        <f>IFERROR(__xludf.DUMMYFUNCTION("GOOGLETRANSLATE($A3646,""en"",""fr"")"),"Davao Occidental")</f>
        <v>Davao Occidental</v>
      </c>
      <c r="E3646" s="9" t="str">
        <f>IFERROR(__xludf.DUMMYFUNCTION("GOOGLETRANSLATE($A3646,""en"",""es"")"),"Dávao Occidental")</f>
        <v>Dávao Occidental</v>
      </c>
      <c r="F3646" s="9" t="str">
        <f>IFERROR(__xludf.DUMMYFUNCTION("GOOGLETRANSLATE($A3646,""en"",""it"")"),"Davao Occidentale")</f>
        <v>Davao Occidentale</v>
      </c>
      <c r="G3646" s="9" t="str">
        <f>IFERROR(__xludf.DUMMYFUNCTION("GOOGLETRANSLATE($A3646,""en"",""zh-cn"")"),"西达沃")</f>
        <v>西达沃</v>
      </c>
      <c r="H3646" s="9" t="str">
        <f>IFERROR(__xludf.DUMMYFUNCTION("GOOGLETRANSLATE($A3646,""en"",""ja"")"),"ダバオ オクシデンタル")</f>
        <v>ダバオ オクシデンタル</v>
      </c>
      <c r="I3646" s="9" t="str">
        <f>IFERROR(__xludf.DUMMYFUNCTION("GOOGLETRANSLATE($A3646,""en"",""ko"")"),"다바오 옥시덴탈")</f>
        <v>다바오 옥시덴탈</v>
      </c>
      <c r="J3646" s="9" t="str">
        <f>IFERROR(__xludf.DUMMYFUNCTION("GOOGLETRANSLATE($A3646,""en"",""pt-BR"")"),"Davao Ocidental")</f>
        <v>Davao Ocidental</v>
      </c>
    </row>
    <row r="3647">
      <c r="A3647" s="9" t="str">
        <f>IFERROR(__xludf.DUMMYFUNCTION("""COMPUTED_VALUE"""),"Cotabato")</f>
        <v>Cotabato</v>
      </c>
      <c r="B3647" s="9" t="str">
        <f>IFERROR(__xludf.DUMMYFUNCTION("""COMPUTED_VALUE"""),"ph-nco")</f>
        <v>ph-nco</v>
      </c>
      <c r="C3647" s="9" t="str">
        <f>IFERROR(__xludf.DUMMYFUNCTION("GOOGLETRANSLATE($A3647,""en"",""de"")"),"Cotabato")</f>
        <v>Cotabato</v>
      </c>
      <c r="D3647" s="9" t="str">
        <f>IFERROR(__xludf.DUMMYFUNCTION("GOOGLETRANSLATE($A3647,""en"",""fr"")"),"Cotabato")</f>
        <v>Cotabato</v>
      </c>
      <c r="E3647" s="9" t="str">
        <f>IFERROR(__xludf.DUMMYFUNCTION("GOOGLETRANSLATE($A3647,""en"",""es"")"),"Cotabato")</f>
        <v>Cotabato</v>
      </c>
      <c r="F3647" s="9" t="str">
        <f>IFERROR(__xludf.DUMMYFUNCTION("GOOGLETRANSLATE($A3647,""en"",""it"")"),"Cotabato")</f>
        <v>Cotabato</v>
      </c>
      <c r="G3647" s="9" t="str">
        <f>IFERROR(__xludf.DUMMYFUNCTION("GOOGLETRANSLATE($A3647,""en"",""zh-cn"")"),"哥打巴托")</f>
        <v>哥打巴托</v>
      </c>
      <c r="H3647" s="9" t="str">
        <f>IFERROR(__xludf.DUMMYFUNCTION("GOOGLETRANSLATE($A3647,""en"",""ja"")"),"コタバト")</f>
        <v>コタバト</v>
      </c>
      <c r="I3647" s="9" t="str">
        <f>IFERROR(__xludf.DUMMYFUNCTION("GOOGLETRANSLATE($A3647,""en"",""ko"")"),"코타바토")</f>
        <v>코타바토</v>
      </c>
      <c r="J3647" s="9" t="str">
        <f>IFERROR(__xludf.DUMMYFUNCTION("GOOGLETRANSLATE($A3647,""en"",""pt-BR"")"),"Cotabato")</f>
        <v>Cotabato</v>
      </c>
    </row>
    <row r="3648">
      <c r="A3648" s="9" t="str">
        <f>IFERROR(__xludf.DUMMYFUNCTION("""COMPUTED_VALUE"""),"Davao del Norte")</f>
        <v>Davao del Norte</v>
      </c>
      <c r="B3648" s="9" t="str">
        <f>IFERROR(__xludf.DUMMYFUNCTION("""COMPUTED_VALUE"""),"ph-dav")</f>
        <v>ph-dav</v>
      </c>
      <c r="C3648" s="9" t="str">
        <f>IFERROR(__xludf.DUMMYFUNCTION("GOOGLETRANSLATE($A3648,""en"",""de"")"),"Davao del Norte")</f>
        <v>Davao del Norte</v>
      </c>
      <c r="D3648" s="9" t="str">
        <f>IFERROR(__xludf.DUMMYFUNCTION("GOOGLETRANSLATE($A3648,""en"",""fr"")"),"Davao du Nord")</f>
        <v>Davao du Nord</v>
      </c>
      <c r="E3648" s="9" t="str">
        <f>IFERROR(__xludf.DUMMYFUNCTION("GOOGLETRANSLATE($A3648,""en"",""es"")"),"Dávao del Norte")</f>
        <v>Dávao del Norte</v>
      </c>
      <c r="F3648" s="9" t="str">
        <f>IFERROR(__xludf.DUMMYFUNCTION("GOOGLETRANSLATE($A3648,""en"",""it"")"),"Davao del Norte")</f>
        <v>Davao del Norte</v>
      </c>
      <c r="G3648" s="9" t="str">
        <f>IFERROR(__xludf.DUMMYFUNCTION("GOOGLETRANSLATE($A3648,""en"",""zh-cn"")"),"北达沃")</f>
        <v>北达沃</v>
      </c>
      <c r="H3648" s="9" t="str">
        <f>IFERROR(__xludf.DUMMYFUNCTION("GOOGLETRANSLATE($A3648,""en"",""ja"")"),"ダバオデルノルテ")</f>
        <v>ダバオデルノルテ</v>
      </c>
      <c r="I3648" s="9" t="str">
        <f>IFERROR(__xludf.DUMMYFUNCTION("GOOGLETRANSLATE($A3648,""en"",""ko"")"),"다바오 델 노르테")</f>
        <v>다바오 델 노르테</v>
      </c>
      <c r="J3648" s="9" t="str">
        <f>IFERROR(__xludf.DUMMYFUNCTION("GOOGLETRANSLATE($A3648,""en"",""pt-BR"")"),"Davao del Norte")</f>
        <v>Davao del Norte</v>
      </c>
    </row>
    <row r="3649">
      <c r="A3649" s="9" t="str">
        <f>IFERROR(__xludf.DUMMYFUNCTION("""COMPUTED_VALUE"""),"Samar")</f>
        <v>Samar</v>
      </c>
      <c r="B3649" s="9" t="str">
        <f>IFERROR(__xludf.DUMMYFUNCTION("""COMPUTED_VALUE"""),"ph-wsa")</f>
        <v>ph-wsa</v>
      </c>
      <c r="C3649" s="9" t="str">
        <f>IFERROR(__xludf.DUMMYFUNCTION("GOOGLETRANSLATE($A3649,""en"",""de"")"),"Samar")</f>
        <v>Samar</v>
      </c>
      <c r="D3649" s="9" t="str">
        <f>IFERROR(__xludf.DUMMYFUNCTION("GOOGLETRANSLATE($A3649,""en"",""fr"")"),"Samar")</f>
        <v>Samar</v>
      </c>
      <c r="E3649" s="9" t="str">
        <f>IFERROR(__xludf.DUMMYFUNCTION("GOOGLETRANSLATE($A3649,""en"",""es"")"),"Sámar")</f>
        <v>Sámar</v>
      </c>
      <c r="F3649" s="9" t="str">
        <f>IFERROR(__xludf.DUMMYFUNCTION("GOOGLETRANSLATE($A3649,""en"",""it"")"),"Samar")</f>
        <v>Samar</v>
      </c>
      <c r="G3649" s="9" t="str">
        <f>IFERROR(__xludf.DUMMYFUNCTION("GOOGLETRANSLATE($A3649,""en"",""zh-cn"")"),"萨马岛")</f>
        <v>萨马岛</v>
      </c>
      <c r="H3649" s="9" t="str">
        <f>IFERROR(__xludf.DUMMYFUNCTION("GOOGLETRANSLATE($A3649,""en"",""ja"")"),"サマール")</f>
        <v>サマール</v>
      </c>
      <c r="I3649" s="9" t="str">
        <f>IFERROR(__xludf.DUMMYFUNCTION("GOOGLETRANSLATE($A3649,""en"",""ko"")"),"사마르")</f>
        <v>사마르</v>
      </c>
      <c r="J3649" s="9" t="str">
        <f>IFERROR(__xludf.DUMMYFUNCTION("GOOGLETRANSLATE($A3649,""en"",""pt-BR"")"),"Samara")</f>
        <v>Samara</v>
      </c>
    </row>
    <row r="3650">
      <c r="A3650" s="9" t="str">
        <f>IFERROR(__xludf.DUMMYFUNCTION("""COMPUTED_VALUE"""),"Bukidnon")</f>
        <v>Bukidnon</v>
      </c>
      <c r="B3650" s="9" t="str">
        <f>IFERROR(__xludf.DUMMYFUNCTION("""COMPUTED_VALUE"""),"ph-buk")</f>
        <v>ph-buk</v>
      </c>
      <c r="C3650" s="9" t="str">
        <f>IFERROR(__xludf.DUMMYFUNCTION("GOOGLETRANSLATE($A3650,""en"",""de"")"),"Bukidnon")</f>
        <v>Bukidnon</v>
      </c>
      <c r="D3650" s="9" t="str">
        <f>IFERROR(__xludf.DUMMYFUNCTION("GOOGLETRANSLATE($A3650,""en"",""fr"")"),"Boukidnon")</f>
        <v>Boukidnon</v>
      </c>
      <c r="E3650" s="9" t="str">
        <f>IFERROR(__xludf.DUMMYFUNCTION("GOOGLETRANSLATE($A3650,""en"",""es"")"),"Bukidnon")</f>
        <v>Bukidnon</v>
      </c>
      <c r="F3650" s="9" t="str">
        <f>IFERROR(__xludf.DUMMYFUNCTION("GOOGLETRANSLATE($A3650,""en"",""it"")"),"Bukidnon")</f>
        <v>Bukidnon</v>
      </c>
      <c r="G3650" s="9" t="str">
        <f>IFERROR(__xludf.DUMMYFUNCTION("GOOGLETRANSLATE($A3650,""en"",""zh-cn"")"),"布基农")</f>
        <v>布基农</v>
      </c>
      <c r="H3650" s="9" t="str">
        <f>IFERROR(__xludf.DUMMYFUNCTION("GOOGLETRANSLATE($A3650,""en"",""ja"")"),"ブキドノン")</f>
        <v>ブキドノン</v>
      </c>
      <c r="I3650" s="9" t="str">
        <f>IFERROR(__xludf.DUMMYFUNCTION("GOOGLETRANSLATE($A3650,""en"",""ko"")"),"부키드논")</f>
        <v>부키드논</v>
      </c>
      <c r="J3650" s="9" t="str">
        <f>IFERROR(__xludf.DUMMYFUNCTION("GOOGLETRANSLATE($A3650,""en"",""pt-BR"")"),"Bukidnon")</f>
        <v>Bukidnon</v>
      </c>
    </row>
    <row r="3651">
      <c r="A3651" s="9" t="str">
        <f>IFERROR(__xludf.DUMMYFUNCTION("""COMPUTED_VALUE"""),"Davao del Sur")</f>
        <v>Davao del Sur</v>
      </c>
      <c r="B3651" s="9" t="str">
        <f>IFERROR(__xludf.DUMMYFUNCTION("""COMPUTED_VALUE"""),"ph-das")</f>
        <v>ph-das</v>
      </c>
      <c r="C3651" s="9" t="str">
        <f>IFERROR(__xludf.DUMMYFUNCTION("GOOGLETRANSLATE($A3651,""en"",""de"")"),"Davao del Sur")</f>
        <v>Davao del Sur</v>
      </c>
      <c r="D3651" s="9" t="str">
        <f>IFERROR(__xludf.DUMMYFUNCTION("GOOGLETRANSLATE($A3651,""en"",""fr"")"),"Davao du Sud")</f>
        <v>Davao du Sud</v>
      </c>
      <c r="E3651" s="9" t="str">
        <f>IFERROR(__xludf.DUMMYFUNCTION("GOOGLETRANSLATE($A3651,""en"",""es"")"),"Dávao del Sur")</f>
        <v>Dávao del Sur</v>
      </c>
      <c r="F3651" s="9" t="str">
        <f>IFERROR(__xludf.DUMMYFUNCTION("GOOGLETRANSLATE($A3651,""en"",""it"")"),"Davao del Sur")</f>
        <v>Davao del Sur</v>
      </c>
      <c r="G3651" s="9" t="str">
        <f>IFERROR(__xludf.DUMMYFUNCTION("GOOGLETRANSLATE($A3651,""en"",""zh-cn"")"),"南达沃")</f>
        <v>南达沃</v>
      </c>
      <c r="H3651" s="9" t="str">
        <f>IFERROR(__xludf.DUMMYFUNCTION("GOOGLETRANSLATE($A3651,""en"",""ja"")"),"南ダバオ")</f>
        <v>南ダバオ</v>
      </c>
      <c r="I3651" s="9" t="str">
        <f>IFERROR(__xludf.DUMMYFUNCTION("GOOGLETRANSLATE($A3651,""en"",""ko"")"),"다바오델수르")</f>
        <v>다바오델수르</v>
      </c>
      <c r="J3651" s="9" t="str">
        <f>IFERROR(__xludf.DUMMYFUNCTION("GOOGLETRANSLATE($A3651,""en"",""pt-BR"")"),"Davao del Sur")</f>
        <v>Davao del Sur</v>
      </c>
    </row>
    <row r="3652">
      <c r="A3652" s="9" t="str">
        <f>IFERROR(__xludf.DUMMYFUNCTION("""COMPUTED_VALUE"""),"Basilan")</f>
        <v>Basilan</v>
      </c>
      <c r="B3652" s="9" t="str">
        <f>IFERROR(__xludf.DUMMYFUNCTION("""COMPUTED_VALUE"""),"ph-bas")</f>
        <v>ph-bas</v>
      </c>
      <c r="C3652" s="9" t="str">
        <f>IFERROR(__xludf.DUMMYFUNCTION("GOOGLETRANSLATE($A3652,""en"",""de"")"),"Basilan")</f>
        <v>Basilan</v>
      </c>
      <c r="D3652" s="9" t="str">
        <f>IFERROR(__xludf.DUMMYFUNCTION("GOOGLETRANSLATE($A3652,""en"",""fr"")"),"Basilan")</f>
        <v>Basilan</v>
      </c>
      <c r="E3652" s="9" t="str">
        <f>IFERROR(__xludf.DUMMYFUNCTION("GOOGLETRANSLATE($A3652,""en"",""es"")"),"Basilán")</f>
        <v>Basilán</v>
      </c>
      <c r="F3652" s="9" t="str">
        <f>IFERROR(__xludf.DUMMYFUNCTION("GOOGLETRANSLATE($A3652,""en"",""it"")"),"Basilano")</f>
        <v>Basilano</v>
      </c>
      <c r="G3652" s="9" t="str">
        <f>IFERROR(__xludf.DUMMYFUNCTION("GOOGLETRANSLATE($A3652,""en"",""zh-cn"")"),"巴西兰")</f>
        <v>巴西兰</v>
      </c>
      <c r="H3652" s="9" t="str">
        <f>IFERROR(__xludf.DUMMYFUNCTION("GOOGLETRANSLATE($A3652,""en"",""ja"")"),"バシラン")</f>
        <v>バシラン</v>
      </c>
      <c r="I3652" s="9" t="str">
        <f>IFERROR(__xludf.DUMMYFUNCTION("GOOGLETRANSLATE($A3652,""en"",""ko"")"),"바실란")</f>
        <v>바실란</v>
      </c>
      <c r="J3652" s="9" t="str">
        <f>IFERROR(__xludf.DUMMYFUNCTION("GOOGLETRANSLATE($A3652,""en"",""pt-BR"")"),"Basilão")</f>
        <v>Basilão</v>
      </c>
    </row>
    <row r="3653">
      <c r="A3653" s="9" t="str">
        <f>IFERROR(__xludf.DUMMYFUNCTION("""COMPUTED_VALUE"""),"Cavite")</f>
        <v>Cavite</v>
      </c>
      <c r="B3653" s="9" t="str">
        <f>IFERROR(__xludf.DUMMYFUNCTION("""COMPUTED_VALUE"""),"ph-cav")</f>
        <v>ph-cav</v>
      </c>
      <c r="C3653" s="9" t="str">
        <f>IFERROR(__xludf.DUMMYFUNCTION("GOOGLETRANSLATE($A3653,""en"",""de"")"),"Cavite")</f>
        <v>Cavite</v>
      </c>
      <c r="D3653" s="9" t="str">
        <f>IFERROR(__xludf.DUMMYFUNCTION("GOOGLETRANSLATE($A3653,""en"",""fr"")"),"Cavité")</f>
        <v>Cavité</v>
      </c>
      <c r="E3653" s="9" t="str">
        <f>IFERROR(__xludf.DUMMYFUNCTION("GOOGLETRANSLATE($A3653,""en"",""es"")"),"cavita")</f>
        <v>cavita</v>
      </c>
      <c r="F3653" s="9" t="str">
        <f>IFERROR(__xludf.DUMMYFUNCTION("GOOGLETRANSLATE($A3653,""en"",""it"")"),"Cavita")</f>
        <v>Cavita</v>
      </c>
      <c r="G3653" s="9" t="str">
        <f>IFERROR(__xludf.DUMMYFUNCTION("GOOGLETRANSLATE($A3653,""en"",""zh-cn"")"),"甲美地省")</f>
        <v>甲美地省</v>
      </c>
      <c r="H3653" s="9" t="str">
        <f>IFERROR(__xludf.DUMMYFUNCTION("GOOGLETRANSLATE($A3653,""en"",""ja"")"),"カビテ")</f>
        <v>カビテ</v>
      </c>
      <c r="I3653" s="9" t="str">
        <f>IFERROR(__xludf.DUMMYFUNCTION("GOOGLETRANSLATE($A3653,""en"",""ko"")"),"카비테")</f>
        <v>카비테</v>
      </c>
      <c r="J3653" s="9" t="str">
        <f>IFERROR(__xludf.DUMMYFUNCTION("GOOGLETRANSLATE($A3653,""en"",""pt-BR"")"),"Cavitar")</f>
        <v>Cavitar</v>
      </c>
    </row>
    <row r="3654">
      <c r="A3654" s="9" t="str">
        <f>IFERROR(__xludf.DUMMYFUNCTION("""COMPUTED_VALUE"""),"Antique")</f>
        <v>Antique</v>
      </c>
      <c r="B3654" s="9" t="str">
        <f>IFERROR(__xludf.DUMMYFUNCTION("""COMPUTED_VALUE"""),"ph-ant")</f>
        <v>ph-ant</v>
      </c>
      <c r="C3654" s="9" t="str">
        <f>IFERROR(__xludf.DUMMYFUNCTION("GOOGLETRANSLATE($A3654,""en"",""de"")"),"Antiquität")</f>
        <v>Antiquität</v>
      </c>
      <c r="D3654" s="9" t="str">
        <f>IFERROR(__xludf.DUMMYFUNCTION("GOOGLETRANSLATE($A3654,""en"",""fr"")"),"Antique")</f>
        <v>Antique</v>
      </c>
      <c r="E3654" s="9" t="str">
        <f>IFERROR(__xludf.DUMMYFUNCTION("GOOGLETRANSLATE($A3654,""en"",""es"")"),"Antigüedad")</f>
        <v>Antigüedad</v>
      </c>
      <c r="F3654" s="9" t="str">
        <f>IFERROR(__xludf.DUMMYFUNCTION("GOOGLETRANSLATE($A3654,""en"",""it"")"),"Antico")</f>
        <v>Antico</v>
      </c>
      <c r="G3654" s="9" t="str">
        <f>IFERROR(__xludf.DUMMYFUNCTION("GOOGLETRANSLATE($A3654,""en"",""zh-cn"")"),"古董")</f>
        <v>古董</v>
      </c>
      <c r="H3654" s="9" t="str">
        <f>IFERROR(__xludf.DUMMYFUNCTION("GOOGLETRANSLATE($A3654,""en"",""ja"")"),"アンティーク")</f>
        <v>アンティーク</v>
      </c>
      <c r="I3654" s="9" t="str">
        <f>IFERROR(__xludf.DUMMYFUNCTION("GOOGLETRANSLATE($A3654,""en"",""ko"")"),"고대 미술")</f>
        <v>고대 미술</v>
      </c>
      <c r="J3654" s="9" t="str">
        <f>IFERROR(__xludf.DUMMYFUNCTION("GOOGLETRANSLATE($A3654,""en"",""pt-BR"")"),"Antigo")</f>
        <v>Antigo</v>
      </c>
    </row>
    <row r="3655">
      <c r="A3655" s="9" t="str">
        <f>IFERROR(__xludf.DUMMYFUNCTION("""COMPUTED_VALUE"""),"Abra")</f>
        <v>Abra</v>
      </c>
      <c r="B3655" s="9" t="str">
        <f>IFERROR(__xludf.DUMMYFUNCTION("""COMPUTED_VALUE"""),"ph-abr")</f>
        <v>ph-abr</v>
      </c>
      <c r="C3655" s="9" t="str">
        <f>IFERROR(__xludf.DUMMYFUNCTION("GOOGLETRANSLATE($A3655,""en"",""de"")"),"Abra")</f>
        <v>Abra</v>
      </c>
      <c r="D3655" s="9" t="str">
        <f>IFERROR(__xludf.DUMMYFUNCTION("GOOGLETRANSLATE($A3655,""en"",""fr"")"),"Abra")</f>
        <v>Abra</v>
      </c>
      <c r="E3655" s="9" t="str">
        <f>IFERROR(__xludf.DUMMYFUNCTION("GOOGLETRANSLATE($A3655,""en"",""es"")"),"abra")</f>
        <v>abra</v>
      </c>
      <c r="F3655" s="9" t="str">
        <f>IFERROR(__xludf.DUMMYFUNCTION("GOOGLETRANSLATE($A3655,""en"",""it"")"),"Abra")</f>
        <v>Abra</v>
      </c>
      <c r="G3655" s="9" t="str">
        <f>IFERROR(__xludf.DUMMYFUNCTION("GOOGLETRANSLATE($A3655,""en"",""zh-cn"")"),"阿布拉")</f>
        <v>阿布拉</v>
      </c>
      <c r="H3655" s="9" t="str">
        <f>IFERROR(__xludf.DUMMYFUNCTION("GOOGLETRANSLATE($A3655,""en"",""ja"")"),"アブラ")</f>
        <v>アブラ</v>
      </c>
      <c r="I3655" s="9" t="str">
        <f>IFERROR(__xludf.DUMMYFUNCTION("GOOGLETRANSLATE($A3655,""en"",""ko"")"),"아브라")</f>
        <v>아브라</v>
      </c>
      <c r="J3655" s="9" t="str">
        <f>IFERROR(__xludf.DUMMYFUNCTION("GOOGLETRANSLATE($A3655,""en"",""pt-BR"")"),"Abra")</f>
        <v>Abra</v>
      </c>
    </row>
    <row r="3656">
      <c r="A3656" s="9" t="str">
        <f>IFERROR(__xludf.DUMMYFUNCTION("""COMPUTED_VALUE"""),"Davao (Region XI)")</f>
        <v>Davao (Region XI)</v>
      </c>
      <c r="B3656" s="9" t="str">
        <f>IFERROR(__xludf.DUMMYFUNCTION("""COMPUTED_VALUE"""),"ph-11")</f>
        <v>ph-11</v>
      </c>
      <c r="C3656" s="9" t="str">
        <f>IFERROR(__xludf.DUMMYFUNCTION("GOOGLETRANSLATE($A3656,""en"",""de"")"),"Davao (Region XI)")</f>
        <v>Davao (Region XI)</v>
      </c>
      <c r="D3656" s="9" t="str">
        <f>IFERROR(__xludf.DUMMYFUNCTION("GOOGLETRANSLATE($A3656,""en"",""fr"")"),"Davao (Région XI)")</f>
        <v>Davao (Région XI)</v>
      </c>
      <c r="E3656" s="9" t="str">
        <f>IFERROR(__xludf.DUMMYFUNCTION("GOOGLETRANSLATE($A3656,""en"",""es"")"),"Dávao (Región XI)")</f>
        <v>Dávao (Región XI)</v>
      </c>
      <c r="F3656" s="9" t="str">
        <f>IFERROR(__xludf.DUMMYFUNCTION("GOOGLETRANSLATE($A3656,""en"",""it"")"),"Davao (Regione XI)")</f>
        <v>Davao (Regione XI)</v>
      </c>
      <c r="G3656" s="9" t="str">
        <f>IFERROR(__xludf.DUMMYFUNCTION("GOOGLETRANSLATE($A3656,""en"",""zh-cn"")"),"达沃（第十一区）")</f>
        <v>达沃（第十一区）</v>
      </c>
      <c r="H3656" s="9" t="str">
        <f>IFERROR(__xludf.DUMMYFUNCTION("GOOGLETRANSLATE($A3656,""en"",""ja"")"),"ダバオ (地域 XI)")</f>
        <v>ダバオ (地域 XI)</v>
      </c>
      <c r="I3656" s="9" t="str">
        <f>IFERROR(__xludf.DUMMYFUNCTION("GOOGLETRANSLATE($A3656,""en"",""ko"")"),"다바오(지역 XI)")</f>
        <v>다바오(지역 XI)</v>
      </c>
      <c r="J3656" s="9" t="str">
        <f>IFERROR(__xludf.DUMMYFUNCTION("GOOGLETRANSLATE($A3656,""en"",""pt-BR"")"),"Davao (Região XI)")</f>
        <v>Davao (Região XI)</v>
      </c>
    </row>
    <row r="3657">
      <c r="A3657" s="9" t="str">
        <f>IFERROR(__xludf.DUMMYFUNCTION("""COMPUTED_VALUE"""),"Misamis Oriental")</f>
        <v>Misamis Oriental</v>
      </c>
      <c r="B3657" s="9" t="str">
        <f>IFERROR(__xludf.DUMMYFUNCTION("""COMPUTED_VALUE"""),"ph-msr")</f>
        <v>ph-msr</v>
      </c>
      <c r="C3657" s="9" t="str">
        <f>IFERROR(__xludf.DUMMYFUNCTION("GOOGLETRANSLATE($A3657,""en"",""de"")"),"Misamis Oriental")</f>
        <v>Misamis Oriental</v>
      </c>
      <c r="D3657" s="9" t="str">
        <f>IFERROR(__xludf.DUMMYFUNCTION("GOOGLETRANSLATE($A3657,""en"",""fr"")"),"Misamis Oriental")</f>
        <v>Misamis Oriental</v>
      </c>
      <c r="E3657" s="9" t="str">
        <f>IFERROR(__xludf.DUMMYFUNCTION("GOOGLETRANSLATE($A3657,""en"",""es"")"),"Misamis Oriental")</f>
        <v>Misamis Oriental</v>
      </c>
      <c r="F3657" s="9" t="str">
        <f>IFERROR(__xludf.DUMMYFUNCTION("GOOGLETRANSLATE($A3657,""en"",""it"")"),"Misamis Orientale")</f>
        <v>Misamis Orientale</v>
      </c>
      <c r="G3657" s="9" t="str">
        <f>IFERROR(__xludf.DUMMYFUNCTION("GOOGLETRANSLATE($A3657,""en"",""zh-cn"")"),"东方米萨米斯")</f>
        <v>东方米萨米斯</v>
      </c>
      <c r="H3657" s="9" t="str">
        <f>IFERROR(__xludf.DUMMYFUNCTION("GOOGLETRANSLATE($A3657,""en"",""ja"")"),"ミサミス オリエンタル")</f>
        <v>ミサミス オリエンタル</v>
      </c>
      <c r="I3657" s="9" t="str">
        <f>IFERROR(__xludf.DUMMYFUNCTION("GOOGLETRANSLATE($A3657,""en"",""ko"")"),"미사미스 오리엔탈")</f>
        <v>미사미스 오리엔탈</v>
      </c>
      <c r="J3657" s="9" t="str">
        <f>IFERROR(__xludf.DUMMYFUNCTION("GOOGLETRANSLATE($A3657,""en"",""pt-BR"")"),"Misamis Oriental")</f>
        <v>Misamis Oriental</v>
      </c>
    </row>
    <row r="3658">
      <c r="A3658" s="9" t="str">
        <f>IFERROR(__xludf.DUMMYFUNCTION("""COMPUTED_VALUE"""),"Aklan")</f>
        <v>Aklan</v>
      </c>
      <c r="B3658" s="9" t="str">
        <f>IFERROR(__xludf.DUMMYFUNCTION("""COMPUTED_VALUE"""),"ph-akl")</f>
        <v>ph-akl</v>
      </c>
      <c r="C3658" s="9" t="str">
        <f>IFERROR(__xludf.DUMMYFUNCTION("GOOGLETRANSLATE($A3658,""en"",""de"")"),"Aklan")</f>
        <v>Aklan</v>
      </c>
      <c r="D3658" s="9" t="str">
        <f>IFERROR(__xludf.DUMMYFUNCTION("GOOGLETRANSLATE($A3658,""en"",""fr"")"),"Aklan")</f>
        <v>Aklan</v>
      </c>
      <c r="E3658" s="9" t="str">
        <f>IFERROR(__xludf.DUMMYFUNCTION("GOOGLETRANSLATE($A3658,""en"",""es"")"),"aklan")</f>
        <v>aklan</v>
      </c>
      <c r="F3658" s="9" t="str">
        <f>IFERROR(__xludf.DUMMYFUNCTION("GOOGLETRANSLATE($A3658,""en"",""it"")"),"Aklan")</f>
        <v>Aklan</v>
      </c>
      <c r="G3658" s="9" t="str">
        <f>IFERROR(__xludf.DUMMYFUNCTION("GOOGLETRANSLATE($A3658,""en"",""zh-cn"")"),"阿克兰")</f>
        <v>阿克兰</v>
      </c>
      <c r="H3658" s="9" t="str">
        <f>IFERROR(__xludf.DUMMYFUNCTION("GOOGLETRANSLATE($A3658,""en"",""ja"")"),"アクラン")</f>
        <v>アクラン</v>
      </c>
      <c r="I3658" s="9" t="str">
        <f>IFERROR(__xludf.DUMMYFUNCTION("GOOGLETRANSLATE($A3658,""en"",""ko"")"),"아클란")</f>
        <v>아클란</v>
      </c>
      <c r="J3658" s="9" t="str">
        <f>IFERROR(__xludf.DUMMYFUNCTION("GOOGLETRANSLATE($A3658,""en"",""pt-BR"")"),"Aklan")</f>
        <v>Aklan</v>
      </c>
    </row>
    <row r="3659">
      <c r="A3659" s="9" t="str">
        <f>IFERROR(__xludf.DUMMYFUNCTION("""COMPUTED_VALUE"""),"Quirino")</f>
        <v>Quirino</v>
      </c>
      <c r="B3659" s="9" t="str">
        <f>IFERROR(__xludf.DUMMYFUNCTION("""COMPUTED_VALUE"""),"ph-qui")</f>
        <v>ph-qui</v>
      </c>
      <c r="C3659" s="9" t="str">
        <f>IFERROR(__xludf.DUMMYFUNCTION("GOOGLETRANSLATE($A3659,""en"",""de"")"),"Quirino")</f>
        <v>Quirino</v>
      </c>
      <c r="D3659" s="9" t="str">
        <f>IFERROR(__xludf.DUMMYFUNCTION("GOOGLETRANSLATE($A3659,""en"",""fr"")"),"Quirino")</f>
        <v>Quirino</v>
      </c>
      <c r="E3659" s="9" t="str">
        <f>IFERROR(__xludf.DUMMYFUNCTION("GOOGLETRANSLATE($A3659,""en"",""es"")"),"Quirino")</f>
        <v>Quirino</v>
      </c>
      <c r="F3659" s="9" t="str">
        <f>IFERROR(__xludf.DUMMYFUNCTION("GOOGLETRANSLATE($A3659,""en"",""it"")"),"Quirino")</f>
        <v>Quirino</v>
      </c>
      <c r="G3659" s="9" t="str">
        <f>IFERROR(__xludf.DUMMYFUNCTION("GOOGLETRANSLATE($A3659,""en"",""zh-cn"")"),"基里诺")</f>
        <v>基里诺</v>
      </c>
      <c r="H3659" s="9" t="str">
        <f>IFERROR(__xludf.DUMMYFUNCTION("GOOGLETRANSLATE($A3659,""en"",""ja"")"),"キリノ")</f>
        <v>キリノ</v>
      </c>
      <c r="I3659" s="9" t="str">
        <f>IFERROR(__xludf.DUMMYFUNCTION("GOOGLETRANSLATE($A3659,""en"",""ko"")"),"퀴리노")</f>
        <v>퀴리노</v>
      </c>
      <c r="J3659" s="9" t="str">
        <f>IFERROR(__xludf.DUMMYFUNCTION("GOOGLETRANSLATE($A3659,""en"",""pt-BR"")"),"Quirino")</f>
        <v>Quirino</v>
      </c>
    </row>
    <row r="3660">
      <c r="A3660" s="9" t="str">
        <f>IFERROR(__xludf.DUMMYFUNCTION("""COMPUTED_VALUE"""),"Quezon")</f>
        <v>Quezon</v>
      </c>
      <c r="B3660" s="9" t="str">
        <f>IFERROR(__xludf.DUMMYFUNCTION("""COMPUTED_VALUE"""),"ph-que")</f>
        <v>ph-que</v>
      </c>
      <c r="C3660" s="9" t="str">
        <f>IFERROR(__xludf.DUMMYFUNCTION("GOOGLETRANSLATE($A3660,""en"",""de"")"),"Quezon")</f>
        <v>Quezon</v>
      </c>
      <c r="D3660" s="9" t="str">
        <f>IFERROR(__xludf.DUMMYFUNCTION("GOOGLETRANSLATE($A3660,""en"",""fr"")"),"Quezón")</f>
        <v>Quezón</v>
      </c>
      <c r="E3660" s="9" t="str">
        <f>IFERROR(__xludf.DUMMYFUNCTION("GOOGLETRANSLATE($A3660,""en"",""es"")"),"Quezón")</f>
        <v>Quezón</v>
      </c>
      <c r="F3660" s="9" t="str">
        <f>IFERROR(__xludf.DUMMYFUNCTION("GOOGLETRANSLATE($A3660,""en"",""it"")"),"Quezon")</f>
        <v>Quezon</v>
      </c>
      <c r="G3660" s="9" t="str">
        <f>IFERROR(__xludf.DUMMYFUNCTION("GOOGLETRANSLATE($A3660,""en"",""zh-cn"")"),"奎松")</f>
        <v>奎松</v>
      </c>
      <c r="H3660" s="9" t="str">
        <f>IFERROR(__xludf.DUMMYFUNCTION("GOOGLETRANSLATE($A3660,""en"",""ja"")"),"ケソン")</f>
        <v>ケソン</v>
      </c>
      <c r="I3660" s="9" t="str">
        <f>IFERROR(__xludf.DUMMYFUNCTION("GOOGLETRANSLATE($A3660,""en"",""ko"")"),"케손")</f>
        <v>케손</v>
      </c>
      <c r="J3660" s="9" t="str">
        <f>IFERROR(__xludf.DUMMYFUNCTION("GOOGLETRANSLATE($A3660,""en"",""pt-BR"")"),"Quezon")</f>
        <v>Quezon</v>
      </c>
    </row>
    <row r="3661">
      <c r="A3661" s="9" t="str">
        <f>IFERROR(__xludf.DUMMYFUNCTION("""COMPUTED_VALUE"""),"Laguna")</f>
        <v>Laguna</v>
      </c>
      <c r="B3661" s="9" t="str">
        <f>IFERROR(__xludf.DUMMYFUNCTION("""COMPUTED_VALUE"""),"ph-lag")</f>
        <v>ph-lag</v>
      </c>
      <c r="C3661" s="9" t="str">
        <f>IFERROR(__xludf.DUMMYFUNCTION("GOOGLETRANSLATE($A3661,""en"",""de"")"),"Laguna")</f>
        <v>Laguna</v>
      </c>
      <c r="D3661" s="9" t="str">
        <f>IFERROR(__xludf.DUMMYFUNCTION("GOOGLETRANSLATE($A3661,""en"",""fr"")"),"Lagune")</f>
        <v>Lagune</v>
      </c>
      <c r="E3661" s="9" t="str">
        <f>IFERROR(__xludf.DUMMYFUNCTION("GOOGLETRANSLATE($A3661,""en"",""es"")"),"laguna")</f>
        <v>laguna</v>
      </c>
      <c r="F3661" s="9" t="str">
        <f>IFERROR(__xludf.DUMMYFUNCTION("GOOGLETRANSLATE($A3661,""en"",""it"")"),"Laguna")</f>
        <v>Laguna</v>
      </c>
      <c r="G3661" s="9" t="str">
        <f>IFERROR(__xludf.DUMMYFUNCTION("GOOGLETRANSLATE($A3661,""en"",""zh-cn"")"),"拉古纳")</f>
        <v>拉古纳</v>
      </c>
      <c r="H3661" s="9" t="str">
        <f>IFERROR(__xludf.DUMMYFUNCTION("GOOGLETRANSLATE($A3661,""en"",""ja"")"),"ラグナ")</f>
        <v>ラグナ</v>
      </c>
      <c r="I3661" s="9" t="str">
        <f>IFERROR(__xludf.DUMMYFUNCTION("GOOGLETRANSLATE($A3661,""en"",""ko"")"),"라구나")</f>
        <v>라구나</v>
      </c>
      <c r="J3661" s="9" t="str">
        <f>IFERROR(__xludf.DUMMYFUNCTION("GOOGLETRANSLATE($A3661,""en"",""pt-BR"")"),"Lagoa")</f>
        <v>Lagoa</v>
      </c>
    </row>
    <row r="3662">
      <c r="A3662" s="9" t="str">
        <f>IFERROR(__xludf.DUMMYFUNCTION("""COMPUTED_VALUE"""),"Northern Samar")</f>
        <v>Northern Samar</v>
      </c>
      <c r="B3662" s="9" t="str">
        <f>IFERROR(__xludf.DUMMYFUNCTION("""COMPUTED_VALUE"""),"ph-nsa")</f>
        <v>ph-nsa</v>
      </c>
      <c r="C3662" s="9" t="str">
        <f>IFERROR(__xludf.DUMMYFUNCTION("GOOGLETRANSLATE($A3662,""en"",""de"")"),"Nördliches Samar")</f>
        <v>Nördliches Samar</v>
      </c>
      <c r="D3662" s="9" t="str">
        <f>IFERROR(__xludf.DUMMYFUNCTION("GOOGLETRANSLATE($A3662,""en"",""fr"")"),"Samar du Nord")</f>
        <v>Samar du Nord</v>
      </c>
      <c r="E3662" s="9" t="str">
        <f>IFERROR(__xludf.DUMMYFUNCTION("GOOGLETRANSLATE($A3662,""en"",""es"")"),"Sámar del Norte")</f>
        <v>Sámar del Norte</v>
      </c>
      <c r="F3662" s="9" t="str">
        <f>IFERROR(__xludf.DUMMYFUNCTION("GOOGLETRANSLATE($A3662,""en"",""it"")"),"Samar settentrionale")</f>
        <v>Samar settentrionale</v>
      </c>
      <c r="G3662" s="9" t="str">
        <f>IFERROR(__xludf.DUMMYFUNCTION("GOOGLETRANSLATE($A3662,""en"",""zh-cn"")"),"北萨马岛")</f>
        <v>北萨马岛</v>
      </c>
      <c r="H3662" s="9" t="str">
        <f>IFERROR(__xludf.DUMMYFUNCTION("GOOGLETRANSLATE($A3662,""en"",""ja"")"),"北サマル州")</f>
        <v>北サマル州</v>
      </c>
      <c r="I3662" s="9" t="str">
        <f>IFERROR(__xludf.DUMMYFUNCTION("GOOGLETRANSLATE($A3662,""en"",""ko"")"),"노던 사마르")</f>
        <v>노던 사마르</v>
      </c>
      <c r="J3662" s="9" t="str">
        <f>IFERROR(__xludf.DUMMYFUNCTION("GOOGLETRANSLATE($A3662,""en"",""pt-BR"")"),"Samar do Norte")</f>
        <v>Samar do Norte</v>
      </c>
    </row>
    <row r="3663">
      <c r="A3663" s="9" t="str">
        <f>IFERROR(__xludf.DUMMYFUNCTION("""COMPUTED_VALUE"""),"Dinagat Islands")</f>
        <v>Dinagat Islands</v>
      </c>
      <c r="B3663" s="9" t="str">
        <f>IFERROR(__xludf.DUMMYFUNCTION("""COMPUTED_VALUE"""),"ph-din")</f>
        <v>ph-din</v>
      </c>
      <c r="C3663" s="9" t="str">
        <f>IFERROR(__xludf.DUMMYFUNCTION("GOOGLETRANSLATE($A3663,""en"",""de"")"),"Dinagat-Inseln")</f>
        <v>Dinagat-Inseln</v>
      </c>
      <c r="D3663" s="9" t="str">
        <f>IFERROR(__xludf.DUMMYFUNCTION("GOOGLETRANSLATE($A3663,""en"",""fr"")"),"Îles Dinagat")</f>
        <v>Îles Dinagat</v>
      </c>
      <c r="E3663" s="9" t="str">
        <f>IFERROR(__xludf.DUMMYFUNCTION("GOOGLETRANSLATE($A3663,""en"",""es"")"),"Islas Dinagat")</f>
        <v>Islas Dinagat</v>
      </c>
      <c r="F3663" s="9" t="str">
        <f>IFERROR(__xludf.DUMMYFUNCTION("GOOGLETRANSLATE($A3663,""en"",""it"")"),"Isole Dinagat")</f>
        <v>Isole Dinagat</v>
      </c>
      <c r="G3663" s="9" t="str">
        <f>IFERROR(__xludf.DUMMYFUNCTION("GOOGLETRANSLATE($A3663,""en"",""zh-cn"")"),"迪纳加特群岛")</f>
        <v>迪纳加特群岛</v>
      </c>
      <c r="H3663" s="9" t="str">
        <f>IFERROR(__xludf.DUMMYFUNCTION("GOOGLETRANSLATE($A3663,""en"",""ja"")"),"ディナガット諸島")</f>
        <v>ディナガット諸島</v>
      </c>
      <c r="I3663" s="9" t="str">
        <f>IFERROR(__xludf.DUMMYFUNCTION("GOOGLETRANSLATE($A3663,""en"",""ko"")"),"디나가트 제도")</f>
        <v>디나가트 제도</v>
      </c>
      <c r="J3663" s="9" t="str">
        <f>IFERROR(__xludf.DUMMYFUNCTION("GOOGLETRANSLATE($A3663,""en"",""pt-BR"")"),"Ilhas Dinagat")</f>
        <v>Ilhas Dinagat</v>
      </c>
    </row>
    <row r="3664">
      <c r="A3664" s="9" t="str">
        <f>IFERROR(__xludf.DUMMYFUNCTION("""COMPUTED_VALUE"""),"Central Visayas (Region VII)")</f>
        <v>Central Visayas (Region VII)</v>
      </c>
      <c r="B3664" s="9" t="str">
        <f>IFERROR(__xludf.DUMMYFUNCTION("""COMPUTED_VALUE"""),"ph-07")</f>
        <v>ph-07</v>
      </c>
      <c r="C3664" s="9" t="str">
        <f>IFERROR(__xludf.DUMMYFUNCTION("GOOGLETRANSLATE($A3664,""en"",""de"")"),"Zentralvisayas (Region VII)")</f>
        <v>Zentralvisayas (Region VII)</v>
      </c>
      <c r="D3664" s="9" t="str">
        <f>IFERROR(__xludf.DUMMYFUNCTION("GOOGLETRANSLATE($A3664,""en"",""fr"")"),"Visayas centrales (Région VII)")</f>
        <v>Visayas centrales (Région VII)</v>
      </c>
      <c r="E3664" s="9" t="str">
        <f>IFERROR(__xludf.DUMMYFUNCTION("GOOGLETRANSLATE($A3664,""en"",""es"")"),"Bisayas centrales (Región VII)")</f>
        <v>Bisayas centrales (Región VII)</v>
      </c>
      <c r="F3664" s="9" t="str">
        <f>IFERROR(__xludf.DUMMYFUNCTION("GOOGLETRANSLATE($A3664,""en"",""it"")"),"Visayas Centrale (Regione VII)")</f>
        <v>Visayas Centrale (Regione VII)</v>
      </c>
      <c r="G3664" s="9" t="str">
        <f>IFERROR(__xludf.DUMMYFUNCTION("GOOGLETRANSLATE($A3664,""en"",""zh-cn"")"),"中米沙鄢（第七区）")</f>
        <v>中米沙鄢（第七区）</v>
      </c>
      <c r="H3664" s="9" t="str">
        <f>IFERROR(__xludf.DUMMYFUNCTION("GOOGLETRANSLATE($A3664,""en"",""ja"")"),"中央ビサヤ (地域 VII)")</f>
        <v>中央ビサヤ (地域 VII)</v>
      </c>
      <c r="I3664" s="9" t="str">
        <f>IFERROR(__xludf.DUMMYFUNCTION("GOOGLETRANSLATE($A3664,""en"",""ko"")"),"중부 비사야(지역 VII)")</f>
        <v>중부 비사야(지역 VII)</v>
      </c>
      <c r="J3664" s="9" t="str">
        <f>IFERROR(__xludf.DUMMYFUNCTION("GOOGLETRANSLATE($A3664,""en"",""pt-BR"")"),"Visayas Centrais (Região VII)")</f>
        <v>Visayas Centrais (Região VII)</v>
      </c>
    </row>
    <row r="3665">
      <c r="A3665" s="9" t="str">
        <f>IFERROR(__xludf.DUMMYFUNCTION("""COMPUTED_VALUE"""),"Guimaras")</f>
        <v>Guimaras</v>
      </c>
      <c r="B3665" s="9" t="str">
        <f>IFERROR(__xludf.DUMMYFUNCTION("""COMPUTED_VALUE"""),"ph-gui")</f>
        <v>ph-gui</v>
      </c>
      <c r="C3665" s="9" t="str">
        <f>IFERROR(__xludf.DUMMYFUNCTION("GOOGLETRANSLATE($A3665,""en"",""de"")"),"Guimaras")</f>
        <v>Guimaras</v>
      </c>
      <c r="D3665" s="9" t="str">
        <f>IFERROR(__xludf.DUMMYFUNCTION("GOOGLETRANSLATE($A3665,""en"",""fr"")"),"Guimaras")</f>
        <v>Guimaras</v>
      </c>
      <c r="E3665" s="9" t="str">
        <f>IFERROR(__xludf.DUMMYFUNCTION("GOOGLETRANSLATE($A3665,""en"",""es"")"),"Guimarás")</f>
        <v>Guimarás</v>
      </c>
      <c r="F3665" s="9" t="str">
        <f>IFERROR(__xludf.DUMMYFUNCTION("GOOGLETRANSLATE($A3665,""en"",""it"")"),"Guimaras")</f>
        <v>Guimaras</v>
      </c>
      <c r="G3665" s="9" t="str">
        <f>IFERROR(__xludf.DUMMYFUNCTION("GOOGLETRANSLATE($A3665,""en"",""zh-cn"")"),"吉马拉斯")</f>
        <v>吉马拉斯</v>
      </c>
      <c r="H3665" s="9" t="str">
        <f>IFERROR(__xludf.DUMMYFUNCTION("GOOGLETRANSLATE($A3665,""en"",""ja"")"),"ギマラス")</f>
        <v>ギマラス</v>
      </c>
      <c r="I3665" s="9" t="str">
        <f>IFERROR(__xludf.DUMMYFUNCTION("GOOGLETRANSLATE($A3665,""en"",""ko"")"),"기마라스")</f>
        <v>기마라스</v>
      </c>
      <c r="J3665" s="9" t="str">
        <f>IFERROR(__xludf.DUMMYFUNCTION("GOOGLETRANSLATE($A3665,""en"",""pt-BR"")"),"Guimarães")</f>
        <v>Guimarães</v>
      </c>
    </row>
    <row r="3666">
      <c r="A3666" s="9" t="str">
        <f>IFERROR(__xludf.DUMMYFUNCTION("""COMPUTED_VALUE"""),"Negros Oriental")</f>
        <v>Negros Oriental</v>
      </c>
      <c r="B3666" s="9" t="str">
        <f>IFERROR(__xludf.DUMMYFUNCTION("""COMPUTED_VALUE"""),"ph-ner")</f>
        <v>ph-ner</v>
      </c>
      <c r="C3666" s="9" t="str">
        <f>IFERROR(__xludf.DUMMYFUNCTION("GOOGLETRANSLATE($A3666,""en"",""de"")"),"Negros Oriental")</f>
        <v>Negros Oriental</v>
      </c>
      <c r="D3666" s="9" t="str">
        <f>IFERROR(__xludf.DUMMYFUNCTION("GOOGLETRANSLATE($A3666,""en"",""fr"")"),"Nègres orientaux")</f>
        <v>Nègres orientaux</v>
      </c>
      <c r="E3666" s="9" t="str">
        <f>IFERROR(__xludf.DUMMYFUNCTION("GOOGLETRANSLATE($A3666,""en"",""es"")"),"Negros Orientales")</f>
        <v>Negros Orientales</v>
      </c>
      <c r="F3666" s="9" t="str">
        <f>IFERROR(__xludf.DUMMYFUNCTION("GOOGLETRANSLATE($A3666,""en"",""it"")"),"Negros Orientale")</f>
        <v>Negros Orientale</v>
      </c>
      <c r="G3666" s="9" t="str">
        <f>IFERROR(__xludf.DUMMYFUNCTION("GOOGLETRANSLATE($A3666,""en"",""zh-cn"")"),"东方内格罗斯")</f>
        <v>东方内格罗斯</v>
      </c>
      <c r="H3666" s="9" t="str">
        <f>IFERROR(__xludf.DUMMYFUNCTION("GOOGLETRANSLATE($A3666,""en"",""ja"")"),"東ネグロス州")</f>
        <v>東ネグロス州</v>
      </c>
      <c r="I3666" s="9" t="str">
        <f>IFERROR(__xludf.DUMMYFUNCTION("GOOGLETRANSLATE($A3666,""en"",""ko"")"),"네그로스 오리엔탈")</f>
        <v>네그로스 오리엔탈</v>
      </c>
      <c r="J3666" s="9" t="str">
        <f>IFERROR(__xludf.DUMMYFUNCTION("GOOGLETRANSLATE($A3666,""en"",""pt-BR"")"),"Negros Orientais")</f>
        <v>Negros Orientais</v>
      </c>
    </row>
    <row r="3667">
      <c r="A3667" s="9" t="str">
        <f>IFERROR(__xludf.DUMMYFUNCTION("""COMPUTED_VALUE"""),"La Union (PH)")</f>
        <v>La Union (PH)</v>
      </c>
      <c r="B3667" s="9" t="str">
        <f>IFERROR(__xludf.DUMMYFUNCTION("""COMPUTED_VALUE"""),"ph-lun")</f>
        <v>ph-lun</v>
      </c>
      <c r="C3667" s="9" t="str">
        <f>IFERROR(__xludf.DUMMYFUNCTION("GOOGLETRANSLATE($A3667,""en"",""de"")"),"La Union (PH)")</f>
        <v>La Union (PH)</v>
      </c>
      <c r="D3667" s="9" t="str">
        <f>IFERROR(__xludf.DUMMYFUNCTION("GOOGLETRANSLATE($A3667,""en"",""fr"")"),"La Union (PH)")</f>
        <v>La Union (PH)</v>
      </c>
      <c r="E3667" s="9" t="str">
        <f>IFERROR(__xludf.DUMMYFUNCTION("GOOGLETRANSLATE($A3667,""en"",""es"")"),"La Unión (PH)")</f>
        <v>La Unión (PH)</v>
      </c>
      <c r="F3667" s="9" t="str">
        <f>IFERROR(__xludf.DUMMYFUNCTION("GOOGLETRANSLATE($A3667,""en"",""it"")"),"La Union (PH)")</f>
        <v>La Union (PH)</v>
      </c>
      <c r="G3667" s="9" t="str">
        <f>IFERROR(__xludf.DUMMYFUNCTION("GOOGLETRANSLATE($A3667,""en"",""zh-cn"")"),"拉乌尼翁 (PH)")</f>
        <v>拉乌尼翁 (PH)</v>
      </c>
      <c r="H3667" s="9" t="str">
        <f>IFERROR(__xludf.DUMMYFUNCTION("GOOGLETRANSLATE($A3667,""en"",""ja"")"),"ラウニオン（PH）")</f>
        <v>ラウニオン（PH）</v>
      </c>
      <c r="I3667" s="9" t="str">
        <f>IFERROR(__xludf.DUMMYFUNCTION("GOOGLETRANSLATE($A3667,""en"",""ko"")"),"라 유니온(PH)")</f>
        <v>라 유니온(PH)</v>
      </c>
      <c r="J3667" s="9" t="str">
        <f>IFERROR(__xludf.DUMMYFUNCTION("GOOGLETRANSLATE($A3667,""en"",""pt-BR"")"),"La União (PH)")</f>
        <v>La União (PH)</v>
      </c>
    </row>
    <row r="3668">
      <c r="A3668" s="9" t="str">
        <f>IFERROR(__xludf.DUMMYFUNCTION("""COMPUTED_VALUE"""),"Zamboanga Sibugay")</f>
        <v>Zamboanga Sibugay</v>
      </c>
      <c r="B3668" s="9" t="str">
        <f>IFERROR(__xludf.DUMMYFUNCTION("""COMPUTED_VALUE"""),"ph-zsi")</f>
        <v>ph-zsi</v>
      </c>
      <c r="C3668" s="9" t="str">
        <f>IFERROR(__xludf.DUMMYFUNCTION("GOOGLETRANSLATE($A3668,""en"",""de"")"),"Zamboanga Sibugay")</f>
        <v>Zamboanga Sibugay</v>
      </c>
      <c r="D3668" s="9" t="str">
        <f>IFERROR(__xludf.DUMMYFUNCTION("GOOGLETRANSLATE($A3668,""en"",""fr"")"),"Zamboanga Sibugay")</f>
        <v>Zamboanga Sibugay</v>
      </c>
      <c r="E3668" s="9" t="str">
        <f>IFERROR(__xludf.DUMMYFUNCTION("GOOGLETRANSLATE($A3668,""en"",""es"")"),"Zamboanga Sibugay")</f>
        <v>Zamboanga Sibugay</v>
      </c>
      <c r="F3668" s="9" t="str">
        <f>IFERROR(__xludf.DUMMYFUNCTION("GOOGLETRANSLATE($A3668,""en"",""it"")"),"Zamboanga Sibugay")</f>
        <v>Zamboanga Sibugay</v>
      </c>
      <c r="G3668" s="9" t="str">
        <f>IFERROR(__xludf.DUMMYFUNCTION("GOOGLETRANSLATE($A3668,""en"",""zh-cn"")"),"三宝颜锡布盖")</f>
        <v>三宝颜锡布盖</v>
      </c>
      <c r="H3668" s="9" t="str">
        <f>IFERROR(__xludf.DUMMYFUNCTION("GOOGLETRANSLATE($A3668,""en"",""ja"")"),"サンボアンガ シブガイ")</f>
        <v>サンボアンガ シブガイ</v>
      </c>
      <c r="I3668" s="9" t="str">
        <f>IFERROR(__xludf.DUMMYFUNCTION("GOOGLETRANSLATE($A3668,""en"",""ko"")"),"잠보앙가 시부가이")</f>
        <v>잠보앙가 시부가이</v>
      </c>
      <c r="J3668" s="9" t="str">
        <f>IFERROR(__xludf.DUMMYFUNCTION("GOOGLETRANSLATE($A3668,""en"",""pt-BR"")"),"Zamboanga Sibugay")</f>
        <v>Zamboanga Sibugay</v>
      </c>
    </row>
    <row r="3669">
      <c r="A3669" s="9" t="str">
        <f>IFERROR(__xludf.DUMMYFUNCTION("""COMPUTED_VALUE"""),"Palawan")</f>
        <v>Palawan</v>
      </c>
      <c r="B3669" s="9" t="str">
        <f>IFERROR(__xludf.DUMMYFUNCTION("""COMPUTED_VALUE"""),"ph-plw")</f>
        <v>ph-plw</v>
      </c>
      <c r="C3669" s="9" t="str">
        <f>IFERROR(__xludf.DUMMYFUNCTION("GOOGLETRANSLATE($A3669,""en"",""de"")"),"Palawan")</f>
        <v>Palawan</v>
      </c>
      <c r="D3669" s="9" t="str">
        <f>IFERROR(__xludf.DUMMYFUNCTION("GOOGLETRANSLATE($A3669,""en"",""fr"")"),"Palawan")</f>
        <v>Palawan</v>
      </c>
      <c r="E3669" s="9" t="str">
        <f>IFERROR(__xludf.DUMMYFUNCTION("GOOGLETRANSLATE($A3669,""en"",""es"")"),"Palawan")</f>
        <v>Palawan</v>
      </c>
      <c r="F3669" s="9" t="str">
        <f>IFERROR(__xludf.DUMMYFUNCTION("GOOGLETRANSLATE($A3669,""en"",""it"")"),"Palawan")</f>
        <v>Palawan</v>
      </c>
      <c r="G3669" s="9" t="str">
        <f>IFERROR(__xludf.DUMMYFUNCTION("GOOGLETRANSLATE($A3669,""en"",""zh-cn"")"),"巴拉望岛")</f>
        <v>巴拉望岛</v>
      </c>
      <c r="H3669" s="9" t="str">
        <f>IFERROR(__xludf.DUMMYFUNCTION("GOOGLETRANSLATE($A3669,""en"",""ja"")"),"パラワン島")</f>
        <v>パラワン島</v>
      </c>
      <c r="I3669" s="9" t="str">
        <f>IFERROR(__xludf.DUMMYFUNCTION("GOOGLETRANSLATE($A3669,""en"",""ko"")"),"팔라완")</f>
        <v>팔라완</v>
      </c>
      <c r="J3669" s="9" t="str">
        <f>IFERROR(__xludf.DUMMYFUNCTION("GOOGLETRANSLATE($A3669,""en"",""pt-BR"")"),"Palawan")</f>
        <v>Palawan</v>
      </c>
    </row>
    <row r="3670">
      <c r="A3670" s="9" t="str">
        <f>IFERROR(__xludf.DUMMYFUNCTION("""COMPUTED_VALUE"""),"Leyte")</f>
        <v>Leyte</v>
      </c>
      <c r="B3670" s="9" t="str">
        <f>IFERROR(__xludf.DUMMYFUNCTION("""COMPUTED_VALUE"""),"ph-ley")</f>
        <v>ph-ley</v>
      </c>
      <c r="C3670" s="9" t="str">
        <f>IFERROR(__xludf.DUMMYFUNCTION("GOOGLETRANSLATE($A3670,""en"",""de"")"),"Leyte")</f>
        <v>Leyte</v>
      </c>
      <c r="D3670" s="9" t="str">
        <f>IFERROR(__xludf.DUMMYFUNCTION("GOOGLETRANSLATE($A3670,""en"",""fr"")"),"Leyte")</f>
        <v>Leyte</v>
      </c>
      <c r="E3670" s="9" t="str">
        <f>IFERROR(__xludf.DUMMYFUNCTION("GOOGLETRANSLATE($A3670,""en"",""es"")"),"Leyte")</f>
        <v>Leyte</v>
      </c>
      <c r="F3670" s="9" t="str">
        <f>IFERROR(__xludf.DUMMYFUNCTION("GOOGLETRANSLATE($A3670,""en"",""it"")"),"Leyte")</f>
        <v>Leyte</v>
      </c>
      <c r="G3670" s="9" t="str">
        <f>IFERROR(__xludf.DUMMYFUNCTION("GOOGLETRANSLATE($A3670,""en"",""zh-cn"")"),"莱特岛")</f>
        <v>莱特岛</v>
      </c>
      <c r="H3670" s="9" t="str">
        <f>IFERROR(__xludf.DUMMYFUNCTION("GOOGLETRANSLATE($A3670,""en"",""ja"")"),"レイテ島")</f>
        <v>レイテ島</v>
      </c>
      <c r="I3670" s="9" t="str">
        <f>IFERROR(__xludf.DUMMYFUNCTION("GOOGLETRANSLATE($A3670,""en"",""ko"")"),"레이테")</f>
        <v>레이테</v>
      </c>
      <c r="J3670" s="9" t="str">
        <f>IFERROR(__xludf.DUMMYFUNCTION("GOOGLETRANSLATE($A3670,""en"",""pt-BR"")"),"Leite")</f>
        <v>Leite</v>
      </c>
    </row>
    <row r="3671">
      <c r="A3671" s="9" t="str">
        <f>IFERROR(__xludf.DUMMYFUNCTION("""COMPUTED_VALUE"""),"Benguet")</f>
        <v>Benguet</v>
      </c>
      <c r="B3671" s="9" t="str">
        <f>IFERROR(__xludf.DUMMYFUNCTION("""COMPUTED_VALUE"""),"ph-ben")</f>
        <v>ph-ben</v>
      </c>
      <c r="C3671" s="9" t="str">
        <f>IFERROR(__xludf.DUMMYFUNCTION("GOOGLETRANSLATE($A3671,""en"",""de"")"),"Benguet")</f>
        <v>Benguet</v>
      </c>
      <c r="D3671" s="9" t="str">
        <f>IFERROR(__xludf.DUMMYFUNCTION("GOOGLETRANSLATE($A3671,""en"",""fr"")"),"Benguet")</f>
        <v>Benguet</v>
      </c>
      <c r="E3671" s="9" t="str">
        <f>IFERROR(__xludf.DUMMYFUNCTION("GOOGLETRANSLATE($A3671,""en"",""es"")"),"benguet")</f>
        <v>benguet</v>
      </c>
      <c r="F3671" s="9" t="str">
        <f>IFERROR(__xludf.DUMMYFUNCTION("GOOGLETRANSLATE($A3671,""en"",""it"")"),"Benguet")</f>
        <v>Benguet</v>
      </c>
      <c r="G3671" s="9" t="str">
        <f>IFERROR(__xludf.DUMMYFUNCTION("GOOGLETRANSLATE($A3671,""en"",""zh-cn"")"),"本格特")</f>
        <v>本格特</v>
      </c>
      <c r="H3671" s="9" t="str">
        <f>IFERROR(__xludf.DUMMYFUNCTION("GOOGLETRANSLATE($A3671,""en"",""ja"")"),"ベンゲット")</f>
        <v>ベンゲット</v>
      </c>
      <c r="I3671" s="9" t="str">
        <f>IFERROR(__xludf.DUMMYFUNCTION("GOOGLETRANSLATE($A3671,""en"",""ko"")"),"벵게트")</f>
        <v>벵게트</v>
      </c>
      <c r="J3671" s="9" t="str">
        <f>IFERROR(__xludf.DUMMYFUNCTION("GOOGLETRANSLATE($A3671,""en"",""pt-BR"")"),"Benguet")</f>
        <v>Benguet</v>
      </c>
    </row>
    <row r="3672">
      <c r="A3672" s="9" t="str">
        <f>IFERROR(__xludf.DUMMYFUNCTION("""COMPUTED_VALUE"""),"Catanduanes")</f>
        <v>Catanduanes</v>
      </c>
      <c r="B3672" s="9" t="str">
        <f>IFERROR(__xludf.DUMMYFUNCTION("""COMPUTED_VALUE"""),"ph-cat")</f>
        <v>ph-cat</v>
      </c>
      <c r="C3672" s="9" t="str">
        <f>IFERROR(__xludf.DUMMYFUNCTION("GOOGLETRANSLATE($A3672,""en"",""de"")"),"Catanduane")</f>
        <v>Catanduane</v>
      </c>
      <c r="D3672" s="9" t="str">
        <f>IFERROR(__xludf.DUMMYFUNCTION("GOOGLETRANSLATE($A3672,""en"",""fr"")"),"Catanduanes")</f>
        <v>Catanduanes</v>
      </c>
      <c r="E3672" s="9" t="str">
        <f>IFERROR(__xludf.DUMMYFUNCTION("GOOGLETRANSLATE($A3672,""en"",""es"")"),"Catanduanes")</f>
        <v>Catanduanes</v>
      </c>
      <c r="F3672" s="9" t="str">
        <f>IFERROR(__xludf.DUMMYFUNCTION("GOOGLETRANSLATE($A3672,""en"",""it"")"),"Catanduani")</f>
        <v>Catanduani</v>
      </c>
      <c r="G3672" s="9" t="str">
        <f>IFERROR(__xludf.DUMMYFUNCTION("GOOGLETRANSLATE($A3672,""en"",""zh-cn"")"),"卡坦杜内斯")</f>
        <v>卡坦杜内斯</v>
      </c>
      <c r="H3672" s="9" t="str">
        <f>IFERROR(__xludf.DUMMYFUNCTION("GOOGLETRANSLATE($A3672,""en"",""ja"")"),"カタンドゥアネス")</f>
        <v>カタンドゥアネス</v>
      </c>
      <c r="I3672" s="9" t="str">
        <f>IFERROR(__xludf.DUMMYFUNCTION("GOOGLETRANSLATE($A3672,""en"",""ko"")"),"카탄두아네스")</f>
        <v>카탄두아네스</v>
      </c>
      <c r="J3672" s="9" t="str">
        <f>IFERROR(__xludf.DUMMYFUNCTION("GOOGLETRANSLATE($A3672,""en"",""pt-BR"")"),"Catanduanes")</f>
        <v>Catanduanes</v>
      </c>
    </row>
    <row r="3673">
      <c r="A3673" s="9" t="str">
        <f>IFERROR(__xludf.DUMMYFUNCTION("""COMPUTED_VALUE"""),"Nueva Ecija")</f>
        <v>Nueva Ecija</v>
      </c>
      <c r="B3673" s="9" t="str">
        <f>IFERROR(__xludf.DUMMYFUNCTION("""COMPUTED_VALUE"""),"ph-nue")</f>
        <v>ph-nue</v>
      </c>
      <c r="C3673" s="9" t="str">
        <f>IFERROR(__xludf.DUMMYFUNCTION("GOOGLETRANSLATE($A3673,""en"",""de"")"),"Nueva Ecija")</f>
        <v>Nueva Ecija</v>
      </c>
      <c r="D3673" s="9" t="str">
        <f>IFERROR(__xludf.DUMMYFUNCTION("GOOGLETRANSLATE($A3673,""en"",""fr"")"),"Nouvelle Écija")</f>
        <v>Nouvelle Écija</v>
      </c>
      <c r="E3673" s="9" t="str">
        <f>IFERROR(__xludf.DUMMYFUNCTION("GOOGLETRANSLATE($A3673,""en"",""es"")"),"Nueva Écija")</f>
        <v>Nueva Écija</v>
      </c>
      <c r="F3673" s="9" t="str">
        <f>IFERROR(__xludf.DUMMYFUNCTION("GOOGLETRANSLATE($A3673,""en"",""it"")"),"Nuova Ecija")</f>
        <v>Nuova Ecija</v>
      </c>
      <c r="G3673" s="9" t="str">
        <f>IFERROR(__xludf.DUMMYFUNCTION("GOOGLETRANSLATE($A3673,""en"",""zh-cn"")"),"新怡西夏岛")</f>
        <v>新怡西夏岛</v>
      </c>
      <c r="H3673" s="9" t="str">
        <f>IFERROR(__xludf.DUMMYFUNCTION("GOOGLETRANSLATE($A3673,""en"",""ja"")"),"ヌエバ・エシハ")</f>
        <v>ヌエバ・エシハ</v>
      </c>
      <c r="I3673" s="9" t="str">
        <f>IFERROR(__xludf.DUMMYFUNCTION("GOOGLETRANSLATE($A3673,""en"",""ko"")"),"누에바에시하")</f>
        <v>누에바에시하</v>
      </c>
      <c r="J3673" s="9" t="str">
        <f>IFERROR(__xludf.DUMMYFUNCTION("GOOGLETRANSLATE($A3673,""en"",""pt-BR"")"),"Nova Écija")</f>
        <v>Nova Écija</v>
      </c>
    </row>
    <row r="3674">
      <c r="A3674" s="9" t="str">
        <f>IFERROR(__xludf.DUMMYFUNCTION("""COMPUTED_VALUE"""),"South Cotabato")</f>
        <v>South Cotabato</v>
      </c>
      <c r="B3674" s="9" t="str">
        <f>IFERROR(__xludf.DUMMYFUNCTION("""COMPUTED_VALUE"""),"ph-sco")</f>
        <v>ph-sco</v>
      </c>
      <c r="C3674" s="9" t="str">
        <f>IFERROR(__xludf.DUMMYFUNCTION("GOOGLETRANSLATE($A3674,""en"",""de"")"),"Süd-Cotabato")</f>
        <v>Süd-Cotabato</v>
      </c>
      <c r="D3674" s="9" t="str">
        <f>IFERROR(__xludf.DUMMYFUNCTION("GOOGLETRANSLATE($A3674,""en"",""fr"")"),"Cotabato Sud")</f>
        <v>Cotabato Sud</v>
      </c>
      <c r="E3674" s="9" t="str">
        <f>IFERROR(__xludf.DUMMYFUNCTION("GOOGLETRANSLATE($A3674,""en"",""es"")"),"Cotabato Sur")</f>
        <v>Cotabato Sur</v>
      </c>
      <c r="F3674" s="9" t="str">
        <f>IFERROR(__xludf.DUMMYFUNCTION("GOOGLETRANSLATE($A3674,""en"",""it"")"),"Cotabato meridionale")</f>
        <v>Cotabato meridionale</v>
      </c>
      <c r="G3674" s="9" t="str">
        <f>IFERROR(__xludf.DUMMYFUNCTION("GOOGLETRANSLATE($A3674,""en"",""zh-cn"")"),"南哥打巴托省")</f>
        <v>南哥打巴托省</v>
      </c>
      <c r="H3674" s="9" t="str">
        <f>IFERROR(__xludf.DUMMYFUNCTION("GOOGLETRANSLATE($A3674,""en"",""ja"")"),"南コタバト")</f>
        <v>南コタバト</v>
      </c>
      <c r="I3674" s="9" t="str">
        <f>IFERROR(__xludf.DUMMYFUNCTION("GOOGLETRANSLATE($A3674,""en"",""ko"")"),"사우스 코타바토")</f>
        <v>사우스 코타바토</v>
      </c>
      <c r="J3674" s="9" t="str">
        <f>IFERROR(__xludf.DUMMYFUNCTION("GOOGLETRANSLATE($A3674,""en"",""pt-BR"")"),"Cotabato Sul")</f>
        <v>Cotabato Sul</v>
      </c>
    </row>
    <row r="3675">
      <c r="A3675" s="9" t="str">
        <f>IFERROR(__xludf.DUMMYFUNCTION("""COMPUTED_VALUE"""),"Biliran")</f>
        <v>Biliran</v>
      </c>
      <c r="B3675" s="9" t="str">
        <f>IFERROR(__xludf.DUMMYFUNCTION("""COMPUTED_VALUE"""),"ph-bil")</f>
        <v>ph-bil</v>
      </c>
      <c r="C3675" s="9" t="str">
        <f>IFERROR(__xludf.DUMMYFUNCTION("GOOGLETRANSLATE($A3675,""en"",""de"")"),"Biliran")</f>
        <v>Biliran</v>
      </c>
      <c r="D3675" s="9" t="str">
        <f>IFERROR(__xludf.DUMMYFUNCTION("GOOGLETRANSLATE($A3675,""en"",""fr"")"),"Biliran")</f>
        <v>Biliran</v>
      </c>
      <c r="E3675" s="9" t="str">
        <f>IFERROR(__xludf.DUMMYFUNCTION("GOOGLETRANSLATE($A3675,""en"",""es"")"),"Bilirán")</f>
        <v>Bilirán</v>
      </c>
      <c r="F3675" s="9" t="str">
        <f>IFERROR(__xludf.DUMMYFUNCTION("GOOGLETRANSLATE($A3675,""en"",""it"")"),"Biliran")</f>
        <v>Biliran</v>
      </c>
      <c r="G3675" s="9" t="str">
        <f>IFERROR(__xludf.DUMMYFUNCTION("GOOGLETRANSLATE($A3675,""en"",""zh-cn"")"),"比利兰")</f>
        <v>比利兰</v>
      </c>
      <c r="H3675" s="9" t="str">
        <f>IFERROR(__xludf.DUMMYFUNCTION("GOOGLETRANSLATE($A3675,""en"",""ja"")"),"ビリラン")</f>
        <v>ビリラン</v>
      </c>
      <c r="I3675" s="9" t="str">
        <f>IFERROR(__xludf.DUMMYFUNCTION("GOOGLETRANSLATE($A3675,""en"",""ko"")"),"빌리란")</f>
        <v>빌리란</v>
      </c>
      <c r="J3675" s="9" t="str">
        <f>IFERROR(__xludf.DUMMYFUNCTION("GOOGLETRANSLATE($A3675,""en"",""pt-BR"")"),"Biliran")</f>
        <v>Biliran</v>
      </c>
    </row>
    <row r="3676">
      <c r="A3676" s="9" t="str">
        <f>IFERROR(__xludf.DUMMYFUNCTION("""COMPUTED_VALUE"""),"Nueva Vizcaya")</f>
        <v>Nueva Vizcaya</v>
      </c>
      <c r="B3676" s="9" t="str">
        <f>IFERROR(__xludf.DUMMYFUNCTION("""COMPUTED_VALUE"""),"ph-nuv")</f>
        <v>ph-nuv</v>
      </c>
      <c r="C3676" s="9" t="str">
        <f>IFERROR(__xludf.DUMMYFUNCTION("GOOGLETRANSLATE($A3676,""en"",""de"")"),"Nueva Vizcaya")</f>
        <v>Nueva Vizcaya</v>
      </c>
      <c r="D3676" s="9" t="str">
        <f>IFERROR(__xludf.DUMMYFUNCTION("GOOGLETRANSLATE($A3676,""en"",""fr"")"),"Nouvelle Vizcaya")</f>
        <v>Nouvelle Vizcaya</v>
      </c>
      <c r="E3676" s="9" t="str">
        <f>IFERROR(__xludf.DUMMYFUNCTION("GOOGLETRANSLATE($A3676,""en"",""es"")"),"Nueva Vizcaya")</f>
        <v>Nueva Vizcaya</v>
      </c>
      <c r="F3676" s="9" t="str">
        <f>IFERROR(__xludf.DUMMYFUNCTION("GOOGLETRANSLATE($A3676,""en"",""it"")"),"Nuova Biscaglia")</f>
        <v>Nuova Biscaglia</v>
      </c>
      <c r="G3676" s="9" t="str">
        <f>IFERROR(__xludf.DUMMYFUNCTION("GOOGLETRANSLATE($A3676,""en"",""zh-cn"")"),"新比斯开")</f>
        <v>新比斯开</v>
      </c>
      <c r="H3676" s="9" t="str">
        <f>IFERROR(__xludf.DUMMYFUNCTION("GOOGLETRANSLATE($A3676,""en"",""ja"")"),"ヌエバ ビスカヤ")</f>
        <v>ヌエバ ビスカヤ</v>
      </c>
      <c r="I3676" s="9" t="str">
        <f>IFERROR(__xludf.DUMMYFUNCTION("GOOGLETRANSLATE($A3676,""en"",""ko"")"),"누에바비스카야")</f>
        <v>누에바비스카야</v>
      </c>
      <c r="J3676" s="9" t="str">
        <f>IFERROR(__xludf.DUMMYFUNCTION("GOOGLETRANSLATE($A3676,""en"",""pt-BR"")"),"Nova Vizcaya")</f>
        <v>Nova Vizcaya</v>
      </c>
    </row>
    <row r="3677">
      <c r="A3677" s="9" t="str">
        <f>IFERROR(__xludf.DUMMYFUNCTION("""COMPUTED_VALUE"""),"Zamboanga Peninsula (Region IX)")</f>
        <v>Zamboanga Peninsula (Region IX)</v>
      </c>
      <c r="B3677" s="9" t="str">
        <f>IFERROR(__xludf.DUMMYFUNCTION("""COMPUTED_VALUE"""),"ph-09")</f>
        <v>ph-09</v>
      </c>
      <c r="C3677" s="9" t="str">
        <f>IFERROR(__xludf.DUMMYFUNCTION("GOOGLETRANSLATE($A3677,""en"",""de"")"),"Zamboanga-Halbinsel (Region IX)")</f>
        <v>Zamboanga-Halbinsel (Region IX)</v>
      </c>
      <c r="D3677" s="9" t="str">
        <f>IFERROR(__xludf.DUMMYFUNCTION("GOOGLETRANSLATE($A3677,""en"",""fr"")"),"Péninsule de Zamboanga (Région IX)")</f>
        <v>Péninsule de Zamboanga (Région IX)</v>
      </c>
      <c r="E3677" s="9" t="str">
        <f>IFERROR(__xludf.DUMMYFUNCTION("GOOGLETRANSLATE($A3677,""en"",""es"")"),"Península de Zamboanga (IX Región)")</f>
        <v>Península de Zamboanga (IX Región)</v>
      </c>
      <c r="F3677" s="9" t="str">
        <f>IFERROR(__xludf.DUMMYFUNCTION("GOOGLETRANSLATE($A3677,""en"",""it"")"),"Penisola di Zamboanga (regione IX)")</f>
        <v>Penisola di Zamboanga (regione IX)</v>
      </c>
      <c r="G3677" s="9" t="str">
        <f>IFERROR(__xludf.DUMMYFUNCTION("GOOGLETRANSLATE($A3677,""en"",""zh-cn"")"),"三宝颜半岛（第九区）")</f>
        <v>三宝颜半岛（第九区）</v>
      </c>
      <c r="H3677" s="9" t="str">
        <f>IFERROR(__xludf.DUMMYFUNCTION("GOOGLETRANSLATE($A3677,""en"",""ja"")"),"サンボアンガ半島 (地域 IX)")</f>
        <v>サンボアンガ半島 (地域 IX)</v>
      </c>
      <c r="I3677" s="9" t="str">
        <f>IFERROR(__xludf.DUMMYFUNCTION("GOOGLETRANSLATE($A3677,""en"",""ko"")"),"잠보앙가 반도(지역 IX)")</f>
        <v>잠보앙가 반도(지역 IX)</v>
      </c>
      <c r="J3677" s="9" t="str">
        <f>IFERROR(__xludf.DUMMYFUNCTION("GOOGLETRANSLATE($A3677,""en"",""pt-BR"")"),"Península de Zamboanga (Região IX)")</f>
        <v>Península de Zamboanga (Região IX)</v>
      </c>
    </row>
    <row r="3678">
      <c r="A3678" s="9" t="str">
        <f>IFERROR(__xludf.DUMMYFUNCTION("""COMPUTED_VALUE"""),"Camarines Sur")</f>
        <v>Camarines Sur</v>
      </c>
      <c r="B3678" s="9" t="str">
        <f>IFERROR(__xludf.DUMMYFUNCTION("""COMPUTED_VALUE"""),"ph-cas")</f>
        <v>ph-cas</v>
      </c>
      <c r="C3678" s="9" t="str">
        <f>IFERROR(__xludf.DUMMYFUNCTION("GOOGLETRANSLATE($A3678,""en"",""de"")"),"Camarines Sur")</f>
        <v>Camarines Sur</v>
      </c>
      <c r="D3678" s="9" t="str">
        <f>IFERROR(__xludf.DUMMYFUNCTION("GOOGLETRANSLATE($A3678,""en"",""fr"")"),"Camarines-Sud")</f>
        <v>Camarines-Sud</v>
      </c>
      <c r="E3678" s="9" t="str">
        <f>IFERROR(__xludf.DUMMYFUNCTION("GOOGLETRANSLATE($A3678,""en"",""es"")"),"Camarines Sur")</f>
        <v>Camarines Sur</v>
      </c>
      <c r="F3678" s="9" t="str">
        <f>IFERROR(__xludf.DUMMYFUNCTION("GOOGLETRANSLATE($A3678,""en"",""it"")"),"Camarines Sur")</f>
        <v>Camarines Sur</v>
      </c>
      <c r="G3678" s="9" t="str">
        <f>IFERROR(__xludf.DUMMYFUNCTION("GOOGLETRANSLATE($A3678,""en"",""zh-cn"")"),"南甘马粦")</f>
        <v>南甘马粦</v>
      </c>
      <c r="H3678" s="9" t="str">
        <f>IFERROR(__xludf.DUMMYFUNCTION("GOOGLETRANSLATE($A3678,""en"",""ja"")"),"南カマリネス")</f>
        <v>南カマリネス</v>
      </c>
      <c r="I3678" s="9" t="str">
        <f>IFERROR(__xludf.DUMMYFUNCTION("GOOGLETRANSLATE($A3678,""en"",""ko"")"),"카마리네스 수르")</f>
        <v>카마리네스 수르</v>
      </c>
      <c r="J3678" s="9" t="str">
        <f>IFERROR(__xludf.DUMMYFUNCTION("GOOGLETRANSLATE($A3678,""en"",""pt-BR"")"),"Camarines Sur")</f>
        <v>Camarines Sur</v>
      </c>
    </row>
    <row r="3679">
      <c r="A3679" s="9" t="str">
        <f>IFERROR(__xludf.DUMMYFUNCTION("""COMPUTED_VALUE"""),"Pangasinan")</f>
        <v>Pangasinan</v>
      </c>
      <c r="B3679" s="9" t="str">
        <f>IFERROR(__xludf.DUMMYFUNCTION("""COMPUTED_VALUE"""),"ph-pan")</f>
        <v>ph-pan</v>
      </c>
      <c r="C3679" s="9" t="str">
        <f>IFERROR(__xludf.DUMMYFUNCTION("GOOGLETRANSLATE($A3679,""en"",""de"")"),"Pangasinan")</f>
        <v>Pangasinan</v>
      </c>
      <c r="D3679" s="9" t="str">
        <f>IFERROR(__xludf.DUMMYFUNCTION("GOOGLETRANSLATE($A3679,""en"",""fr"")"),"Pangasinan")</f>
        <v>Pangasinan</v>
      </c>
      <c r="E3679" s="9" t="str">
        <f>IFERROR(__xludf.DUMMYFUNCTION("GOOGLETRANSLATE($A3679,""en"",""es"")"),"Pangasinán")</f>
        <v>Pangasinán</v>
      </c>
      <c r="F3679" s="9" t="str">
        <f>IFERROR(__xludf.DUMMYFUNCTION("GOOGLETRANSLATE($A3679,""en"",""it"")"),"Pangasinan")</f>
        <v>Pangasinan</v>
      </c>
      <c r="G3679" s="9" t="str">
        <f>IFERROR(__xludf.DUMMYFUNCTION("GOOGLETRANSLATE($A3679,""en"",""zh-cn"")"),"邦阿西南")</f>
        <v>邦阿西南</v>
      </c>
      <c r="H3679" s="9" t="str">
        <f>IFERROR(__xludf.DUMMYFUNCTION("GOOGLETRANSLATE($A3679,""en"",""ja"")"),"パンガシナン")</f>
        <v>パンガシナン</v>
      </c>
      <c r="I3679" s="9" t="str">
        <f>IFERROR(__xludf.DUMMYFUNCTION("GOOGLETRANSLATE($A3679,""en"",""ko"")"),"팡가시난")</f>
        <v>팡가시난</v>
      </c>
      <c r="J3679" s="9" t="str">
        <f>IFERROR(__xludf.DUMMYFUNCTION("GOOGLETRANSLATE($A3679,""en"",""pt-BR"")"),"Pangasinan")</f>
        <v>Pangasinan</v>
      </c>
    </row>
    <row r="3680">
      <c r="A3680" s="9" t="str">
        <f>IFERROR(__xludf.DUMMYFUNCTION("""COMPUTED_VALUE"""),"Eastern Samar")</f>
        <v>Eastern Samar</v>
      </c>
      <c r="B3680" s="9" t="str">
        <f>IFERROR(__xludf.DUMMYFUNCTION("""COMPUTED_VALUE"""),"ph-eas")</f>
        <v>ph-eas</v>
      </c>
      <c r="C3680" s="9" t="str">
        <f>IFERROR(__xludf.DUMMYFUNCTION("GOOGLETRANSLATE($A3680,""en"",""de"")"),"Ost-Samar")</f>
        <v>Ost-Samar</v>
      </c>
      <c r="D3680" s="9" t="str">
        <f>IFERROR(__xludf.DUMMYFUNCTION("GOOGLETRANSLATE($A3680,""en"",""fr"")"),"Samar oriental")</f>
        <v>Samar oriental</v>
      </c>
      <c r="E3680" s="9" t="str">
        <f>IFERROR(__xludf.DUMMYFUNCTION("GOOGLETRANSLATE($A3680,""en"",""es"")"),"Sámar oriental")</f>
        <v>Sámar oriental</v>
      </c>
      <c r="F3680" s="9" t="str">
        <f>IFERROR(__xludf.DUMMYFUNCTION("GOOGLETRANSLATE($A3680,""en"",""it"")"),"Samar orientale")</f>
        <v>Samar orientale</v>
      </c>
      <c r="G3680" s="9" t="str">
        <f>IFERROR(__xludf.DUMMYFUNCTION("GOOGLETRANSLATE($A3680,""en"",""zh-cn"")"),"东萨马岛")</f>
        <v>东萨马岛</v>
      </c>
      <c r="H3680" s="9" t="str">
        <f>IFERROR(__xludf.DUMMYFUNCTION("GOOGLETRANSLATE($A3680,""en"",""ja"")"),"東サマル州")</f>
        <v>東サマル州</v>
      </c>
      <c r="I3680" s="9" t="str">
        <f>IFERROR(__xludf.DUMMYFUNCTION("GOOGLETRANSLATE($A3680,""en"",""ko"")"),"동부 사마르")</f>
        <v>동부 사마르</v>
      </c>
      <c r="J3680" s="9" t="str">
        <f>IFERROR(__xludf.DUMMYFUNCTION("GOOGLETRANSLATE($A3680,""en"",""pt-BR"")"),"Samar Oriental")</f>
        <v>Samar Oriental</v>
      </c>
    </row>
    <row r="3681">
      <c r="A3681" s="9" t="str">
        <f>IFERROR(__xludf.DUMMYFUNCTION("""COMPUTED_VALUE"""),"Ilocos (Region I)")</f>
        <v>Ilocos (Region I)</v>
      </c>
      <c r="B3681" s="9" t="str">
        <f>IFERROR(__xludf.DUMMYFUNCTION("""COMPUTED_VALUE"""),"ph-01")</f>
        <v>ph-01</v>
      </c>
      <c r="C3681" s="9" t="str">
        <f>IFERROR(__xludf.DUMMYFUNCTION("GOOGLETRANSLATE($A3681,""en"",""de"")"),"Ilocos (Region I)")</f>
        <v>Ilocos (Region I)</v>
      </c>
      <c r="D3681" s="9" t="str">
        <f>IFERROR(__xludf.DUMMYFUNCTION("GOOGLETRANSLATE($A3681,""en"",""fr"")"),"Ilocos (Région I)")</f>
        <v>Ilocos (Région I)</v>
      </c>
      <c r="E3681" s="9" t="str">
        <f>IFERROR(__xludf.DUMMYFUNCTION("GOOGLETRANSLATE($A3681,""en"",""es"")"),"Ilocos (I Región)")</f>
        <v>Ilocos (I Región)</v>
      </c>
      <c r="F3681" s="9" t="str">
        <f>IFERROR(__xludf.DUMMYFUNCTION("GOOGLETRANSLATE($A3681,""en"",""it"")"),"Ilocos (Regione I)")</f>
        <v>Ilocos (Regione I)</v>
      </c>
      <c r="G3681" s="9" t="str">
        <f>IFERROR(__xludf.DUMMYFUNCTION("GOOGLETRANSLATE($A3681,""en"",""zh-cn"")"),"伊罗戈（第一区）")</f>
        <v>伊罗戈（第一区）</v>
      </c>
      <c r="H3681" s="9" t="str">
        <f>IFERROR(__xludf.DUMMYFUNCTION("GOOGLETRANSLATE($A3681,""en"",""ja"")"),"イロコス (地域 I)")</f>
        <v>イロコス (地域 I)</v>
      </c>
      <c r="I3681" s="9" t="str">
        <f>IFERROR(__xludf.DUMMYFUNCTION("GOOGLETRANSLATE($A3681,""en"",""ko"")"),"일로코스(지역 I)")</f>
        <v>일로코스(지역 I)</v>
      </c>
      <c r="J3681" s="9" t="str">
        <f>IFERROR(__xludf.DUMMYFUNCTION("GOOGLETRANSLATE($A3681,""en"",""pt-BR"")"),"Ilocos (Região I)")</f>
        <v>Ilocos (Região I)</v>
      </c>
    </row>
    <row r="3682">
      <c r="A3682" s="9" t="str">
        <f>IFERROR(__xludf.DUMMYFUNCTION("""COMPUTED_VALUE"""),"Central Luzon (Region III)")</f>
        <v>Central Luzon (Region III)</v>
      </c>
      <c r="B3682" s="9" t="str">
        <f>IFERROR(__xludf.DUMMYFUNCTION("""COMPUTED_VALUE"""),"ph-03")</f>
        <v>ph-03</v>
      </c>
      <c r="C3682" s="9" t="str">
        <f>IFERROR(__xludf.DUMMYFUNCTION("GOOGLETRANSLATE($A3682,""en"",""de"")"),"Zentral-Luzon (Region III)")</f>
        <v>Zentral-Luzon (Region III)</v>
      </c>
      <c r="D3682" s="9" t="str">
        <f>IFERROR(__xludf.DUMMYFUNCTION("GOOGLETRANSLATE($A3682,""en"",""fr"")"),"Centre de Luçon (Région III)")</f>
        <v>Centre de Luçon (Région III)</v>
      </c>
      <c r="E3682" s="9" t="str">
        <f>IFERROR(__xludf.DUMMYFUNCTION("GOOGLETRANSLATE($A3682,""en"",""es"")"),"Luzón Central (Región III)")</f>
        <v>Luzón Central (Región III)</v>
      </c>
      <c r="F3682" s="9" t="str">
        <f>IFERROR(__xludf.DUMMYFUNCTION("GOOGLETRANSLATE($A3682,""en"",""it"")"),"Luzon centrale (regione III)")</f>
        <v>Luzon centrale (regione III)</v>
      </c>
      <c r="G3682" s="9" t="str">
        <f>IFERROR(__xludf.DUMMYFUNCTION("GOOGLETRANSLATE($A3682,""en"",""zh-cn"")"),"中央吕宋岛（第三区）")</f>
        <v>中央吕宋岛（第三区）</v>
      </c>
      <c r="H3682" s="9" t="str">
        <f>IFERROR(__xludf.DUMMYFUNCTION("GOOGLETRANSLATE($A3682,""en"",""ja"")"),"ルソン島中部 (地域 III)")</f>
        <v>ルソン島中部 (地域 III)</v>
      </c>
      <c r="I3682" s="9" t="str">
        <f>IFERROR(__xludf.DUMMYFUNCTION("GOOGLETRANSLATE($A3682,""en"",""ko"")"),"중부 루존(지역 III)")</f>
        <v>중부 루존(지역 III)</v>
      </c>
      <c r="J3682" s="9" t="str">
        <f>IFERROR(__xludf.DUMMYFUNCTION("GOOGLETRANSLATE($A3682,""en"",""pt-BR"")"),"Luzon Central (Região III)")</f>
        <v>Luzon Central (Região III)</v>
      </c>
    </row>
    <row r="3683">
      <c r="A3683" s="9" t="str">
        <f>IFERROR(__xludf.DUMMYFUNCTION("""COMPUTED_VALUE"""),"Zamboanga del Norte")</f>
        <v>Zamboanga del Norte</v>
      </c>
      <c r="B3683" s="9" t="str">
        <f>IFERROR(__xludf.DUMMYFUNCTION("""COMPUTED_VALUE"""),"ph-zan")</f>
        <v>ph-zan</v>
      </c>
      <c r="C3683" s="9" t="str">
        <f>IFERROR(__xludf.DUMMYFUNCTION("GOOGLETRANSLATE($A3683,""en"",""de"")"),"Zamboanga del Norte")</f>
        <v>Zamboanga del Norte</v>
      </c>
      <c r="D3683" s="9" t="str">
        <f>IFERROR(__xludf.DUMMYFUNCTION("GOOGLETRANSLATE($A3683,""en"",""fr"")"),"Zamboanga du Nord")</f>
        <v>Zamboanga du Nord</v>
      </c>
      <c r="E3683" s="9" t="str">
        <f>IFERROR(__xludf.DUMMYFUNCTION("GOOGLETRANSLATE($A3683,""en"",""es"")"),"Zamboanga del Norte")</f>
        <v>Zamboanga del Norte</v>
      </c>
      <c r="F3683" s="9" t="str">
        <f>IFERROR(__xludf.DUMMYFUNCTION("GOOGLETRANSLATE($A3683,""en"",""it"")"),"Zamboanga del Norte")</f>
        <v>Zamboanga del Norte</v>
      </c>
      <c r="G3683" s="9" t="str">
        <f>IFERROR(__xludf.DUMMYFUNCTION("GOOGLETRANSLATE($A3683,""en"",""zh-cn"")"),"北三宝颜")</f>
        <v>北三宝颜</v>
      </c>
      <c r="H3683" s="9" t="str">
        <f>IFERROR(__xludf.DUMMYFUNCTION("GOOGLETRANSLATE($A3683,""en"",""ja"")"),"北ザンボアンガ デルテ")</f>
        <v>北ザンボアンガ デルテ</v>
      </c>
      <c r="I3683" s="9" t="str">
        <f>IFERROR(__xludf.DUMMYFUNCTION("GOOGLETRANSLATE($A3683,""en"",""ko"")"),"잠보앙가 델 노르테")</f>
        <v>잠보앙가 델 노르테</v>
      </c>
      <c r="J3683" s="9" t="str">
        <f>IFERROR(__xludf.DUMMYFUNCTION("GOOGLETRANSLATE($A3683,""en"",""pt-BR"")"),"Zamboanga do Norte")</f>
        <v>Zamboanga do Norte</v>
      </c>
    </row>
    <row r="3684">
      <c r="A3684" s="9" t="str">
        <f>IFERROR(__xludf.DUMMYFUNCTION("""COMPUTED_VALUE"""),"Tarlac")</f>
        <v>Tarlac</v>
      </c>
      <c r="B3684" s="9" t="str">
        <f>IFERROR(__xludf.DUMMYFUNCTION("""COMPUTED_VALUE"""),"ph-tar")</f>
        <v>ph-tar</v>
      </c>
      <c r="C3684" s="9" t="str">
        <f>IFERROR(__xludf.DUMMYFUNCTION("GOOGLETRANSLATE($A3684,""en"",""de"")"),"Tarlac")</f>
        <v>Tarlac</v>
      </c>
      <c r="D3684" s="9" t="str">
        <f>IFERROR(__xludf.DUMMYFUNCTION("GOOGLETRANSLATE($A3684,""en"",""fr"")"),"Tarlac")</f>
        <v>Tarlac</v>
      </c>
      <c r="E3684" s="9" t="str">
        <f>IFERROR(__xludf.DUMMYFUNCTION("GOOGLETRANSLATE($A3684,""en"",""es"")"),"Tarlac")</f>
        <v>Tarlac</v>
      </c>
      <c r="F3684" s="9" t="str">
        <f>IFERROR(__xludf.DUMMYFUNCTION("GOOGLETRANSLATE($A3684,""en"",""it"")"),"Tarlac")</f>
        <v>Tarlac</v>
      </c>
      <c r="G3684" s="9" t="str">
        <f>IFERROR(__xludf.DUMMYFUNCTION("GOOGLETRANSLATE($A3684,""en"",""zh-cn"")"),"打拉")</f>
        <v>打拉</v>
      </c>
      <c r="H3684" s="9" t="str">
        <f>IFERROR(__xludf.DUMMYFUNCTION("GOOGLETRANSLATE($A3684,""en"",""ja"")"),"タルラック")</f>
        <v>タルラック</v>
      </c>
      <c r="I3684" s="9" t="str">
        <f>IFERROR(__xludf.DUMMYFUNCTION("GOOGLETRANSLATE($A3684,""en"",""ko"")"),"딸락")</f>
        <v>딸락</v>
      </c>
      <c r="J3684" s="9" t="str">
        <f>IFERROR(__xludf.DUMMYFUNCTION("GOOGLETRANSLATE($A3684,""en"",""pt-BR"")"),"Tarlac")</f>
        <v>Tarlac</v>
      </c>
    </row>
    <row r="3685">
      <c r="A3685" s="9" t="str">
        <f>IFERROR(__xludf.DUMMYFUNCTION("""COMPUTED_VALUE"""),"Batanes")</f>
        <v>Batanes</v>
      </c>
      <c r="B3685" s="9" t="str">
        <f>IFERROR(__xludf.DUMMYFUNCTION("""COMPUTED_VALUE"""),"ph-btn")</f>
        <v>ph-btn</v>
      </c>
      <c r="C3685" s="9" t="str">
        <f>IFERROR(__xludf.DUMMYFUNCTION("GOOGLETRANSLATE($A3685,""en"",""de"")"),"Batanes")</f>
        <v>Batanes</v>
      </c>
      <c r="D3685" s="9" t="str">
        <f>IFERROR(__xludf.DUMMYFUNCTION("GOOGLETRANSLATE($A3685,""en"",""fr"")"),"Batanes")</f>
        <v>Batanes</v>
      </c>
      <c r="E3685" s="9" t="str">
        <f>IFERROR(__xludf.DUMMYFUNCTION("GOOGLETRANSLATE($A3685,""en"",""es"")"),"batanes")</f>
        <v>batanes</v>
      </c>
      <c r="F3685" s="9" t="str">
        <f>IFERROR(__xludf.DUMMYFUNCTION("GOOGLETRANSLATE($A3685,""en"",""it"")"),"Batane")</f>
        <v>Batane</v>
      </c>
      <c r="G3685" s="9" t="str">
        <f>IFERROR(__xludf.DUMMYFUNCTION("GOOGLETRANSLATE($A3685,""en"",""zh-cn"")"),"巴塔内斯")</f>
        <v>巴塔内斯</v>
      </c>
      <c r="H3685" s="9" t="str">
        <f>IFERROR(__xludf.DUMMYFUNCTION("GOOGLETRANSLATE($A3685,""en"",""ja"")"),"バタネス")</f>
        <v>バタネス</v>
      </c>
      <c r="I3685" s="9" t="str">
        <f>IFERROR(__xludf.DUMMYFUNCTION("GOOGLETRANSLATE($A3685,""en"",""ko"")"),"바타네스")</f>
        <v>바타네스</v>
      </c>
      <c r="J3685" s="9" t="str">
        <f>IFERROR(__xludf.DUMMYFUNCTION("GOOGLETRANSLATE($A3685,""en"",""pt-BR"")"),"Batanes")</f>
        <v>Batanes</v>
      </c>
    </row>
    <row r="3686">
      <c r="A3686" s="9" t="str">
        <f>IFERROR(__xludf.DUMMYFUNCTION("""COMPUTED_VALUE"""),"Bohol")</f>
        <v>Bohol</v>
      </c>
      <c r="B3686" s="9" t="str">
        <f>IFERROR(__xludf.DUMMYFUNCTION("""COMPUTED_VALUE"""),"ph-boh")</f>
        <v>ph-boh</v>
      </c>
      <c r="C3686" s="9" t="str">
        <f>IFERROR(__xludf.DUMMYFUNCTION("GOOGLETRANSLATE($A3686,""en"",""de"")"),"Bohol")</f>
        <v>Bohol</v>
      </c>
      <c r="D3686" s="9" t="str">
        <f>IFERROR(__xludf.DUMMYFUNCTION("GOOGLETRANSLATE($A3686,""en"",""fr"")"),"Bohol")</f>
        <v>Bohol</v>
      </c>
      <c r="E3686" s="9" t="str">
        <f>IFERROR(__xludf.DUMMYFUNCTION("GOOGLETRANSLATE($A3686,""en"",""es"")"),"bohol")</f>
        <v>bohol</v>
      </c>
      <c r="F3686" s="9" t="str">
        <f>IFERROR(__xludf.DUMMYFUNCTION("GOOGLETRANSLATE($A3686,""en"",""it"")"),"Bohol")</f>
        <v>Bohol</v>
      </c>
      <c r="G3686" s="9" t="str">
        <f>IFERROR(__xludf.DUMMYFUNCTION("GOOGLETRANSLATE($A3686,""en"",""zh-cn"")"),"薄荷岛")</f>
        <v>薄荷岛</v>
      </c>
      <c r="H3686" s="9" t="str">
        <f>IFERROR(__xludf.DUMMYFUNCTION("GOOGLETRANSLATE($A3686,""en"",""ja"")"),"ボホール島")</f>
        <v>ボホール島</v>
      </c>
      <c r="I3686" s="9" t="str">
        <f>IFERROR(__xludf.DUMMYFUNCTION("GOOGLETRANSLATE($A3686,""en"",""ko"")"),"보홀")</f>
        <v>보홀</v>
      </c>
      <c r="J3686" s="9" t="str">
        <f>IFERROR(__xludf.DUMMYFUNCTION("GOOGLETRANSLATE($A3686,""en"",""pt-BR"")"),"Bohol")</f>
        <v>Bohol</v>
      </c>
    </row>
    <row r="3687">
      <c r="A3687" s="9" t="str">
        <f>IFERROR(__xludf.DUMMYFUNCTION("""COMPUTED_VALUE"""),"Lanao del Norte")</f>
        <v>Lanao del Norte</v>
      </c>
      <c r="B3687" s="9" t="str">
        <f>IFERROR(__xludf.DUMMYFUNCTION("""COMPUTED_VALUE"""),"ph-lan")</f>
        <v>ph-lan</v>
      </c>
      <c r="C3687" s="9" t="str">
        <f>IFERROR(__xludf.DUMMYFUNCTION("GOOGLETRANSLATE($A3687,""en"",""de"")"),"Lanao del Norte")</f>
        <v>Lanao del Norte</v>
      </c>
      <c r="D3687" s="9" t="str">
        <f>IFERROR(__xludf.DUMMYFUNCTION("GOOGLETRANSLATE($A3687,""en"",""fr"")"),"Lanao du Nord")</f>
        <v>Lanao du Nord</v>
      </c>
      <c r="E3687" s="9" t="str">
        <f>IFERROR(__xludf.DUMMYFUNCTION("GOOGLETRANSLATE($A3687,""en"",""es"")"),"Lanao del Norte")</f>
        <v>Lanao del Norte</v>
      </c>
      <c r="F3687" s="9" t="str">
        <f>IFERROR(__xludf.DUMMYFUNCTION("GOOGLETRANSLATE($A3687,""en"",""it"")"),"Lanao del Norte")</f>
        <v>Lanao del Norte</v>
      </c>
      <c r="G3687" s="9" t="str">
        <f>IFERROR(__xludf.DUMMYFUNCTION("GOOGLETRANSLATE($A3687,""en"",""zh-cn"")"),"北拉瑙")</f>
        <v>北拉瑙</v>
      </c>
      <c r="H3687" s="9" t="str">
        <f>IFERROR(__xludf.DUMMYFUNCTION("GOOGLETRANSLATE($A3687,""en"",""ja"")"),"北ラナオ島")</f>
        <v>北ラナオ島</v>
      </c>
      <c r="I3687" s="9" t="str">
        <f>IFERROR(__xludf.DUMMYFUNCTION("GOOGLETRANSLATE($A3687,""en"",""ko"")"),"라나오 델 노르테")</f>
        <v>라나오 델 노르테</v>
      </c>
      <c r="J3687" s="9" t="str">
        <f>IFERROR(__xludf.DUMMYFUNCTION("GOOGLETRANSLATE($A3687,""en"",""pt-BR"")"),"Lanao del Norte")</f>
        <v>Lanao del Norte</v>
      </c>
    </row>
    <row r="3688">
      <c r="A3688" s="9" t="str">
        <f>IFERROR(__xludf.DUMMYFUNCTION("""COMPUTED_VALUE"""),"Isabela")</f>
        <v>Isabela</v>
      </c>
      <c r="B3688" s="9" t="str">
        <f>IFERROR(__xludf.DUMMYFUNCTION("""COMPUTED_VALUE"""),"ph-isa")</f>
        <v>ph-isa</v>
      </c>
      <c r="C3688" s="9" t="str">
        <f>IFERROR(__xludf.DUMMYFUNCTION("GOOGLETRANSLATE($A3688,""en"",""de"")"),"Isabela")</f>
        <v>Isabela</v>
      </c>
      <c r="D3688" s="9" t="str">
        <f>IFERROR(__xludf.DUMMYFUNCTION("GOOGLETRANSLATE($A3688,""en"",""fr"")"),"Isabelle")</f>
        <v>Isabelle</v>
      </c>
      <c r="E3688" s="9" t="str">
        <f>IFERROR(__xludf.DUMMYFUNCTION("GOOGLETRANSLATE($A3688,""en"",""es"")"),"isabela")</f>
        <v>isabela</v>
      </c>
      <c r="F3688" s="9" t="str">
        <f>IFERROR(__xludf.DUMMYFUNCTION("GOOGLETRANSLATE($A3688,""en"",""it"")"),"Isabela")</f>
        <v>Isabela</v>
      </c>
      <c r="G3688" s="9" t="str">
        <f>IFERROR(__xludf.DUMMYFUNCTION("GOOGLETRANSLATE($A3688,""en"",""zh-cn"")"),"伊莎贝拉")</f>
        <v>伊莎贝拉</v>
      </c>
      <c r="H3688" s="9" t="str">
        <f>IFERROR(__xludf.DUMMYFUNCTION("GOOGLETRANSLATE($A3688,""en"",""ja"")"),"イザベラ")</f>
        <v>イザベラ</v>
      </c>
      <c r="I3688" s="9" t="str">
        <f>IFERROR(__xludf.DUMMYFUNCTION("GOOGLETRANSLATE($A3688,""en"",""ko"")"),"이사벨라")</f>
        <v>이사벨라</v>
      </c>
      <c r="J3688" s="9" t="str">
        <f>IFERROR(__xludf.DUMMYFUNCTION("GOOGLETRANSLATE($A3688,""en"",""pt-BR"")"),"Isabela")</f>
        <v>Isabela</v>
      </c>
    </row>
    <row r="3689">
      <c r="A3689" s="9" t="str">
        <f>IFERROR(__xludf.DUMMYFUNCTION("""COMPUTED_VALUE"""),"Maguindanao del Norte")</f>
        <v>Maguindanao del Norte</v>
      </c>
      <c r="B3689" s="9" t="str">
        <f>IFERROR(__xludf.DUMMYFUNCTION("""COMPUTED_VALUE"""),"ph-mgn")</f>
        <v>ph-mgn</v>
      </c>
      <c r="C3689" s="9" t="str">
        <f>IFERROR(__xludf.DUMMYFUNCTION("GOOGLETRANSLATE($A3689,""en"",""de"")"),"Maguindanao del Norte")</f>
        <v>Maguindanao del Norte</v>
      </c>
      <c r="D3689" s="9" t="str">
        <f>IFERROR(__xludf.DUMMYFUNCTION("GOOGLETRANSLATE($A3689,""en"",""fr"")"),"Maguindanao du Nord")</f>
        <v>Maguindanao du Nord</v>
      </c>
      <c r="E3689" s="9" t="str">
        <f>IFERROR(__xludf.DUMMYFUNCTION("GOOGLETRANSLATE($A3689,""en"",""es"")"),"Maguindánao del Norte")</f>
        <v>Maguindánao del Norte</v>
      </c>
      <c r="F3689" s="9" t="str">
        <f>IFERROR(__xludf.DUMMYFUNCTION("GOOGLETRANSLATE($A3689,""en"",""it"")"),"Maguindanao del Norte")</f>
        <v>Maguindanao del Norte</v>
      </c>
      <c r="G3689" s="9" t="str">
        <f>IFERROR(__xludf.DUMMYFUNCTION("GOOGLETRANSLATE($A3689,""en"",""zh-cn"")"),"北马京达瑙")</f>
        <v>北马京达瑙</v>
      </c>
      <c r="H3689" s="9" t="str">
        <f>IFERROR(__xludf.DUMMYFUNCTION("GOOGLETRANSLATE($A3689,""en"",""ja"")"),"北マギンダナオ島")</f>
        <v>北マギンダナオ島</v>
      </c>
      <c r="I3689" s="9" t="str">
        <f>IFERROR(__xludf.DUMMYFUNCTION("GOOGLETRANSLATE($A3689,""en"",""ko"")"),"마긴다나오 델 노르테")</f>
        <v>마긴다나오 델 노르테</v>
      </c>
      <c r="J3689" s="9" t="str">
        <f>IFERROR(__xludf.DUMMYFUNCTION("GOOGLETRANSLATE($A3689,""en"",""pt-BR"")"),"Maguindanao del Norte")</f>
        <v>Maguindanao del Norte</v>
      </c>
    </row>
    <row r="3690">
      <c r="A3690" s="9" t="str">
        <f>IFERROR(__xludf.DUMMYFUNCTION("""COMPUTED_VALUE"""),"Maguindanao del Sur")</f>
        <v>Maguindanao del Sur</v>
      </c>
      <c r="B3690" s="9" t="str">
        <f>IFERROR(__xludf.DUMMYFUNCTION("""COMPUTED_VALUE"""),"ph-mgs")</f>
        <v>ph-mgs</v>
      </c>
      <c r="C3690" s="9" t="str">
        <f>IFERROR(__xludf.DUMMYFUNCTION("GOOGLETRANSLATE($A3690,""en"",""de"")"),"Maguindanao del Sur")</f>
        <v>Maguindanao del Sur</v>
      </c>
      <c r="D3690" s="9" t="str">
        <f>IFERROR(__xludf.DUMMYFUNCTION("GOOGLETRANSLATE($A3690,""en"",""fr"")"),"Maguindanao du Sud")</f>
        <v>Maguindanao du Sud</v>
      </c>
      <c r="E3690" s="9" t="str">
        <f>IFERROR(__xludf.DUMMYFUNCTION("GOOGLETRANSLATE($A3690,""en"",""es"")"),"Maguindánao del Sur")</f>
        <v>Maguindánao del Sur</v>
      </c>
      <c r="F3690" s="9" t="str">
        <f>IFERROR(__xludf.DUMMYFUNCTION("GOOGLETRANSLATE($A3690,""en"",""it"")"),"Maguindanao del Sur")</f>
        <v>Maguindanao del Sur</v>
      </c>
      <c r="G3690" s="9" t="str">
        <f>IFERROR(__xludf.DUMMYFUNCTION("GOOGLETRANSLATE($A3690,""en"",""zh-cn"")"),"南马京达瑙")</f>
        <v>南马京达瑙</v>
      </c>
      <c r="H3690" s="9" t="str">
        <f>IFERROR(__xludf.DUMMYFUNCTION("GOOGLETRANSLATE($A3690,""en"",""ja"")"),"マギンダナオ島")</f>
        <v>マギンダナオ島</v>
      </c>
      <c r="I3690" s="9" t="str">
        <f>IFERROR(__xludf.DUMMYFUNCTION("GOOGLETRANSLATE($A3690,""en"",""ko"")"),"마긴다나오 델 수르")</f>
        <v>마긴다나오 델 수르</v>
      </c>
      <c r="J3690" s="9" t="str">
        <f>IFERROR(__xludf.DUMMYFUNCTION("GOOGLETRANSLATE($A3690,""en"",""pt-BR"")"),"Maguindanao del Sur")</f>
        <v>Maguindanao del Sur</v>
      </c>
    </row>
    <row r="3691">
      <c r="A3691" s="9" t="str">
        <f>IFERROR(__xludf.DUMMYFUNCTION("""COMPUTED_VALUE"""),"Zambales")</f>
        <v>Zambales</v>
      </c>
      <c r="B3691" s="9" t="str">
        <f>IFERROR(__xludf.DUMMYFUNCTION("""COMPUTED_VALUE"""),"ph-zmb")</f>
        <v>ph-zmb</v>
      </c>
      <c r="C3691" s="9" t="str">
        <f>IFERROR(__xludf.DUMMYFUNCTION("GOOGLETRANSLATE($A3691,""en"",""de"")"),"Zambales")</f>
        <v>Zambales</v>
      </c>
      <c r="D3691" s="9" t="str">
        <f>IFERROR(__xludf.DUMMYFUNCTION("GOOGLETRANSLATE($A3691,""en"",""fr"")"),"Zambales")</f>
        <v>Zambales</v>
      </c>
      <c r="E3691" s="9" t="str">
        <f>IFERROR(__xludf.DUMMYFUNCTION("GOOGLETRANSLATE($A3691,""en"",""es"")"),"zambales")</f>
        <v>zambales</v>
      </c>
      <c r="F3691" s="9" t="str">
        <f>IFERROR(__xludf.DUMMYFUNCTION("GOOGLETRANSLATE($A3691,""en"",""it"")"),"Zambales")</f>
        <v>Zambales</v>
      </c>
      <c r="G3691" s="9" t="str">
        <f>IFERROR(__xludf.DUMMYFUNCTION("GOOGLETRANSLATE($A3691,""en"",""zh-cn"")"),"三描礼士")</f>
        <v>三描礼士</v>
      </c>
      <c r="H3691" s="9" t="str">
        <f>IFERROR(__xludf.DUMMYFUNCTION("GOOGLETRANSLATE($A3691,""en"",""ja"")"),"サンバレス")</f>
        <v>サンバレス</v>
      </c>
      <c r="I3691" s="9" t="str">
        <f>IFERROR(__xludf.DUMMYFUNCTION("GOOGLETRANSLATE($A3691,""en"",""ko"")"),"잠발레스")</f>
        <v>잠발레스</v>
      </c>
      <c r="J3691" s="9" t="str">
        <f>IFERROR(__xludf.DUMMYFUNCTION("GOOGLETRANSLATE($A3691,""en"",""pt-BR"")"),"Zambales")</f>
        <v>Zambales</v>
      </c>
    </row>
    <row r="3692">
      <c r="A3692" s="9" t="str">
        <f>IFERROR(__xludf.DUMMYFUNCTION("""COMPUTED_VALUE"""),"Northern Mindanao (Region X)")</f>
        <v>Northern Mindanao (Region X)</v>
      </c>
      <c r="B3692" s="9" t="str">
        <f>IFERROR(__xludf.DUMMYFUNCTION("""COMPUTED_VALUE"""),"ph-10")</f>
        <v>ph-10</v>
      </c>
      <c r="C3692" s="9" t="str">
        <f>IFERROR(__xludf.DUMMYFUNCTION("GOOGLETRANSLATE($A3692,""en"",""de"")"),"Nord-Mindanao (Region X)")</f>
        <v>Nord-Mindanao (Region X)</v>
      </c>
      <c r="D3692" s="9" t="str">
        <f>IFERROR(__xludf.DUMMYFUNCTION("GOOGLETRANSLATE($A3692,""en"",""fr"")"),"Nord de Mindanao (Région X)")</f>
        <v>Nord de Mindanao (Région X)</v>
      </c>
      <c r="E3692" s="9" t="str">
        <f>IFERROR(__xludf.DUMMYFUNCTION("GOOGLETRANSLATE($A3692,""en"",""es"")"),"Mindanao del Norte (Región X)")</f>
        <v>Mindanao del Norte (Región X)</v>
      </c>
      <c r="F3692" s="9" t="str">
        <f>IFERROR(__xludf.DUMMYFUNCTION("GOOGLETRANSLATE($A3692,""en"",""it"")"),"Mindanao settentrionale (regione X)")</f>
        <v>Mindanao settentrionale (regione X)</v>
      </c>
      <c r="G3692" s="9" t="str">
        <f>IFERROR(__xludf.DUMMYFUNCTION("GOOGLETRANSLATE($A3692,""en"",""zh-cn"")"),"北棉兰老岛（X 区）")</f>
        <v>北棉兰老岛（X 区）</v>
      </c>
      <c r="H3692" s="9" t="str">
        <f>IFERROR(__xludf.DUMMYFUNCTION("GOOGLETRANSLATE($A3692,""en"",""ja"")"),"ミンダナオ島北部 (地域 X)")</f>
        <v>ミンダナオ島北部 (地域 X)</v>
      </c>
      <c r="I3692" s="9" t="str">
        <f>IFERROR(__xludf.DUMMYFUNCTION("GOOGLETRANSLATE($A3692,""en"",""ko"")"),"북부 민다나오(지역 X)")</f>
        <v>북부 민다나오(지역 X)</v>
      </c>
      <c r="J3692" s="9" t="str">
        <f>IFERROR(__xludf.DUMMYFUNCTION("GOOGLETRANSLATE($A3692,""en"",""pt-BR"")"),"Norte de Mindanao (Região X)")</f>
        <v>Norte de Mindanao (Região X)</v>
      </c>
    </row>
    <row r="3693">
      <c r="A3693" s="9" t="str">
        <f>IFERROR(__xludf.DUMMYFUNCTION("""COMPUTED_VALUE"""),"National Capital Region")</f>
        <v>National Capital Region</v>
      </c>
      <c r="B3693" s="9" t="str">
        <f>IFERROR(__xludf.DUMMYFUNCTION("""COMPUTED_VALUE"""),"ph-00")</f>
        <v>ph-00</v>
      </c>
      <c r="C3693" s="9" t="str">
        <f>IFERROR(__xludf.DUMMYFUNCTION("GOOGLETRANSLATE($A3693,""en"",""de"")"),"Nationale Hauptstadtregion")</f>
        <v>Nationale Hauptstadtregion</v>
      </c>
      <c r="D3693" s="9" t="str">
        <f>IFERROR(__xludf.DUMMYFUNCTION("GOOGLETRANSLATE($A3693,""en"",""fr"")"),"Région de la capitale nationale")</f>
        <v>Région de la capitale nationale</v>
      </c>
      <c r="E3693" s="9" t="str">
        <f>IFERROR(__xludf.DUMMYFUNCTION("GOOGLETRANSLATE($A3693,""en"",""es"")"),"Región de la Capital Nacional")</f>
        <v>Región de la Capital Nacional</v>
      </c>
      <c r="F3693" s="9" t="str">
        <f>IFERROR(__xludf.DUMMYFUNCTION("GOOGLETRANSLATE($A3693,""en"",""it"")"),"Regione della Capitale Nazionale")</f>
        <v>Regione della Capitale Nazionale</v>
      </c>
      <c r="G3693" s="9" t="str">
        <f>IFERROR(__xludf.DUMMYFUNCTION("GOOGLETRANSLATE($A3693,""en"",""zh-cn"")"),"国家首都地区")</f>
        <v>国家首都地区</v>
      </c>
      <c r="H3693" s="9" t="str">
        <f>IFERROR(__xludf.DUMMYFUNCTION("GOOGLETRANSLATE($A3693,""en"",""ja"")"),"首都圏")</f>
        <v>首都圏</v>
      </c>
      <c r="I3693" s="9" t="str">
        <f>IFERROR(__xludf.DUMMYFUNCTION("GOOGLETRANSLATE($A3693,""en"",""ko"")"),"수도권")</f>
        <v>수도권</v>
      </c>
      <c r="J3693" s="9" t="str">
        <f>IFERROR(__xludf.DUMMYFUNCTION("GOOGLETRANSLATE($A3693,""en"",""pt-BR"")"),"Região da Capital Nacional")</f>
        <v>Região da Capital Nacional</v>
      </c>
    </row>
    <row r="3694">
      <c r="A3694" s="9" t="str">
        <f>IFERROR(__xludf.DUMMYFUNCTION("""COMPUTED_VALUE"""),"Apayao")</f>
        <v>Apayao</v>
      </c>
      <c r="B3694" s="9" t="str">
        <f>IFERROR(__xludf.DUMMYFUNCTION("""COMPUTED_VALUE"""),"ph-apa")</f>
        <v>ph-apa</v>
      </c>
      <c r="C3694" s="9" t="str">
        <f>IFERROR(__xludf.DUMMYFUNCTION("GOOGLETRANSLATE($A3694,""en"",""de"")"),"Apayao")</f>
        <v>Apayao</v>
      </c>
      <c r="D3694" s="9" t="str">
        <f>IFERROR(__xludf.DUMMYFUNCTION("GOOGLETRANSLATE($A3694,""en"",""fr"")"),"Apayao")</f>
        <v>Apayao</v>
      </c>
      <c r="E3694" s="9" t="str">
        <f>IFERROR(__xludf.DUMMYFUNCTION("GOOGLETRANSLATE($A3694,""en"",""es"")"),"apayao")</f>
        <v>apayao</v>
      </c>
      <c r="F3694" s="9" t="str">
        <f>IFERROR(__xludf.DUMMYFUNCTION("GOOGLETRANSLATE($A3694,""en"",""it"")"),"Apayao")</f>
        <v>Apayao</v>
      </c>
      <c r="G3694" s="9" t="str">
        <f>IFERROR(__xludf.DUMMYFUNCTION("GOOGLETRANSLATE($A3694,""en"",""zh-cn"")"),"阿帕耀")</f>
        <v>阿帕耀</v>
      </c>
      <c r="H3694" s="9" t="str">
        <f>IFERROR(__xludf.DUMMYFUNCTION("GOOGLETRANSLATE($A3694,""en"",""ja"")"),"アパヤオ")</f>
        <v>アパヤオ</v>
      </c>
      <c r="I3694" s="9" t="str">
        <f>IFERROR(__xludf.DUMMYFUNCTION("GOOGLETRANSLATE($A3694,""en"",""ko"")"),"아파야오")</f>
        <v>아파야오</v>
      </c>
      <c r="J3694" s="9" t="str">
        <f>IFERROR(__xludf.DUMMYFUNCTION("GOOGLETRANSLATE($A3694,""en"",""pt-BR"")"),"Apayao")</f>
        <v>Apayao</v>
      </c>
    </row>
    <row r="3695">
      <c r="A3695" s="9" t="str">
        <f>IFERROR(__xludf.DUMMYFUNCTION("""COMPUTED_VALUE"""),"Ifugao")</f>
        <v>Ifugao</v>
      </c>
      <c r="B3695" s="9" t="str">
        <f>IFERROR(__xludf.DUMMYFUNCTION("""COMPUTED_VALUE"""),"ph-ifu")</f>
        <v>ph-ifu</v>
      </c>
      <c r="C3695" s="9" t="str">
        <f>IFERROR(__xludf.DUMMYFUNCTION("GOOGLETRANSLATE($A3695,""en"",""de"")"),"Ifugao")</f>
        <v>Ifugao</v>
      </c>
      <c r="D3695" s="9" t="str">
        <f>IFERROR(__xludf.DUMMYFUNCTION("GOOGLETRANSLATE($A3695,""en"",""fr"")"),"Ifugao")</f>
        <v>Ifugao</v>
      </c>
      <c r="E3695" s="9" t="str">
        <f>IFERROR(__xludf.DUMMYFUNCTION("GOOGLETRANSLATE($A3695,""en"",""es"")"),"Ifugao")</f>
        <v>Ifugao</v>
      </c>
      <c r="F3695" s="9" t="str">
        <f>IFERROR(__xludf.DUMMYFUNCTION("GOOGLETRANSLATE($A3695,""en"",""it"")"),"Ifugao")</f>
        <v>Ifugao</v>
      </c>
      <c r="G3695" s="9" t="str">
        <f>IFERROR(__xludf.DUMMYFUNCTION("GOOGLETRANSLATE($A3695,""en"",""zh-cn"")"),"伊富高")</f>
        <v>伊富高</v>
      </c>
      <c r="H3695" s="9" t="str">
        <f>IFERROR(__xludf.DUMMYFUNCTION("GOOGLETRANSLATE($A3695,""en"",""ja"")"),"イフガオ")</f>
        <v>イフガオ</v>
      </c>
      <c r="I3695" s="9" t="str">
        <f>IFERROR(__xludf.DUMMYFUNCTION("GOOGLETRANSLATE($A3695,""en"",""ko"")"),"이푸가오")</f>
        <v>이푸가오</v>
      </c>
      <c r="J3695" s="9" t="str">
        <f>IFERROR(__xludf.DUMMYFUNCTION("GOOGLETRANSLATE($A3695,""en"",""pt-BR"")"),"Ifugao")</f>
        <v>Ifugao</v>
      </c>
    </row>
    <row r="3696">
      <c r="A3696" s="9" t="str">
        <f>IFERROR(__xludf.DUMMYFUNCTION("""COMPUTED_VALUE"""),"Batangas")</f>
        <v>Batangas</v>
      </c>
      <c r="B3696" s="9" t="str">
        <f>IFERROR(__xludf.DUMMYFUNCTION("""COMPUTED_VALUE"""),"ph-btg")</f>
        <v>ph-btg</v>
      </c>
      <c r="C3696" s="9" t="str">
        <f>IFERROR(__xludf.DUMMYFUNCTION("GOOGLETRANSLATE($A3696,""en"",""de"")"),"Batangas")</f>
        <v>Batangas</v>
      </c>
      <c r="D3696" s="9" t="str">
        <f>IFERROR(__xludf.DUMMYFUNCTION("GOOGLETRANSLATE($A3696,""en"",""fr"")"),"Batangas")</f>
        <v>Batangas</v>
      </c>
      <c r="E3696" s="9" t="str">
        <f>IFERROR(__xludf.DUMMYFUNCTION("GOOGLETRANSLATE($A3696,""en"",""es"")"),"Batangas")</f>
        <v>Batangas</v>
      </c>
      <c r="F3696" s="9" t="str">
        <f>IFERROR(__xludf.DUMMYFUNCTION("GOOGLETRANSLATE($A3696,""en"",""it"")"),"Batangas")</f>
        <v>Batangas</v>
      </c>
      <c r="G3696" s="9" t="str">
        <f>IFERROR(__xludf.DUMMYFUNCTION("GOOGLETRANSLATE($A3696,""en"",""zh-cn"")"),"八打雁")</f>
        <v>八打雁</v>
      </c>
      <c r="H3696" s="9" t="str">
        <f>IFERROR(__xludf.DUMMYFUNCTION("GOOGLETRANSLATE($A3696,""en"",""ja"")"),"バタンガス州")</f>
        <v>バタンガス州</v>
      </c>
      <c r="I3696" s="9" t="str">
        <f>IFERROR(__xludf.DUMMYFUNCTION("GOOGLETRANSLATE($A3696,""en"",""ko"")"),"바탕가스")</f>
        <v>바탕가스</v>
      </c>
      <c r="J3696" s="9" t="str">
        <f>IFERROR(__xludf.DUMMYFUNCTION("GOOGLETRANSLATE($A3696,""en"",""pt-BR"")"),"Batangas")</f>
        <v>Batangas</v>
      </c>
    </row>
    <row r="3697">
      <c r="A3697" s="9" t="str">
        <f>IFERROR(__xludf.DUMMYFUNCTION("""COMPUTED_VALUE"""),"Romblon")</f>
        <v>Romblon</v>
      </c>
      <c r="B3697" s="9" t="str">
        <f>IFERROR(__xludf.DUMMYFUNCTION("""COMPUTED_VALUE"""),"ph-rom")</f>
        <v>ph-rom</v>
      </c>
      <c r="C3697" s="9" t="str">
        <f>IFERROR(__xludf.DUMMYFUNCTION("GOOGLETRANSLATE($A3697,""en"",""de"")"),"Romblon")</f>
        <v>Romblon</v>
      </c>
      <c r="D3697" s="9" t="str">
        <f>IFERROR(__xludf.DUMMYFUNCTION("GOOGLETRANSLATE($A3697,""en"",""fr"")"),"Romblon")</f>
        <v>Romblon</v>
      </c>
      <c r="E3697" s="9" t="str">
        <f>IFERROR(__xludf.DUMMYFUNCTION("GOOGLETRANSLATE($A3697,""en"",""es"")"),"Romblón")</f>
        <v>Romblón</v>
      </c>
      <c r="F3697" s="9" t="str">
        <f>IFERROR(__xludf.DUMMYFUNCTION("GOOGLETRANSLATE($A3697,""en"",""it"")"),"Romblon")</f>
        <v>Romblon</v>
      </c>
      <c r="G3697" s="9" t="str">
        <f>IFERROR(__xludf.DUMMYFUNCTION("GOOGLETRANSLATE($A3697,""en"",""zh-cn"")"),"朗布隆")</f>
        <v>朗布隆</v>
      </c>
      <c r="H3697" s="9" t="str">
        <f>IFERROR(__xludf.DUMMYFUNCTION("GOOGLETRANSLATE($A3697,""en"",""ja"")"),"ロンブロン")</f>
        <v>ロンブロン</v>
      </c>
      <c r="I3697" s="9" t="str">
        <f>IFERROR(__xludf.DUMMYFUNCTION("GOOGLETRANSLATE($A3697,""en"",""ko"")"),"롬블론")</f>
        <v>롬블론</v>
      </c>
      <c r="J3697" s="9" t="str">
        <f>IFERROR(__xludf.DUMMYFUNCTION("GOOGLETRANSLATE($A3697,""en"",""pt-BR"")"),"Romblon")</f>
        <v>Romblon</v>
      </c>
    </row>
    <row r="3698">
      <c r="A3698" s="9" t="str">
        <f>IFERROR(__xludf.DUMMYFUNCTION("""COMPUTED_VALUE"""),"Aurora")</f>
        <v>Aurora</v>
      </c>
      <c r="B3698" s="9" t="str">
        <f>IFERROR(__xludf.DUMMYFUNCTION("""COMPUTED_VALUE"""),"ph-aur")</f>
        <v>ph-aur</v>
      </c>
      <c r="C3698" s="9" t="str">
        <f>IFERROR(__xludf.DUMMYFUNCTION("GOOGLETRANSLATE($A3698,""en"",""de"")"),"Aurora")</f>
        <v>Aurora</v>
      </c>
      <c r="D3698" s="9" t="str">
        <f>IFERROR(__xludf.DUMMYFUNCTION("GOOGLETRANSLATE($A3698,""en"",""fr"")"),"Aurore")</f>
        <v>Aurore</v>
      </c>
      <c r="E3698" s="9" t="str">
        <f>IFERROR(__xludf.DUMMYFUNCTION("GOOGLETRANSLATE($A3698,""en"",""es"")"),"Aurora")</f>
        <v>Aurora</v>
      </c>
      <c r="F3698" s="9" t="str">
        <f>IFERROR(__xludf.DUMMYFUNCTION("GOOGLETRANSLATE($A3698,""en"",""it"")"),"Aurora")</f>
        <v>Aurora</v>
      </c>
      <c r="G3698" s="9" t="str">
        <f>IFERROR(__xludf.DUMMYFUNCTION("GOOGLETRANSLATE($A3698,""en"",""zh-cn"")"),"极光")</f>
        <v>极光</v>
      </c>
      <c r="H3698" s="9" t="str">
        <f>IFERROR(__xludf.DUMMYFUNCTION("GOOGLETRANSLATE($A3698,""en"",""ja"")"),"オーロラ")</f>
        <v>オーロラ</v>
      </c>
      <c r="I3698" s="9" t="str">
        <f>IFERROR(__xludf.DUMMYFUNCTION("GOOGLETRANSLATE($A3698,""en"",""ko"")"),"오로라")</f>
        <v>오로라</v>
      </c>
      <c r="J3698" s="9" t="str">
        <f>IFERROR(__xludf.DUMMYFUNCTION("GOOGLETRANSLATE($A3698,""en"",""pt-BR"")"),"aurora")</f>
        <v>aurora</v>
      </c>
    </row>
    <row r="3699">
      <c r="A3699" s="9" t="str">
        <f>IFERROR(__xludf.DUMMYFUNCTION("""COMPUTED_VALUE"""),"Sorsogon")</f>
        <v>Sorsogon</v>
      </c>
      <c r="B3699" s="9" t="str">
        <f>IFERROR(__xludf.DUMMYFUNCTION("""COMPUTED_VALUE"""),"ph-sor")</f>
        <v>ph-sor</v>
      </c>
      <c r="C3699" s="9" t="str">
        <f>IFERROR(__xludf.DUMMYFUNCTION("GOOGLETRANSLATE($A3699,""en"",""de"")"),"Sorsogon")</f>
        <v>Sorsogon</v>
      </c>
      <c r="D3699" s="9" t="str">
        <f>IFERROR(__xludf.DUMMYFUNCTION("GOOGLETRANSLATE($A3699,""en"",""fr"")"),"Sorsogon")</f>
        <v>Sorsogon</v>
      </c>
      <c r="E3699" s="9" t="str">
        <f>IFERROR(__xludf.DUMMYFUNCTION("GOOGLETRANSLATE($A3699,""en"",""es"")"),"Sorsogón")</f>
        <v>Sorsogón</v>
      </c>
      <c r="F3699" s="9" t="str">
        <f>IFERROR(__xludf.DUMMYFUNCTION("GOOGLETRANSLATE($A3699,""en"",""it"")"),"Sorsogon")</f>
        <v>Sorsogon</v>
      </c>
      <c r="G3699" s="9" t="str">
        <f>IFERROR(__xludf.DUMMYFUNCTION("GOOGLETRANSLATE($A3699,""en"",""zh-cn"")"),"索索贡")</f>
        <v>索索贡</v>
      </c>
      <c r="H3699" s="9" t="str">
        <f>IFERROR(__xludf.DUMMYFUNCTION("GOOGLETRANSLATE($A3699,""en"",""ja"")"),"ソルソゴン")</f>
        <v>ソルソゴン</v>
      </c>
      <c r="I3699" s="9" t="str">
        <f>IFERROR(__xludf.DUMMYFUNCTION("GOOGLETRANSLATE($A3699,""en"",""ko"")"),"소르소곤")</f>
        <v>소르소곤</v>
      </c>
      <c r="J3699" s="9" t="str">
        <f>IFERROR(__xludf.DUMMYFUNCTION("GOOGLETRANSLATE($A3699,""en"",""pt-BR"")"),"Sorsogon")</f>
        <v>Sorsogon</v>
      </c>
    </row>
    <row r="3700">
      <c r="A3700" s="9" t="str">
        <f>IFERROR(__xludf.DUMMYFUNCTION("""COMPUTED_VALUE"""),"Negros Occidental")</f>
        <v>Negros Occidental</v>
      </c>
      <c r="B3700" s="9" t="str">
        <f>IFERROR(__xludf.DUMMYFUNCTION("""COMPUTED_VALUE"""),"ph-nec")</f>
        <v>ph-nec</v>
      </c>
      <c r="C3700" s="9" t="str">
        <f>IFERROR(__xludf.DUMMYFUNCTION("GOOGLETRANSLATE($A3700,""en"",""de"")"),"Negros Occidental")</f>
        <v>Negros Occidental</v>
      </c>
      <c r="D3700" s="9" t="str">
        <f>IFERROR(__xludf.DUMMYFUNCTION("GOOGLETRANSLATE($A3700,""en"",""fr"")"),"Nègres occidentaux")</f>
        <v>Nègres occidentaux</v>
      </c>
      <c r="E3700" s="9" t="str">
        <f>IFERROR(__xludf.DUMMYFUNCTION("GOOGLETRANSLATE($A3700,""en"",""es"")"),"Negros Occidentales")</f>
        <v>Negros Occidentales</v>
      </c>
      <c r="F3700" s="9" t="str">
        <f>IFERROR(__xludf.DUMMYFUNCTION("GOOGLETRANSLATE($A3700,""en"",""it"")"),"Negros Occidentale")</f>
        <v>Negros Occidentale</v>
      </c>
      <c r="G3700" s="9" t="str">
        <f>IFERROR(__xludf.DUMMYFUNCTION("GOOGLETRANSLATE($A3700,""en"",""zh-cn"")"),"西内格罗斯")</f>
        <v>西内格罗斯</v>
      </c>
      <c r="H3700" s="9" t="str">
        <f>IFERROR(__xludf.DUMMYFUNCTION("GOOGLETRANSLATE($A3700,""en"",""ja"")"),"西ネグロス州")</f>
        <v>西ネグロス州</v>
      </c>
      <c r="I3700" s="9" t="str">
        <f>IFERROR(__xludf.DUMMYFUNCTION("GOOGLETRANSLATE($A3700,""en"",""ko"")"),"네그로스 옥시덴탈")</f>
        <v>네그로스 옥시덴탈</v>
      </c>
      <c r="J3700" s="9" t="str">
        <f>IFERROR(__xludf.DUMMYFUNCTION("GOOGLETRANSLATE($A3700,""en"",""pt-BR"")"),"Negros Ocidental")</f>
        <v>Negros Ocidental</v>
      </c>
    </row>
    <row r="3701">
      <c r="A3701" s="9" t="str">
        <f>IFERROR(__xludf.DUMMYFUNCTION("""COMPUTED_VALUE"""),"Siquijor")</f>
        <v>Siquijor</v>
      </c>
      <c r="B3701" s="9" t="str">
        <f>IFERROR(__xludf.DUMMYFUNCTION("""COMPUTED_VALUE"""),"ph-sig")</f>
        <v>ph-sig</v>
      </c>
      <c r="C3701" s="9" t="str">
        <f>IFERROR(__xludf.DUMMYFUNCTION("GOOGLETRANSLATE($A3701,""en"",""de"")"),"Siquijor")</f>
        <v>Siquijor</v>
      </c>
      <c r="D3701" s="9" t="str">
        <f>IFERROR(__xludf.DUMMYFUNCTION("GOOGLETRANSLATE($A3701,""en"",""fr"")"),"Siquijor")</f>
        <v>Siquijor</v>
      </c>
      <c r="E3701" s="9" t="str">
        <f>IFERROR(__xludf.DUMMYFUNCTION("GOOGLETRANSLATE($A3701,""en"",""es"")"),"Siquijor")</f>
        <v>Siquijor</v>
      </c>
      <c r="F3701" s="9" t="str">
        <f>IFERROR(__xludf.DUMMYFUNCTION("GOOGLETRANSLATE($A3701,""en"",""it"")"),"Siquijor")</f>
        <v>Siquijor</v>
      </c>
      <c r="G3701" s="9" t="str">
        <f>IFERROR(__xludf.DUMMYFUNCTION("GOOGLETRANSLATE($A3701,""en"",""zh-cn"")"),"锡基霍尔")</f>
        <v>锡基霍尔</v>
      </c>
      <c r="H3701" s="9" t="str">
        <f>IFERROR(__xludf.DUMMYFUNCTION("GOOGLETRANSLATE($A3701,""en"",""ja"")"),"シキホール")</f>
        <v>シキホール</v>
      </c>
      <c r="I3701" s="9" t="str">
        <f>IFERROR(__xludf.DUMMYFUNCTION("GOOGLETRANSLATE($A3701,""en"",""ko"")"),"시키호르")</f>
        <v>시키호르</v>
      </c>
      <c r="J3701" s="9" t="str">
        <f>IFERROR(__xludf.DUMMYFUNCTION("GOOGLETRANSLATE($A3701,""en"",""pt-BR"")"),"Siquijor")</f>
        <v>Siquijor</v>
      </c>
    </row>
    <row r="3702">
      <c r="A3702" s="9" t="str">
        <f>IFERROR(__xludf.DUMMYFUNCTION("""COMPUTED_VALUE"""),"Zamboanga del Sur")</f>
        <v>Zamboanga del Sur</v>
      </c>
      <c r="B3702" s="9" t="str">
        <f>IFERROR(__xludf.DUMMYFUNCTION("""COMPUTED_VALUE"""),"ph-zas")</f>
        <v>ph-zas</v>
      </c>
      <c r="C3702" s="9" t="str">
        <f>IFERROR(__xludf.DUMMYFUNCTION("GOOGLETRANSLATE($A3702,""en"",""de"")"),"Zamboanga del Sur")</f>
        <v>Zamboanga del Sur</v>
      </c>
      <c r="D3702" s="9" t="str">
        <f>IFERROR(__xludf.DUMMYFUNCTION("GOOGLETRANSLATE($A3702,""en"",""fr"")"),"Zamboanga du Sud")</f>
        <v>Zamboanga du Sud</v>
      </c>
      <c r="E3702" s="9" t="str">
        <f>IFERROR(__xludf.DUMMYFUNCTION("GOOGLETRANSLATE($A3702,""en"",""es"")"),"Zamboanga del Sur")</f>
        <v>Zamboanga del Sur</v>
      </c>
      <c r="F3702" s="9" t="str">
        <f>IFERROR(__xludf.DUMMYFUNCTION("GOOGLETRANSLATE($A3702,""en"",""it"")"),"Zamboanga del Sur")</f>
        <v>Zamboanga del Sur</v>
      </c>
      <c r="G3702" s="9" t="str">
        <f>IFERROR(__xludf.DUMMYFUNCTION("GOOGLETRANSLATE($A3702,""en"",""zh-cn"")"),"南三宝颜")</f>
        <v>南三宝颜</v>
      </c>
      <c r="H3702" s="9" t="str">
        <f>IFERROR(__xludf.DUMMYFUNCTION("GOOGLETRANSLATE($A3702,""en"",""ja"")"),"南ザンボアンガ")</f>
        <v>南ザンボアンガ</v>
      </c>
      <c r="I3702" s="9" t="str">
        <f>IFERROR(__xludf.DUMMYFUNCTION("GOOGLETRANSLATE($A3702,""en"",""ko"")"),"잠보앙가 델 수르")</f>
        <v>잠보앙가 델 수르</v>
      </c>
      <c r="J3702" s="9" t="str">
        <f>IFERROR(__xludf.DUMMYFUNCTION("GOOGLETRANSLATE($A3702,""en"",""pt-BR"")"),"Zamboanga do Sul")</f>
        <v>Zamboanga do Sul</v>
      </c>
    </row>
    <row r="3703">
      <c r="A3703" s="9" t="str">
        <f>IFERROR(__xludf.DUMMYFUNCTION("""COMPUTED_VALUE"""),"Capiz")</f>
        <v>Capiz</v>
      </c>
      <c r="B3703" s="9" t="str">
        <f>IFERROR(__xludf.DUMMYFUNCTION("""COMPUTED_VALUE"""),"ph-cap")</f>
        <v>ph-cap</v>
      </c>
      <c r="C3703" s="9" t="str">
        <f>IFERROR(__xludf.DUMMYFUNCTION("GOOGLETRANSLATE($A3703,""en"",""de"")"),"Capiz")</f>
        <v>Capiz</v>
      </c>
      <c r="D3703" s="9" t="str">
        <f>IFERROR(__xludf.DUMMYFUNCTION("GOOGLETRANSLATE($A3703,""en"",""fr"")"),"Capiz")</f>
        <v>Capiz</v>
      </c>
      <c r="E3703" s="9" t="str">
        <f>IFERROR(__xludf.DUMMYFUNCTION("GOOGLETRANSLATE($A3703,""en"",""es"")"),"Cápiz")</f>
        <v>Cápiz</v>
      </c>
      <c r="F3703" s="9" t="str">
        <f>IFERROR(__xludf.DUMMYFUNCTION("GOOGLETRANSLATE($A3703,""en"",""it"")"),"Capiz")</f>
        <v>Capiz</v>
      </c>
      <c r="G3703" s="9" t="str">
        <f>IFERROR(__xludf.DUMMYFUNCTION("GOOGLETRANSLATE($A3703,""en"",""zh-cn"")"),"卡皮兹")</f>
        <v>卡皮兹</v>
      </c>
      <c r="H3703" s="9" t="str">
        <f>IFERROR(__xludf.DUMMYFUNCTION("GOOGLETRANSLATE($A3703,""en"",""ja"")"),"カピス")</f>
        <v>カピス</v>
      </c>
      <c r="I3703" s="9" t="str">
        <f>IFERROR(__xludf.DUMMYFUNCTION("GOOGLETRANSLATE($A3703,""en"",""ko"")"),"카피스")</f>
        <v>카피스</v>
      </c>
      <c r="J3703" s="9" t="str">
        <f>IFERROR(__xludf.DUMMYFUNCTION("GOOGLETRANSLATE($A3703,""en"",""pt-BR"")"),"Capiz")</f>
        <v>Capiz</v>
      </c>
    </row>
    <row r="3704">
      <c r="A3704" s="9" t="str">
        <f>IFERROR(__xludf.DUMMYFUNCTION("""COMPUTED_VALUE"""),"Surigao del Norte")</f>
        <v>Surigao del Norte</v>
      </c>
      <c r="B3704" s="9" t="str">
        <f>IFERROR(__xludf.DUMMYFUNCTION("""COMPUTED_VALUE"""),"ph-sun")</f>
        <v>ph-sun</v>
      </c>
      <c r="C3704" s="9" t="str">
        <f>IFERROR(__xludf.DUMMYFUNCTION("GOOGLETRANSLATE($A3704,""en"",""de"")"),"Surigao del Norte")</f>
        <v>Surigao del Norte</v>
      </c>
      <c r="D3704" s="9" t="str">
        <f>IFERROR(__xludf.DUMMYFUNCTION("GOOGLETRANSLATE($A3704,""en"",""fr"")"),"Surigao du Nord")</f>
        <v>Surigao du Nord</v>
      </c>
      <c r="E3704" s="9" t="str">
        <f>IFERROR(__xludf.DUMMYFUNCTION("GOOGLETRANSLATE($A3704,""en"",""es"")"),"surigao del norte")</f>
        <v>surigao del norte</v>
      </c>
      <c r="F3704" s="9" t="str">
        <f>IFERROR(__xludf.DUMMYFUNCTION("GOOGLETRANSLATE($A3704,""en"",""it"")"),"Surigao del Norte")</f>
        <v>Surigao del Norte</v>
      </c>
      <c r="G3704" s="9" t="str">
        <f>IFERROR(__xludf.DUMMYFUNCTION("GOOGLETRANSLATE($A3704,""en"",""zh-cn"")"),"北苏里高")</f>
        <v>北苏里高</v>
      </c>
      <c r="H3704" s="9" t="str">
        <f>IFERROR(__xludf.DUMMYFUNCTION("GOOGLETRANSLATE($A3704,""en"",""ja"")"),"北スリガオ")</f>
        <v>北スリガオ</v>
      </c>
      <c r="I3704" s="9" t="str">
        <f>IFERROR(__xludf.DUMMYFUNCTION("GOOGLETRANSLATE($A3704,""en"",""ko"")"),"수리가오 델 노르테")</f>
        <v>수리가오 델 노르테</v>
      </c>
      <c r="J3704" s="9" t="str">
        <f>IFERROR(__xludf.DUMMYFUNCTION("GOOGLETRANSLATE($A3704,""en"",""pt-BR"")"),"Surigao del Norte")</f>
        <v>Surigao del Norte</v>
      </c>
    </row>
    <row r="3705">
      <c r="A3705" s="9" t="str">
        <f>IFERROR(__xludf.DUMMYFUNCTION("""COMPUTED_VALUE"""),"Bataan")</f>
        <v>Bataan</v>
      </c>
      <c r="B3705" s="9" t="str">
        <f>IFERROR(__xludf.DUMMYFUNCTION("""COMPUTED_VALUE"""),"ph-ban")</f>
        <v>ph-ban</v>
      </c>
      <c r="C3705" s="9" t="str">
        <f>IFERROR(__xludf.DUMMYFUNCTION("GOOGLETRANSLATE($A3705,""en"",""de"")"),"Bataan")</f>
        <v>Bataan</v>
      </c>
      <c r="D3705" s="9" t="str">
        <f>IFERROR(__xludf.DUMMYFUNCTION("GOOGLETRANSLATE($A3705,""en"",""fr"")"),"Bataan")</f>
        <v>Bataan</v>
      </c>
      <c r="E3705" s="9" t="str">
        <f>IFERROR(__xludf.DUMMYFUNCTION("GOOGLETRANSLATE($A3705,""en"",""es"")"),"Bataán")</f>
        <v>Bataán</v>
      </c>
      <c r="F3705" s="9" t="str">
        <f>IFERROR(__xludf.DUMMYFUNCTION("GOOGLETRANSLATE($A3705,""en"",""it"")"),"Batan")</f>
        <v>Batan</v>
      </c>
      <c r="G3705" s="9" t="str">
        <f>IFERROR(__xludf.DUMMYFUNCTION("GOOGLETRANSLATE($A3705,""en"",""zh-cn"")"),"巴丹岛")</f>
        <v>巴丹岛</v>
      </c>
      <c r="H3705" s="9" t="str">
        <f>IFERROR(__xludf.DUMMYFUNCTION("GOOGLETRANSLATE($A3705,""en"",""ja"")"),"バターン")</f>
        <v>バターン</v>
      </c>
      <c r="I3705" s="9" t="str">
        <f>IFERROR(__xludf.DUMMYFUNCTION("GOOGLETRANSLATE($A3705,""en"",""ko"")"),"바탄")</f>
        <v>바탄</v>
      </c>
      <c r="J3705" s="9" t="str">
        <f>IFERROR(__xludf.DUMMYFUNCTION("GOOGLETRANSLATE($A3705,""en"",""pt-BR"")"),"Bataan")</f>
        <v>Bataan</v>
      </c>
    </row>
    <row r="3706">
      <c r="A3706" s="9" t="str">
        <f>IFERROR(__xludf.DUMMYFUNCTION("""COMPUTED_VALUE"""),"Western Visayas (Region VI)")</f>
        <v>Western Visayas (Region VI)</v>
      </c>
      <c r="B3706" s="9" t="str">
        <f>IFERROR(__xludf.DUMMYFUNCTION("""COMPUTED_VALUE"""),"ph-06")</f>
        <v>ph-06</v>
      </c>
      <c r="C3706" s="9" t="str">
        <f>IFERROR(__xludf.DUMMYFUNCTION("GOOGLETRANSLATE($A3706,""en"",""de"")"),"Western Visayas (Region VI)")</f>
        <v>Western Visayas (Region VI)</v>
      </c>
      <c r="D3706" s="9" t="str">
        <f>IFERROR(__xludf.DUMMYFUNCTION("GOOGLETRANSLATE($A3706,""en"",""fr"")"),"Visayas occidentales (Région VI)")</f>
        <v>Visayas occidentales (Région VI)</v>
      </c>
      <c r="E3706" s="9" t="str">
        <f>IFERROR(__xludf.DUMMYFUNCTION("GOOGLETRANSLATE($A3706,""en"",""es"")"),"Visayas occidentales (Región VI)")</f>
        <v>Visayas occidentales (Región VI)</v>
      </c>
      <c r="F3706" s="9" t="str">
        <f>IFERROR(__xludf.DUMMYFUNCTION("GOOGLETRANSLATE($A3706,""en"",""it"")"),"Visayas occidentali (regione VI)")</f>
        <v>Visayas occidentali (regione VI)</v>
      </c>
      <c r="G3706" s="9" t="str">
        <f>IFERROR(__xludf.DUMMYFUNCTION("GOOGLETRANSLATE($A3706,""en"",""zh-cn"")"),"西米沙鄢（第六区）")</f>
        <v>西米沙鄢（第六区）</v>
      </c>
      <c r="H3706" s="9" t="str">
        <f>IFERROR(__xludf.DUMMYFUNCTION("GOOGLETRANSLATE($A3706,""en"",""ja"")"),"西ビサヤ (地域 VI)")</f>
        <v>西ビサヤ (地域 VI)</v>
      </c>
      <c r="I3706" s="9" t="str">
        <f>IFERROR(__xludf.DUMMYFUNCTION("GOOGLETRANSLATE($A3706,""en"",""ko"")"),"서부 비사야(지역 VI)")</f>
        <v>서부 비사야(지역 VI)</v>
      </c>
      <c r="J3706" s="9" t="str">
        <f>IFERROR(__xludf.DUMMYFUNCTION("GOOGLETRANSLATE($A3706,""en"",""pt-BR"")"),"Visayas Ocidentais (Região VI)")</f>
        <v>Visayas Ocidentais (Região VI)</v>
      </c>
    </row>
    <row r="3707">
      <c r="A3707" s="9" t="str">
        <f>IFERROR(__xludf.DUMMYFUNCTION("""COMPUTED_VALUE"""),"Calabarzon (Region IV-A)")</f>
        <v>Calabarzon (Region IV-A)</v>
      </c>
      <c r="B3707" s="9" t="str">
        <f>IFERROR(__xludf.DUMMYFUNCTION("""COMPUTED_VALUE"""),"ph-40")</f>
        <v>ph-40</v>
      </c>
      <c r="C3707" s="9" t="str">
        <f>IFERROR(__xludf.DUMMYFUNCTION("GOOGLETRANSLATE($A3707,""en"",""de"")"),"Calabarzon (Region IV-A)")</f>
        <v>Calabarzon (Region IV-A)</v>
      </c>
      <c r="D3707" s="9" t="str">
        <f>IFERROR(__xludf.DUMMYFUNCTION("GOOGLETRANSLATE($A3707,""en"",""fr"")"),"Calabarzon (Région IV-A)")</f>
        <v>Calabarzon (Région IV-A)</v>
      </c>
      <c r="E3707" s="9" t="str">
        <f>IFERROR(__xludf.DUMMYFUNCTION("GOOGLETRANSLATE($A3707,""en"",""es"")"),"Calabarzón (Región IV-A)")</f>
        <v>Calabarzón (Región IV-A)</v>
      </c>
      <c r="F3707" s="9" t="str">
        <f>IFERROR(__xludf.DUMMYFUNCTION("GOOGLETRANSLATE($A3707,""en"",""it"")"),"Calabarzon (Regione IV-A)")</f>
        <v>Calabarzon (Regione IV-A)</v>
      </c>
      <c r="G3707" s="9" t="str">
        <f>IFERROR(__xludf.DUMMYFUNCTION("GOOGLETRANSLATE($A3707,""en"",""zh-cn"")"),"卡拉巴松（IV-A 区）")</f>
        <v>卡拉巴松（IV-A 区）</v>
      </c>
      <c r="H3707" s="9" t="str">
        <f>IFERROR(__xludf.DUMMYFUNCTION("GOOGLETRANSLATE($A3707,""en"",""ja"")"),"カラバルソン地方 (地域 IV-A)")</f>
        <v>カラバルソン地方 (地域 IV-A)</v>
      </c>
      <c r="I3707" s="9" t="str">
        <f>IFERROR(__xludf.DUMMYFUNCTION("GOOGLETRANSLATE($A3707,""en"",""ko"")"),"칼라바르손(지역 IV-A)")</f>
        <v>칼라바르손(지역 IV-A)</v>
      </c>
      <c r="J3707" s="9" t="str">
        <f>IFERROR(__xludf.DUMMYFUNCTION("GOOGLETRANSLATE($A3707,""en"",""pt-BR"")"),"Calabarzon (Região IV-A)")</f>
        <v>Calabarzon (Região IV-A)</v>
      </c>
    </row>
    <row r="3708">
      <c r="A3708" s="9" t="str">
        <f>IFERROR(__xludf.DUMMYFUNCTION("""COMPUTED_VALUE"""),"Davao de Oro")</f>
        <v>Davao de Oro</v>
      </c>
      <c r="B3708" s="9" t="str">
        <f>IFERROR(__xludf.DUMMYFUNCTION("""COMPUTED_VALUE"""),"ph-com")</f>
        <v>ph-com</v>
      </c>
      <c r="C3708" s="9" t="str">
        <f>IFERROR(__xludf.DUMMYFUNCTION("GOOGLETRANSLATE($A3708,""en"",""de"")"),"Davao de Oro")</f>
        <v>Davao de Oro</v>
      </c>
      <c r="D3708" s="9" t="str">
        <f>IFERROR(__xludf.DUMMYFUNCTION("GOOGLETRANSLATE($A3708,""en"",""fr"")"),"Davao de Oro")</f>
        <v>Davao de Oro</v>
      </c>
      <c r="E3708" s="9" t="str">
        <f>IFERROR(__xludf.DUMMYFUNCTION("GOOGLETRANSLATE($A3708,""en"",""es"")"),"Dávao de Oro")</f>
        <v>Dávao de Oro</v>
      </c>
      <c r="F3708" s="9" t="str">
        <f>IFERROR(__xludf.DUMMYFUNCTION("GOOGLETRANSLATE($A3708,""en"",""it"")"),"Davao de Oro")</f>
        <v>Davao de Oro</v>
      </c>
      <c r="G3708" s="9" t="str">
        <f>IFERROR(__xludf.DUMMYFUNCTION("GOOGLETRANSLATE($A3708,""en"",""zh-cn"")"),"达沃德奥罗")</f>
        <v>达沃德奥罗</v>
      </c>
      <c r="H3708" s="9" t="str">
        <f>IFERROR(__xludf.DUMMYFUNCTION("GOOGLETRANSLATE($A3708,""en"",""ja"")"),"ダバオ デ オロ")</f>
        <v>ダバオ デ オロ</v>
      </c>
      <c r="I3708" s="9" t="str">
        <f>IFERROR(__xludf.DUMMYFUNCTION("GOOGLETRANSLATE($A3708,""en"",""ko"")"),"다바오 데 오로")</f>
        <v>다바오 데 오로</v>
      </c>
      <c r="J3708" s="9" t="str">
        <f>IFERROR(__xludf.DUMMYFUNCTION("GOOGLETRANSLATE($A3708,""en"",""pt-BR"")"),"Davao de Oro")</f>
        <v>Davao de Oro</v>
      </c>
    </row>
    <row r="3709">
      <c r="A3709" s="9" t="str">
        <f>IFERROR(__xludf.DUMMYFUNCTION("""COMPUTED_VALUE"""),"Surigao del Sur")</f>
        <v>Surigao del Sur</v>
      </c>
      <c r="B3709" s="9" t="str">
        <f>IFERROR(__xludf.DUMMYFUNCTION("""COMPUTED_VALUE"""),"ph-sur")</f>
        <v>ph-sur</v>
      </c>
      <c r="C3709" s="9" t="str">
        <f>IFERROR(__xludf.DUMMYFUNCTION("GOOGLETRANSLATE($A3709,""en"",""de"")"),"Surigao del Sur")</f>
        <v>Surigao del Sur</v>
      </c>
      <c r="D3709" s="9" t="str">
        <f>IFERROR(__xludf.DUMMYFUNCTION("GOOGLETRANSLATE($A3709,""en"",""fr"")"),"Surigao du Sud")</f>
        <v>Surigao du Sud</v>
      </c>
      <c r="E3709" s="9" t="str">
        <f>IFERROR(__xludf.DUMMYFUNCTION("GOOGLETRANSLATE($A3709,""en"",""es"")"),"surigao del sur")</f>
        <v>surigao del sur</v>
      </c>
      <c r="F3709" s="9" t="str">
        <f>IFERROR(__xludf.DUMMYFUNCTION("GOOGLETRANSLATE($A3709,""en"",""it"")"),"Surigao del Sur")</f>
        <v>Surigao del Sur</v>
      </c>
      <c r="G3709" s="9" t="str">
        <f>IFERROR(__xludf.DUMMYFUNCTION("GOOGLETRANSLATE($A3709,""en"",""zh-cn"")"),"南苏里高")</f>
        <v>南苏里高</v>
      </c>
      <c r="H3709" s="9" t="str">
        <f>IFERROR(__xludf.DUMMYFUNCTION("GOOGLETRANSLATE($A3709,""en"",""ja"")"),"南スリガオ")</f>
        <v>南スリガオ</v>
      </c>
      <c r="I3709" s="9" t="str">
        <f>IFERROR(__xludf.DUMMYFUNCTION("GOOGLETRANSLATE($A3709,""en"",""ko"")"),"수리가오 델 수르")</f>
        <v>수리가오 델 수르</v>
      </c>
      <c r="J3709" s="9" t="str">
        <f>IFERROR(__xludf.DUMMYFUNCTION("GOOGLETRANSLATE($A3709,""en"",""pt-BR"")"),"Surigao del Sur")</f>
        <v>Surigao del Sur</v>
      </c>
    </row>
    <row r="3710">
      <c r="A3710" s="9" t="str">
        <f>IFERROR(__xludf.DUMMYFUNCTION("""COMPUTED_VALUE"""),"Camarines Norte")</f>
        <v>Camarines Norte</v>
      </c>
      <c r="B3710" s="9" t="str">
        <f>IFERROR(__xludf.DUMMYFUNCTION("""COMPUTED_VALUE"""),"ph-can")</f>
        <v>ph-can</v>
      </c>
      <c r="C3710" s="9" t="str">
        <f>IFERROR(__xludf.DUMMYFUNCTION("GOOGLETRANSLATE($A3710,""en"",""de"")"),"Camarines Norte")</f>
        <v>Camarines Norte</v>
      </c>
      <c r="D3710" s="9" t="str">
        <f>IFERROR(__xludf.DUMMYFUNCTION("GOOGLETRANSLATE($A3710,""en"",""fr"")"),"Camarines Nord")</f>
        <v>Camarines Nord</v>
      </c>
      <c r="E3710" s="9" t="str">
        <f>IFERROR(__xludf.DUMMYFUNCTION("GOOGLETRANSLATE($A3710,""en"",""es"")"),"Camarines Norte")</f>
        <v>Camarines Norte</v>
      </c>
      <c r="F3710" s="9" t="str">
        <f>IFERROR(__xludf.DUMMYFUNCTION("GOOGLETRANSLATE($A3710,""en"",""it"")"),"Camarines Norte")</f>
        <v>Camarines Norte</v>
      </c>
      <c r="G3710" s="9" t="str">
        <f>IFERROR(__xludf.DUMMYFUNCTION("GOOGLETRANSLATE($A3710,""en"",""zh-cn"")"),"北甘马粦")</f>
        <v>北甘马粦</v>
      </c>
      <c r="H3710" s="9" t="str">
        <f>IFERROR(__xludf.DUMMYFUNCTION("GOOGLETRANSLATE($A3710,""en"",""ja"")"),"カマリネスノルテ")</f>
        <v>カマリネスノルテ</v>
      </c>
      <c r="I3710" s="9" t="str">
        <f>IFERROR(__xludf.DUMMYFUNCTION("GOOGLETRANSLATE($A3710,""en"",""ko"")"),"카마리네스 노르테")</f>
        <v>카마리네스 노르테</v>
      </c>
      <c r="J3710" s="9" t="str">
        <f>IFERROR(__xludf.DUMMYFUNCTION("GOOGLETRANSLATE($A3710,""en"",""pt-BR"")"),"Camarines Norte")</f>
        <v>Camarines Norte</v>
      </c>
    </row>
    <row r="3711">
      <c r="A3711" s="9" t="str">
        <f>IFERROR(__xludf.DUMMYFUNCTION("""COMPUTED_VALUE"""),"Bicol (Region V)")</f>
        <v>Bicol (Region V)</v>
      </c>
      <c r="B3711" s="9" t="str">
        <f>IFERROR(__xludf.DUMMYFUNCTION("""COMPUTED_VALUE"""),"ph-05")</f>
        <v>ph-05</v>
      </c>
      <c r="C3711" s="9" t="str">
        <f>IFERROR(__xludf.DUMMYFUNCTION("GOOGLETRANSLATE($A3711,""en"",""de"")"),"Bicol (Region V)")</f>
        <v>Bicol (Region V)</v>
      </c>
      <c r="D3711" s="9" t="str">
        <f>IFERROR(__xludf.DUMMYFUNCTION("GOOGLETRANSLATE($A3711,""en"",""fr"")"),"Bicol (Région V)")</f>
        <v>Bicol (Région V)</v>
      </c>
      <c r="E3711" s="9" t="str">
        <f>IFERROR(__xludf.DUMMYFUNCTION("GOOGLETRANSLATE($A3711,""en"",""es"")"),"Bicol (V Región)")</f>
        <v>Bicol (V Región)</v>
      </c>
      <c r="F3711" s="9" t="str">
        <f>IFERROR(__xludf.DUMMYFUNCTION("GOOGLETRANSLATE($A3711,""en"",""it"")"),"Bicol (Regione V)")</f>
        <v>Bicol (Regione V)</v>
      </c>
      <c r="G3711" s="9" t="str">
        <f>IFERROR(__xludf.DUMMYFUNCTION("GOOGLETRANSLATE($A3711,""en"",""zh-cn"")"),"比科尔（V区）")</f>
        <v>比科尔（V区）</v>
      </c>
      <c r="H3711" s="9" t="str">
        <f>IFERROR(__xludf.DUMMYFUNCTION("GOOGLETRANSLATE($A3711,""en"",""ja"")"),"ビコル (地域 V)")</f>
        <v>ビコル (地域 V)</v>
      </c>
      <c r="I3711" s="9" t="str">
        <f>IFERROR(__xludf.DUMMYFUNCTION("GOOGLETRANSLATE($A3711,""en"",""ko"")"),"비콜(지역 V)")</f>
        <v>비콜(지역 V)</v>
      </c>
      <c r="J3711" s="9" t="str">
        <f>IFERROR(__xludf.DUMMYFUNCTION("GOOGLETRANSLATE($A3711,""en"",""pt-BR"")"),"Bicol (Região V)")</f>
        <v>Bicol (Região V)</v>
      </c>
    </row>
    <row r="3712">
      <c r="A3712" s="9" t="str">
        <f>IFERROR(__xludf.DUMMYFUNCTION("""COMPUTED_VALUE"""),"Marinduque")</f>
        <v>Marinduque</v>
      </c>
      <c r="B3712" s="9" t="str">
        <f>IFERROR(__xludf.DUMMYFUNCTION("""COMPUTED_VALUE"""),"ph-mad")</f>
        <v>ph-mad</v>
      </c>
      <c r="C3712" s="9" t="str">
        <f>IFERROR(__xludf.DUMMYFUNCTION("GOOGLETRANSLATE($A3712,""en"",""de"")"),"Marinduque")</f>
        <v>Marinduque</v>
      </c>
      <c r="D3712" s="9" t="str">
        <f>IFERROR(__xludf.DUMMYFUNCTION("GOOGLETRANSLATE($A3712,""en"",""fr"")"),"Marinduque")</f>
        <v>Marinduque</v>
      </c>
      <c r="E3712" s="9" t="str">
        <f>IFERROR(__xludf.DUMMYFUNCTION("GOOGLETRANSLATE($A3712,""en"",""es"")"),"Marinduque")</f>
        <v>Marinduque</v>
      </c>
      <c r="F3712" s="9" t="str">
        <f>IFERROR(__xludf.DUMMYFUNCTION("GOOGLETRANSLATE($A3712,""en"",""it"")"),"Marinduque")</f>
        <v>Marinduque</v>
      </c>
      <c r="G3712" s="9" t="str">
        <f>IFERROR(__xludf.DUMMYFUNCTION("GOOGLETRANSLATE($A3712,""en"",""zh-cn"")"),"马林杜克")</f>
        <v>马林杜克</v>
      </c>
      <c r="H3712" s="9" t="str">
        <f>IFERROR(__xludf.DUMMYFUNCTION("GOOGLETRANSLATE($A3712,""en"",""ja"")"),"マリンドゥケ")</f>
        <v>マリンドゥケ</v>
      </c>
      <c r="I3712" s="9" t="str">
        <f>IFERROR(__xludf.DUMMYFUNCTION("GOOGLETRANSLATE($A3712,""en"",""ko"")"),"마린두케")</f>
        <v>마린두케</v>
      </c>
      <c r="J3712" s="9" t="str">
        <f>IFERROR(__xludf.DUMMYFUNCTION("GOOGLETRANSLATE($A3712,""en"",""pt-BR"")"),"Marinduque")</f>
        <v>Marinduque</v>
      </c>
    </row>
    <row r="3713">
      <c r="A3713" s="9" t="str">
        <f>IFERROR(__xludf.DUMMYFUNCTION("""COMPUTED_VALUE"""),"Southern Leyte")</f>
        <v>Southern Leyte</v>
      </c>
      <c r="B3713" s="9" t="str">
        <f>IFERROR(__xludf.DUMMYFUNCTION("""COMPUTED_VALUE"""),"ph-sle")</f>
        <v>ph-sle</v>
      </c>
      <c r="C3713" s="9" t="str">
        <f>IFERROR(__xludf.DUMMYFUNCTION("GOOGLETRANSLATE($A3713,""en"",""de"")"),"Südliches Leyte")</f>
        <v>Südliches Leyte</v>
      </c>
      <c r="D3713" s="9" t="str">
        <f>IFERROR(__xludf.DUMMYFUNCTION("GOOGLETRANSLATE($A3713,""en"",""fr"")"),"Leyte du Sud")</f>
        <v>Leyte du Sud</v>
      </c>
      <c r="E3713" s="9" t="str">
        <f>IFERROR(__xludf.DUMMYFUNCTION("GOOGLETRANSLATE($A3713,""en"",""es"")"),"Leyte del Sur")</f>
        <v>Leyte del Sur</v>
      </c>
      <c r="F3713" s="9" t="str">
        <f>IFERROR(__xludf.DUMMYFUNCTION("GOOGLETRANSLATE($A3713,""en"",""it"")"),"Leyte meridionale")</f>
        <v>Leyte meridionale</v>
      </c>
      <c r="G3713" s="9" t="str">
        <f>IFERROR(__xludf.DUMMYFUNCTION("GOOGLETRANSLATE($A3713,""en"",""zh-cn"")"),"南莱特岛")</f>
        <v>南莱特岛</v>
      </c>
      <c r="H3713" s="9" t="str">
        <f>IFERROR(__xludf.DUMMYFUNCTION("GOOGLETRANSLATE($A3713,""en"",""ja"")"),"南レイテ島")</f>
        <v>南レイテ島</v>
      </c>
      <c r="I3713" s="9" t="str">
        <f>IFERROR(__xludf.DUMMYFUNCTION("GOOGLETRANSLATE($A3713,""en"",""ko"")"),"남부 레이테")</f>
        <v>남부 레이테</v>
      </c>
      <c r="J3713" s="9" t="str">
        <f>IFERROR(__xludf.DUMMYFUNCTION("GOOGLETRANSLATE($A3713,""en"",""pt-BR"")"),"Leyte do Sul")</f>
        <v>Leyte do Sul</v>
      </c>
    </row>
    <row r="3714">
      <c r="A3714" s="9" t="str">
        <f>IFERROR(__xludf.DUMMYFUNCTION("""COMPUTED_VALUE"""),"Iloilo")</f>
        <v>Iloilo</v>
      </c>
      <c r="B3714" s="9" t="str">
        <f>IFERROR(__xludf.DUMMYFUNCTION("""COMPUTED_VALUE"""),"ph-ili")</f>
        <v>ph-ili</v>
      </c>
      <c r="C3714" s="9" t="str">
        <f>IFERROR(__xludf.DUMMYFUNCTION("GOOGLETRANSLATE($A3714,""en"",""de"")"),"Iloilo")</f>
        <v>Iloilo</v>
      </c>
      <c r="D3714" s="9" t="str">
        <f>IFERROR(__xludf.DUMMYFUNCTION("GOOGLETRANSLATE($A3714,""en"",""fr"")"),"Iloilo")</f>
        <v>Iloilo</v>
      </c>
      <c r="E3714" s="9" t="str">
        <f>IFERROR(__xludf.DUMMYFUNCTION("GOOGLETRANSLATE($A3714,""en"",""es"")"),"Iloílo")</f>
        <v>Iloílo</v>
      </c>
      <c r="F3714" s="9" t="str">
        <f>IFERROR(__xludf.DUMMYFUNCTION("GOOGLETRANSLATE($A3714,""en"",""it"")"),"Iloilo")</f>
        <v>Iloilo</v>
      </c>
      <c r="G3714" s="9" t="str">
        <f>IFERROR(__xludf.DUMMYFUNCTION("GOOGLETRANSLATE($A3714,""en"",""zh-cn"")"),"伊洛伊洛")</f>
        <v>伊洛伊洛</v>
      </c>
      <c r="H3714" s="9" t="str">
        <f>IFERROR(__xludf.DUMMYFUNCTION("GOOGLETRANSLATE($A3714,""en"",""ja"")"),"イロイロ")</f>
        <v>イロイロ</v>
      </c>
      <c r="I3714" s="9" t="str">
        <f>IFERROR(__xludf.DUMMYFUNCTION("GOOGLETRANSLATE($A3714,""en"",""ko"")"),"일로일로")</f>
        <v>일로일로</v>
      </c>
      <c r="J3714" s="9" t="str">
        <f>IFERROR(__xludf.DUMMYFUNCTION("GOOGLETRANSLATE($A3714,""en"",""pt-BR"")"),"Iloilo")</f>
        <v>Iloilo</v>
      </c>
    </row>
    <row r="3715">
      <c r="A3715" s="9" t="str">
        <f>IFERROR(__xludf.DUMMYFUNCTION("""COMPUTED_VALUE"""),"Soccsksargen (Region XII)")</f>
        <v>Soccsksargen (Region XII)</v>
      </c>
      <c r="B3715" s="9" t="str">
        <f>IFERROR(__xludf.DUMMYFUNCTION("""COMPUTED_VALUE"""),"ph-12")</f>
        <v>ph-12</v>
      </c>
      <c r="C3715" s="9" t="str">
        <f>IFERROR(__xludf.DUMMYFUNCTION("GOOGLETRANSLATE($A3715,""en"",""de"")"),"Soccsksargen (Region XII)")</f>
        <v>Soccsksargen (Region XII)</v>
      </c>
      <c r="D3715" s="9" t="str">
        <f>IFERROR(__xludf.DUMMYFUNCTION("GOOGLETRANSLATE($A3715,""en"",""fr"")"),"Soccsksargen (Région XII)")</f>
        <v>Soccsksargen (Région XII)</v>
      </c>
      <c r="E3715" s="9" t="str">
        <f>IFERROR(__xludf.DUMMYFUNCTION("GOOGLETRANSLATE($A3715,""en"",""es"")"),"Soccsksargen (Región XII)")</f>
        <v>Soccsksargen (Región XII)</v>
      </c>
      <c r="F3715" s="9" t="str">
        <f>IFERROR(__xludf.DUMMYFUNCTION("GOOGLETRANSLATE($A3715,""en"",""it"")"),"Soccsksargen (Regione XII)")</f>
        <v>Soccsksargen (Regione XII)</v>
      </c>
      <c r="G3715" s="9" t="str">
        <f>IFERROR(__xludf.DUMMYFUNCTION("GOOGLETRANSLATE($A3715,""en"",""zh-cn"")"),"Soccsksargen（第十二区）")</f>
        <v>Soccsksargen（第十二区）</v>
      </c>
      <c r="H3715" s="9" t="str">
        <f>IFERROR(__xludf.DUMMYFUNCTION("GOOGLETRANSLATE($A3715,""en"",""ja"")"),"ソクスクサルゲン (地域 XII)")</f>
        <v>ソクスクサルゲン (地域 XII)</v>
      </c>
      <c r="I3715" s="9" t="str">
        <f>IFERROR(__xludf.DUMMYFUNCTION("GOOGLETRANSLATE($A3715,""en"",""ko"")"),"속스크사르겐(지역 XII)")</f>
        <v>속스크사르겐(지역 XII)</v>
      </c>
      <c r="J3715" s="9" t="str">
        <f>IFERROR(__xludf.DUMMYFUNCTION("GOOGLETRANSLATE($A3715,""en"",""pt-BR"")"),"Soccsksargen (Região XII)")</f>
        <v>Soccsksargen (Região XII)</v>
      </c>
    </row>
    <row r="3716">
      <c r="A3716" s="9" t="str">
        <f>IFERROR(__xludf.DUMMYFUNCTION("""COMPUTED_VALUE"""),"Sarangani")</f>
        <v>Sarangani</v>
      </c>
      <c r="B3716" s="9" t="str">
        <f>IFERROR(__xludf.DUMMYFUNCTION("""COMPUTED_VALUE"""),"ph-sar")</f>
        <v>ph-sar</v>
      </c>
      <c r="C3716" s="9" t="str">
        <f>IFERROR(__xludf.DUMMYFUNCTION("GOOGLETRANSLATE($A3716,""en"",""de"")"),"Sarangani")</f>
        <v>Sarangani</v>
      </c>
      <c r="D3716" s="9" t="str">
        <f>IFERROR(__xludf.DUMMYFUNCTION("GOOGLETRANSLATE($A3716,""en"",""fr"")"),"Sarangani")</f>
        <v>Sarangani</v>
      </c>
      <c r="E3716" s="9" t="str">
        <f>IFERROR(__xludf.DUMMYFUNCTION("GOOGLETRANSLATE($A3716,""en"",""es"")"),"Sarangani")</f>
        <v>Sarangani</v>
      </c>
      <c r="F3716" s="9" t="str">
        <f>IFERROR(__xludf.DUMMYFUNCTION("GOOGLETRANSLATE($A3716,""en"",""it"")"),"Sarangani")</f>
        <v>Sarangani</v>
      </c>
      <c r="G3716" s="9" t="str">
        <f>IFERROR(__xludf.DUMMYFUNCTION("GOOGLETRANSLATE($A3716,""en"",""zh-cn"")"),"萨兰加尼")</f>
        <v>萨兰加尼</v>
      </c>
      <c r="H3716" s="9" t="str">
        <f>IFERROR(__xludf.DUMMYFUNCTION("GOOGLETRANSLATE($A3716,""en"",""ja"")"),"サランガニ")</f>
        <v>サランガニ</v>
      </c>
      <c r="I3716" s="9" t="str">
        <f>IFERROR(__xludf.DUMMYFUNCTION("GOOGLETRANSLATE($A3716,""en"",""ko"")"),"사랑가니")</f>
        <v>사랑가니</v>
      </c>
      <c r="J3716" s="9" t="str">
        <f>IFERROR(__xludf.DUMMYFUNCTION("GOOGLETRANSLATE($A3716,""en"",""pt-BR"")"),"Sarangani")</f>
        <v>Sarangani</v>
      </c>
    </row>
    <row r="3717">
      <c r="A3717" s="9" t="str">
        <f>IFERROR(__xludf.DUMMYFUNCTION("""COMPUTED_VALUE"""),"Rizal")</f>
        <v>Rizal</v>
      </c>
      <c r="B3717" s="9" t="str">
        <f>IFERROR(__xludf.DUMMYFUNCTION("""COMPUTED_VALUE"""),"ph-riz")</f>
        <v>ph-riz</v>
      </c>
      <c r="C3717" s="9" t="str">
        <f>IFERROR(__xludf.DUMMYFUNCTION("GOOGLETRANSLATE($A3717,""en"",""de"")"),"Rizal")</f>
        <v>Rizal</v>
      </c>
      <c r="D3717" s="9" t="str">
        <f>IFERROR(__xludf.DUMMYFUNCTION("GOOGLETRANSLATE($A3717,""en"",""fr"")"),"Rizal")</f>
        <v>Rizal</v>
      </c>
      <c r="E3717" s="9" t="str">
        <f>IFERROR(__xludf.DUMMYFUNCTION("GOOGLETRANSLATE($A3717,""en"",""es"")"),"rizal")</f>
        <v>rizal</v>
      </c>
      <c r="F3717" s="9" t="str">
        <f>IFERROR(__xludf.DUMMYFUNCTION("GOOGLETRANSLATE($A3717,""en"",""it"")"),"Rizal")</f>
        <v>Rizal</v>
      </c>
      <c r="G3717" s="9" t="str">
        <f>IFERROR(__xludf.DUMMYFUNCTION("GOOGLETRANSLATE($A3717,""en"",""zh-cn"")"),"黎刹")</f>
        <v>黎刹</v>
      </c>
      <c r="H3717" s="9" t="str">
        <f>IFERROR(__xludf.DUMMYFUNCTION("GOOGLETRANSLATE($A3717,""en"",""ja"")"),"リサール")</f>
        <v>リサール</v>
      </c>
      <c r="I3717" s="9" t="str">
        <f>IFERROR(__xludf.DUMMYFUNCTION("GOOGLETRANSLATE($A3717,""en"",""ko"")"),"리잘")</f>
        <v>리잘</v>
      </c>
      <c r="J3717" s="9" t="str">
        <f>IFERROR(__xludf.DUMMYFUNCTION("GOOGLETRANSLATE($A3717,""en"",""pt-BR"")"),"Rizal")</f>
        <v>Rizal</v>
      </c>
    </row>
    <row r="3718">
      <c r="A3718" s="9" t="str">
        <f>IFERROR(__xludf.DUMMYFUNCTION("""COMPUTED_VALUE"""),"Autonomous Region in Muslim Mindanao (ARMM)")</f>
        <v>Autonomous Region in Muslim Mindanao (ARMM)</v>
      </c>
      <c r="B3718" s="9" t="str">
        <f>IFERROR(__xludf.DUMMYFUNCTION("""COMPUTED_VALUE"""),"ph-14")</f>
        <v>ph-14</v>
      </c>
      <c r="C3718" s="9" t="str">
        <f>IFERROR(__xludf.DUMMYFUNCTION("GOOGLETRANSLATE($A3718,""en"",""de"")"),"Autonome Region im muslimischen Mindanao (ARMM)")</f>
        <v>Autonome Region im muslimischen Mindanao (ARMM)</v>
      </c>
      <c r="D3718" s="9" t="str">
        <f>IFERROR(__xludf.DUMMYFUNCTION("GOOGLETRANSLATE($A3718,""en"",""fr"")"),"Région autonome de Mindanao musulmane (ARMM)")</f>
        <v>Région autonome de Mindanao musulmane (ARMM)</v>
      </c>
      <c r="E3718" s="9" t="str">
        <f>IFERROR(__xludf.DUMMYFUNCTION("GOOGLETRANSLATE($A3718,""en"",""es"")"),"Región Autónoma del Mindanao Musulmán (ARMM)")</f>
        <v>Región Autónoma del Mindanao Musulmán (ARMM)</v>
      </c>
      <c r="F3718" s="9" t="str">
        <f>IFERROR(__xludf.DUMMYFUNCTION("GOOGLETRANSLATE($A3718,""en"",""it"")"),"Regione Autonoma del Mindanao Musulmano (ARMM)")</f>
        <v>Regione Autonoma del Mindanao Musulmano (ARMM)</v>
      </c>
      <c r="G3718" s="9" t="str">
        <f>IFERROR(__xludf.DUMMYFUNCTION("GOOGLETRANSLATE($A3718,""en"",""zh-cn"")"),"棉兰老穆斯林自治区 (ARMM)")</f>
        <v>棉兰老穆斯林自治区 (ARMM)</v>
      </c>
      <c r="H3718" s="9" t="str">
        <f>IFERROR(__xludf.DUMMYFUNCTION("GOOGLETRANSLATE($A3718,""en"",""ja"")"),"イスラム教徒ミンダナオ自治区 (ARMM)")</f>
        <v>イスラム教徒ミンダナオ自治区 (ARMM)</v>
      </c>
      <c r="I3718" s="9" t="str">
        <f>IFERROR(__xludf.DUMMYFUNCTION("GOOGLETRANSLATE($A3718,""en"",""ko"")"),"무슬림 민다나오 자치구(ARMM)")</f>
        <v>무슬림 민다나오 자치구(ARMM)</v>
      </c>
      <c r="J3718" s="9" t="str">
        <f>IFERROR(__xludf.DUMMYFUNCTION("GOOGLETRANSLATE($A3718,""en"",""pt-BR"")"),"Região Autônoma de Mindanao Muçulmana (ARMM)")</f>
        <v>Região Autônoma de Mindanao Muçulmana (ARMM)</v>
      </c>
    </row>
    <row r="3719">
      <c r="A3719" s="9" t="str">
        <f>IFERROR(__xludf.DUMMYFUNCTION("""COMPUTED_VALUE"""),"Cordillera Administrative Region (CAR)")</f>
        <v>Cordillera Administrative Region (CAR)</v>
      </c>
      <c r="B3719" s="9" t="str">
        <f>IFERROR(__xludf.DUMMYFUNCTION("""COMPUTED_VALUE"""),"ph-15")</f>
        <v>ph-15</v>
      </c>
      <c r="C3719" s="9" t="str">
        <f>IFERROR(__xludf.DUMMYFUNCTION("GOOGLETRANSLATE($A3719,""en"",""de"")"),"Verwaltungsregion Cordillera (CAR)")</f>
        <v>Verwaltungsregion Cordillera (CAR)</v>
      </c>
      <c r="D3719" s="9" t="str">
        <f>IFERROR(__xludf.DUMMYFUNCTION("GOOGLETRANSLATE($A3719,""en"",""fr"")"),"Région administrative de la Cordillère (RCA)")</f>
        <v>Région administrative de la Cordillère (RCA)</v>
      </c>
      <c r="E3719" s="9" t="str">
        <f>IFERROR(__xludf.DUMMYFUNCTION("GOOGLETRANSLATE($A3719,""en"",""es"")"),"Región Administrativa Cordillera (CAR)")</f>
        <v>Región Administrativa Cordillera (CAR)</v>
      </c>
      <c r="F3719" s="9" t="str">
        <f>IFERROR(__xludf.DUMMYFUNCTION("GOOGLETRANSLATE($A3719,""en"",""it"")"),"Regione amministrativa della Cordillera (CAR)")</f>
        <v>Regione amministrativa della Cordillera (CAR)</v>
      </c>
      <c r="G3719" s="9" t="str">
        <f>IFERROR(__xludf.DUMMYFUNCTION("GOOGLETRANSLATE($A3719,""en"",""zh-cn"")"),"科迪勒拉行政区 (CAR)")</f>
        <v>科迪勒拉行政区 (CAR)</v>
      </c>
      <c r="H3719" s="9" t="str">
        <f>IFERROR(__xludf.DUMMYFUNCTION("GOOGLETRANSLATE($A3719,""en"",""ja"")"),"山脈行政地域 (CAR)")</f>
        <v>山脈行政地域 (CAR)</v>
      </c>
      <c r="I3719" s="9" t="str">
        <f>IFERROR(__xludf.DUMMYFUNCTION("GOOGLETRANSLATE($A3719,""en"",""ko"")"),"코르디예라 행정구역(CAR)")</f>
        <v>코르디예라 행정구역(CAR)</v>
      </c>
      <c r="J3719" s="9" t="str">
        <f>IFERROR(__xludf.DUMMYFUNCTION("GOOGLETRANSLATE($A3719,""en"",""pt-BR"")"),"Região Administrativa da Cordilheira (CAR)")</f>
        <v>Região Administrativa da Cordilheira (CAR)</v>
      </c>
    </row>
    <row r="3720">
      <c r="A3720" s="9" t="str">
        <f>IFERROR(__xludf.DUMMYFUNCTION("""COMPUTED_VALUE"""),"Maguindanao")</f>
        <v>Maguindanao</v>
      </c>
      <c r="B3720" s="9" t="str">
        <f>IFERROR(__xludf.DUMMYFUNCTION("""COMPUTED_VALUE"""),"ph-mag")</f>
        <v>ph-mag</v>
      </c>
      <c r="C3720" s="9" t="str">
        <f>IFERROR(__xludf.DUMMYFUNCTION("GOOGLETRANSLATE($A3720,""en"",""de"")"),"Maguindanao")</f>
        <v>Maguindanao</v>
      </c>
      <c r="D3720" s="9" t="str">
        <f>IFERROR(__xludf.DUMMYFUNCTION("GOOGLETRANSLATE($A3720,""en"",""fr"")"),"Maguindanao")</f>
        <v>Maguindanao</v>
      </c>
      <c r="E3720" s="9" t="str">
        <f>IFERROR(__xludf.DUMMYFUNCTION("GOOGLETRANSLATE($A3720,""en"",""es"")"),"Maguindánao")</f>
        <v>Maguindánao</v>
      </c>
      <c r="F3720" s="9" t="str">
        <f>IFERROR(__xludf.DUMMYFUNCTION("GOOGLETRANSLATE($A3720,""en"",""it"")"),"Maguindanao")</f>
        <v>Maguindanao</v>
      </c>
      <c r="G3720" s="9" t="str">
        <f>IFERROR(__xludf.DUMMYFUNCTION("GOOGLETRANSLATE($A3720,""en"",""zh-cn"")"),"马京达瑙")</f>
        <v>马京达瑙</v>
      </c>
      <c r="H3720" s="9" t="str">
        <f>IFERROR(__xludf.DUMMYFUNCTION("GOOGLETRANSLATE($A3720,""en"",""ja"")"),"マギンダナオ")</f>
        <v>マギンダナオ</v>
      </c>
      <c r="I3720" s="9" t="str">
        <f>IFERROR(__xludf.DUMMYFUNCTION("GOOGLETRANSLATE($A3720,""en"",""ko"")"),"마긴다나오")</f>
        <v>마긴다나오</v>
      </c>
      <c r="J3720" s="9" t="str">
        <f>IFERROR(__xludf.DUMMYFUNCTION("GOOGLETRANSLATE($A3720,""en"",""pt-BR"")"),"Maguindanao")</f>
        <v>Maguindanao</v>
      </c>
    </row>
    <row r="3721">
      <c r="A3721" s="9" t="str">
        <f>IFERROR(__xludf.DUMMYFUNCTION("""COMPUTED_VALUE"""),"Lanao del Sur")</f>
        <v>Lanao del Sur</v>
      </c>
      <c r="B3721" s="9" t="str">
        <f>IFERROR(__xludf.DUMMYFUNCTION("""COMPUTED_VALUE"""),"ph-las")</f>
        <v>ph-las</v>
      </c>
      <c r="C3721" s="9" t="str">
        <f>IFERROR(__xludf.DUMMYFUNCTION("GOOGLETRANSLATE($A3721,""en"",""de"")"),"Lanao del Sur")</f>
        <v>Lanao del Sur</v>
      </c>
      <c r="D3721" s="9" t="str">
        <f>IFERROR(__xludf.DUMMYFUNCTION("GOOGLETRANSLATE($A3721,""en"",""fr"")"),"Lanao du Sud")</f>
        <v>Lanao du Sud</v>
      </c>
      <c r="E3721" s="9" t="str">
        <f>IFERROR(__xludf.DUMMYFUNCTION("GOOGLETRANSLATE($A3721,""en"",""es"")"),"Lanao del Sur")</f>
        <v>Lanao del Sur</v>
      </c>
      <c r="F3721" s="9" t="str">
        <f>IFERROR(__xludf.DUMMYFUNCTION("GOOGLETRANSLATE($A3721,""en"",""it"")"),"Lanao del Sur")</f>
        <v>Lanao del Sur</v>
      </c>
      <c r="G3721" s="9" t="str">
        <f>IFERROR(__xludf.DUMMYFUNCTION("GOOGLETRANSLATE($A3721,""en"",""zh-cn"")"),"南拉瑙")</f>
        <v>南拉瑙</v>
      </c>
      <c r="H3721" s="9" t="str">
        <f>IFERROR(__xludf.DUMMYFUNCTION("GOOGLETRANSLATE($A3721,""en"",""ja"")"),"南ラナオ島")</f>
        <v>南ラナオ島</v>
      </c>
      <c r="I3721" s="9" t="str">
        <f>IFERROR(__xludf.DUMMYFUNCTION("GOOGLETRANSLATE($A3721,""en"",""ko"")"),"라나오 델 수르")</f>
        <v>라나오 델 수르</v>
      </c>
      <c r="J3721" s="9" t="str">
        <f>IFERROR(__xludf.DUMMYFUNCTION("GOOGLETRANSLATE($A3721,""en"",""pt-BR"")"),"Lanao del Sur")</f>
        <v>Lanao del Sur</v>
      </c>
    </row>
    <row r="3722">
      <c r="A3722" s="9" t="str">
        <f>IFERROR(__xludf.DUMMYFUNCTION("""COMPUTED_VALUE"""),"Mountain Province")</f>
        <v>Mountain Province</v>
      </c>
      <c r="B3722" s="9" t="str">
        <f>IFERROR(__xludf.DUMMYFUNCTION("""COMPUTED_VALUE"""),"ph-mou")</f>
        <v>ph-mou</v>
      </c>
      <c r="C3722" s="9" t="str">
        <f>IFERROR(__xludf.DUMMYFUNCTION("GOOGLETRANSLATE($A3722,""en"",""de"")"),"Bergprovinz")</f>
        <v>Bergprovinz</v>
      </c>
      <c r="D3722" s="9" t="str">
        <f>IFERROR(__xludf.DUMMYFUNCTION("GOOGLETRANSLATE($A3722,""en"",""fr"")"),"Province de Montagne")</f>
        <v>Province de Montagne</v>
      </c>
      <c r="E3722" s="9" t="str">
        <f>IFERROR(__xludf.DUMMYFUNCTION("GOOGLETRANSLATE($A3722,""en"",""es"")"),"Provincia de montaña")</f>
        <v>Provincia de montaña</v>
      </c>
      <c r="F3722" s="9" t="str">
        <f>IFERROR(__xludf.DUMMYFUNCTION("GOOGLETRANSLATE($A3722,""en"",""it"")"),"Provincia di Montagna")</f>
        <v>Provincia di Montagna</v>
      </c>
      <c r="G3722" s="9" t="str">
        <f>IFERROR(__xludf.DUMMYFUNCTION("GOOGLETRANSLATE($A3722,""en"",""zh-cn"")"),"山区省份")</f>
        <v>山区省份</v>
      </c>
      <c r="H3722" s="9" t="str">
        <f>IFERROR(__xludf.DUMMYFUNCTION("GOOGLETRANSLATE($A3722,""en"",""ja"")"),"山岳州")</f>
        <v>山岳州</v>
      </c>
      <c r="I3722" s="9" t="str">
        <f>IFERROR(__xludf.DUMMYFUNCTION("GOOGLETRANSLATE($A3722,""en"",""ko"")"),"산악 지방")</f>
        <v>산악 지방</v>
      </c>
      <c r="J3722" s="9" t="str">
        <f>IFERROR(__xludf.DUMMYFUNCTION("GOOGLETRANSLATE($A3722,""en"",""pt-BR"")"),"Província da Montanha")</f>
        <v>Província da Montanha</v>
      </c>
    </row>
    <row r="3723">
      <c r="A3723" s="9" t="str">
        <f>IFERROR(__xludf.DUMMYFUNCTION("""COMPUTED_VALUE"""),"Ilocos Sur")</f>
        <v>Ilocos Sur</v>
      </c>
      <c r="B3723" s="9" t="str">
        <f>IFERROR(__xludf.DUMMYFUNCTION("""COMPUTED_VALUE"""),"ph-ils")</f>
        <v>ph-ils</v>
      </c>
      <c r="C3723" s="9" t="str">
        <f>IFERROR(__xludf.DUMMYFUNCTION("GOOGLETRANSLATE($A3723,""en"",""de"")"),"Ilocos Sur")</f>
        <v>Ilocos Sur</v>
      </c>
      <c r="D3723" s="9" t="str">
        <f>IFERROR(__xludf.DUMMYFUNCTION("GOOGLETRANSLATE($A3723,""en"",""fr"")"),"Ilocos-Sud")</f>
        <v>Ilocos-Sud</v>
      </c>
      <c r="E3723" s="9" t="str">
        <f>IFERROR(__xludf.DUMMYFUNCTION("GOOGLETRANSLATE($A3723,""en"",""es"")"),"Ilocos Sur")</f>
        <v>Ilocos Sur</v>
      </c>
      <c r="F3723" s="9" t="str">
        <f>IFERROR(__xludf.DUMMYFUNCTION("GOOGLETRANSLATE($A3723,""en"",""it"")"),"Ilocos Sur")</f>
        <v>Ilocos Sur</v>
      </c>
      <c r="G3723" s="9" t="str">
        <f>IFERROR(__xludf.DUMMYFUNCTION("GOOGLETRANSLATE($A3723,""en"",""zh-cn"")"),"南伊罗戈")</f>
        <v>南伊罗戈</v>
      </c>
      <c r="H3723" s="9" t="str">
        <f>IFERROR(__xludf.DUMMYFUNCTION("GOOGLETRANSLATE($A3723,""en"",""ja"")"),"南イロコス")</f>
        <v>南イロコス</v>
      </c>
      <c r="I3723" s="9" t="str">
        <f>IFERROR(__xludf.DUMMYFUNCTION("GOOGLETRANSLATE($A3723,""en"",""ko"")"),"일로코스 수르")</f>
        <v>일로코스 수르</v>
      </c>
      <c r="J3723" s="9" t="str">
        <f>IFERROR(__xludf.DUMMYFUNCTION("GOOGLETRANSLATE($A3723,""en"",""pt-BR"")"),"Ilocos Sur")</f>
        <v>Ilocos Sur</v>
      </c>
    </row>
    <row r="3724">
      <c r="A3724" s="9" t="str">
        <f>IFERROR(__xludf.DUMMYFUNCTION("""COMPUTED_VALUE"""),"Mimaropa (Region IV-B)")</f>
        <v>Mimaropa (Region IV-B)</v>
      </c>
      <c r="B3724" s="9" t="str">
        <f>IFERROR(__xludf.DUMMYFUNCTION("""COMPUTED_VALUE"""),"ph-41")</f>
        <v>ph-41</v>
      </c>
      <c r="C3724" s="9" t="str">
        <f>IFERROR(__xludf.DUMMYFUNCTION("GOOGLETRANSLATE($A3724,""en"",""de"")"),"Mimaropa (Region IV-B)")</f>
        <v>Mimaropa (Region IV-B)</v>
      </c>
      <c r="D3724" s="9" t="str">
        <f>IFERROR(__xludf.DUMMYFUNCTION("GOOGLETRANSLATE($A3724,""en"",""fr"")"),"Mimaropa (Région IV-B)")</f>
        <v>Mimaropa (Région IV-B)</v>
      </c>
      <c r="E3724" s="9" t="str">
        <f>IFERROR(__xludf.DUMMYFUNCTION("GOOGLETRANSLATE($A3724,""en"",""es"")"),"Mimaropa (Región IV-B)")</f>
        <v>Mimaropa (Región IV-B)</v>
      </c>
      <c r="F3724" s="9" t="str">
        <f>IFERROR(__xludf.DUMMYFUNCTION("GOOGLETRANSLATE($A3724,""en"",""it"")"),"Mimaropa (Regione IV-B)")</f>
        <v>Mimaropa (Regione IV-B)</v>
      </c>
      <c r="G3724" s="9" t="str">
        <f>IFERROR(__xludf.DUMMYFUNCTION("GOOGLETRANSLATE($A3724,""en"",""zh-cn"")"),"民马罗巴（IV-B 区）")</f>
        <v>民马罗巴（IV-B 区）</v>
      </c>
      <c r="H3724" s="9" t="str">
        <f>IFERROR(__xludf.DUMMYFUNCTION("GOOGLETRANSLATE($A3724,""en"",""ja"")"),"ミマロパ (地域 IV-B)")</f>
        <v>ミマロパ (地域 IV-B)</v>
      </c>
      <c r="I3724" s="9" t="str">
        <f>IFERROR(__xludf.DUMMYFUNCTION("GOOGLETRANSLATE($A3724,""en"",""ko"")"),"미마로파(지역 IV-B)")</f>
        <v>미마로파(지역 IV-B)</v>
      </c>
      <c r="J3724" s="9" t="str">
        <f>IFERROR(__xludf.DUMMYFUNCTION("GOOGLETRANSLATE($A3724,""en"",""pt-BR"")"),"Mimaropa (Região IV-B)")</f>
        <v>Mimaropa (Região IV-B)</v>
      </c>
    </row>
    <row r="3725">
      <c r="A3725" s="9" t="str">
        <f>IFERROR(__xludf.DUMMYFUNCTION("""COMPUTED_VALUE"""),"Cebu")</f>
        <v>Cebu</v>
      </c>
      <c r="B3725" s="9" t="str">
        <f>IFERROR(__xludf.DUMMYFUNCTION("""COMPUTED_VALUE"""),"ph-ceb")</f>
        <v>ph-ceb</v>
      </c>
      <c r="C3725" s="9" t="str">
        <f>IFERROR(__xludf.DUMMYFUNCTION("GOOGLETRANSLATE($A3725,""en"",""de"")"),"Cebu")</f>
        <v>Cebu</v>
      </c>
      <c r="D3725" s="9" t="str">
        <f>IFERROR(__xludf.DUMMYFUNCTION("GOOGLETRANSLATE($A3725,""en"",""fr"")"),"Cebu")</f>
        <v>Cebu</v>
      </c>
      <c r="E3725" s="9" t="str">
        <f>IFERROR(__xludf.DUMMYFUNCTION("GOOGLETRANSLATE($A3725,""en"",""es"")"),"Cebú")</f>
        <v>Cebú</v>
      </c>
      <c r="F3725" s="9" t="str">
        <f>IFERROR(__xludf.DUMMYFUNCTION("GOOGLETRANSLATE($A3725,""en"",""it"")"),"Cebu")</f>
        <v>Cebu</v>
      </c>
      <c r="G3725" s="9" t="str">
        <f>IFERROR(__xludf.DUMMYFUNCTION("GOOGLETRANSLATE($A3725,""en"",""zh-cn"")"),"宿务")</f>
        <v>宿务</v>
      </c>
      <c r="H3725" s="9" t="str">
        <f>IFERROR(__xludf.DUMMYFUNCTION("GOOGLETRANSLATE($A3725,""en"",""ja"")"),"セブ")</f>
        <v>セブ</v>
      </c>
      <c r="I3725" s="9" t="str">
        <f>IFERROR(__xludf.DUMMYFUNCTION("GOOGLETRANSLATE($A3725,""en"",""ko"")"),"세부")</f>
        <v>세부</v>
      </c>
      <c r="J3725" s="9" t="str">
        <f>IFERROR(__xludf.DUMMYFUNCTION("GOOGLETRANSLATE($A3725,""en"",""pt-BR"")"),"Cebu")</f>
        <v>Cebu</v>
      </c>
    </row>
    <row r="3726">
      <c r="A3726" s="9" t="str">
        <f>IFERROR(__xludf.DUMMYFUNCTION("""COMPUTED_VALUE"""),"Agusan del Sur")</f>
        <v>Agusan del Sur</v>
      </c>
      <c r="B3726" s="9" t="str">
        <f>IFERROR(__xludf.DUMMYFUNCTION("""COMPUTED_VALUE"""),"ph-ags")</f>
        <v>ph-ags</v>
      </c>
      <c r="C3726" s="9" t="str">
        <f>IFERROR(__xludf.DUMMYFUNCTION("GOOGLETRANSLATE($A3726,""en"",""de"")"),"Agusan del Sur")</f>
        <v>Agusan del Sur</v>
      </c>
      <c r="D3726" s="9" t="str">
        <f>IFERROR(__xludf.DUMMYFUNCTION("GOOGLETRANSLATE($A3726,""en"",""fr"")"),"Agusan del Sur")</f>
        <v>Agusan del Sur</v>
      </c>
      <c r="E3726" s="9" t="str">
        <f>IFERROR(__xludf.DUMMYFUNCTION("GOOGLETRANSLATE($A3726,""en"",""es"")"),"Agusan del Sur")</f>
        <v>Agusan del Sur</v>
      </c>
      <c r="F3726" s="9" t="str">
        <f>IFERROR(__xludf.DUMMYFUNCTION("GOOGLETRANSLATE($A3726,""en"",""it"")"),"Agusan del Sur")</f>
        <v>Agusan del Sur</v>
      </c>
      <c r="G3726" s="9" t="str">
        <f>IFERROR(__xludf.DUMMYFUNCTION("GOOGLETRANSLATE($A3726,""en"",""zh-cn"")"),"南阿古桑")</f>
        <v>南阿古桑</v>
      </c>
      <c r="H3726" s="9" t="str">
        <f>IFERROR(__xludf.DUMMYFUNCTION("GOOGLETRANSLATE($A3726,""en"",""ja"")"),"アグサン デル スル")</f>
        <v>アグサン デル スル</v>
      </c>
      <c r="I3726" s="9" t="str">
        <f>IFERROR(__xludf.DUMMYFUNCTION("GOOGLETRANSLATE($A3726,""en"",""ko"")"),"아구산 델 수르")</f>
        <v>아구산 델 수르</v>
      </c>
      <c r="J3726" s="9" t="str">
        <f>IFERROR(__xludf.DUMMYFUNCTION("GOOGLETRANSLATE($A3726,""en"",""pt-BR"")"),"Agusan del Sur")</f>
        <v>Agusan del Sur</v>
      </c>
    </row>
    <row r="3727">
      <c r="A3727" s="9" t="str">
        <f>IFERROR(__xludf.DUMMYFUNCTION("""COMPUTED_VALUE"""),"Masbate")</f>
        <v>Masbate</v>
      </c>
      <c r="B3727" s="9" t="str">
        <f>IFERROR(__xludf.DUMMYFUNCTION("""COMPUTED_VALUE"""),"ph-mas")</f>
        <v>ph-mas</v>
      </c>
      <c r="C3727" s="9" t="str">
        <f>IFERROR(__xludf.DUMMYFUNCTION("GOOGLETRANSLATE($A3727,""en"",""de"")"),"Masbate")</f>
        <v>Masbate</v>
      </c>
      <c r="D3727" s="9" t="str">
        <f>IFERROR(__xludf.DUMMYFUNCTION("GOOGLETRANSLATE($A3727,""en"",""fr"")"),"Masbate")</f>
        <v>Masbate</v>
      </c>
      <c r="E3727" s="9" t="str">
        <f>IFERROR(__xludf.DUMMYFUNCTION("GOOGLETRANSLATE($A3727,""en"",""es"")"),"Masbate")</f>
        <v>Masbate</v>
      </c>
      <c r="F3727" s="9" t="str">
        <f>IFERROR(__xludf.DUMMYFUNCTION("GOOGLETRANSLATE($A3727,""en"",""it"")"),"Masturbarsi")</f>
        <v>Masturbarsi</v>
      </c>
      <c r="G3727" s="9" t="str">
        <f>IFERROR(__xludf.DUMMYFUNCTION("GOOGLETRANSLATE($A3727,""en"",""zh-cn"")"),"马斯巴特")</f>
        <v>马斯巴特</v>
      </c>
      <c r="H3727" s="9" t="str">
        <f>IFERROR(__xludf.DUMMYFUNCTION("GOOGLETRANSLATE($A3727,""en"",""ja"")"),"マスバテ")</f>
        <v>マスバテ</v>
      </c>
      <c r="I3727" s="9" t="str">
        <f>IFERROR(__xludf.DUMMYFUNCTION("GOOGLETRANSLATE($A3727,""en"",""ko"")"),"마스바테")</f>
        <v>마스바테</v>
      </c>
      <c r="J3727" s="9" t="str">
        <f>IFERROR(__xludf.DUMMYFUNCTION("GOOGLETRANSLATE($A3727,""en"",""pt-BR"")"),"Masbate")</f>
        <v>Masbate</v>
      </c>
    </row>
    <row r="3728">
      <c r="A3728" s="9" t="str">
        <f>IFERROR(__xludf.DUMMYFUNCTION("""COMPUTED_VALUE"""),"Caraga (Region XIII)")</f>
        <v>Caraga (Region XIII)</v>
      </c>
      <c r="B3728" s="9" t="str">
        <f>IFERROR(__xludf.DUMMYFUNCTION("""COMPUTED_VALUE"""),"ph-13")</f>
        <v>ph-13</v>
      </c>
      <c r="C3728" s="9" t="str">
        <f>IFERROR(__xludf.DUMMYFUNCTION("GOOGLETRANSLATE($A3728,""en"",""de"")"),"Caraga (Region XIII)")</f>
        <v>Caraga (Region XIII)</v>
      </c>
      <c r="D3728" s="9" t="str">
        <f>IFERROR(__xludf.DUMMYFUNCTION("GOOGLETRANSLATE($A3728,""en"",""fr"")"),"Caraga (Région XIII)")</f>
        <v>Caraga (Région XIII)</v>
      </c>
      <c r="E3728" s="9" t="str">
        <f>IFERROR(__xludf.DUMMYFUNCTION("GOOGLETRANSLATE($A3728,""en"",""es"")"),"Caraga (Región XIII)")</f>
        <v>Caraga (Región XIII)</v>
      </c>
      <c r="F3728" s="9" t="str">
        <f>IFERROR(__xludf.DUMMYFUNCTION("GOOGLETRANSLATE($A3728,""en"",""it"")"),"Caraga (Regione XIII)")</f>
        <v>Caraga (Regione XIII)</v>
      </c>
      <c r="G3728" s="9" t="str">
        <f>IFERROR(__xludf.DUMMYFUNCTION("GOOGLETRANSLATE($A3728,""en"",""zh-cn"")"),"卡拉加（第十三区）")</f>
        <v>卡拉加（第十三区）</v>
      </c>
      <c r="H3728" s="9" t="str">
        <f>IFERROR(__xludf.DUMMYFUNCTION("GOOGLETRANSLATE($A3728,""en"",""ja"")"),"カラガ (地域 XIII)")</f>
        <v>カラガ (地域 XIII)</v>
      </c>
      <c r="I3728" s="9" t="str">
        <f>IFERROR(__xludf.DUMMYFUNCTION("GOOGLETRANSLATE($A3728,""en"",""ko"")"),"카라가(지역 XIII)")</f>
        <v>카라가(지역 XIII)</v>
      </c>
      <c r="J3728" s="9" t="str">
        <f>IFERROR(__xludf.DUMMYFUNCTION("GOOGLETRANSLATE($A3728,""en"",""pt-BR"")"),"Caraga (Região XIII)")</f>
        <v>Caraga (Região XIII)</v>
      </c>
    </row>
    <row r="3729">
      <c r="A3729" s="9" t="str">
        <f>IFERROR(__xludf.DUMMYFUNCTION("""COMPUTED_VALUE"""),"Agusan del Norte")</f>
        <v>Agusan del Norte</v>
      </c>
      <c r="B3729" s="9" t="str">
        <f>IFERROR(__xludf.DUMMYFUNCTION("""COMPUTED_VALUE"""),"ph-agn")</f>
        <v>ph-agn</v>
      </c>
      <c r="C3729" s="9" t="str">
        <f>IFERROR(__xludf.DUMMYFUNCTION("GOOGLETRANSLATE($A3729,""en"",""de"")"),"Agusan del Norte")</f>
        <v>Agusan del Norte</v>
      </c>
      <c r="D3729" s="9" t="str">
        <f>IFERROR(__xludf.DUMMYFUNCTION("GOOGLETRANSLATE($A3729,""en"",""fr"")"),"Agusan du Nord")</f>
        <v>Agusan du Nord</v>
      </c>
      <c r="E3729" s="9" t="str">
        <f>IFERROR(__xludf.DUMMYFUNCTION("GOOGLETRANSLATE($A3729,""en"",""es"")"),"Agusan del Norte")</f>
        <v>Agusan del Norte</v>
      </c>
      <c r="F3729" s="9" t="str">
        <f>IFERROR(__xludf.DUMMYFUNCTION("GOOGLETRANSLATE($A3729,""en"",""it"")"),"Agusan del Norte")</f>
        <v>Agusan del Norte</v>
      </c>
      <c r="G3729" s="9" t="str">
        <f>IFERROR(__xludf.DUMMYFUNCTION("GOOGLETRANSLATE($A3729,""en"",""zh-cn"")"),"北阿古桑")</f>
        <v>北阿古桑</v>
      </c>
      <c r="H3729" s="9" t="str">
        <f>IFERROR(__xludf.DUMMYFUNCTION("GOOGLETRANSLATE($A3729,""en"",""ja"")"),"北アグサン")</f>
        <v>北アグサン</v>
      </c>
      <c r="I3729" s="9" t="str">
        <f>IFERROR(__xludf.DUMMYFUNCTION("GOOGLETRANSLATE($A3729,""en"",""ko"")"),"아구산 델 노르테")</f>
        <v>아구산 델 노르테</v>
      </c>
      <c r="J3729" s="9" t="str">
        <f>IFERROR(__xludf.DUMMYFUNCTION("GOOGLETRANSLATE($A3729,""en"",""pt-BR"")"),"Agusan del Norte")</f>
        <v>Agusan del Norte</v>
      </c>
    </row>
    <row r="3730">
      <c r="A3730" s="9" t="str">
        <f>IFERROR(__xludf.DUMMYFUNCTION("""COMPUTED_VALUE"""),"Albay")</f>
        <v>Albay</v>
      </c>
      <c r="B3730" s="9" t="str">
        <f>IFERROR(__xludf.DUMMYFUNCTION("""COMPUTED_VALUE"""),"ph-alb")</f>
        <v>ph-alb</v>
      </c>
      <c r="C3730" s="9" t="str">
        <f>IFERROR(__xludf.DUMMYFUNCTION("GOOGLETRANSLATE($A3730,""en"",""de"")"),"Albay")</f>
        <v>Albay</v>
      </c>
      <c r="D3730" s="9" t="str">
        <f>IFERROR(__xludf.DUMMYFUNCTION("GOOGLETRANSLATE($A3730,""en"",""fr"")"),"Albay")</f>
        <v>Albay</v>
      </c>
      <c r="E3730" s="9" t="str">
        <f>IFERROR(__xludf.DUMMYFUNCTION("GOOGLETRANSLATE($A3730,""en"",""es"")"),"Albay")</f>
        <v>Albay</v>
      </c>
      <c r="F3730" s="9" t="str">
        <f>IFERROR(__xludf.DUMMYFUNCTION("GOOGLETRANSLATE($A3730,""en"",""it"")"),"Albay")</f>
        <v>Albay</v>
      </c>
      <c r="G3730" s="9" t="str">
        <f>IFERROR(__xludf.DUMMYFUNCTION("GOOGLETRANSLATE($A3730,""en"",""zh-cn"")"),"阿尔拜")</f>
        <v>阿尔拜</v>
      </c>
      <c r="H3730" s="9" t="str">
        <f>IFERROR(__xludf.DUMMYFUNCTION("GOOGLETRANSLATE($A3730,""en"",""ja"")"),"アルバイ")</f>
        <v>アルバイ</v>
      </c>
      <c r="I3730" s="9" t="str">
        <f>IFERROR(__xludf.DUMMYFUNCTION("GOOGLETRANSLATE($A3730,""en"",""ko"")"),"알바이")</f>
        <v>알바이</v>
      </c>
      <c r="J3730" s="9" t="str">
        <f>IFERROR(__xludf.DUMMYFUNCTION("GOOGLETRANSLATE($A3730,""en"",""pt-BR"")"),"Albay")</f>
        <v>Albay</v>
      </c>
    </row>
    <row r="3731">
      <c r="A3731" s="9" t="str">
        <f>IFERROR(__xludf.DUMMYFUNCTION("""COMPUTED_VALUE"""),"Bulacan")</f>
        <v>Bulacan</v>
      </c>
      <c r="B3731" s="9" t="str">
        <f>IFERROR(__xludf.DUMMYFUNCTION("""COMPUTED_VALUE"""),"ph-bul")</f>
        <v>ph-bul</v>
      </c>
      <c r="C3731" s="9" t="str">
        <f>IFERROR(__xludf.DUMMYFUNCTION("GOOGLETRANSLATE($A3731,""en"",""de"")"),"Bulacan")</f>
        <v>Bulacan</v>
      </c>
      <c r="D3731" s="9" t="str">
        <f>IFERROR(__xludf.DUMMYFUNCTION("GOOGLETRANSLATE($A3731,""en"",""fr"")"),"Boulacán")</f>
        <v>Boulacán</v>
      </c>
      <c r="E3731" s="9" t="str">
        <f>IFERROR(__xludf.DUMMYFUNCTION("GOOGLETRANSLATE($A3731,""en"",""es"")"),"Bulacán")</f>
        <v>Bulacán</v>
      </c>
      <c r="F3731" s="9" t="str">
        <f>IFERROR(__xludf.DUMMYFUNCTION("GOOGLETRANSLATE($A3731,""en"",""it"")"),"Bulacan")</f>
        <v>Bulacan</v>
      </c>
      <c r="G3731" s="9" t="str">
        <f>IFERROR(__xludf.DUMMYFUNCTION("GOOGLETRANSLATE($A3731,""en"",""zh-cn"")"),"布拉干省")</f>
        <v>布拉干省</v>
      </c>
      <c r="H3731" s="9" t="str">
        <f>IFERROR(__xludf.DUMMYFUNCTION("GOOGLETRANSLATE($A3731,""en"",""ja"")"),"ブラカン州")</f>
        <v>ブラカン州</v>
      </c>
      <c r="I3731" s="9" t="str">
        <f>IFERROR(__xludf.DUMMYFUNCTION("GOOGLETRANSLATE($A3731,""en"",""ko"")"),"불라칸")</f>
        <v>불라칸</v>
      </c>
      <c r="J3731" s="9" t="str">
        <f>IFERROR(__xludf.DUMMYFUNCTION("GOOGLETRANSLATE($A3731,""en"",""pt-BR"")"),"Bulacan")</f>
        <v>Bulacan</v>
      </c>
    </row>
    <row r="3732">
      <c r="A3732" s="9" t="str">
        <f>IFERROR(__xludf.DUMMYFUNCTION("""COMPUTED_VALUE"""),"Sultan Kudarat")</f>
        <v>Sultan Kudarat</v>
      </c>
      <c r="B3732" s="9" t="str">
        <f>IFERROR(__xludf.DUMMYFUNCTION("""COMPUTED_VALUE"""),"ph-suk")</f>
        <v>ph-suk</v>
      </c>
      <c r="C3732" s="9" t="str">
        <f>IFERROR(__xludf.DUMMYFUNCTION("GOOGLETRANSLATE($A3732,""en"",""de"")"),"Sultan Kudarat")</f>
        <v>Sultan Kudarat</v>
      </c>
      <c r="D3732" s="9" t="str">
        <f>IFERROR(__xludf.DUMMYFUNCTION("GOOGLETRANSLATE($A3732,""en"",""fr"")"),"Sultan Kudarat")</f>
        <v>Sultan Kudarat</v>
      </c>
      <c r="E3732" s="9" t="str">
        <f>IFERROR(__xludf.DUMMYFUNCTION("GOOGLETRANSLATE($A3732,""en"",""es"")"),"Sultán Kudarat")</f>
        <v>Sultán Kudarat</v>
      </c>
      <c r="F3732" s="9" t="str">
        <f>IFERROR(__xludf.DUMMYFUNCTION("GOOGLETRANSLATE($A3732,""en"",""it"")"),"Sultano Kudarat")</f>
        <v>Sultano Kudarat</v>
      </c>
      <c r="G3732" s="9" t="str">
        <f>IFERROR(__xludf.DUMMYFUNCTION("GOOGLETRANSLATE($A3732,""en"",""zh-cn"")"),"苏丹库达拉")</f>
        <v>苏丹库达拉</v>
      </c>
      <c r="H3732" s="9" t="str">
        <f>IFERROR(__xludf.DUMMYFUNCTION("GOOGLETRANSLATE($A3732,""en"",""ja"")"),"スルタン・クダラット")</f>
        <v>スルタン・クダラット</v>
      </c>
      <c r="I3732" s="9" t="str">
        <f>IFERROR(__xludf.DUMMYFUNCTION("GOOGLETRANSLATE($A3732,""en"",""ko"")"),"술탄 쿠다라트")</f>
        <v>술탄 쿠다라트</v>
      </c>
      <c r="J3732" s="9" t="str">
        <f>IFERROR(__xludf.DUMMYFUNCTION("GOOGLETRANSLATE($A3732,""en"",""pt-BR"")"),"Sultão Kudarat")</f>
        <v>Sultão Kudarat</v>
      </c>
    </row>
    <row r="3733">
      <c r="A3733" s="9" t="str">
        <f>IFERROR(__xludf.DUMMYFUNCTION("""COMPUTED_VALUE"""),"Sulu")</f>
        <v>Sulu</v>
      </c>
      <c r="B3733" s="9" t="str">
        <f>IFERROR(__xludf.DUMMYFUNCTION("""COMPUTED_VALUE"""),"ph-slu")</f>
        <v>ph-slu</v>
      </c>
      <c r="C3733" s="9" t="str">
        <f>IFERROR(__xludf.DUMMYFUNCTION("GOOGLETRANSLATE($A3733,""en"",""de"")"),"Sulu")</f>
        <v>Sulu</v>
      </c>
      <c r="D3733" s="9" t="str">
        <f>IFERROR(__xludf.DUMMYFUNCTION("GOOGLETRANSLATE($A3733,""en"",""fr"")"),"Sulu")</f>
        <v>Sulu</v>
      </c>
      <c r="E3733" s="9" t="str">
        <f>IFERROR(__xludf.DUMMYFUNCTION("GOOGLETRANSLATE($A3733,""en"",""es"")"),"Sulú")</f>
        <v>Sulú</v>
      </c>
      <c r="F3733" s="9" t="str">
        <f>IFERROR(__xludf.DUMMYFUNCTION("GOOGLETRANSLATE($A3733,""en"",""it"")"),"Sulu")</f>
        <v>Sulu</v>
      </c>
      <c r="G3733" s="9" t="str">
        <f>IFERROR(__xludf.DUMMYFUNCTION("GOOGLETRANSLATE($A3733,""en"",""zh-cn"")"),"苏禄")</f>
        <v>苏禄</v>
      </c>
      <c r="H3733" s="9" t="str">
        <f>IFERROR(__xludf.DUMMYFUNCTION("GOOGLETRANSLATE($A3733,""en"",""ja"")"),"スールー州")</f>
        <v>スールー州</v>
      </c>
      <c r="I3733" s="9" t="str">
        <f>IFERROR(__xludf.DUMMYFUNCTION("GOOGLETRANSLATE($A3733,""en"",""ko"")"),"술루")</f>
        <v>술루</v>
      </c>
      <c r="J3733" s="9" t="str">
        <f>IFERROR(__xludf.DUMMYFUNCTION("GOOGLETRANSLATE($A3733,""en"",""pt-BR"")"),"Sulu")</f>
        <v>Sulu</v>
      </c>
    </row>
    <row r="3734">
      <c r="A3734" s="9" t="str">
        <f>IFERROR(__xludf.DUMMYFUNCTION("""COMPUTED_VALUE"""),"Eastern Visayas (Region VIII)")</f>
        <v>Eastern Visayas (Region VIII)</v>
      </c>
      <c r="B3734" s="9" t="str">
        <f>IFERROR(__xludf.DUMMYFUNCTION("""COMPUTED_VALUE"""),"ph-08")</f>
        <v>ph-08</v>
      </c>
      <c r="C3734" s="9" t="str">
        <f>IFERROR(__xludf.DUMMYFUNCTION("GOOGLETRANSLATE($A3734,""en"",""de"")"),"Östliche Visayas (Region VIII)")</f>
        <v>Östliche Visayas (Region VIII)</v>
      </c>
      <c r="D3734" s="9" t="str">
        <f>IFERROR(__xludf.DUMMYFUNCTION("GOOGLETRANSLATE($A3734,""en"",""fr"")"),"Visayas orientales (Région VIII)")</f>
        <v>Visayas orientales (Région VIII)</v>
      </c>
      <c r="E3734" s="9" t="str">
        <f>IFERROR(__xludf.DUMMYFUNCTION("GOOGLETRANSLATE($A3734,""en"",""es"")"),"Visayas Oriental (Región VIII)")</f>
        <v>Visayas Oriental (Región VIII)</v>
      </c>
      <c r="F3734" s="9" t="str">
        <f>IFERROR(__xludf.DUMMYFUNCTION("GOOGLETRANSLATE($A3734,""en"",""it"")"),"Visayas orientali (regione VIII)")</f>
        <v>Visayas orientali (regione VIII)</v>
      </c>
      <c r="G3734" s="9" t="str">
        <f>IFERROR(__xludf.DUMMYFUNCTION("GOOGLETRANSLATE($A3734,""en"",""zh-cn"")"),"东米沙鄢（第八区）")</f>
        <v>东米沙鄢（第八区）</v>
      </c>
      <c r="H3734" s="9" t="str">
        <f>IFERROR(__xludf.DUMMYFUNCTION("GOOGLETRANSLATE($A3734,""en"",""ja"")"),"東ビサヤ (地域 VIII)")</f>
        <v>東ビサヤ (地域 VIII)</v>
      </c>
      <c r="I3734" s="9" t="str">
        <f>IFERROR(__xludf.DUMMYFUNCTION("GOOGLETRANSLATE($A3734,""en"",""ko"")"),"동부 비사야(지역 VIII)")</f>
        <v>동부 비사야(지역 VIII)</v>
      </c>
      <c r="J3734" s="9" t="str">
        <f>IFERROR(__xludf.DUMMYFUNCTION("GOOGLETRANSLATE($A3734,""en"",""pt-BR"")"),"Visayas Orientais (Região VIII)")</f>
        <v>Visayas Orientais (Região VIII)</v>
      </c>
    </row>
    <row r="3735">
      <c r="A3735" s="9" t="str">
        <f>IFERROR(__xludf.DUMMYFUNCTION("""COMPUTED_VALUE"""),"Cagayan")</f>
        <v>Cagayan</v>
      </c>
      <c r="B3735" s="9" t="str">
        <f>IFERROR(__xludf.DUMMYFUNCTION("""COMPUTED_VALUE"""),"ph-cag")</f>
        <v>ph-cag</v>
      </c>
      <c r="C3735" s="9" t="str">
        <f>IFERROR(__xludf.DUMMYFUNCTION("GOOGLETRANSLATE($A3735,""en"",""de"")"),"Cagayan")</f>
        <v>Cagayan</v>
      </c>
      <c r="D3735" s="9" t="str">
        <f>IFERROR(__xludf.DUMMYFUNCTION("GOOGLETRANSLATE($A3735,""en"",""fr"")"),"Cagayán")</f>
        <v>Cagayán</v>
      </c>
      <c r="E3735" s="9" t="str">
        <f>IFERROR(__xludf.DUMMYFUNCTION("GOOGLETRANSLATE($A3735,""en"",""es"")"),"Cagayán")</f>
        <v>Cagayán</v>
      </c>
      <c r="F3735" s="9" t="str">
        <f>IFERROR(__xludf.DUMMYFUNCTION("GOOGLETRANSLATE($A3735,""en"",""it"")"),"Cagayan")</f>
        <v>Cagayan</v>
      </c>
      <c r="G3735" s="9" t="str">
        <f>IFERROR(__xludf.DUMMYFUNCTION("GOOGLETRANSLATE($A3735,""en"",""zh-cn"")"),"卡加延")</f>
        <v>卡加延</v>
      </c>
      <c r="H3735" s="9" t="str">
        <f>IFERROR(__xludf.DUMMYFUNCTION("GOOGLETRANSLATE($A3735,""en"",""ja"")"),"カガヤン")</f>
        <v>カガヤン</v>
      </c>
      <c r="I3735" s="9" t="str">
        <f>IFERROR(__xludf.DUMMYFUNCTION("GOOGLETRANSLATE($A3735,""en"",""ko"")"),"카가얀")</f>
        <v>카가얀</v>
      </c>
      <c r="J3735" s="9" t="str">
        <f>IFERROR(__xludf.DUMMYFUNCTION("GOOGLETRANSLATE($A3735,""en"",""pt-BR"")"),"Cagayan")</f>
        <v>Cagayan</v>
      </c>
    </row>
    <row r="3736">
      <c r="A3736" s="9" t="str">
        <f>IFERROR(__xludf.DUMMYFUNCTION("""COMPUTED_VALUE"""),"Cagayan Valley (Region II)")</f>
        <v>Cagayan Valley (Region II)</v>
      </c>
      <c r="B3736" s="9" t="str">
        <f>IFERROR(__xludf.DUMMYFUNCTION("""COMPUTED_VALUE"""),"ph-02")</f>
        <v>ph-02</v>
      </c>
      <c r="C3736" s="9" t="str">
        <f>IFERROR(__xludf.DUMMYFUNCTION("GOOGLETRANSLATE($A3736,""en"",""de"")"),"Cagayan-Tal (Region II)")</f>
        <v>Cagayan-Tal (Region II)</v>
      </c>
      <c r="D3736" s="9" t="str">
        <f>IFERROR(__xludf.DUMMYFUNCTION("GOOGLETRANSLATE($A3736,""en"",""fr"")"),"Vallée de Cagayan (Région II)")</f>
        <v>Vallée de Cagayan (Région II)</v>
      </c>
      <c r="E3736" s="9" t="str">
        <f>IFERROR(__xludf.DUMMYFUNCTION("GOOGLETRANSLATE($A3736,""en"",""es"")"),"Valle de Cagayán (Región II)")</f>
        <v>Valle de Cagayán (Región II)</v>
      </c>
      <c r="F3736" s="9" t="str">
        <f>IFERROR(__xludf.DUMMYFUNCTION("GOOGLETRANSLATE($A3736,""en"",""it"")"),"Valle di Cagayan (regione II)")</f>
        <v>Valle di Cagayan (regione II)</v>
      </c>
      <c r="G3736" s="9" t="str">
        <f>IFERROR(__xludf.DUMMYFUNCTION("GOOGLETRANSLATE($A3736,""en"",""zh-cn"")"),"卡加延河谷（第二区）")</f>
        <v>卡加延河谷（第二区）</v>
      </c>
      <c r="H3736" s="9" t="str">
        <f>IFERROR(__xludf.DUMMYFUNCTION("GOOGLETRANSLATE($A3736,""en"",""ja"")"),"カガヤン渓谷 (地域 II)")</f>
        <v>カガヤン渓谷 (地域 II)</v>
      </c>
      <c r="I3736" s="9" t="str">
        <f>IFERROR(__xludf.DUMMYFUNCTION("GOOGLETRANSLATE($A3736,""en"",""ko"")"),"카가얀 밸리(지역 II)")</f>
        <v>카가얀 밸리(지역 II)</v>
      </c>
      <c r="J3736" s="9" t="str">
        <f>IFERROR(__xludf.DUMMYFUNCTION("GOOGLETRANSLATE($A3736,""en"",""pt-BR"")"),"Vale Cagayan (Região II)")</f>
        <v>Vale Cagayan (Região II)</v>
      </c>
    </row>
    <row r="3737">
      <c r="A3737" s="9" t="str">
        <f>IFERROR(__xludf.DUMMYFUNCTION("""COMPUTED_VALUE"""),"Camiguin")</f>
        <v>Camiguin</v>
      </c>
      <c r="B3737" s="9" t="str">
        <f>IFERROR(__xludf.DUMMYFUNCTION("""COMPUTED_VALUE"""),"ph-cam")</f>
        <v>ph-cam</v>
      </c>
      <c r="C3737" s="9" t="str">
        <f>IFERROR(__xludf.DUMMYFUNCTION("GOOGLETRANSLATE($A3737,""en"",""de"")"),"Camiguin")</f>
        <v>Camiguin</v>
      </c>
      <c r="D3737" s="9" t="str">
        <f>IFERROR(__xludf.DUMMYFUNCTION("GOOGLETRANSLATE($A3737,""en"",""fr"")"),"Camiguin")</f>
        <v>Camiguin</v>
      </c>
      <c r="E3737" s="9" t="str">
        <f>IFERROR(__xludf.DUMMYFUNCTION("GOOGLETRANSLATE($A3737,""en"",""es"")"),"Camiguín")</f>
        <v>Camiguín</v>
      </c>
      <c r="F3737" s="9" t="str">
        <f>IFERROR(__xludf.DUMMYFUNCTION("GOOGLETRANSLATE($A3737,""en"",""it"")"),"Camiguin")</f>
        <v>Camiguin</v>
      </c>
      <c r="G3737" s="9" t="str">
        <f>IFERROR(__xludf.DUMMYFUNCTION("GOOGLETRANSLATE($A3737,""en"",""zh-cn"")"),"甘米银")</f>
        <v>甘米银</v>
      </c>
      <c r="H3737" s="9" t="str">
        <f>IFERROR(__xludf.DUMMYFUNCTION("GOOGLETRANSLATE($A3737,""en"",""ja"")"),"カミギン島")</f>
        <v>カミギン島</v>
      </c>
      <c r="I3737" s="9" t="str">
        <f>IFERROR(__xludf.DUMMYFUNCTION("GOOGLETRANSLATE($A3737,""en"",""ko"")"),"카미긴")</f>
        <v>카미긴</v>
      </c>
      <c r="J3737" s="9" t="str">
        <f>IFERROR(__xludf.DUMMYFUNCTION("GOOGLETRANSLATE($A3737,""en"",""pt-BR"")"),"Camiguin")</f>
        <v>Camiguin</v>
      </c>
    </row>
    <row r="3738">
      <c r="A3738" s="9" t="str">
        <f>IFERROR(__xludf.DUMMYFUNCTION("""COMPUTED_VALUE"""),"Mindoro Occidental")</f>
        <v>Mindoro Occidental</v>
      </c>
      <c r="B3738" s="9" t="str">
        <f>IFERROR(__xludf.DUMMYFUNCTION("""COMPUTED_VALUE"""),"ph-mdc")</f>
        <v>ph-mdc</v>
      </c>
      <c r="C3738" s="9" t="str">
        <f>IFERROR(__xludf.DUMMYFUNCTION("GOOGLETRANSLATE($A3738,""en"",""de"")"),"Mindoro Occidental")</f>
        <v>Mindoro Occidental</v>
      </c>
      <c r="D3738" s="9" t="str">
        <f>IFERROR(__xludf.DUMMYFUNCTION("GOOGLETRANSLATE($A3738,""en"",""fr"")"),"Mindoro occidental")</f>
        <v>Mindoro occidental</v>
      </c>
      <c r="E3738" s="9" t="str">
        <f>IFERROR(__xludf.DUMMYFUNCTION("GOOGLETRANSLATE($A3738,""en"",""es"")"),"Mindoro occidental")</f>
        <v>Mindoro occidental</v>
      </c>
      <c r="F3738" s="9" t="str">
        <f>IFERROR(__xludf.DUMMYFUNCTION("GOOGLETRANSLATE($A3738,""en"",""it"")"),"Mindoro Occidentale")</f>
        <v>Mindoro Occidentale</v>
      </c>
      <c r="G3738" s="9" t="str">
        <f>IFERROR(__xludf.DUMMYFUNCTION("GOOGLETRANSLATE($A3738,""en"",""zh-cn"")"),"西民都洛岛")</f>
        <v>西民都洛岛</v>
      </c>
      <c r="H3738" s="9" t="str">
        <f>IFERROR(__xludf.DUMMYFUNCTION("GOOGLETRANSLATE($A3738,""en"",""ja"")"),"西ミンドロ島")</f>
        <v>西ミンドロ島</v>
      </c>
      <c r="I3738" s="9" t="str">
        <f>IFERROR(__xludf.DUMMYFUNCTION("GOOGLETRANSLATE($A3738,""en"",""ko"")"),"민도로 옥시덴탈")</f>
        <v>민도로 옥시덴탈</v>
      </c>
      <c r="J3738" s="9" t="str">
        <f>IFERROR(__xludf.DUMMYFUNCTION("GOOGLETRANSLATE($A3738,""en"",""pt-BR"")"),"Mindoro Ocidental")</f>
        <v>Mindoro Ocidental</v>
      </c>
    </row>
    <row r="3739">
      <c r="A3739" s="9" t="str">
        <f>IFERROR(__xludf.DUMMYFUNCTION("""COMPUTED_VALUE"""),"Tawi-Tawi")</f>
        <v>Tawi-Tawi</v>
      </c>
      <c r="B3739" s="9" t="str">
        <f>IFERROR(__xludf.DUMMYFUNCTION("""COMPUTED_VALUE"""),"ph-taw")</f>
        <v>ph-taw</v>
      </c>
      <c r="C3739" s="9" t="str">
        <f>IFERROR(__xludf.DUMMYFUNCTION("GOOGLETRANSLATE($A3739,""en"",""de"")"),"Tawi-Tawi")</f>
        <v>Tawi-Tawi</v>
      </c>
      <c r="D3739" s="9" t="str">
        <f>IFERROR(__xludf.DUMMYFUNCTION("GOOGLETRANSLATE($A3739,""en"",""fr"")"),"Tawi-Tawi")</f>
        <v>Tawi-Tawi</v>
      </c>
      <c r="E3739" s="9" t="str">
        <f>IFERROR(__xludf.DUMMYFUNCTION("GOOGLETRANSLATE($A3739,""en"",""es"")"),"Tawi-Tawi")</f>
        <v>Tawi-Tawi</v>
      </c>
      <c r="F3739" s="9" t="str">
        <f>IFERROR(__xludf.DUMMYFUNCTION("GOOGLETRANSLATE($A3739,""en"",""it"")"),"Tawi-Tawi")</f>
        <v>Tawi-Tawi</v>
      </c>
      <c r="G3739" s="9" t="str">
        <f>IFERROR(__xludf.DUMMYFUNCTION("GOOGLETRANSLATE($A3739,""en"",""zh-cn"")"),"塔威塔威")</f>
        <v>塔威塔威</v>
      </c>
      <c r="H3739" s="9" t="str">
        <f>IFERROR(__xludf.DUMMYFUNCTION("GOOGLETRANSLATE($A3739,""en"",""ja"")"),"タウィタウィ")</f>
        <v>タウィタウィ</v>
      </c>
      <c r="I3739" s="9" t="str">
        <f>IFERROR(__xludf.DUMMYFUNCTION("GOOGLETRANSLATE($A3739,""en"",""ko"")"),"타위-타위")</f>
        <v>타위-타위</v>
      </c>
      <c r="J3739" s="9" t="str">
        <f>IFERROR(__xludf.DUMMYFUNCTION("GOOGLETRANSLATE($A3739,""en"",""pt-BR"")"),"Tawi-Tawi")</f>
        <v>Tawi-Tawi</v>
      </c>
    </row>
    <row r="3740">
      <c r="A3740" s="9" t="str">
        <f>IFERROR(__xludf.DUMMYFUNCTION("""COMPUTED_VALUE"""),"Misamis Occidental")</f>
        <v>Misamis Occidental</v>
      </c>
      <c r="B3740" s="9" t="str">
        <f>IFERROR(__xludf.DUMMYFUNCTION("""COMPUTED_VALUE"""),"ph-msc")</f>
        <v>ph-msc</v>
      </c>
      <c r="C3740" s="9" t="str">
        <f>IFERROR(__xludf.DUMMYFUNCTION("GOOGLETRANSLATE($A3740,""en"",""de"")"),"Misamis Occidental")</f>
        <v>Misamis Occidental</v>
      </c>
      <c r="D3740" s="9" t="str">
        <f>IFERROR(__xludf.DUMMYFUNCTION("GOOGLETRANSLATE($A3740,""en"",""fr"")"),"Misamis Occidentale")</f>
        <v>Misamis Occidentale</v>
      </c>
      <c r="E3740" s="9" t="str">
        <f>IFERROR(__xludf.DUMMYFUNCTION("GOOGLETRANSLATE($A3740,""en"",""es"")"),"Misamis Occidental")</f>
        <v>Misamis Occidental</v>
      </c>
      <c r="F3740" s="9" t="str">
        <f>IFERROR(__xludf.DUMMYFUNCTION("GOOGLETRANSLATE($A3740,""en"",""it"")"),"Misamis occidentale")</f>
        <v>Misamis occidentale</v>
      </c>
      <c r="G3740" s="9" t="str">
        <f>IFERROR(__xludf.DUMMYFUNCTION("GOOGLETRANSLATE($A3740,""en"",""zh-cn"")"),"西米萨米斯")</f>
        <v>西米萨米斯</v>
      </c>
      <c r="H3740" s="9" t="str">
        <f>IFERROR(__xludf.DUMMYFUNCTION("GOOGLETRANSLATE($A3740,""en"",""ja"")"),"ミサミス オクシデンタル")</f>
        <v>ミサミス オクシデンタル</v>
      </c>
      <c r="I3740" s="9" t="str">
        <f>IFERROR(__xludf.DUMMYFUNCTION("GOOGLETRANSLATE($A3740,""en"",""ko"")"),"미사미스 옥시덴탈")</f>
        <v>미사미스 옥시덴탈</v>
      </c>
      <c r="J3740" s="9" t="str">
        <f>IFERROR(__xludf.DUMMYFUNCTION("GOOGLETRANSLATE($A3740,""en"",""pt-BR"")"),"Misamis Ocidental")</f>
        <v>Misamis Ocidental</v>
      </c>
    </row>
    <row r="3741">
      <c r="A3741" s="9" t="str">
        <f>IFERROR(__xludf.DUMMYFUNCTION("""COMPUTED_VALUE"""),"Kalinga")</f>
        <v>Kalinga</v>
      </c>
      <c r="B3741" s="9" t="str">
        <f>IFERROR(__xludf.DUMMYFUNCTION("""COMPUTED_VALUE"""),"ph-kal")</f>
        <v>ph-kal</v>
      </c>
      <c r="C3741" s="9" t="str">
        <f>IFERROR(__xludf.DUMMYFUNCTION("GOOGLETRANSLATE($A3741,""en"",""de"")"),"Kalinga")</f>
        <v>Kalinga</v>
      </c>
      <c r="D3741" s="9" t="str">
        <f>IFERROR(__xludf.DUMMYFUNCTION("GOOGLETRANSLATE($A3741,""en"",""fr"")"),"Kalinga")</f>
        <v>Kalinga</v>
      </c>
      <c r="E3741" s="9" t="str">
        <f>IFERROR(__xludf.DUMMYFUNCTION("GOOGLETRANSLATE($A3741,""en"",""es"")"),"Kalinga")</f>
        <v>Kalinga</v>
      </c>
      <c r="F3741" s="9" t="str">
        <f>IFERROR(__xludf.DUMMYFUNCTION("GOOGLETRANSLATE($A3741,""en"",""it"")"),"Kalinga")</f>
        <v>Kalinga</v>
      </c>
      <c r="G3741" s="9" t="str">
        <f>IFERROR(__xludf.DUMMYFUNCTION("GOOGLETRANSLATE($A3741,""en"",""zh-cn"")"),"卡林加")</f>
        <v>卡林加</v>
      </c>
      <c r="H3741" s="9" t="str">
        <f>IFERROR(__xludf.DUMMYFUNCTION("GOOGLETRANSLATE($A3741,""en"",""ja"")"),"カリンガ")</f>
        <v>カリンガ</v>
      </c>
      <c r="I3741" s="9" t="str">
        <f>IFERROR(__xludf.DUMMYFUNCTION("GOOGLETRANSLATE($A3741,""en"",""ko"")"),"칼링가")</f>
        <v>칼링가</v>
      </c>
      <c r="J3741" s="9" t="str">
        <f>IFERROR(__xludf.DUMMYFUNCTION("GOOGLETRANSLATE($A3741,""en"",""pt-BR"")"),"Kalinga")</f>
        <v>Kalinga</v>
      </c>
    </row>
    <row r="3742">
      <c r="A3742" s="9" t="str">
        <f>IFERROR(__xludf.DUMMYFUNCTION("""COMPUTED_VALUE"""),"Pampanga")</f>
        <v>Pampanga</v>
      </c>
      <c r="B3742" s="9" t="str">
        <f>IFERROR(__xludf.DUMMYFUNCTION("""COMPUTED_VALUE"""),"ph-pam")</f>
        <v>ph-pam</v>
      </c>
      <c r="C3742" s="9" t="str">
        <f>IFERROR(__xludf.DUMMYFUNCTION("GOOGLETRANSLATE($A3742,""en"",""de"")"),"Pampanga")</f>
        <v>Pampanga</v>
      </c>
      <c r="D3742" s="9" t="str">
        <f>IFERROR(__xludf.DUMMYFUNCTION("GOOGLETRANSLATE($A3742,""en"",""fr"")"),"Pampanga")</f>
        <v>Pampanga</v>
      </c>
      <c r="E3742" s="9" t="str">
        <f>IFERROR(__xludf.DUMMYFUNCTION("GOOGLETRANSLATE($A3742,""en"",""es"")"),"Pampanga")</f>
        <v>Pampanga</v>
      </c>
      <c r="F3742" s="9" t="str">
        <f>IFERROR(__xludf.DUMMYFUNCTION("GOOGLETRANSLATE($A3742,""en"",""it"")"),"Pampanga")</f>
        <v>Pampanga</v>
      </c>
      <c r="G3742" s="9" t="str">
        <f>IFERROR(__xludf.DUMMYFUNCTION("GOOGLETRANSLATE($A3742,""en"",""zh-cn"")"),"邦板牙")</f>
        <v>邦板牙</v>
      </c>
      <c r="H3742" s="9" t="str">
        <f>IFERROR(__xludf.DUMMYFUNCTION("GOOGLETRANSLATE($A3742,""en"",""ja"")"),"パンパンガ")</f>
        <v>パンパンガ</v>
      </c>
      <c r="I3742" s="9" t="str">
        <f>IFERROR(__xludf.DUMMYFUNCTION("GOOGLETRANSLATE($A3742,""en"",""ko"")"),"팜팡가")</f>
        <v>팜팡가</v>
      </c>
      <c r="J3742" s="9" t="str">
        <f>IFERROR(__xludf.DUMMYFUNCTION("GOOGLETRANSLATE($A3742,""en"",""pt-BR"")"),"Pampanga")</f>
        <v>Pampanga</v>
      </c>
    </row>
    <row r="3743">
      <c r="A3743" s="9" t="str">
        <f>IFERROR(__xludf.DUMMYFUNCTION("""COMPUTED_VALUE"""),"Davao Oriental")</f>
        <v>Davao Oriental</v>
      </c>
      <c r="B3743" s="9" t="str">
        <f>IFERROR(__xludf.DUMMYFUNCTION("""COMPUTED_VALUE"""),"ph-dao")</f>
        <v>ph-dao</v>
      </c>
      <c r="C3743" s="9" t="str">
        <f>IFERROR(__xludf.DUMMYFUNCTION("GOOGLETRANSLATE($A3743,""en"",""de"")"),"Davao Oriental")</f>
        <v>Davao Oriental</v>
      </c>
      <c r="D3743" s="9" t="str">
        <f>IFERROR(__xludf.DUMMYFUNCTION("GOOGLETRANSLATE($A3743,""en"",""fr"")"),"Davao Orientale")</f>
        <v>Davao Orientale</v>
      </c>
      <c r="E3743" s="9" t="str">
        <f>IFERROR(__xludf.DUMMYFUNCTION("GOOGLETRANSLATE($A3743,""en"",""es"")"),"Dávao Oriental")</f>
        <v>Dávao Oriental</v>
      </c>
      <c r="F3743" s="9" t="str">
        <f>IFERROR(__xludf.DUMMYFUNCTION("GOOGLETRANSLATE($A3743,""en"",""it"")"),"Davao orientale")</f>
        <v>Davao orientale</v>
      </c>
      <c r="G3743" s="9" t="str">
        <f>IFERROR(__xludf.DUMMYFUNCTION("GOOGLETRANSLATE($A3743,""en"",""zh-cn"")"),"东方达沃")</f>
        <v>东方达沃</v>
      </c>
      <c r="H3743" s="9" t="str">
        <f>IFERROR(__xludf.DUMMYFUNCTION("GOOGLETRANSLATE($A3743,""en"",""ja"")"),"ダバオ オリエンタル")</f>
        <v>ダバオ オリエンタル</v>
      </c>
      <c r="I3743" s="9" t="str">
        <f>IFERROR(__xludf.DUMMYFUNCTION("GOOGLETRANSLATE($A3743,""en"",""ko"")"),"다바오 오리엔탈")</f>
        <v>다바오 오리엔탈</v>
      </c>
      <c r="J3743" s="9" t="str">
        <f>IFERROR(__xludf.DUMMYFUNCTION("GOOGLETRANSLATE($A3743,""en"",""pt-BR"")"),"Davao Oriental")</f>
        <v>Davao Oriental</v>
      </c>
    </row>
    <row r="3744">
      <c r="A3744" s="9" t="str">
        <f>IFERROR(__xludf.DUMMYFUNCTION("""COMPUTED_VALUE"""),"Ilocos Norte")</f>
        <v>Ilocos Norte</v>
      </c>
      <c r="B3744" s="9" t="str">
        <f>IFERROR(__xludf.DUMMYFUNCTION("""COMPUTED_VALUE"""),"ph-iln")</f>
        <v>ph-iln</v>
      </c>
      <c r="C3744" s="9" t="str">
        <f>IFERROR(__xludf.DUMMYFUNCTION("GOOGLETRANSLATE($A3744,""en"",""de"")"),"Ilocos Norte")</f>
        <v>Ilocos Norte</v>
      </c>
      <c r="D3744" s="9" t="str">
        <f>IFERROR(__xludf.DUMMYFUNCTION("GOOGLETRANSLATE($A3744,""en"",""fr"")"),"Ilocos Nord")</f>
        <v>Ilocos Nord</v>
      </c>
      <c r="E3744" s="9" t="str">
        <f>IFERROR(__xludf.DUMMYFUNCTION("GOOGLETRANSLATE($A3744,""en"",""es"")"),"Ilocos Norte")</f>
        <v>Ilocos Norte</v>
      </c>
      <c r="F3744" s="9" t="str">
        <f>IFERROR(__xludf.DUMMYFUNCTION("GOOGLETRANSLATE($A3744,""en"",""it"")"),"Ilocos Norte")</f>
        <v>Ilocos Norte</v>
      </c>
      <c r="G3744" s="9" t="str">
        <f>IFERROR(__xludf.DUMMYFUNCTION("GOOGLETRANSLATE($A3744,""en"",""zh-cn"")"),"北伊罗戈")</f>
        <v>北伊罗戈</v>
      </c>
      <c r="H3744" s="9" t="str">
        <f>IFERROR(__xludf.DUMMYFUNCTION("GOOGLETRANSLATE($A3744,""en"",""ja"")"),"北イロコス")</f>
        <v>北イロコス</v>
      </c>
      <c r="I3744" s="9" t="str">
        <f>IFERROR(__xludf.DUMMYFUNCTION("GOOGLETRANSLATE($A3744,""en"",""ko"")"),"일로코스 노르테")</f>
        <v>일로코스 노르테</v>
      </c>
      <c r="J3744" s="9" t="str">
        <f>IFERROR(__xludf.DUMMYFUNCTION("GOOGLETRANSLATE($A3744,""en"",""pt-BR"")"),"Ilocos Norte")</f>
        <v>Ilocos Norte</v>
      </c>
    </row>
    <row r="3745">
      <c r="A3745" s="9" t="str">
        <f>IFERROR(__xludf.DUMMYFUNCTION("""COMPUTED_VALUE"""),"Mindoro Oriental")</f>
        <v>Mindoro Oriental</v>
      </c>
      <c r="B3745" s="9" t="str">
        <f>IFERROR(__xludf.DUMMYFUNCTION("""COMPUTED_VALUE"""),"ph-mdr")</f>
        <v>ph-mdr</v>
      </c>
      <c r="C3745" s="9" t="str">
        <f>IFERROR(__xludf.DUMMYFUNCTION("GOOGLETRANSLATE($A3745,""en"",""de"")"),"Mindoro Oriental")</f>
        <v>Mindoro Oriental</v>
      </c>
      <c r="D3745" s="9" t="str">
        <f>IFERROR(__xludf.DUMMYFUNCTION("GOOGLETRANSLATE($A3745,""en"",""fr"")"),"Mindoro oriental")</f>
        <v>Mindoro oriental</v>
      </c>
      <c r="E3745" s="9" t="str">
        <f>IFERROR(__xludf.DUMMYFUNCTION("GOOGLETRANSLATE($A3745,""en"",""es"")"),"Mindoro Oriental")</f>
        <v>Mindoro Oriental</v>
      </c>
      <c r="F3745" s="9" t="str">
        <f>IFERROR(__xludf.DUMMYFUNCTION("GOOGLETRANSLATE($A3745,""en"",""it"")"),"Mindoro Orientale")</f>
        <v>Mindoro Orientale</v>
      </c>
      <c r="G3745" s="9" t="str">
        <f>IFERROR(__xludf.DUMMYFUNCTION("GOOGLETRANSLATE($A3745,""en"",""zh-cn"")"),"东民都洛岛")</f>
        <v>东民都洛岛</v>
      </c>
      <c r="H3745" s="9" t="str">
        <f>IFERROR(__xludf.DUMMYFUNCTION("GOOGLETRANSLATE($A3745,""en"",""ja"")"),"東洋ミンドロ語")</f>
        <v>東洋ミンドロ語</v>
      </c>
      <c r="I3745" s="9" t="str">
        <f>IFERROR(__xludf.DUMMYFUNCTION("GOOGLETRANSLATE($A3745,""en"",""ko"")"),"민도로 오리엔탈")</f>
        <v>민도로 오리엔탈</v>
      </c>
      <c r="J3745" s="9" t="str">
        <f>IFERROR(__xludf.DUMMYFUNCTION("GOOGLETRANSLATE($A3745,""en"",""pt-BR"")"),"Mindoro Oriental")</f>
        <v>Mindoro Oriental</v>
      </c>
    </row>
    <row r="3746">
      <c r="A3746" s="9" t="str">
        <f>IFERROR(__xludf.DUMMYFUNCTION("""COMPUTED_VALUE"""),"Oruro")</f>
        <v>Oruro</v>
      </c>
      <c r="B3746" s="9" t="str">
        <f>IFERROR(__xludf.DUMMYFUNCTION("""COMPUTED_VALUE"""),"bo-o")</f>
        <v>bo-o</v>
      </c>
      <c r="C3746" s="9" t="str">
        <f>IFERROR(__xludf.DUMMYFUNCTION("GOOGLETRANSLATE($A3746,""en"",""de"")"),"Oruro")</f>
        <v>Oruro</v>
      </c>
      <c r="D3746" s="9" t="str">
        <f>IFERROR(__xludf.DUMMYFUNCTION("GOOGLETRANSLATE($A3746,""en"",""fr"")"),"Oruro")</f>
        <v>Oruro</v>
      </c>
      <c r="E3746" s="9" t="str">
        <f>IFERROR(__xludf.DUMMYFUNCTION("GOOGLETRANSLATE($A3746,""en"",""es"")"),"Oruro")</f>
        <v>Oruro</v>
      </c>
      <c r="F3746" s="9" t="str">
        <f>IFERROR(__xludf.DUMMYFUNCTION("GOOGLETRANSLATE($A3746,""en"",""it"")"),"Oruro")</f>
        <v>Oruro</v>
      </c>
      <c r="G3746" s="9" t="str">
        <f>IFERROR(__xludf.DUMMYFUNCTION("GOOGLETRANSLATE($A3746,""en"",""zh-cn"")"),"奥鲁罗")</f>
        <v>奥鲁罗</v>
      </c>
      <c r="H3746" s="9" t="str">
        <f>IFERROR(__xludf.DUMMYFUNCTION("GOOGLETRANSLATE($A3746,""en"",""ja"")"),"オルロ")</f>
        <v>オルロ</v>
      </c>
      <c r="I3746" s="9" t="str">
        <f>IFERROR(__xludf.DUMMYFUNCTION("GOOGLETRANSLATE($A3746,""en"",""ko"")"),"오루로")</f>
        <v>오루로</v>
      </c>
      <c r="J3746" s="9" t="str">
        <f>IFERROR(__xludf.DUMMYFUNCTION("GOOGLETRANSLATE($A3746,""en"",""pt-BR"")"),"Oruro")</f>
        <v>Oruro</v>
      </c>
    </row>
    <row r="3747">
      <c r="A3747" s="9" t="str">
        <f>IFERROR(__xludf.DUMMYFUNCTION("""COMPUTED_VALUE"""),"Pando")</f>
        <v>Pando</v>
      </c>
      <c r="B3747" s="9" t="str">
        <f>IFERROR(__xludf.DUMMYFUNCTION("""COMPUTED_VALUE"""),"bo-n")</f>
        <v>bo-n</v>
      </c>
      <c r="C3747" s="9" t="str">
        <f>IFERROR(__xludf.DUMMYFUNCTION("GOOGLETRANSLATE($A3747,""en"",""de"")"),"Pando")</f>
        <v>Pando</v>
      </c>
      <c r="D3747" s="9" t="str">
        <f>IFERROR(__xludf.DUMMYFUNCTION("GOOGLETRANSLATE($A3747,""en"",""fr"")"),"Pando")</f>
        <v>Pando</v>
      </c>
      <c r="E3747" s="9" t="str">
        <f>IFERROR(__xludf.DUMMYFUNCTION("GOOGLETRANSLATE($A3747,""en"",""es"")"),"pando")</f>
        <v>pando</v>
      </c>
      <c r="F3747" s="9" t="str">
        <f>IFERROR(__xludf.DUMMYFUNCTION("GOOGLETRANSLATE($A3747,""en"",""it"")"),"Pando")</f>
        <v>Pando</v>
      </c>
      <c r="G3747" s="9" t="str">
        <f>IFERROR(__xludf.DUMMYFUNCTION("GOOGLETRANSLATE($A3747,""en"",""zh-cn"")"),"潘多")</f>
        <v>潘多</v>
      </c>
      <c r="H3747" s="9" t="str">
        <f>IFERROR(__xludf.DUMMYFUNCTION("GOOGLETRANSLATE($A3747,""en"",""ja"")"),"パンド")</f>
        <v>パンド</v>
      </c>
      <c r="I3747" s="9" t="str">
        <f>IFERROR(__xludf.DUMMYFUNCTION("GOOGLETRANSLATE($A3747,""en"",""ko"")"),"판도")</f>
        <v>판도</v>
      </c>
      <c r="J3747" s="9" t="str">
        <f>IFERROR(__xludf.DUMMYFUNCTION("GOOGLETRANSLATE($A3747,""en"",""pt-BR"")"),"Pando")</f>
        <v>Pando</v>
      </c>
    </row>
    <row r="3748">
      <c r="A3748" s="9" t="str">
        <f>IFERROR(__xludf.DUMMYFUNCTION("""COMPUTED_VALUE"""),"Cochabamba")</f>
        <v>Cochabamba</v>
      </c>
      <c r="B3748" s="9" t="str">
        <f>IFERROR(__xludf.DUMMYFUNCTION("""COMPUTED_VALUE"""),"bo-c")</f>
        <v>bo-c</v>
      </c>
      <c r="C3748" s="9" t="str">
        <f>IFERROR(__xludf.DUMMYFUNCTION("GOOGLETRANSLATE($A3748,""en"",""de"")"),"Cochabamba")</f>
        <v>Cochabamba</v>
      </c>
      <c r="D3748" s="9" t="str">
        <f>IFERROR(__xludf.DUMMYFUNCTION("GOOGLETRANSLATE($A3748,""en"",""fr"")"),"Cochabamba")</f>
        <v>Cochabamba</v>
      </c>
      <c r="E3748" s="9" t="str">
        <f>IFERROR(__xludf.DUMMYFUNCTION("GOOGLETRANSLATE($A3748,""en"",""es"")"),"Cochabamba")</f>
        <v>Cochabamba</v>
      </c>
      <c r="F3748" s="9" t="str">
        <f>IFERROR(__xludf.DUMMYFUNCTION("GOOGLETRANSLATE($A3748,""en"",""it"")"),"Cochabamba")</f>
        <v>Cochabamba</v>
      </c>
      <c r="G3748" s="9" t="str">
        <f>IFERROR(__xludf.DUMMYFUNCTION("GOOGLETRANSLATE($A3748,""en"",""zh-cn"")"),"科恰班巴")</f>
        <v>科恰班巴</v>
      </c>
      <c r="H3748" s="9" t="str">
        <f>IFERROR(__xludf.DUMMYFUNCTION("GOOGLETRANSLATE($A3748,""en"",""ja"")"),"コチャバンバ")</f>
        <v>コチャバンバ</v>
      </c>
      <c r="I3748" s="9" t="str">
        <f>IFERROR(__xludf.DUMMYFUNCTION("GOOGLETRANSLATE($A3748,""en"",""ko"")"),"코차밤바")</f>
        <v>코차밤바</v>
      </c>
      <c r="J3748" s="9" t="str">
        <f>IFERROR(__xludf.DUMMYFUNCTION("GOOGLETRANSLATE($A3748,""en"",""pt-BR"")"),"Cochabamba")</f>
        <v>Cochabamba</v>
      </c>
    </row>
    <row r="3749">
      <c r="A3749" s="9" t="str">
        <f>IFERROR(__xludf.DUMMYFUNCTION("""COMPUTED_VALUE"""),"Santa Cruz (BO)")</f>
        <v>Santa Cruz (BO)</v>
      </c>
      <c r="B3749" s="9" t="str">
        <f>IFERROR(__xludf.DUMMYFUNCTION("""COMPUTED_VALUE"""),"bo-s")</f>
        <v>bo-s</v>
      </c>
      <c r="C3749" s="9" t="str">
        <f>IFERROR(__xludf.DUMMYFUNCTION("GOOGLETRANSLATE($A3749,""en"",""de"")"),"Santa Cruz (BO)")</f>
        <v>Santa Cruz (BO)</v>
      </c>
      <c r="D3749" s="9" t="str">
        <f>IFERROR(__xludf.DUMMYFUNCTION("GOOGLETRANSLATE($A3749,""en"",""fr"")"),"Santa Cruz (BO)")</f>
        <v>Santa Cruz (BO)</v>
      </c>
      <c r="E3749" s="9" t="str">
        <f>IFERROR(__xludf.DUMMYFUNCTION("GOOGLETRANSLATE($A3749,""en"",""es"")"),"Santa Cruz (BO)")</f>
        <v>Santa Cruz (BO)</v>
      </c>
      <c r="F3749" s="9" t="str">
        <f>IFERROR(__xludf.DUMMYFUNCTION("GOOGLETRANSLATE($A3749,""en"",""it"")"),"Santa Cruz (BO)")</f>
        <v>Santa Cruz (BO)</v>
      </c>
      <c r="G3749" s="9" t="str">
        <f>IFERROR(__xludf.DUMMYFUNCTION("GOOGLETRANSLATE($A3749,""en"",""zh-cn"")"),"圣克鲁斯 (BO)")</f>
        <v>圣克鲁斯 (BO)</v>
      </c>
      <c r="H3749" s="9" t="str">
        <f>IFERROR(__xludf.DUMMYFUNCTION("GOOGLETRANSLATE($A3749,""en"",""ja"")"),"サンタクルーズ（BO）")</f>
        <v>サンタクルーズ（BO）</v>
      </c>
      <c r="I3749" s="9" t="str">
        <f>IFERROR(__xludf.DUMMYFUNCTION("GOOGLETRANSLATE($A3749,""en"",""ko"")"),"산타크루즈(BO)")</f>
        <v>산타크루즈(BO)</v>
      </c>
      <c r="J3749" s="9" t="str">
        <f>IFERROR(__xludf.DUMMYFUNCTION("GOOGLETRANSLATE($A3749,""en"",""pt-BR"")"),"Santa Cruz (BO)")</f>
        <v>Santa Cruz (BO)</v>
      </c>
    </row>
    <row r="3750">
      <c r="A3750" s="9" t="str">
        <f>IFERROR(__xludf.DUMMYFUNCTION("""COMPUTED_VALUE"""),"Tarija")</f>
        <v>Tarija</v>
      </c>
      <c r="B3750" s="9" t="str">
        <f>IFERROR(__xludf.DUMMYFUNCTION("""COMPUTED_VALUE"""),"bo-t")</f>
        <v>bo-t</v>
      </c>
      <c r="C3750" s="9" t="str">
        <f>IFERROR(__xludf.DUMMYFUNCTION("GOOGLETRANSLATE($A3750,""en"",""de"")"),"Tarija")</f>
        <v>Tarija</v>
      </c>
      <c r="D3750" s="9" t="str">
        <f>IFERROR(__xludf.DUMMYFUNCTION("GOOGLETRANSLATE($A3750,""en"",""fr"")"),"Tarija")</f>
        <v>Tarija</v>
      </c>
      <c r="E3750" s="9" t="str">
        <f>IFERROR(__xludf.DUMMYFUNCTION("GOOGLETRANSLATE($A3750,""en"",""es"")"),"Tarija")</f>
        <v>Tarija</v>
      </c>
      <c r="F3750" s="9" t="str">
        <f>IFERROR(__xludf.DUMMYFUNCTION("GOOGLETRANSLATE($A3750,""en"",""it"")"),"Tarija")</f>
        <v>Tarija</v>
      </c>
      <c r="G3750" s="9" t="str">
        <f>IFERROR(__xludf.DUMMYFUNCTION("GOOGLETRANSLATE($A3750,""en"",""zh-cn"")"),"塔里哈")</f>
        <v>塔里哈</v>
      </c>
      <c r="H3750" s="9" t="str">
        <f>IFERROR(__xludf.DUMMYFUNCTION("GOOGLETRANSLATE($A3750,""en"",""ja"")"),"タリハ")</f>
        <v>タリハ</v>
      </c>
      <c r="I3750" s="9" t="str">
        <f>IFERROR(__xludf.DUMMYFUNCTION("GOOGLETRANSLATE($A3750,""en"",""ko"")"),"타리하")</f>
        <v>타리하</v>
      </c>
      <c r="J3750" s="9" t="str">
        <f>IFERROR(__xludf.DUMMYFUNCTION("GOOGLETRANSLATE($A3750,""en"",""pt-BR"")"),"Tarija")</f>
        <v>Tarija</v>
      </c>
    </row>
    <row r="3751">
      <c r="A3751" s="9" t="str">
        <f>IFERROR(__xludf.DUMMYFUNCTION("""COMPUTED_VALUE"""),"La Paz (BO)")</f>
        <v>La Paz (BO)</v>
      </c>
      <c r="B3751" s="9" t="str">
        <f>IFERROR(__xludf.DUMMYFUNCTION("""COMPUTED_VALUE"""),"bo-l")</f>
        <v>bo-l</v>
      </c>
      <c r="C3751" s="9" t="str">
        <f>IFERROR(__xludf.DUMMYFUNCTION("GOOGLETRANSLATE($A3751,""en"",""de"")"),"La Paz (BO)")</f>
        <v>La Paz (BO)</v>
      </c>
      <c r="D3751" s="9" t="str">
        <f>IFERROR(__xludf.DUMMYFUNCTION("GOOGLETRANSLATE($A3751,""en"",""fr"")"),"La Paz (BO)")</f>
        <v>La Paz (BO)</v>
      </c>
      <c r="E3751" s="9" t="str">
        <f>IFERROR(__xludf.DUMMYFUNCTION("GOOGLETRANSLATE($A3751,""en"",""es"")"),"La Paz (BO)")</f>
        <v>La Paz (BO)</v>
      </c>
      <c r="F3751" s="9" t="str">
        <f>IFERROR(__xludf.DUMMYFUNCTION("GOOGLETRANSLATE($A3751,""en"",""it"")"),"La Pace (BO)")</f>
        <v>La Pace (BO)</v>
      </c>
      <c r="G3751" s="9" t="str">
        <f>IFERROR(__xludf.DUMMYFUNCTION("GOOGLETRANSLATE($A3751,""en"",""zh-cn"")"),"拉巴斯 (BO)")</f>
        <v>拉巴斯 (BO)</v>
      </c>
      <c r="H3751" s="9" t="str">
        <f>IFERROR(__xludf.DUMMYFUNCTION("GOOGLETRANSLATE($A3751,""en"",""ja"")"),"ラパス (BO)")</f>
        <v>ラパス (BO)</v>
      </c>
      <c r="I3751" s="9" t="str">
        <f>IFERROR(__xludf.DUMMYFUNCTION("GOOGLETRANSLATE($A3751,""en"",""ko"")"),"라파스(BO)")</f>
        <v>라파스(BO)</v>
      </c>
      <c r="J3751" s="9" t="str">
        <f>IFERROR(__xludf.DUMMYFUNCTION("GOOGLETRANSLATE($A3751,""en"",""pt-BR"")"),"La Paz (BO)")</f>
        <v>La Paz (BO)</v>
      </c>
    </row>
    <row r="3752">
      <c r="A3752" s="9" t="str">
        <f>IFERROR(__xludf.DUMMYFUNCTION("""COMPUTED_VALUE"""),"Chuquisaca")</f>
        <v>Chuquisaca</v>
      </c>
      <c r="B3752" s="9" t="str">
        <f>IFERROR(__xludf.DUMMYFUNCTION("""COMPUTED_VALUE"""),"bo-h")</f>
        <v>bo-h</v>
      </c>
      <c r="C3752" s="9" t="str">
        <f>IFERROR(__xludf.DUMMYFUNCTION("GOOGLETRANSLATE($A3752,""en"",""de"")"),"Chuquisaca")</f>
        <v>Chuquisaca</v>
      </c>
      <c r="D3752" s="9" t="str">
        <f>IFERROR(__xludf.DUMMYFUNCTION("GOOGLETRANSLATE($A3752,""en"",""fr"")"),"Chuquisaca")</f>
        <v>Chuquisaca</v>
      </c>
      <c r="E3752" s="9" t="str">
        <f>IFERROR(__xludf.DUMMYFUNCTION("GOOGLETRANSLATE($A3752,""en"",""es"")"),"Chuquisaca")</f>
        <v>Chuquisaca</v>
      </c>
      <c r="F3752" s="9" t="str">
        <f>IFERROR(__xludf.DUMMYFUNCTION("GOOGLETRANSLATE($A3752,""en"",""it"")"),"Chuquisaca")</f>
        <v>Chuquisaca</v>
      </c>
      <c r="G3752" s="9" t="str">
        <f>IFERROR(__xludf.DUMMYFUNCTION("GOOGLETRANSLATE($A3752,""en"",""zh-cn"")"),"丘基萨卡")</f>
        <v>丘基萨卡</v>
      </c>
      <c r="H3752" s="9" t="str">
        <f>IFERROR(__xludf.DUMMYFUNCTION("GOOGLETRANSLATE($A3752,""en"",""ja"")"),"チュキサカ")</f>
        <v>チュキサカ</v>
      </c>
      <c r="I3752" s="9" t="str">
        <f>IFERROR(__xludf.DUMMYFUNCTION("GOOGLETRANSLATE($A3752,""en"",""ko"")"),"추키사카")</f>
        <v>추키사카</v>
      </c>
      <c r="J3752" s="9" t="str">
        <f>IFERROR(__xludf.DUMMYFUNCTION("GOOGLETRANSLATE($A3752,""en"",""pt-BR"")"),"Chuquisaca")</f>
        <v>Chuquisaca</v>
      </c>
    </row>
    <row r="3753">
      <c r="A3753" s="9" t="str">
        <f>IFERROR(__xludf.DUMMYFUNCTION("""COMPUTED_VALUE"""),"El Beni")</f>
        <v>El Beni</v>
      </c>
      <c r="B3753" s="9" t="str">
        <f>IFERROR(__xludf.DUMMYFUNCTION("""COMPUTED_VALUE"""),"bo-b")</f>
        <v>bo-b</v>
      </c>
      <c r="C3753" s="9" t="str">
        <f>IFERROR(__xludf.DUMMYFUNCTION("GOOGLETRANSLATE($A3753,""en"",""de"")"),"El Beni")</f>
        <v>El Beni</v>
      </c>
      <c r="D3753" s="9" t="str">
        <f>IFERROR(__xludf.DUMMYFUNCTION("GOOGLETRANSLATE($A3753,""en"",""fr"")"),"El Béni")</f>
        <v>El Béni</v>
      </c>
      <c r="E3753" s="9" t="str">
        <f>IFERROR(__xludf.DUMMYFUNCTION("GOOGLETRANSLATE($A3753,""en"",""es"")"),"El Bení")</f>
        <v>El Bení</v>
      </c>
      <c r="F3753" s="9" t="str">
        <f>IFERROR(__xludf.DUMMYFUNCTION("GOOGLETRANSLATE($A3753,""en"",""it"")"),"El Beni")</f>
        <v>El Beni</v>
      </c>
      <c r="G3753" s="9" t="str">
        <f>IFERROR(__xludf.DUMMYFUNCTION("GOOGLETRANSLATE($A3753,""en"",""zh-cn"")"),"埃尔贝尼")</f>
        <v>埃尔贝尼</v>
      </c>
      <c r="H3753" s="9" t="str">
        <f>IFERROR(__xludf.DUMMYFUNCTION("GOOGLETRANSLATE($A3753,""en"",""ja"")"),"エルベニ")</f>
        <v>エルベニ</v>
      </c>
      <c r="I3753" s="9" t="str">
        <f>IFERROR(__xludf.DUMMYFUNCTION("GOOGLETRANSLATE($A3753,""en"",""ko"")"),"엘베니")</f>
        <v>엘베니</v>
      </c>
      <c r="J3753" s="9" t="str">
        <f>IFERROR(__xludf.DUMMYFUNCTION("GOOGLETRANSLATE($A3753,""en"",""pt-BR"")"),"El Beni")</f>
        <v>El Beni</v>
      </c>
    </row>
    <row r="3754">
      <c r="A3754" s="9" t="str">
        <f>IFERROR(__xludf.DUMMYFUNCTION("""COMPUTED_VALUE"""),"Potosí")</f>
        <v>Potosí</v>
      </c>
      <c r="B3754" s="9" t="str">
        <f>IFERROR(__xludf.DUMMYFUNCTION("""COMPUTED_VALUE"""),"bo-p")</f>
        <v>bo-p</v>
      </c>
      <c r="C3754" s="9" t="str">
        <f>IFERROR(__xludf.DUMMYFUNCTION("GOOGLETRANSLATE($A3754,""en"",""de"")"),"Potosi")</f>
        <v>Potosi</v>
      </c>
      <c r="D3754" s="9" t="str">
        <f>IFERROR(__xludf.DUMMYFUNCTION("GOOGLETRANSLATE($A3754,""en"",""fr"")"),"Potosi")</f>
        <v>Potosi</v>
      </c>
      <c r="E3754" s="9" t="str">
        <f>IFERROR(__xludf.DUMMYFUNCTION("GOOGLETRANSLATE($A3754,""en"",""es"")"),"Potosí")</f>
        <v>Potosí</v>
      </c>
      <c r="F3754" s="9" t="str">
        <f>IFERROR(__xludf.DUMMYFUNCTION("GOOGLETRANSLATE($A3754,""en"",""it"")"),"Potosi")</f>
        <v>Potosi</v>
      </c>
      <c r="G3754" s="9" t="str">
        <f>IFERROR(__xludf.DUMMYFUNCTION("GOOGLETRANSLATE($A3754,""en"",""zh-cn"")"),"波托西")</f>
        <v>波托西</v>
      </c>
      <c r="H3754" s="9" t="str">
        <f>IFERROR(__xludf.DUMMYFUNCTION("GOOGLETRANSLATE($A3754,""en"",""ja"")"),"ポトシ")</f>
        <v>ポトシ</v>
      </c>
      <c r="I3754" s="9" t="str">
        <f>IFERROR(__xludf.DUMMYFUNCTION("GOOGLETRANSLATE($A3754,""en"",""ko"")"),"포토시")</f>
        <v>포토시</v>
      </c>
      <c r="J3754" s="9" t="str">
        <f>IFERROR(__xludf.DUMMYFUNCTION("GOOGLETRANSLATE($A3754,""en"",""pt-BR"")"),"Potosí")</f>
        <v>Potosí</v>
      </c>
    </row>
    <row r="3755">
      <c r="A3755" s="9" t="str">
        <f>IFERROR(__xludf.DUMMYFUNCTION("""COMPUTED_VALUE"""),"Świętokrzyskie (PL-SK)")</f>
        <v>Świętokrzyskie (PL-SK)</v>
      </c>
      <c r="B3755" s="9" t="str">
        <f>IFERROR(__xludf.DUMMYFUNCTION("""COMPUTED_VALUE"""),"pl-sk")</f>
        <v>pl-sk</v>
      </c>
      <c r="C3755" s="9" t="str">
        <f>IFERROR(__xludf.DUMMYFUNCTION("GOOGLETRANSLATE($A3755,""en"",""de"")"),"Świętokrzyskie (PL-SK)")</f>
        <v>Świętokrzyskie (PL-SK)</v>
      </c>
      <c r="D3755" s="9" t="str">
        <f>IFERROR(__xludf.DUMMYFUNCTION("GOOGLETRANSLATE($A3755,""en"",""fr"")"),"Sainte-Croix (PL-SK)")</f>
        <v>Sainte-Croix (PL-SK)</v>
      </c>
      <c r="E3755" s="9" t="str">
        <f>IFERROR(__xludf.DUMMYFUNCTION("GOOGLETRANSLATE($A3755,""en"",""es"")"),"Świętokrzyskie (PL-SK)")</f>
        <v>Świętokrzyskie (PL-SK)</v>
      </c>
      <c r="F3755" s="9" t="str">
        <f>IFERROR(__xludf.DUMMYFUNCTION("GOOGLETRANSLATE($A3755,""en"",""it"")"),"Świętokrzyskie (PL-SK)")</f>
        <v>Świętokrzyskie (PL-SK)</v>
      </c>
      <c r="G3755" s="9" t="str">
        <f>IFERROR(__xludf.DUMMYFUNCTION("GOOGLETRANSLATE($A3755,""en"",""zh-cn"")"),"圣十字省 (PL-SK)")</f>
        <v>圣十字省 (PL-SK)</v>
      </c>
      <c r="H3755" s="9" t="str">
        <f>IFERROR(__xludf.DUMMYFUNCTION("GOOGLETRANSLATE($A3755,""en"",""ja"")"),"シフィエントクシスキエ (PL-SK)")</f>
        <v>シフィエントクシスキエ (PL-SK)</v>
      </c>
      <c r="I3755" s="9" t="str">
        <f>IFERROR(__xludf.DUMMYFUNCTION("GOOGLETRANSLATE($A3755,""en"",""ko"")"),"시비엥토크시스키에(PL-SK)")</f>
        <v>시비엥토크시스키에(PL-SK)</v>
      </c>
      <c r="J3755" s="9" t="str">
        <f>IFERROR(__xludf.DUMMYFUNCTION("GOOGLETRANSLATE($A3755,""en"",""pt-BR"")"),"Świętokrzyskie (PL-SK)")</f>
        <v>Świętokrzyskie (PL-SK)</v>
      </c>
    </row>
    <row r="3756">
      <c r="A3756" s="9" t="str">
        <f>IFERROR(__xludf.DUMMYFUNCTION("""COMPUTED_VALUE"""),"Warmińsko-mazurskie (PL-WN)")</f>
        <v>Warmińsko-mazurskie (PL-WN)</v>
      </c>
      <c r="B3756" s="9" t="str">
        <f>IFERROR(__xludf.DUMMYFUNCTION("""COMPUTED_VALUE"""),"pl-wn")</f>
        <v>pl-wn</v>
      </c>
      <c r="C3756" s="9" t="str">
        <f>IFERROR(__xludf.DUMMYFUNCTION("GOOGLETRANSLATE($A3756,""en"",""de"")"),"Warmińsko-mazurskie (PL-WN)")</f>
        <v>Warmińsko-mazurskie (PL-WN)</v>
      </c>
      <c r="D3756" s="9" t="str">
        <f>IFERROR(__xludf.DUMMYFUNCTION("GOOGLETRANSLATE($A3756,""en"",""fr"")"),"Warmińsko-mazurskie (PL-WN)")</f>
        <v>Warmińsko-mazurskie (PL-WN)</v>
      </c>
      <c r="E3756" s="9" t="str">
        <f>IFERROR(__xludf.DUMMYFUNCTION("GOOGLETRANSLATE($A3756,""en"",""es"")"),"Warmińsko-mazurskie (PL-WN)")</f>
        <v>Warmińsko-mazurskie (PL-WN)</v>
      </c>
      <c r="F3756" s="9" t="str">
        <f>IFERROR(__xludf.DUMMYFUNCTION("GOOGLETRANSLATE($A3756,""en"",""it"")"),"Warmińsko-mazurskie (PL-WN)")</f>
        <v>Warmińsko-mazurskie (PL-WN)</v>
      </c>
      <c r="G3756" s="9" t="str">
        <f>IFERROR(__xludf.DUMMYFUNCTION("GOOGLETRANSLATE($A3756,""en"",""zh-cn"")"),"瓦尔明斯科-马祖里省 (PL-WN)")</f>
        <v>瓦尔明斯科-马祖里省 (PL-WN)</v>
      </c>
      <c r="H3756" s="9" t="str">
        <f>IFERROR(__xludf.DUMMYFUNCTION("GOOGLETRANSLATE($A3756,""en"",""ja"")"),"ワルミンスコ・マズルスキエ (PL-WN)")</f>
        <v>ワルミンスコ・マズルスキエ (PL-WN)</v>
      </c>
      <c r="I3756" s="9" t="str">
        <f>IFERROR(__xludf.DUMMYFUNCTION("GOOGLETRANSLATE($A3756,""en"",""ko"")"),"바르민스코-마주르스키에(PL-WN)")</f>
        <v>바르민스코-마주르스키에(PL-WN)</v>
      </c>
      <c r="J3756" s="9" t="str">
        <f>IFERROR(__xludf.DUMMYFUNCTION("GOOGLETRANSLATE($A3756,""en"",""pt-BR"")"),"Warmińsko-mazurskie (PL-WN)")</f>
        <v>Warmińsko-mazurskie (PL-WN)</v>
      </c>
    </row>
    <row r="3757">
      <c r="A3757" s="9" t="str">
        <f>IFERROR(__xludf.DUMMYFUNCTION("""COMPUTED_VALUE"""),"Wielkopolskie (PL-WP)")</f>
        <v>Wielkopolskie (PL-WP)</v>
      </c>
      <c r="B3757" s="9" t="str">
        <f>IFERROR(__xludf.DUMMYFUNCTION("""COMPUTED_VALUE"""),"pl-wp")</f>
        <v>pl-wp</v>
      </c>
      <c r="C3757" s="9" t="str">
        <f>IFERROR(__xludf.DUMMYFUNCTION("GOOGLETRANSLATE($A3757,""en"",""de"")"),"Wielkopolskie (PL-WP)")</f>
        <v>Wielkopolskie (PL-WP)</v>
      </c>
      <c r="D3757" s="9" t="str">
        <f>IFERROR(__xludf.DUMMYFUNCTION("GOOGLETRANSLATE($A3757,""en"",""fr"")"),"Grande-Pologne (PL-WP)")</f>
        <v>Grande-Pologne (PL-WP)</v>
      </c>
      <c r="E3757" s="9" t="str">
        <f>IFERROR(__xludf.DUMMYFUNCTION("GOOGLETRANSLATE($A3757,""en"",""es"")"),"Gran Polonia (PL-WP)")</f>
        <v>Gran Polonia (PL-WP)</v>
      </c>
      <c r="F3757" s="9" t="str">
        <f>IFERROR(__xludf.DUMMYFUNCTION("GOOGLETRANSLATE($A3757,""en"",""it"")"),"Grande Polonia (PL-WP)")</f>
        <v>Grande Polonia (PL-WP)</v>
      </c>
      <c r="G3757" s="9" t="str">
        <f>IFERROR(__xludf.DUMMYFUNCTION("GOOGLETRANSLATE($A3757,""en"",""zh-cn"")"),"大波兰省 (PL-WP)")</f>
        <v>大波兰省 (PL-WP)</v>
      </c>
      <c r="H3757" s="9" t="str">
        <f>IFERROR(__xludf.DUMMYFUNCTION("GOOGLETRANSLATE($A3757,""en"",""ja"")"),"ヴィエルコポルスキー (PL-WP)")</f>
        <v>ヴィエルコポルスキー (PL-WP)</v>
      </c>
      <c r="I3757" s="9" t="str">
        <f>IFERROR(__xludf.DUMMYFUNCTION("GOOGLETRANSLATE($A3757,""en"",""ko"")"),"비엘코폴스키에 (PL-WP)")</f>
        <v>비엘코폴스키에 (PL-WP)</v>
      </c>
      <c r="J3757" s="9" t="str">
        <f>IFERROR(__xludf.DUMMYFUNCTION("GOOGLETRANSLATE($A3757,""en"",""pt-BR"")"),"Wielkopolskie (PL-WP)")</f>
        <v>Wielkopolskie (PL-WP)</v>
      </c>
    </row>
    <row r="3758">
      <c r="A3758" s="9" t="str">
        <f>IFERROR(__xludf.DUMMYFUNCTION("""COMPUTED_VALUE"""),"Zachodniopomorskie (PL-ZP)")</f>
        <v>Zachodniopomorskie (PL-ZP)</v>
      </c>
      <c r="B3758" s="9" t="str">
        <f>IFERROR(__xludf.DUMMYFUNCTION("""COMPUTED_VALUE"""),"pl-zp")</f>
        <v>pl-zp</v>
      </c>
      <c r="C3758" s="9" t="str">
        <f>IFERROR(__xludf.DUMMYFUNCTION("GOOGLETRANSLATE($A3758,""en"",""de"")"),"Westpommern (PL-ZP)")</f>
        <v>Westpommern (PL-ZP)</v>
      </c>
      <c r="D3758" s="9" t="str">
        <f>IFERROR(__xludf.DUMMYFUNCTION("GOOGLETRANSLATE($A3758,""en"",""fr"")"),"Zachodniopomorskie (PL-ZP)")</f>
        <v>Zachodniopomorskie (PL-ZP)</v>
      </c>
      <c r="E3758" s="9" t="str">
        <f>IFERROR(__xludf.DUMMYFUNCTION("GOOGLETRANSLATE($A3758,""en"",""es"")"),"Zachodniopomorskie (PL-ZP)")</f>
        <v>Zachodniopomorskie (PL-ZP)</v>
      </c>
      <c r="F3758" s="9" t="str">
        <f>IFERROR(__xludf.DUMMYFUNCTION("GOOGLETRANSLATE($A3758,""en"",""it"")"),"Zachodniopomorskie (PL-ZP)")</f>
        <v>Zachodniopomorskie (PL-ZP)</v>
      </c>
      <c r="G3758" s="9" t="str">
        <f>IFERROR(__xludf.DUMMYFUNCTION("GOOGLETRANSLATE($A3758,""en"",""zh-cn"")"),"西波莫尔斯基 (PL-ZP)")</f>
        <v>西波莫尔斯基 (PL-ZP)</v>
      </c>
      <c r="H3758" s="9" t="str">
        <f>IFERROR(__xludf.DUMMYFUNCTION("GOOGLETRANSLATE($A3758,""en"",""ja"")"),"ザコドニオポモルスキー (PL-ZP)")</f>
        <v>ザコドニオポモルスキー (PL-ZP)</v>
      </c>
      <c r="I3758" s="9" t="str">
        <f>IFERROR(__xludf.DUMMYFUNCTION("GOOGLETRANSLATE($A3758,""en"",""ko"")"),"자호드니오포모르스키에(PL-ZP)")</f>
        <v>자호드니오포모르스키에(PL-ZP)</v>
      </c>
      <c r="J3758" s="9" t="str">
        <f>IFERROR(__xludf.DUMMYFUNCTION("GOOGLETRANSLATE($A3758,""en"",""pt-BR"")"),"Zachodniopomorskie (PL-ZP)")</f>
        <v>Zachodniopomorskie (PL-ZP)</v>
      </c>
    </row>
    <row r="3759">
      <c r="A3759" s="9" t="str">
        <f>IFERROR(__xludf.DUMMYFUNCTION("""COMPUTED_VALUE"""),"Świętokrzyskie")</f>
        <v>Świętokrzyskie</v>
      </c>
      <c r="B3759" s="9" t="str">
        <f>IFERROR(__xludf.DUMMYFUNCTION("""COMPUTED_VALUE"""),"pl-26")</f>
        <v>pl-26</v>
      </c>
      <c r="C3759" s="9" t="str">
        <f>IFERROR(__xludf.DUMMYFUNCTION("GOOGLETRANSLATE($A3759,""en"",""de"")"),"Heiligkreuz")</f>
        <v>Heiligkreuz</v>
      </c>
      <c r="D3759" s="9" t="str">
        <f>IFERROR(__xludf.DUMMYFUNCTION("GOOGLETRANSLATE($A3759,""en"",""fr"")"),"Sainte-Croix")</f>
        <v>Sainte-Croix</v>
      </c>
      <c r="E3759" s="9" t="str">
        <f>IFERROR(__xludf.DUMMYFUNCTION("GOOGLETRANSLATE($A3759,""en"",""es"")"),"Świętokrzyskie")</f>
        <v>Świętokrzyskie</v>
      </c>
      <c r="F3759" s="9" t="str">
        <f>IFERROR(__xludf.DUMMYFUNCTION("GOOGLETRANSLATE($A3759,""en"",""it"")"),"Świętokrzyskie")</f>
        <v>Świętokrzyskie</v>
      </c>
      <c r="G3759" s="9" t="str">
        <f>IFERROR(__xludf.DUMMYFUNCTION("GOOGLETRANSLATE($A3759,""en"",""zh-cn"")"),"圣十字省")</f>
        <v>圣十字省</v>
      </c>
      <c r="H3759" s="9" t="str">
        <f>IFERROR(__xludf.DUMMYFUNCTION("GOOGLETRANSLATE($A3759,""en"",""ja"")"),"シフィエントクシスキエ")</f>
        <v>シフィエントクシスキエ</v>
      </c>
      <c r="I3759" s="9" t="str">
        <f>IFERROR(__xludf.DUMMYFUNCTION("GOOGLETRANSLATE($A3759,""en"",""ko"")"),"시비엥토크시스키에")</f>
        <v>시비엥토크시스키에</v>
      </c>
      <c r="J3759" s="9" t="str">
        <f>IFERROR(__xludf.DUMMYFUNCTION("GOOGLETRANSLATE($A3759,""en"",""pt-BR"")"),"Świętokrzyskie")</f>
        <v>Świętokrzyskie</v>
      </c>
    </row>
    <row r="3760">
      <c r="A3760" s="9" t="str">
        <f>IFERROR(__xludf.DUMMYFUNCTION("""COMPUTED_VALUE"""),"Warmińsko-Mazurskie")</f>
        <v>Warmińsko-Mazurskie</v>
      </c>
      <c r="B3760" s="9" t="str">
        <f>IFERROR(__xludf.DUMMYFUNCTION("""COMPUTED_VALUE"""),"pl-28")</f>
        <v>pl-28</v>
      </c>
      <c r="C3760" s="9" t="str">
        <f>IFERROR(__xludf.DUMMYFUNCTION("GOOGLETRANSLATE($A3760,""en"",""de"")"),"Ermland-Masuren")</f>
        <v>Ermland-Masuren</v>
      </c>
      <c r="D3760" s="9" t="str">
        <f>IFERROR(__xludf.DUMMYFUNCTION("GOOGLETRANSLATE($A3760,""en"",""fr"")"),"Warmińsko-Mazurie")</f>
        <v>Warmińsko-Mazurie</v>
      </c>
      <c r="E3760" s="9" t="str">
        <f>IFERROR(__xludf.DUMMYFUNCTION("GOOGLETRANSLATE($A3760,""en"",""es"")"),"Warmińsko-Mazurskie")</f>
        <v>Warmińsko-Mazurskie</v>
      </c>
      <c r="F3760" s="9" t="str">
        <f>IFERROR(__xludf.DUMMYFUNCTION("GOOGLETRANSLATE($A3760,""en"",""it"")"),"Warmińsko-Mazurskie")</f>
        <v>Warmińsko-Mazurskie</v>
      </c>
      <c r="G3760" s="9" t="str">
        <f>IFERROR(__xludf.DUMMYFUNCTION("GOOGLETRANSLATE($A3760,""en"",""zh-cn"")"),"瓦尔米亚-马祖里省")</f>
        <v>瓦尔米亚-马祖里省</v>
      </c>
      <c r="H3760" s="9" t="str">
        <f>IFERROR(__xludf.DUMMYFUNCTION("GOOGLETRANSLATE($A3760,""en"",""ja"")"),"ワルミンスコ・マズルスキー")</f>
        <v>ワルミンスコ・マズルスキー</v>
      </c>
      <c r="I3760" s="9" t="str">
        <f>IFERROR(__xludf.DUMMYFUNCTION("GOOGLETRANSLATE($A3760,""en"",""ko"")"),"바르민스코-마주르스키에")</f>
        <v>바르민스코-마주르스키에</v>
      </c>
      <c r="J3760" s="9" t="str">
        <f>IFERROR(__xludf.DUMMYFUNCTION("GOOGLETRANSLATE($A3760,""en"",""pt-BR"")"),"Warmińsko-Mazurskie")</f>
        <v>Warmińsko-Mazurskie</v>
      </c>
    </row>
    <row r="3761">
      <c r="A3761" s="9" t="str">
        <f>IFERROR(__xludf.DUMMYFUNCTION("""COMPUTED_VALUE"""),"Dolnośląskie (PL-DS)")</f>
        <v>Dolnośląskie (PL-DS)</v>
      </c>
      <c r="B3761" s="9" t="str">
        <f>IFERROR(__xludf.DUMMYFUNCTION("""COMPUTED_VALUE"""),"pl-ds")</f>
        <v>pl-ds</v>
      </c>
      <c r="C3761" s="9" t="str">
        <f>IFERROR(__xludf.DUMMYFUNCTION("GOOGLETRANSLATE($A3761,""en"",""de"")"),"Dolnośląskie (PL-DS)")</f>
        <v>Dolnośląskie (PL-DS)</v>
      </c>
      <c r="D3761" s="9" t="str">
        <f>IFERROR(__xludf.DUMMYFUNCTION("GOOGLETRANSLATE($A3761,""en"",""fr"")"),"Basse-Silésie (PL-DS)")</f>
        <v>Basse-Silésie (PL-DS)</v>
      </c>
      <c r="E3761" s="9" t="str">
        <f>IFERROR(__xludf.DUMMYFUNCTION("GOOGLETRANSLATE($A3761,""en"",""es"")"),"Dolnośląskie (PL-DS)")</f>
        <v>Dolnośląskie (PL-DS)</v>
      </c>
      <c r="F3761" s="9" t="str">
        <f>IFERROR(__xludf.DUMMYFUNCTION("GOOGLETRANSLATE($A3761,""en"",""it"")"),"Dolnośląskie (PL-DS)")</f>
        <v>Dolnośląskie (PL-DS)</v>
      </c>
      <c r="G3761" s="9" t="str">
        <f>IFERROR(__xludf.DUMMYFUNCTION("GOOGLETRANSLATE($A3761,""en"",""zh-cn"")"),"下西拉斯省 (PL-DS)")</f>
        <v>下西拉斯省 (PL-DS)</v>
      </c>
      <c r="H3761" s="9" t="str">
        <f>IFERROR(__xludf.DUMMYFUNCTION("GOOGLETRANSLATE($A3761,""en"",""ja"")"),"ドルノシュロンスキエ (PL-DS)")</f>
        <v>ドルノシュロンスキエ (PL-DS)</v>
      </c>
      <c r="I3761" s="9" t="str">
        <f>IFERROR(__xludf.DUMMYFUNCTION("GOOGLETRANSLATE($A3761,""en"",""ko"")"),"돌노실롱스키에(PL-DS)")</f>
        <v>돌노실롱스키에(PL-DS)</v>
      </c>
      <c r="J3761" s="9" t="str">
        <f>IFERROR(__xludf.DUMMYFUNCTION("GOOGLETRANSLATE($A3761,""en"",""pt-BR"")"),"Dolnośląskie (PL-DS)")</f>
        <v>Dolnośląskie (PL-DS)</v>
      </c>
    </row>
    <row r="3762">
      <c r="A3762" s="9" t="str">
        <f>IFERROR(__xludf.DUMMYFUNCTION("""COMPUTED_VALUE"""),"Pomorskie")</f>
        <v>Pomorskie</v>
      </c>
      <c r="B3762" s="9" t="str">
        <f>IFERROR(__xludf.DUMMYFUNCTION("""COMPUTED_VALUE"""),"pl-22")</f>
        <v>pl-22</v>
      </c>
      <c r="C3762" s="9" t="str">
        <f>IFERROR(__xludf.DUMMYFUNCTION("GOOGLETRANSLATE($A3762,""en"",""de"")"),"Pommern")</f>
        <v>Pommern</v>
      </c>
      <c r="D3762" s="9" t="str">
        <f>IFERROR(__xludf.DUMMYFUNCTION("GOOGLETRANSLATE($A3762,""en"",""fr"")"),"Poméranie")</f>
        <v>Poméranie</v>
      </c>
      <c r="E3762" s="9" t="str">
        <f>IFERROR(__xludf.DUMMYFUNCTION("GOOGLETRANSLATE($A3762,""en"",""es"")"),"Pomorskie")</f>
        <v>Pomorskie</v>
      </c>
      <c r="F3762" s="9" t="str">
        <f>IFERROR(__xludf.DUMMYFUNCTION("GOOGLETRANSLATE($A3762,""en"",""it"")"),"Pomerania")</f>
        <v>Pomerania</v>
      </c>
      <c r="G3762" s="9" t="str">
        <f>IFERROR(__xludf.DUMMYFUNCTION("GOOGLETRANSLATE($A3762,""en"",""zh-cn"")"),"波美拉尼亚")</f>
        <v>波美拉尼亚</v>
      </c>
      <c r="H3762" s="9" t="str">
        <f>IFERROR(__xludf.DUMMYFUNCTION("GOOGLETRANSLATE($A3762,""en"",""ja"")"),"ポモルスキエ")</f>
        <v>ポモルスキエ</v>
      </c>
      <c r="I3762" s="9" t="str">
        <f>IFERROR(__xludf.DUMMYFUNCTION("GOOGLETRANSLATE($A3762,""en"",""ko"")"),"포모르스키에")</f>
        <v>포모르스키에</v>
      </c>
      <c r="J3762" s="9" t="str">
        <f>IFERROR(__xludf.DUMMYFUNCTION("GOOGLETRANSLATE($A3762,""en"",""pt-BR"")"),"Pomorskie")</f>
        <v>Pomorskie</v>
      </c>
    </row>
    <row r="3763">
      <c r="A3763" s="9" t="str">
        <f>IFERROR(__xludf.DUMMYFUNCTION("""COMPUTED_VALUE"""),"Kujawsko-pomorskie (PL-KP)")</f>
        <v>Kujawsko-pomorskie (PL-KP)</v>
      </c>
      <c r="B3763" s="9" t="str">
        <f>IFERROR(__xludf.DUMMYFUNCTION("""COMPUTED_VALUE"""),"pl-kp")</f>
        <v>pl-kp</v>
      </c>
      <c r="C3763" s="9" t="str">
        <f>IFERROR(__xludf.DUMMYFUNCTION("GOOGLETRANSLATE($A3763,""en"",""de"")"),"Kujawien-Pomorskie (PL-KP)")</f>
        <v>Kujawien-Pomorskie (PL-KP)</v>
      </c>
      <c r="D3763" s="9" t="str">
        <f>IFERROR(__xludf.DUMMYFUNCTION("GOOGLETRANSLATE($A3763,""en"",""fr"")"),"Cujavie-Poméranie (PL-KP)")</f>
        <v>Cujavie-Poméranie (PL-KP)</v>
      </c>
      <c r="E3763" s="9" t="str">
        <f>IFERROR(__xludf.DUMMYFUNCTION("GOOGLETRANSLATE($A3763,""en"",""es"")"),"Kujawsko-pomorskie (PL-KP)")</f>
        <v>Kujawsko-pomorskie (PL-KP)</v>
      </c>
      <c r="F3763" s="9" t="str">
        <f>IFERROR(__xludf.DUMMYFUNCTION("GOOGLETRANSLATE($A3763,""en"",""it"")"),"Kujawsko-Pomerania (PL-KP)")</f>
        <v>Kujawsko-Pomerania (PL-KP)</v>
      </c>
      <c r="G3763" s="9" t="str">
        <f>IFERROR(__xludf.DUMMYFUNCTION("GOOGLETRANSLATE($A3763,""en"",""zh-cn"")"),"库亚瓦-波美拉尼亚 (PL-KP)")</f>
        <v>库亚瓦-波美拉尼亚 (PL-KP)</v>
      </c>
      <c r="H3763" s="9" t="str">
        <f>IFERROR(__xludf.DUMMYFUNCTION("GOOGLETRANSLATE($A3763,""en"",""ja"")"),"クヤフスコ ポモルスキエ (PL-KP)")</f>
        <v>クヤフスコ ポモルスキエ (PL-KP)</v>
      </c>
      <c r="I3763" s="9" t="str">
        <f>IFERROR(__xludf.DUMMYFUNCTION("GOOGLETRANSLATE($A3763,""en"",""ko"")"),"쿠자프스코포모르스키에(PL-KP)")</f>
        <v>쿠자프스코포모르스키에(PL-KP)</v>
      </c>
      <c r="J3763" s="9" t="str">
        <f>IFERROR(__xludf.DUMMYFUNCTION("GOOGLETRANSLATE($A3763,""en"",""pt-BR"")"),"Kujawsko-Pomorskie (PL-KP)")</f>
        <v>Kujawsko-Pomorskie (PL-KP)</v>
      </c>
    </row>
    <row r="3764">
      <c r="A3764" s="9" t="str">
        <f>IFERROR(__xludf.DUMMYFUNCTION("""COMPUTED_VALUE"""),"Śląskie")</f>
        <v>Śląskie</v>
      </c>
      <c r="B3764" s="9" t="str">
        <f>IFERROR(__xludf.DUMMYFUNCTION("""COMPUTED_VALUE"""),"pl-24")</f>
        <v>pl-24</v>
      </c>
      <c r="C3764" s="9" t="str">
        <f>IFERROR(__xludf.DUMMYFUNCTION("GOOGLETRANSLATE($A3764,""en"",""de"")"),"Schlesien")</f>
        <v>Schlesien</v>
      </c>
      <c r="D3764" s="9" t="str">
        <f>IFERROR(__xludf.DUMMYFUNCTION("GOOGLETRANSLATE($A3764,""en"",""fr"")"),"Silésie")</f>
        <v>Silésie</v>
      </c>
      <c r="E3764" s="9" t="str">
        <f>IFERROR(__xludf.DUMMYFUNCTION("GOOGLETRANSLATE($A3764,""en"",""es"")"),"Śląskie")</f>
        <v>Śląskie</v>
      </c>
      <c r="F3764" s="9" t="str">
        <f>IFERROR(__xludf.DUMMYFUNCTION("GOOGLETRANSLATE($A3764,""en"",""it"")"),"Śląskie")</f>
        <v>Śląskie</v>
      </c>
      <c r="G3764" s="9" t="str">
        <f>IFERROR(__xludf.DUMMYFUNCTION("GOOGLETRANSLATE($A3764,""en"",""zh-cn"")"),"西拉斯省")</f>
        <v>西拉斯省</v>
      </c>
      <c r="H3764" s="9" t="str">
        <f>IFERROR(__xludf.DUMMYFUNCTION("GOOGLETRANSLATE($A3764,""en"",""ja"")"),"シロンスキエ")</f>
        <v>シロンスキエ</v>
      </c>
      <c r="I3764" s="9" t="str">
        <f>IFERROR(__xludf.DUMMYFUNCTION("GOOGLETRANSLATE($A3764,""en"",""ko"")"),"실롱스키에")</f>
        <v>실롱스키에</v>
      </c>
      <c r="J3764" s="9" t="str">
        <f>IFERROR(__xludf.DUMMYFUNCTION("GOOGLETRANSLATE($A3764,""en"",""pt-BR"")"),"Śląskie")</f>
        <v>Śląskie</v>
      </c>
    </row>
    <row r="3765">
      <c r="A3765" s="9" t="str">
        <f>IFERROR(__xludf.DUMMYFUNCTION("""COMPUTED_VALUE"""),"Lubelskie (PL-LU)")</f>
        <v>Lubelskie (PL-LU)</v>
      </c>
      <c r="B3765" s="9" t="str">
        <f>IFERROR(__xludf.DUMMYFUNCTION("""COMPUTED_VALUE"""),"pl-lu")</f>
        <v>pl-lu</v>
      </c>
      <c r="C3765" s="9" t="str">
        <f>IFERROR(__xludf.DUMMYFUNCTION("GOOGLETRANSLATE($A3765,""en"",""de"")"),"Lubelskie (PL-LU)")</f>
        <v>Lubelskie (PL-LU)</v>
      </c>
      <c r="D3765" s="9" t="str">
        <f>IFERROR(__xludf.DUMMYFUNCTION("GOOGLETRANSLATE($A3765,""en"",""fr"")"),"Lubelskie (PL-LU)")</f>
        <v>Lubelskie (PL-LU)</v>
      </c>
      <c r="E3765" s="9" t="str">
        <f>IFERROR(__xludf.DUMMYFUNCTION("GOOGLETRANSLATE($A3765,""en"",""es"")"),"Lubelskie (PL-LU)")</f>
        <v>Lubelskie (PL-LU)</v>
      </c>
      <c r="F3765" s="9" t="str">
        <f>IFERROR(__xludf.DUMMYFUNCTION("GOOGLETRANSLATE($A3765,""en"",""it"")"),"Lubelskie (PL-LU)")</f>
        <v>Lubelskie (PL-LU)</v>
      </c>
      <c r="G3765" s="9" t="str">
        <f>IFERROR(__xludf.DUMMYFUNCTION("GOOGLETRANSLATE($A3765,""en"",""zh-cn"")"),"卢布林省 (PL-LU)")</f>
        <v>卢布林省 (PL-LU)</v>
      </c>
      <c r="H3765" s="9" t="str">
        <f>IFERROR(__xludf.DUMMYFUNCTION("GOOGLETRANSLATE($A3765,""en"",""ja"")"),"ルベルスキー (PL-LU)")</f>
        <v>ルベルスキー (PL-LU)</v>
      </c>
      <c r="I3765" s="9" t="str">
        <f>IFERROR(__xludf.DUMMYFUNCTION("GOOGLETRANSLATE($A3765,""en"",""ko"")"),"루벨스키에 (PL-LU)")</f>
        <v>루벨스키에 (PL-LU)</v>
      </c>
      <c r="J3765" s="9" t="str">
        <f>IFERROR(__xludf.DUMMYFUNCTION("GOOGLETRANSLATE($A3765,""en"",""pt-BR"")"),"Lubelskie (PL-LU)")</f>
        <v>Lubelskie (PL-LU)</v>
      </c>
    </row>
    <row r="3766">
      <c r="A3766" s="9" t="str">
        <f>IFERROR(__xludf.DUMMYFUNCTION("""COMPUTED_VALUE"""),"Podkarpackie")</f>
        <v>Podkarpackie</v>
      </c>
      <c r="B3766" s="9" t="str">
        <f>IFERROR(__xludf.DUMMYFUNCTION("""COMPUTED_VALUE"""),"pl-18")</f>
        <v>pl-18</v>
      </c>
      <c r="C3766" s="9" t="str">
        <f>IFERROR(__xludf.DUMMYFUNCTION("GOOGLETRANSLATE($A3766,""en"",""de"")"),"Karpatenvorland")</f>
        <v>Karpatenvorland</v>
      </c>
      <c r="D3766" s="9" t="str">
        <f>IFERROR(__xludf.DUMMYFUNCTION("GOOGLETRANSLATE($A3766,""en"",""fr"")"),"Podkarpackies")</f>
        <v>Podkarpackies</v>
      </c>
      <c r="E3766" s="9" t="str">
        <f>IFERROR(__xludf.DUMMYFUNCTION("GOOGLETRANSLATE($A3766,""en"",""es"")"),"Subcarpacia")</f>
        <v>Subcarpacia</v>
      </c>
      <c r="F3766" s="9" t="str">
        <f>IFERROR(__xludf.DUMMYFUNCTION("GOOGLETRANSLATE($A3766,""en"",""it"")"),"Podcarpazia")</f>
        <v>Podcarpazia</v>
      </c>
      <c r="G3766" s="9" t="str">
        <f>IFERROR(__xludf.DUMMYFUNCTION("GOOGLETRANSLATE($A3766,""en"",""zh-cn"")"),"喀尔巴阡山省")</f>
        <v>喀尔巴阡山省</v>
      </c>
      <c r="H3766" s="9" t="str">
        <f>IFERROR(__xludf.DUMMYFUNCTION("GOOGLETRANSLATE($A3766,""en"",""ja"")"),"ポドカルパッキエ")</f>
        <v>ポドカルパッキエ</v>
      </c>
      <c r="I3766" s="9" t="str">
        <f>IFERROR(__xludf.DUMMYFUNCTION("GOOGLETRANSLATE($A3766,""en"",""ko"")"),"포드카르패키에")</f>
        <v>포드카르패키에</v>
      </c>
      <c r="J3766" s="9" t="str">
        <f>IFERROR(__xludf.DUMMYFUNCTION("GOOGLETRANSLATE($A3766,""en"",""pt-BR"")"),"Podkarpackie")</f>
        <v>Podkarpackie</v>
      </c>
    </row>
    <row r="3767">
      <c r="A3767" s="9" t="str">
        <f>IFERROR(__xludf.DUMMYFUNCTION("""COMPUTED_VALUE"""),"Podlaskie")</f>
        <v>Podlaskie</v>
      </c>
      <c r="B3767" s="9" t="str">
        <f>IFERROR(__xludf.DUMMYFUNCTION("""COMPUTED_VALUE"""),"pl-20")</f>
        <v>pl-20</v>
      </c>
      <c r="C3767" s="9" t="str">
        <f>IFERROR(__xludf.DUMMYFUNCTION("GOOGLETRANSLATE($A3767,""en"",""de"")"),"Podlachien")</f>
        <v>Podlachien</v>
      </c>
      <c r="D3767" s="9" t="str">
        <f>IFERROR(__xludf.DUMMYFUNCTION("GOOGLETRANSLATE($A3767,""en"",""fr"")"),"Podlachie")</f>
        <v>Podlachie</v>
      </c>
      <c r="E3767" s="9" t="str">
        <f>IFERROR(__xludf.DUMMYFUNCTION("GOOGLETRANSLATE($A3767,""en"",""es"")"),"Podlaquia")</f>
        <v>Podlaquia</v>
      </c>
      <c r="F3767" s="9" t="str">
        <f>IFERROR(__xludf.DUMMYFUNCTION("GOOGLETRANSLATE($A3767,""en"",""it"")"),"Podlachia")</f>
        <v>Podlachia</v>
      </c>
      <c r="G3767" s="9" t="str">
        <f>IFERROR(__xludf.DUMMYFUNCTION("GOOGLETRANSLATE($A3767,""en"",""zh-cn"")"),"波德拉谢省")</f>
        <v>波德拉谢省</v>
      </c>
      <c r="H3767" s="9" t="str">
        <f>IFERROR(__xludf.DUMMYFUNCTION("GOOGLETRANSLATE($A3767,""en"",""ja"")"),"ポドラスキエ")</f>
        <v>ポドラスキエ</v>
      </c>
      <c r="I3767" s="9" t="str">
        <f>IFERROR(__xludf.DUMMYFUNCTION("GOOGLETRANSLATE($A3767,""en"",""ko"")"),"포들라스키에")</f>
        <v>포들라스키에</v>
      </c>
      <c r="J3767" s="9" t="str">
        <f>IFERROR(__xludf.DUMMYFUNCTION("GOOGLETRANSLATE($A3767,""en"",""pt-BR"")"),"Podlásquia")</f>
        <v>Podlásquia</v>
      </c>
    </row>
    <row r="3768">
      <c r="A3768" s="9" t="str">
        <f>IFERROR(__xludf.DUMMYFUNCTION("""COMPUTED_VALUE"""),"Mazowieckie")</f>
        <v>Mazowieckie</v>
      </c>
      <c r="B3768" s="9" t="str">
        <f>IFERROR(__xludf.DUMMYFUNCTION("""COMPUTED_VALUE"""),"pl-14")</f>
        <v>pl-14</v>
      </c>
      <c r="C3768" s="9" t="str">
        <f>IFERROR(__xludf.DUMMYFUNCTION("GOOGLETRANSLATE($A3768,""en"",""de"")"),"Masowien")</f>
        <v>Masowien</v>
      </c>
      <c r="D3768" s="9" t="str">
        <f>IFERROR(__xludf.DUMMYFUNCTION("GOOGLETRANSLATE($A3768,""en"",""fr"")"),"Mazovie")</f>
        <v>Mazovie</v>
      </c>
      <c r="E3768" s="9" t="str">
        <f>IFERROR(__xludf.DUMMYFUNCTION("GOOGLETRANSLATE($A3768,""en"",""es"")"),"Mazowieckie")</f>
        <v>Mazowieckie</v>
      </c>
      <c r="F3768" s="9" t="str">
        <f>IFERROR(__xludf.DUMMYFUNCTION("GOOGLETRANSLATE($A3768,""en"",""it"")"),"Mazowieckie")</f>
        <v>Mazowieckie</v>
      </c>
      <c r="G3768" s="9" t="str">
        <f>IFERROR(__xludf.DUMMYFUNCTION("GOOGLETRANSLATE($A3768,""en"",""zh-cn"")"),"马佐维茨基")</f>
        <v>马佐维茨基</v>
      </c>
      <c r="H3768" s="9" t="str">
        <f>IFERROR(__xludf.DUMMYFUNCTION("GOOGLETRANSLATE($A3768,""en"",""ja"")"),"マゾヴィッキエ")</f>
        <v>マゾヴィッキエ</v>
      </c>
      <c r="I3768" s="9" t="str">
        <f>IFERROR(__xludf.DUMMYFUNCTION("GOOGLETRANSLATE($A3768,""en"",""ko"")"),"마조비에츠키에")</f>
        <v>마조비에츠키에</v>
      </c>
      <c r="J3768" s="9" t="str">
        <f>IFERROR(__xludf.DUMMYFUNCTION("GOOGLETRANSLATE($A3768,""en"",""pt-BR"")"),"Mazowieckie")</f>
        <v>Mazowieckie</v>
      </c>
    </row>
    <row r="3769">
      <c r="A3769" s="9" t="str">
        <f>IFERROR(__xludf.DUMMYFUNCTION("""COMPUTED_VALUE"""),"Opolskie")</f>
        <v>Opolskie</v>
      </c>
      <c r="B3769" s="9" t="str">
        <f>IFERROR(__xludf.DUMMYFUNCTION("""COMPUTED_VALUE"""),"pl-16")</f>
        <v>pl-16</v>
      </c>
      <c r="C3769" s="9" t="str">
        <f>IFERROR(__xludf.DUMMYFUNCTION("GOOGLETRANSLATE($A3769,""en"",""de"")"),"Oppeln")</f>
        <v>Oppeln</v>
      </c>
      <c r="D3769" s="9" t="str">
        <f>IFERROR(__xludf.DUMMYFUNCTION("GOOGLETRANSLATE($A3769,""en"",""fr"")"),"Opolskie")</f>
        <v>Opolskie</v>
      </c>
      <c r="E3769" s="9" t="str">
        <f>IFERROR(__xludf.DUMMYFUNCTION("GOOGLETRANSLATE($A3769,""en"",""es"")"),"Opolskie")</f>
        <v>Opolskie</v>
      </c>
      <c r="F3769" s="9" t="str">
        <f>IFERROR(__xludf.DUMMYFUNCTION("GOOGLETRANSLATE($A3769,""en"",""it"")"),"Opolskie")</f>
        <v>Opolskie</v>
      </c>
      <c r="G3769" s="9" t="str">
        <f>IFERROR(__xludf.DUMMYFUNCTION("GOOGLETRANSLATE($A3769,""en"",""zh-cn"")"),"奥波莱省")</f>
        <v>奥波莱省</v>
      </c>
      <c r="H3769" s="9" t="str">
        <f>IFERROR(__xludf.DUMMYFUNCTION("GOOGLETRANSLATE($A3769,""en"",""ja"")"),"オポルスキー")</f>
        <v>オポルスキー</v>
      </c>
      <c r="I3769" s="9" t="str">
        <f>IFERROR(__xludf.DUMMYFUNCTION("GOOGLETRANSLATE($A3769,""en"",""ko"")"),"오폴스키에")</f>
        <v>오폴스키에</v>
      </c>
      <c r="J3769" s="9" t="str">
        <f>IFERROR(__xludf.DUMMYFUNCTION("GOOGLETRANSLATE($A3769,""en"",""pt-BR"")"),"Opolski")</f>
        <v>Opolski</v>
      </c>
    </row>
    <row r="3770">
      <c r="A3770" s="9" t="str">
        <f>IFERROR(__xludf.DUMMYFUNCTION("""COMPUTED_VALUE"""),"Zachodniopomorskie")</f>
        <v>Zachodniopomorskie</v>
      </c>
      <c r="B3770" s="9" t="str">
        <f>IFERROR(__xludf.DUMMYFUNCTION("""COMPUTED_VALUE"""),"pl-32")</f>
        <v>pl-32</v>
      </c>
      <c r="C3770" s="9" t="str">
        <f>IFERROR(__xludf.DUMMYFUNCTION("GOOGLETRANSLATE($A3770,""en"",""de"")"),"Westpommern")</f>
        <v>Westpommern</v>
      </c>
      <c r="D3770" s="9" t="str">
        <f>IFERROR(__xludf.DUMMYFUNCTION("GOOGLETRANSLATE($A3770,""en"",""fr"")"),"Zachodniopomorskie")</f>
        <v>Zachodniopomorskie</v>
      </c>
      <c r="E3770" s="9" t="str">
        <f>IFERROR(__xludf.DUMMYFUNCTION("GOOGLETRANSLATE($A3770,""en"",""es"")"),"Zachodniopomorskie")</f>
        <v>Zachodniopomorskie</v>
      </c>
      <c r="F3770" s="9" t="str">
        <f>IFERROR(__xludf.DUMMYFUNCTION("GOOGLETRANSLATE($A3770,""en"",""it"")"),"Zachodniopomorskie")</f>
        <v>Zachodniopomorskie</v>
      </c>
      <c r="G3770" s="9" t="str">
        <f>IFERROR(__xludf.DUMMYFUNCTION("GOOGLETRANSLATE($A3770,""en"",""zh-cn"")"),"波美拉尼亚州")</f>
        <v>波美拉尼亚州</v>
      </c>
      <c r="H3770" s="9" t="str">
        <f>IFERROR(__xludf.DUMMYFUNCTION("GOOGLETRANSLATE($A3770,""en"",""ja"")"),"ザホドニオポモルスキー")</f>
        <v>ザホドニオポモルスキー</v>
      </c>
      <c r="I3770" s="9" t="str">
        <f>IFERROR(__xludf.DUMMYFUNCTION("GOOGLETRANSLATE($A3770,""en"",""ko"")"),"자호드니오포모르스키에")</f>
        <v>자호드니오포모르스키에</v>
      </c>
      <c r="J3770" s="9" t="str">
        <f>IFERROR(__xludf.DUMMYFUNCTION("GOOGLETRANSLATE($A3770,""en"",""pt-BR"")"),"Zachodniopomorskie")</f>
        <v>Zachodniopomorskie</v>
      </c>
    </row>
    <row r="3771">
      <c r="A3771" s="9" t="str">
        <f>IFERROR(__xludf.DUMMYFUNCTION("""COMPUTED_VALUE"""),"Wielkopolskie")</f>
        <v>Wielkopolskie</v>
      </c>
      <c r="B3771" s="9" t="str">
        <f>IFERROR(__xludf.DUMMYFUNCTION("""COMPUTED_VALUE"""),"pl-30")</f>
        <v>pl-30</v>
      </c>
      <c r="C3771" s="9" t="str">
        <f>IFERROR(__xludf.DUMMYFUNCTION("GOOGLETRANSLATE($A3771,""en"",""de"")"),"Wielkopolskie")</f>
        <v>Wielkopolskie</v>
      </c>
      <c r="D3771" s="9" t="str">
        <f>IFERROR(__xludf.DUMMYFUNCTION("GOOGLETRANSLATE($A3771,""en"",""fr"")"),"Grande-Pologne")</f>
        <v>Grande-Pologne</v>
      </c>
      <c r="E3771" s="9" t="str">
        <f>IFERROR(__xludf.DUMMYFUNCTION("GOOGLETRANSLATE($A3771,""en"",""es"")"),"Gran Polonia")</f>
        <v>Gran Polonia</v>
      </c>
      <c r="F3771" s="9" t="str">
        <f>IFERROR(__xludf.DUMMYFUNCTION("GOOGLETRANSLATE($A3771,""en"",""it"")"),"Grande Polonia")</f>
        <v>Grande Polonia</v>
      </c>
      <c r="G3771" s="9" t="str">
        <f>IFERROR(__xludf.DUMMYFUNCTION("GOOGLETRANSLATE($A3771,""en"",""zh-cn"")"),"大波兰省")</f>
        <v>大波兰省</v>
      </c>
      <c r="H3771" s="9" t="str">
        <f>IFERROR(__xludf.DUMMYFUNCTION("GOOGLETRANSLATE($A3771,""en"",""ja"")"),"ヴィエルコポルスキー")</f>
        <v>ヴィエルコポルスキー</v>
      </c>
      <c r="I3771" s="9" t="str">
        <f>IFERROR(__xludf.DUMMYFUNCTION("GOOGLETRANSLATE($A3771,""en"",""ko"")"),"비엘코폴스키에")</f>
        <v>비엘코폴스키에</v>
      </c>
      <c r="J3771" s="9" t="str">
        <f>IFERROR(__xludf.DUMMYFUNCTION("GOOGLETRANSLATE($A3771,""en"",""pt-BR"")"),"Wielkopolskie")</f>
        <v>Wielkopolskie</v>
      </c>
    </row>
    <row r="3772">
      <c r="A3772" s="9" t="str">
        <f>IFERROR(__xludf.DUMMYFUNCTION("""COMPUTED_VALUE"""),"Śląskie (PL-SL)")</f>
        <v>Śląskie (PL-SL)</v>
      </c>
      <c r="B3772" s="9" t="str">
        <f>IFERROR(__xludf.DUMMYFUNCTION("""COMPUTED_VALUE"""),"pl-sl")</f>
        <v>pl-sl</v>
      </c>
      <c r="C3772" s="9" t="str">
        <f>IFERROR(__xludf.DUMMYFUNCTION("GOOGLETRANSLATE($A3772,""en"",""de"")"),"Schlesien (PL-SL)")</f>
        <v>Schlesien (PL-SL)</v>
      </c>
      <c r="D3772" s="9" t="str">
        <f>IFERROR(__xludf.DUMMYFUNCTION("GOOGLETRANSLATE($A3772,""en"",""fr"")"),"Silésie (PL-SL)")</f>
        <v>Silésie (PL-SL)</v>
      </c>
      <c r="E3772" s="9" t="str">
        <f>IFERROR(__xludf.DUMMYFUNCTION("GOOGLETRANSLATE($A3772,""en"",""es"")"),"Śląskie (PL-SL)")</f>
        <v>Śląskie (PL-SL)</v>
      </c>
      <c r="F3772" s="9" t="str">
        <f>IFERROR(__xludf.DUMMYFUNCTION("GOOGLETRANSLATE($A3772,""en"",""it"")"),"Slesia (PL-SL)")</f>
        <v>Slesia (PL-SL)</v>
      </c>
      <c r="G3772" s="9" t="str">
        <f>IFERROR(__xludf.DUMMYFUNCTION("GOOGLETRANSLATE($A3772,""en"",""zh-cn"")"),"西拉斯省 (PL-SL)")</f>
        <v>西拉斯省 (PL-SL)</v>
      </c>
      <c r="H3772" s="9" t="str">
        <f>IFERROR(__xludf.DUMMYFUNCTION("GOOGLETRANSLATE($A3772,""en"",""ja"")"),"シロンスキエ (PL-SL)")</f>
        <v>シロンスキエ (PL-SL)</v>
      </c>
      <c r="I3772" s="9" t="str">
        <f>IFERROR(__xludf.DUMMYFUNCTION("GOOGLETRANSLATE($A3772,""en"",""ko"")"),"실롱스키에 (PL-SL)")</f>
        <v>실롱스키에 (PL-SL)</v>
      </c>
      <c r="J3772" s="9" t="str">
        <f>IFERROR(__xludf.DUMMYFUNCTION("GOOGLETRANSLATE($A3772,""en"",""pt-BR"")"),"Śląskie (PL-SL)")</f>
        <v>Śląskie (PL-SL)</v>
      </c>
    </row>
    <row r="3773">
      <c r="A3773" s="9" t="str">
        <f>IFERROR(__xludf.DUMMYFUNCTION("""COMPUTED_VALUE"""),"Opolskie (PL-OP)")</f>
        <v>Opolskie (PL-OP)</v>
      </c>
      <c r="B3773" s="9" t="str">
        <f>IFERROR(__xludf.DUMMYFUNCTION("""COMPUTED_VALUE"""),"pl-op")</f>
        <v>pl-op</v>
      </c>
      <c r="C3773" s="9" t="str">
        <f>IFERROR(__xludf.DUMMYFUNCTION("GOOGLETRANSLATE($A3773,""en"",""de"")"),"Opolskie (PL-OP)")</f>
        <v>Opolskie (PL-OP)</v>
      </c>
      <c r="D3773" s="9" t="str">
        <f>IFERROR(__xludf.DUMMYFUNCTION("GOOGLETRANSLATE($A3773,""en"",""fr"")"),"Opolskie (PL-OP)")</f>
        <v>Opolskie (PL-OP)</v>
      </c>
      <c r="E3773" s="9" t="str">
        <f>IFERROR(__xludf.DUMMYFUNCTION("GOOGLETRANSLATE($A3773,""en"",""es"")"),"Opolskie (PL-OP)")</f>
        <v>Opolskie (PL-OP)</v>
      </c>
      <c r="F3773" s="9" t="str">
        <f>IFERROR(__xludf.DUMMYFUNCTION("GOOGLETRANSLATE($A3773,""en"",""it"")"),"Polonia (PL-OP)")</f>
        <v>Polonia (PL-OP)</v>
      </c>
      <c r="G3773" s="9" t="str">
        <f>IFERROR(__xludf.DUMMYFUNCTION("GOOGLETRANSLATE($A3773,""en"",""zh-cn"")"),"奥波莱省 (PL-OP)")</f>
        <v>奥波莱省 (PL-OP)</v>
      </c>
      <c r="H3773" s="9" t="str">
        <f>IFERROR(__xludf.DUMMYFUNCTION("GOOGLETRANSLATE($A3773,""en"",""ja"")"),"オポルスキー (PL-OP)")</f>
        <v>オポルスキー (PL-OP)</v>
      </c>
      <c r="I3773" s="9" t="str">
        <f>IFERROR(__xludf.DUMMYFUNCTION("GOOGLETRANSLATE($A3773,""en"",""ko"")"),"오폴스키에 (PL-OP)")</f>
        <v>오폴스키에 (PL-OP)</v>
      </c>
      <c r="J3773" s="9" t="str">
        <f>IFERROR(__xludf.DUMMYFUNCTION("GOOGLETRANSLATE($A3773,""en"",""pt-BR"")"),"Opolskie (PL-OP)")</f>
        <v>Opolskie (PL-OP)</v>
      </c>
    </row>
    <row r="3774">
      <c r="A3774" s="9" t="str">
        <f>IFERROR(__xludf.DUMMYFUNCTION("""COMPUTED_VALUE"""),"Małopolskie")</f>
        <v>Małopolskie</v>
      </c>
      <c r="B3774" s="9" t="str">
        <f>IFERROR(__xludf.DUMMYFUNCTION("""COMPUTED_VALUE"""),"pl-12")</f>
        <v>pl-12</v>
      </c>
      <c r="C3774" s="9" t="str">
        <f>IFERROR(__xludf.DUMMYFUNCTION("GOOGLETRANSLATE($A3774,""en"",""de"")"),"Kleinpolen")</f>
        <v>Kleinpolen</v>
      </c>
      <c r="D3774" s="9" t="str">
        <f>IFERROR(__xludf.DUMMYFUNCTION("GOOGLETRANSLATE($A3774,""en"",""fr"")"),"Petite-Pologne")</f>
        <v>Petite-Pologne</v>
      </c>
      <c r="E3774" s="9" t="str">
        <f>IFERROR(__xludf.DUMMYFUNCTION("GOOGLETRANSLATE($A3774,""en"",""es"")"),"Małopolskie")</f>
        <v>Małopolskie</v>
      </c>
      <c r="F3774" s="9" t="str">
        <f>IFERROR(__xludf.DUMMYFUNCTION("GOOGLETRANSLATE($A3774,""en"",""it"")"),"Piccola Polonia")</f>
        <v>Piccola Polonia</v>
      </c>
      <c r="G3774" s="9" t="str">
        <f>IFERROR(__xludf.DUMMYFUNCTION("GOOGLETRANSLATE($A3774,""en"",""zh-cn"")"),"小波兰省")</f>
        <v>小波兰省</v>
      </c>
      <c r="H3774" s="9" t="str">
        <f>IFERROR(__xludf.DUMMYFUNCTION("GOOGLETRANSLATE($A3774,""en"",""ja"")"),"マウォポルスキエ")</f>
        <v>マウォポルスキエ</v>
      </c>
      <c r="I3774" s="9" t="str">
        <f>IFERROR(__xludf.DUMMYFUNCTION("GOOGLETRANSLATE($A3774,""en"",""ko"")"),"마워폴스키에")</f>
        <v>마워폴스키에</v>
      </c>
      <c r="J3774" s="9" t="str">
        <f>IFERROR(__xludf.DUMMYFUNCTION("GOOGLETRANSLATE($A3774,""en"",""pt-BR"")"),"Małopolskie")</f>
        <v>Małopolskie</v>
      </c>
    </row>
    <row r="3775">
      <c r="A3775" s="9" t="str">
        <f>IFERROR(__xludf.DUMMYFUNCTION("""COMPUTED_VALUE"""),"Podkarpackie (PL-PK)")</f>
        <v>Podkarpackie (PL-PK)</v>
      </c>
      <c r="B3775" s="9" t="str">
        <f>IFERROR(__xludf.DUMMYFUNCTION("""COMPUTED_VALUE"""),"pl-pk")</f>
        <v>pl-pk</v>
      </c>
      <c r="C3775" s="9" t="str">
        <f>IFERROR(__xludf.DUMMYFUNCTION("GOOGLETRANSLATE($A3775,""en"",""de"")"),"Karpatenvorland (PL-PK)")</f>
        <v>Karpatenvorland (PL-PK)</v>
      </c>
      <c r="D3775" s="9" t="str">
        <f>IFERROR(__xludf.DUMMYFUNCTION("GOOGLETRANSLATE($A3775,""en"",""fr"")"),"Podkarpackies (PL-PK)")</f>
        <v>Podkarpackies (PL-PK)</v>
      </c>
      <c r="E3775" s="9" t="str">
        <f>IFERROR(__xludf.DUMMYFUNCTION("GOOGLETRANSLATE($A3775,""en"",""es"")"),"Subcarpacia (PL-PK)")</f>
        <v>Subcarpacia (PL-PK)</v>
      </c>
      <c r="F3775" s="9" t="str">
        <f>IFERROR(__xludf.DUMMYFUNCTION("GOOGLETRANSLATE($A3775,""en"",""it"")"),"Podkarpackie (PL-PK)")</f>
        <v>Podkarpackie (PL-PK)</v>
      </c>
      <c r="G3775" s="9" t="str">
        <f>IFERROR(__xludf.DUMMYFUNCTION("GOOGLETRANSLATE($A3775,""en"",""zh-cn"")"),"喀尔巴阡山省 (PL-PK)")</f>
        <v>喀尔巴阡山省 (PL-PK)</v>
      </c>
      <c r="H3775" s="9" t="str">
        <f>IFERROR(__xludf.DUMMYFUNCTION("GOOGLETRANSLATE($A3775,""en"",""ja"")"),"ポドカルパッキエ (PL-PK)")</f>
        <v>ポドカルパッキエ (PL-PK)</v>
      </c>
      <c r="I3775" s="9" t="str">
        <f>IFERROR(__xludf.DUMMYFUNCTION("GOOGLETRANSLATE($A3775,""en"",""ko"")"),"포드카르패키에 (PL-PK)")</f>
        <v>포드카르패키에 (PL-PK)</v>
      </c>
      <c r="J3775" s="9" t="str">
        <f>IFERROR(__xludf.DUMMYFUNCTION("GOOGLETRANSLATE($A3775,""en"",""pt-BR"")"),"Podkarpackie (PL-PK)")</f>
        <v>Podkarpackie (PL-PK)</v>
      </c>
    </row>
    <row r="3776">
      <c r="A3776" s="9" t="str">
        <f>IFERROR(__xludf.DUMMYFUNCTION("""COMPUTED_VALUE"""),"Lubuskie")</f>
        <v>Lubuskie</v>
      </c>
      <c r="B3776" s="9" t="str">
        <f>IFERROR(__xludf.DUMMYFUNCTION("""COMPUTED_VALUE"""),"pl-08")</f>
        <v>pl-08</v>
      </c>
      <c r="C3776" s="9" t="str">
        <f>IFERROR(__xludf.DUMMYFUNCTION("GOOGLETRANSLATE($A3776,""en"",""de"")"),"Lubuskie")</f>
        <v>Lubuskie</v>
      </c>
      <c r="D3776" s="9" t="str">
        <f>IFERROR(__xludf.DUMMYFUNCTION("GOOGLETRANSLATE($A3776,""en"",""fr"")"),"Lubuskie")</f>
        <v>Lubuskie</v>
      </c>
      <c r="E3776" s="9" t="str">
        <f>IFERROR(__xludf.DUMMYFUNCTION("GOOGLETRANSLATE($A3776,""en"",""es"")"),"Lubuskie")</f>
        <v>Lubuskie</v>
      </c>
      <c r="F3776" s="9" t="str">
        <f>IFERROR(__xludf.DUMMYFUNCTION("GOOGLETRANSLATE($A3776,""en"",""it"")"),"Lubuskie")</f>
        <v>Lubuskie</v>
      </c>
      <c r="G3776" s="9" t="str">
        <f>IFERROR(__xludf.DUMMYFUNCTION("GOOGLETRANSLATE($A3776,""en"",""zh-cn"")"),"卢布斯卡省")</f>
        <v>卢布斯卡省</v>
      </c>
      <c r="H3776" s="9" t="str">
        <f>IFERROR(__xludf.DUMMYFUNCTION("GOOGLETRANSLATE($A3776,""en"",""ja"")"),"ルブスキー")</f>
        <v>ルブスキー</v>
      </c>
      <c r="I3776" s="9" t="str">
        <f>IFERROR(__xludf.DUMMYFUNCTION("GOOGLETRANSLATE($A3776,""en"",""ko"")"),"루부스키에")</f>
        <v>루부스키에</v>
      </c>
      <c r="J3776" s="9" t="str">
        <f>IFERROR(__xludf.DUMMYFUNCTION("GOOGLETRANSLATE($A3776,""en"",""pt-BR"")"),"Lubúsquia")</f>
        <v>Lubúsquia</v>
      </c>
    </row>
    <row r="3777">
      <c r="A3777" s="9" t="str">
        <f>IFERROR(__xludf.DUMMYFUNCTION("""COMPUTED_VALUE"""),"Podlaskie (PL-PD)")</f>
        <v>Podlaskie (PL-PD)</v>
      </c>
      <c r="B3777" s="9" t="str">
        <f>IFERROR(__xludf.DUMMYFUNCTION("""COMPUTED_VALUE"""),"pl-pd")</f>
        <v>pl-pd</v>
      </c>
      <c r="C3777" s="9" t="str">
        <f>IFERROR(__xludf.DUMMYFUNCTION("GOOGLETRANSLATE($A3777,""en"",""de"")"),"Podlachien (PL-PD)")</f>
        <v>Podlachien (PL-PD)</v>
      </c>
      <c r="D3777" s="9" t="str">
        <f>IFERROR(__xludf.DUMMYFUNCTION("GOOGLETRANSLATE($A3777,""en"",""fr"")"),"Podlachie (PL-PD)")</f>
        <v>Podlachie (PL-PD)</v>
      </c>
      <c r="E3777" s="9" t="str">
        <f>IFERROR(__xludf.DUMMYFUNCTION("GOOGLETRANSLATE($A3777,""en"",""es"")"),"Podlaquia (PL-PD)")</f>
        <v>Podlaquia (PL-PD)</v>
      </c>
      <c r="F3777" s="9" t="str">
        <f>IFERROR(__xludf.DUMMYFUNCTION("GOOGLETRANSLATE($A3777,""en"",""it"")"),"Podlachia (PL-PD)")</f>
        <v>Podlachia (PL-PD)</v>
      </c>
      <c r="G3777" s="9" t="str">
        <f>IFERROR(__xludf.DUMMYFUNCTION("GOOGLETRANSLATE($A3777,""en"",""zh-cn"")"),"波德拉谢省 (PL-PD)")</f>
        <v>波德拉谢省 (PL-PD)</v>
      </c>
      <c r="H3777" s="9" t="str">
        <f>IFERROR(__xludf.DUMMYFUNCTION("GOOGLETRANSLATE($A3777,""en"",""ja"")"),"ポドラスキエ (PL-PD)")</f>
        <v>ポドラスキエ (PL-PD)</v>
      </c>
      <c r="I3777" s="9" t="str">
        <f>IFERROR(__xludf.DUMMYFUNCTION("GOOGLETRANSLATE($A3777,""en"",""ko"")"),"포들라스키에 (PL-PD)")</f>
        <v>포들라스키에 (PL-PD)</v>
      </c>
      <c r="J3777" s="9" t="str">
        <f>IFERROR(__xludf.DUMMYFUNCTION("GOOGLETRANSLATE($A3777,""en"",""pt-BR"")"),"Podlaskie (PL-PD)")</f>
        <v>Podlaskie (PL-PD)</v>
      </c>
    </row>
    <row r="3778">
      <c r="A3778" s="9" t="str">
        <f>IFERROR(__xludf.DUMMYFUNCTION("""COMPUTED_VALUE"""),"Łódzkie")</f>
        <v>Łódzkie</v>
      </c>
      <c r="B3778" s="9" t="str">
        <f>IFERROR(__xludf.DUMMYFUNCTION("""COMPUTED_VALUE"""),"pl-10")</f>
        <v>pl-10</v>
      </c>
      <c r="C3778" s="9" t="str">
        <f>IFERROR(__xludf.DUMMYFUNCTION("GOOGLETRANSLATE($A3778,""en"",""de"")"),"Łódzkie")</f>
        <v>Łódzkie</v>
      </c>
      <c r="D3778" s="9" t="str">
        <f>IFERROR(__xludf.DUMMYFUNCTION("GOOGLETRANSLATE($A3778,""en"",""fr"")"),"Lodzkie")</f>
        <v>Lodzkie</v>
      </c>
      <c r="E3778" s="9" t="str">
        <f>IFERROR(__xludf.DUMMYFUNCTION("GOOGLETRANSLATE($A3778,""en"",""es"")"),"Łódzkie")</f>
        <v>Łódzkie</v>
      </c>
      <c r="F3778" s="9" t="str">
        <f>IFERROR(__xludf.DUMMYFUNCTION("GOOGLETRANSLATE($A3778,""en"",""it"")"),"Łódzkie")</f>
        <v>Łódzkie</v>
      </c>
      <c r="G3778" s="9" t="str">
        <f>IFERROR(__xludf.DUMMYFUNCTION("GOOGLETRANSLATE($A3778,""en"",""zh-cn"")"),"罗兹省")</f>
        <v>罗兹省</v>
      </c>
      <c r="H3778" s="9" t="str">
        <f>IFERROR(__xludf.DUMMYFUNCTION("GOOGLETRANSLATE($A3778,""en"",""ja"")"),"ウツキエ")</f>
        <v>ウツキエ</v>
      </c>
      <c r="I3778" s="9" t="str">
        <f>IFERROR(__xludf.DUMMYFUNCTION("GOOGLETRANSLATE($A3778,""en"",""ko"")"),"우치키에")</f>
        <v>우치키에</v>
      </c>
      <c r="J3778" s="9" t="str">
        <f>IFERROR(__xludf.DUMMYFUNCTION("GOOGLETRANSLATE($A3778,""en"",""pt-BR"")"),"Łódzkie")</f>
        <v>Łódzkie</v>
      </c>
    </row>
    <row r="3779">
      <c r="A3779" s="9" t="str">
        <f>IFERROR(__xludf.DUMMYFUNCTION("""COMPUTED_VALUE"""),"Pomorskie (PL-PM)")</f>
        <v>Pomorskie (PL-PM)</v>
      </c>
      <c r="B3779" s="9" t="str">
        <f>IFERROR(__xludf.DUMMYFUNCTION("""COMPUTED_VALUE"""),"pl-pm")</f>
        <v>pl-pm</v>
      </c>
      <c r="C3779" s="9" t="str">
        <f>IFERROR(__xludf.DUMMYFUNCTION("GOOGLETRANSLATE($A3779,""en"",""de"")"),"Pomorskie (PL-PM)")</f>
        <v>Pomorskie (PL-PM)</v>
      </c>
      <c r="D3779" s="9" t="str">
        <f>IFERROR(__xludf.DUMMYFUNCTION("GOOGLETRANSLATE($A3779,""en"",""fr"")"),"Poméranie (PL-PM)")</f>
        <v>Poméranie (PL-PM)</v>
      </c>
      <c r="E3779" s="9" t="str">
        <f>IFERROR(__xludf.DUMMYFUNCTION("GOOGLETRANSLATE($A3779,""en"",""es"")"),"Pomerania (PL-PM)")</f>
        <v>Pomerania (PL-PM)</v>
      </c>
      <c r="F3779" s="9" t="str">
        <f>IFERROR(__xludf.DUMMYFUNCTION("GOOGLETRANSLATE($A3779,""en"",""it"")"),"Pomerania (PL-PM)")</f>
        <v>Pomerania (PL-PM)</v>
      </c>
      <c r="G3779" s="9" t="str">
        <f>IFERROR(__xludf.DUMMYFUNCTION("GOOGLETRANSLATE($A3779,""en"",""zh-cn"")"),"波美拉尼亚 (PL-PM)")</f>
        <v>波美拉尼亚 (PL-PM)</v>
      </c>
      <c r="H3779" s="9" t="str">
        <f>IFERROR(__xludf.DUMMYFUNCTION("GOOGLETRANSLATE($A3779,""en"",""ja"")"),"ポモルスキエ (PL-PM)")</f>
        <v>ポモルスキエ (PL-PM)</v>
      </c>
      <c r="I3779" s="9" t="str">
        <f>IFERROR(__xludf.DUMMYFUNCTION("GOOGLETRANSLATE($A3779,""en"",""ko"")"),"포모르스키에 (PL-PM)")</f>
        <v>포모르스키에 (PL-PM)</v>
      </c>
      <c r="J3779" s="9" t="str">
        <f>IFERROR(__xludf.DUMMYFUNCTION("GOOGLETRANSLATE($A3779,""en"",""pt-BR"")"),"Pomorskie (PL-PM)")</f>
        <v>Pomorskie (PL-PM)</v>
      </c>
    </row>
    <row r="3780">
      <c r="A3780" s="9" t="str">
        <f>IFERROR(__xludf.DUMMYFUNCTION("""COMPUTED_VALUE"""),"Kujawsko-Pomorskie")</f>
        <v>Kujawsko-Pomorskie</v>
      </c>
      <c r="B3780" s="9" t="str">
        <f>IFERROR(__xludf.DUMMYFUNCTION("""COMPUTED_VALUE"""),"pl-04")</f>
        <v>pl-04</v>
      </c>
      <c r="C3780" s="9" t="str">
        <f>IFERROR(__xludf.DUMMYFUNCTION("GOOGLETRANSLATE($A3780,""en"",""de"")"),"Kujawien-Pommern")</f>
        <v>Kujawien-Pommern</v>
      </c>
      <c r="D3780" s="9" t="str">
        <f>IFERROR(__xludf.DUMMYFUNCTION("GOOGLETRANSLATE($A3780,""en"",""fr"")"),"Coujavie-Poméranie")</f>
        <v>Coujavie-Poméranie</v>
      </c>
      <c r="E3780" s="9" t="str">
        <f>IFERROR(__xludf.DUMMYFUNCTION("GOOGLETRANSLATE($A3780,""en"",""es"")"),"Kujawsko-Pomorskie")</f>
        <v>Kujawsko-Pomorskie</v>
      </c>
      <c r="F3780" s="9" t="str">
        <f>IFERROR(__xludf.DUMMYFUNCTION("GOOGLETRANSLATE($A3780,""en"",""it"")"),"Kujawsko-Pomerania")</f>
        <v>Kujawsko-Pomerania</v>
      </c>
      <c r="G3780" s="9" t="str">
        <f>IFERROR(__xludf.DUMMYFUNCTION("GOOGLETRANSLATE($A3780,""en"",""zh-cn"")"),"库亚夫滨海省")</f>
        <v>库亚夫滨海省</v>
      </c>
      <c r="H3780" s="9" t="str">
        <f>IFERROR(__xludf.DUMMYFUNCTION("GOOGLETRANSLATE($A3780,""en"",""ja"")"),"クヤフスコ ポモルスキエ")</f>
        <v>クヤフスコ ポモルスキエ</v>
      </c>
      <c r="I3780" s="9" t="str">
        <f>IFERROR(__xludf.DUMMYFUNCTION("GOOGLETRANSLATE($A3780,""en"",""ko"")"),"쿠자프스코-포모르스키에")</f>
        <v>쿠자프스코-포모르스키에</v>
      </c>
      <c r="J3780" s="9" t="str">
        <f>IFERROR(__xludf.DUMMYFUNCTION("GOOGLETRANSLATE($A3780,""en"",""pt-BR"")"),"Kujawsko-Pomorskie")</f>
        <v>Kujawsko-Pomorskie</v>
      </c>
    </row>
    <row r="3781">
      <c r="A3781" s="9" t="str">
        <f>IFERROR(__xludf.DUMMYFUNCTION("""COMPUTED_VALUE"""),"Lubuskie (PL-LB)")</f>
        <v>Lubuskie (PL-LB)</v>
      </c>
      <c r="B3781" s="9" t="str">
        <f>IFERROR(__xludf.DUMMYFUNCTION("""COMPUTED_VALUE"""),"pl-lb")</f>
        <v>pl-lb</v>
      </c>
      <c r="C3781" s="9" t="str">
        <f>IFERROR(__xludf.DUMMYFUNCTION("GOOGLETRANSLATE($A3781,""en"",""de"")"),"Lubuskie (PL-LB)")</f>
        <v>Lubuskie (PL-LB)</v>
      </c>
      <c r="D3781" s="9" t="str">
        <f>IFERROR(__xludf.DUMMYFUNCTION("GOOGLETRANSLATE($A3781,""en"",""fr"")"),"Lubuskie (PL-LB)")</f>
        <v>Lubuskie (PL-LB)</v>
      </c>
      <c r="E3781" s="9" t="str">
        <f>IFERROR(__xludf.DUMMYFUNCTION("GOOGLETRANSLATE($A3781,""en"",""es"")"),"Lubuskie (PL-LB)")</f>
        <v>Lubuskie (PL-LB)</v>
      </c>
      <c r="F3781" s="9" t="str">
        <f>IFERROR(__xludf.DUMMYFUNCTION("GOOGLETRANSLATE($A3781,""en"",""it"")"),"Lubuskie (PL-LB)")</f>
        <v>Lubuskie (PL-LB)</v>
      </c>
      <c r="G3781" s="9" t="str">
        <f>IFERROR(__xludf.DUMMYFUNCTION("GOOGLETRANSLATE($A3781,""en"",""zh-cn"")"),"卢布斯卡 (PL-LB)")</f>
        <v>卢布斯卡 (PL-LB)</v>
      </c>
      <c r="H3781" s="9" t="str">
        <f>IFERROR(__xludf.DUMMYFUNCTION("GOOGLETRANSLATE($A3781,""en"",""ja"")"),"ルブスキー (PL-LB)")</f>
        <v>ルブスキー (PL-LB)</v>
      </c>
      <c r="I3781" s="9" t="str">
        <f>IFERROR(__xludf.DUMMYFUNCTION("GOOGLETRANSLATE($A3781,""en"",""ko"")"),"루부스키에 (PL-LB)")</f>
        <v>루부스키에 (PL-LB)</v>
      </c>
      <c r="J3781" s="9" t="str">
        <f>IFERROR(__xludf.DUMMYFUNCTION("GOOGLETRANSLATE($A3781,""en"",""pt-BR"")"),"Lubúsquia (PL-LB)")</f>
        <v>Lubúsquia (PL-LB)</v>
      </c>
    </row>
    <row r="3782">
      <c r="A3782" s="9" t="str">
        <f>IFERROR(__xludf.DUMMYFUNCTION("""COMPUTED_VALUE"""),"Lubelskie")</f>
        <v>Lubelskie</v>
      </c>
      <c r="B3782" s="9" t="str">
        <f>IFERROR(__xludf.DUMMYFUNCTION("""COMPUTED_VALUE"""),"pl-06")</f>
        <v>pl-06</v>
      </c>
      <c r="C3782" s="9" t="str">
        <f>IFERROR(__xludf.DUMMYFUNCTION("GOOGLETRANSLATE($A3782,""en"",""de"")"),"Lubelskie")</f>
        <v>Lubelskie</v>
      </c>
      <c r="D3782" s="9" t="str">
        <f>IFERROR(__xludf.DUMMYFUNCTION("GOOGLETRANSLATE($A3782,""en"",""fr"")"),"Lubelskie")</f>
        <v>Lubelskie</v>
      </c>
      <c r="E3782" s="9" t="str">
        <f>IFERROR(__xludf.DUMMYFUNCTION("GOOGLETRANSLATE($A3782,""en"",""es"")"),"Lubelskie")</f>
        <v>Lubelskie</v>
      </c>
      <c r="F3782" s="9" t="str">
        <f>IFERROR(__xludf.DUMMYFUNCTION("GOOGLETRANSLATE($A3782,""en"",""it"")"),"Lubelskie")</f>
        <v>Lubelskie</v>
      </c>
      <c r="G3782" s="9" t="str">
        <f>IFERROR(__xludf.DUMMYFUNCTION("GOOGLETRANSLATE($A3782,""en"",""zh-cn"")"),"卢布林省")</f>
        <v>卢布林省</v>
      </c>
      <c r="H3782" s="9" t="str">
        <f>IFERROR(__xludf.DUMMYFUNCTION("GOOGLETRANSLATE($A3782,""en"",""ja"")"),"ルベルスキー")</f>
        <v>ルベルスキー</v>
      </c>
      <c r="I3782" s="9" t="str">
        <f>IFERROR(__xludf.DUMMYFUNCTION("GOOGLETRANSLATE($A3782,""en"",""ko"")"),"루벨스키에")</f>
        <v>루벨스키에</v>
      </c>
      <c r="J3782" s="9" t="str">
        <f>IFERROR(__xludf.DUMMYFUNCTION("GOOGLETRANSLATE($A3782,""en"",""pt-BR"")"),"Lubelskie")</f>
        <v>Lubelskie</v>
      </c>
    </row>
    <row r="3783">
      <c r="A3783" s="9" t="str">
        <f>IFERROR(__xludf.DUMMYFUNCTION("""COMPUTED_VALUE"""),"Łódzkie (PL-LD)")</f>
        <v>Łódzkie (PL-LD)</v>
      </c>
      <c r="B3783" s="9" t="str">
        <f>IFERROR(__xludf.DUMMYFUNCTION("""COMPUTED_VALUE"""),"pl-ld")</f>
        <v>pl-ld</v>
      </c>
      <c r="C3783" s="9" t="str">
        <f>IFERROR(__xludf.DUMMYFUNCTION("GOOGLETRANSLATE($A3783,""en"",""de"")"),"Łódzkie (PL-LD)")</f>
        <v>Łódzkie (PL-LD)</v>
      </c>
      <c r="D3783" s="9" t="str">
        <f>IFERROR(__xludf.DUMMYFUNCTION("GOOGLETRANSLATE($A3783,""en"",""fr"")"),"Łódzkie (PL-LD)")</f>
        <v>Łódzkie (PL-LD)</v>
      </c>
      <c r="E3783" s="9" t="str">
        <f>IFERROR(__xludf.DUMMYFUNCTION("GOOGLETRANSLATE($A3783,""en"",""es"")"),"Łódzkie (PL-LD)")</f>
        <v>Łódzkie (PL-LD)</v>
      </c>
      <c r="F3783" s="9" t="str">
        <f>IFERROR(__xludf.DUMMYFUNCTION("GOOGLETRANSLATE($A3783,""en"",""it"")"),"Łódzkie (PL-LD)")</f>
        <v>Łódzkie (PL-LD)</v>
      </c>
      <c r="G3783" s="9" t="str">
        <f>IFERROR(__xludf.DUMMYFUNCTION("GOOGLETRANSLATE($A3783,""en"",""zh-cn"")"),"罗兹省 (PL-LD)")</f>
        <v>罗兹省 (PL-LD)</v>
      </c>
      <c r="H3783" s="9" t="str">
        <f>IFERROR(__xludf.DUMMYFUNCTION("GOOGLETRANSLATE($A3783,""en"",""ja"")"),"ウツキエ (PL-LD)")</f>
        <v>ウツキエ (PL-LD)</v>
      </c>
      <c r="I3783" s="9" t="str">
        <f>IFERROR(__xludf.DUMMYFUNCTION("GOOGLETRANSLATE($A3783,""en"",""ko"")"),"우치키에 (PL-LD)")</f>
        <v>우치키에 (PL-LD)</v>
      </c>
      <c r="J3783" s="9" t="str">
        <f>IFERROR(__xludf.DUMMYFUNCTION("GOOGLETRANSLATE($A3783,""en"",""pt-BR"")"),"Lodzkie (PL-LD)")</f>
        <v>Lodzkie (PL-LD)</v>
      </c>
    </row>
    <row r="3784">
      <c r="A3784" s="9" t="str">
        <f>IFERROR(__xludf.DUMMYFUNCTION("""COMPUTED_VALUE"""),"Małopolskie (PL-MA)")</f>
        <v>Małopolskie (PL-MA)</v>
      </c>
      <c r="B3784" s="9" t="str">
        <f>IFERROR(__xludf.DUMMYFUNCTION("""COMPUTED_VALUE"""),"pl-ma")</f>
        <v>pl-ma</v>
      </c>
      <c r="C3784" s="9" t="str">
        <f>IFERROR(__xludf.DUMMYFUNCTION("GOOGLETRANSLATE($A3784,""en"",""de"")"),"Kleinpolen (PL-MA)")</f>
        <v>Kleinpolen (PL-MA)</v>
      </c>
      <c r="D3784" s="9" t="str">
        <f>IFERROR(__xludf.DUMMYFUNCTION("GOOGLETRANSLATE($A3784,""en"",""fr"")"),"Petite-Pologne (PL-MA)")</f>
        <v>Petite-Pologne (PL-MA)</v>
      </c>
      <c r="E3784" s="9" t="str">
        <f>IFERROR(__xludf.DUMMYFUNCTION("GOOGLETRANSLATE($A3784,""en"",""es"")"),"Małopolskie (PL-MA)")</f>
        <v>Małopolskie (PL-MA)</v>
      </c>
      <c r="F3784" s="9" t="str">
        <f>IFERROR(__xludf.DUMMYFUNCTION("GOOGLETRANSLATE($A3784,""en"",""it"")"),"Piccola Polonia (PL-MA)")</f>
        <v>Piccola Polonia (PL-MA)</v>
      </c>
      <c r="G3784" s="9" t="str">
        <f>IFERROR(__xludf.DUMMYFUNCTION("GOOGLETRANSLATE($A3784,""en"",""zh-cn"")"),"小波兰省 (PL-MA)")</f>
        <v>小波兰省 (PL-MA)</v>
      </c>
      <c r="H3784" s="9" t="str">
        <f>IFERROR(__xludf.DUMMYFUNCTION("GOOGLETRANSLATE($A3784,""en"",""ja"")"),"マウォポルスキエ (PL-MA)")</f>
        <v>マウォポルスキエ (PL-MA)</v>
      </c>
      <c r="I3784" s="9" t="str">
        <f>IFERROR(__xludf.DUMMYFUNCTION("GOOGLETRANSLATE($A3784,""en"",""ko"")"),"마워폴스키에 (PL-MA)")</f>
        <v>마워폴스키에 (PL-MA)</v>
      </c>
      <c r="J3784" s="9" t="str">
        <f>IFERROR(__xludf.DUMMYFUNCTION("GOOGLETRANSLATE($A3784,""en"",""pt-BR"")"),"Małopolskie (PL-MA)")</f>
        <v>Małopolskie (PL-MA)</v>
      </c>
    </row>
    <row r="3785">
      <c r="A3785" s="9" t="str">
        <f>IFERROR(__xludf.DUMMYFUNCTION("""COMPUTED_VALUE"""),"Dolnośląskie")</f>
        <v>Dolnośląskie</v>
      </c>
      <c r="B3785" s="9" t="str">
        <f>IFERROR(__xludf.DUMMYFUNCTION("""COMPUTED_VALUE"""),"pl-02")</f>
        <v>pl-02</v>
      </c>
      <c r="C3785" s="9" t="str">
        <f>IFERROR(__xludf.DUMMYFUNCTION("GOOGLETRANSLATE($A3785,""en"",""de"")"),"Dolnośląskie")</f>
        <v>Dolnośląskie</v>
      </c>
      <c r="D3785" s="9" t="str">
        <f>IFERROR(__xludf.DUMMYFUNCTION("GOOGLETRANSLATE($A3785,""en"",""fr"")"),"Dolnośląskie")</f>
        <v>Dolnośląskie</v>
      </c>
      <c r="E3785" s="9" t="str">
        <f>IFERROR(__xludf.DUMMYFUNCTION("GOOGLETRANSLATE($A3785,""en"",""es"")"),"Dolnośląskie")</f>
        <v>Dolnośląskie</v>
      </c>
      <c r="F3785" s="9" t="str">
        <f>IFERROR(__xludf.DUMMYFUNCTION("GOOGLETRANSLATE($A3785,""en"",""it"")"),"Dolnośląskie")</f>
        <v>Dolnośląskie</v>
      </c>
      <c r="G3785" s="9" t="str">
        <f>IFERROR(__xludf.DUMMYFUNCTION("GOOGLETRANSLATE($A3785,""en"",""zh-cn"")"),"下西拉斯省")</f>
        <v>下西拉斯省</v>
      </c>
      <c r="H3785" s="9" t="str">
        <f>IFERROR(__xludf.DUMMYFUNCTION("GOOGLETRANSLATE($A3785,""en"",""ja"")"),"ドルノシュロンスキエ")</f>
        <v>ドルノシュロンスキエ</v>
      </c>
      <c r="I3785" s="9" t="str">
        <f>IFERROR(__xludf.DUMMYFUNCTION("GOOGLETRANSLATE($A3785,""en"",""ko"")"),"돌노슬롱스키에")</f>
        <v>돌노슬롱스키에</v>
      </c>
      <c r="J3785" s="9" t="str">
        <f>IFERROR(__xludf.DUMMYFUNCTION("GOOGLETRANSLATE($A3785,""en"",""pt-BR"")"),"Dolnośląskie")</f>
        <v>Dolnośląskie</v>
      </c>
    </row>
    <row r="3786">
      <c r="A3786" s="9" t="str">
        <f>IFERROR(__xludf.DUMMYFUNCTION("""COMPUTED_VALUE"""),"Mazowieckie (PL-MZ)")</f>
        <v>Mazowieckie (PL-MZ)</v>
      </c>
      <c r="B3786" s="9" t="str">
        <f>IFERROR(__xludf.DUMMYFUNCTION("""COMPUTED_VALUE"""),"pl-mz")</f>
        <v>pl-mz</v>
      </c>
      <c r="C3786" s="9" t="str">
        <f>IFERROR(__xludf.DUMMYFUNCTION("GOOGLETRANSLATE($A3786,""en"",""de"")"),"Masowien (PL-MZ)")</f>
        <v>Masowien (PL-MZ)</v>
      </c>
      <c r="D3786" s="9" t="str">
        <f>IFERROR(__xludf.DUMMYFUNCTION("GOOGLETRANSLATE($A3786,""en"",""fr"")"),"Mazovie (PL-MZ)")</f>
        <v>Mazovie (PL-MZ)</v>
      </c>
      <c r="E3786" s="9" t="str">
        <f>IFERROR(__xludf.DUMMYFUNCTION("GOOGLETRANSLATE($A3786,""en"",""es"")"),"Mazowieckie (PL-MZ)")</f>
        <v>Mazowieckie (PL-MZ)</v>
      </c>
      <c r="F3786" s="9" t="str">
        <f>IFERROR(__xludf.DUMMYFUNCTION("GOOGLETRANSLATE($A3786,""en"",""it"")"),"Masovia (PL-MZ)")</f>
        <v>Masovia (PL-MZ)</v>
      </c>
      <c r="G3786" s="9" t="str">
        <f>IFERROR(__xludf.DUMMYFUNCTION("GOOGLETRANSLATE($A3786,""en"",""zh-cn"")"),"马佐夫舍 (PL-MZ)")</f>
        <v>马佐夫舍 (PL-MZ)</v>
      </c>
      <c r="H3786" s="9" t="str">
        <f>IFERROR(__xludf.DUMMYFUNCTION("GOOGLETRANSLATE($A3786,""en"",""ja"")"),"マゾヴィッキエ (PL-MZ)")</f>
        <v>マゾヴィッキエ (PL-MZ)</v>
      </c>
      <c r="I3786" s="9" t="str">
        <f>IFERROR(__xludf.DUMMYFUNCTION("GOOGLETRANSLATE($A3786,""en"",""ko"")"),"마조비에츠키에 (PL-MZ)")</f>
        <v>마조비에츠키에 (PL-MZ)</v>
      </c>
      <c r="J3786" s="9" t="str">
        <f>IFERROR(__xludf.DUMMYFUNCTION("GOOGLETRANSLATE($A3786,""en"",""pt-BR"")"),"Mazowieckie (PL-MZ)")</f>
        <v>Mazowieckie (PL-MZ)</v>
      </c>
    </row>
    <row r="3787">
      <c r="A3787" s="9" t="str">
        <f>IFERROR(__xludf.DUMMYFUNCTION("""COMPUTED_VALUE"""),"Wrocław")</f>
        <v>Wrocław</v>
      </c>
      <c r="B3787" s="9" t="str">
        <f>IFERROR(__xludf.DUMMYFUNCTION("""COMPUTED_VALUE"""),"pl-wr")</f>
        <v>pl-wr</v>
      </c>
      <c r="C3787" s="9" t="str">
        <f>IFERROR(__xludf.DUMMYFUNCTION("GOOGLETRANSLATE($A3787,""en"",""de"")"),"Breslau")</f>
        <v>Breslau</v>
      </c>
      <c r="D3787" s="9" t="str">
        <f>IFERROR(__xludf.DUMMYFUNCTION("GOOGLETRANSLATE($A3787,""en"",""fr"")"),"Wrocław")</f>
        <v>Wrocław</v>
      </c>
      <c r="E3787" s="9" t="str">
        <f>IFERROR(__xludf.DUMMYFUNCTION("GOOGLETRANSLATE($A3787,""en"",""es"")"),"Breslavia")</f>
        <v>Breslavia</v>
      </c>
      <c r="F3787" s="9" t="str">
        <f>IFERROR(__xludf.DUMMYFUNCTION("GOOGLETRANSLATE($A3787,""en"",""it"")"),"Breslavia")</f>
        <v>Breslavia</v>
      </c>
      <c r="G3787" s="9" t="str">
        <f>IFERROR(__xludf.DUMMYFUNCTION("GOOGLETRANSLATE($A3787,""en"",""zh-cn"")"),"弗罗茨瓦夫")</f>
        <v>弗罗茨瓦夫</v>
      </c>
      <c r="H3787" s="9" t="str">
        <f>IFERROR(__xludf.DUMMYFUNCTION("GOOGLETRANSLATE($A3787,""en"",""ja"")"),"ヴロツワフ")</f>
        <v>ヴロツワフ</v>
      </c>
      <c r="I3787" s="9" t="str">
        <f>IFERROR(__xludf.DUMMYFUNCTION("GOOGLETRANSLATE($A3787,""en"",""ko"")"),"브로츠와프")</f>
        <v>브로츠와프</v>
      </c>
      <c r="J3787" s="9" t="str">
        <f>IFERROR(__xludf.DUMMYFUNCTION("GOOGLETRANSLATE($A3787,""en"",""pt-BR"")"),"Breslávia")</f>
        <v>Breslávia</v>
      </c>
    </row>
    <row r="3788">
      <c r="A3788" s="9" t="str">
        <f>IFERROR(__xludf.DUMMYFUNCTION("""COMPUTED_VALUE"""),"Włocławek")</f>
        <v>Włocławek</v>
      </c>
      <c r="B3788" s="9" t="str">
        <f>IFERROR(__xludf.DUMMYFUNCTION("""COMPUTED_VALUE"""),"pl-wl")</f>
        <v>pl-wl</v>
      </c>
      <c r="C3788" s="9" t="str">
        <f>IFERROR(__xludf.DUMMYFUNCTION("GOOGLETRANSLATE($A3788,""en"",""de"")"),"Włocławek")</f>
        <v>Włocławek</v>
      </c>
      <c r="D3788" s="9" t="str">
        <f>IFERROR(__xludf.DUMMYFUNCTION("GOOGLETRANSLATE($A3788,""en"",""fr"")"),"Wlocławek")</f>
        <v>Wlocławek</v>
      </c>
      <c r="E3788" s="9" t="str">
        <f>IFERROR(__xludf.DUMMYFUNCTION("GOOGLETRANSLATE($A3788,""en"",""es"")"),"Włocławek")</f>
        <v>Włocławek</v>
      </c>
      <c r="F3788" s="9" t="str">
        <f>IFERROR(__xludf.DUMMYFUNCTION("GOOGLETRANSLATE($A3788,""en"",""it"")"),"Włocławek")</f>
        <v>Włocławek</v>
      </c>
      <c r="G3788" s="9" t="str">
        <f>IFERROR(__xludf.DUMMYFUNCTION("GOOGLETRANSLATE($A3788,""en"",""zh-cn"")"),"弗沃茨瓦韦克")</f>
        <v>弗沃茨瓦韦克</v>
      </c>
      <c r="H3788" s="9" t="str">
        <f>IFERROR(__xludf.DUMMYFUNCTION("GOOGLETRANSLATE($A3788,""en"",""ja"")"),"ヴウォツワヴェク")</f>
        <v>ヴウォツワヴェク</v>
      </c>
      <c r="I3788" s="9" t="str">
        <f>IFERROR(__xludf.DUMMYFUNCTION("GOOGLETRANSLATE($A3788,""en"",""ko"")"),"브워츠와벡")</f>
        <v>브워츠와벡</v>
      </c>
      <c r="J3788" s="9" t="str">
        <f>IFERROR(__xludf.DUMMYFUNCTION("GOOGLETRANSLATE($A3788,""en"",""pt-BR"")"),"Wloclawek")</f>
        <v>Wloclawek</v>
      </c>
    </row>
    <row r="3789">
      <c r="A3789" s="9" t="str">
        <f>IFERROR(__xludf.DUMMYFUNCTION("""COMPUTED_VALUE"""),"Zielona Góra")</f>
        <v>Zielona Góra</v>
      </c>
      <c r="B3789" s="9" t="str">
        <f>IFERROR(__xludf.DUMMYFUNCTION("""COMPUTED_VALUE"""),"pl-zg")</f>
        <v>pl-zg</v>
      </c>
      <c r="C3789" s="9" t="str">
        <f>IFERROR(__xludf.DUMMYFUNCTION("GOOGLETRANSLATE($A3789,""en"",""de"")"),"Zielona Góra")</f>
        <v>Zielona Góra</v>
      </c>
      <c r="D3789" s="9" t="str">
        <f>IFERROR(__xludf.DUMMYFUNCTION("GOOGLETRANSLATE($A3789,""en"",""fr"")"),"Zielona Góra")</f>
        <v>Zielona Góra</v>
      </c>
      <c r="E3789" s="9" t="str">
        <f>IFERROR(__xludf.DUMMYFUNCTION("GOOGLETRANSLATE($A3789,""en"",""es"")"),"Zielona Góra")</f>
        <v>Zielona Góra</v>
      </c>
      <c r="F3789" s="9" t="str">
        <f>IFERROR(__xludf.DUMMYFUNCTION("GOOGLETRANSLATE($A3789,""en"",""it"")"),"Zielona Góra")</f>
        <v>Zielona Góra</v>
      </c>
      <c r="G3789" s="9" t="str">
        <f>IFERROR(__xludf.DUMMYFUNCTION("GOOGLETRANSLATE($A3789,""en"",""zh-cn"")"),"绿山城")</f>
        <v>绿山城</v>
      </c>
      <c r="H3789" s="9" t="str">
        <f>IFERROR(__xludf.DUMMYFUNCTION("GOOGLETRANSLATE($A3789,""en"",""ja"")"),"ジェロナ・グーラ")</f>
        <v>ジェロナ・グーラ</v>
      </c>
      <c r="I3789" s="9" t="str">
        <f>IFERROR(__xludf.DUMMYFUNCTION("GOOGLETRANSLATE($A3789,""en"",""ko"")"),"지엘로나 고라")</f>
        <v>지엘로나 고라</v>
      </c>
      <c r="J3789" s="9" t="str">
        <f>IFERROR(__xludf.DUMMYFUNCTION("GOOGLETRANSLATE($A3789,""en"",""pt-BR"")"),"Zielona Góra")</f>
        <v>Zielona Góra</v>
      </c>
    </row>
    <row r="3790">
      <c r="A3790" s="9" t="str">
        <f>IFERROR(__xludf.DUMMYFUNCTION("""COMPUTED_VALUE"""),"Zamość")</f>
        <v>Zamość</v>
      </c>
      <c r="B3790" s="9" t="str">
        <f>IFERROR(__xludf.DUMMYFUNCTION("""COMPUTED_VALUE"""),"pl-za")</f>
        <v>pl-za</v>
      </c>
      <c r="C3790" s="9" t="str">
        <f>IFERROR(__xludf.DUMMYFUNCTION("GOOGLETRANSLATE($A3790,""en"",""de"")"),"Zamość")</f>
        <v>Zamość</v>
      </c>
      <c r="D3790" s="9" t="str">
        <f>IFERROR(__xludf.DUMMYFUNCTION("GOOGLETRANSLATE($A3790,""en"",""fr"")"),"Zamość")</f>
        <v>Zamość</v>
      </c>
      <c r="E3790" s="9" t="str">
        <f>IFERROR(__xludf.DUMMYFUNCTION("GOOGLETRANSLATE($A3790,""en"",""es"")"),"Zamosc")</f>
        <v>Zamosc</v>
      </c>
      <c r="F3790" s="9" t="str">
        <f>IFERROR(__xludf.DUMMYFUNCTION("GOOGLETRANSLATE($A3790,""en"",""it"")"),"Zamość")</f>
        <v>Zamość</v>
      </c>
      <c r="G3790" s="9" t="str">
        <f>IFERROR(__xludf.DUMMYFUNCTION("GOOGLETRANSLATE($A3790,""en"",""zh-cn"")"),"扎莫希奇")</f>
        <v>扎莫希奇</v>
      </c>
      <c r="H3790" s="9" t="str">
        <f>IFERROR(__xludf.DUMMYFUNCTION("GOOGLETRANSLATE($A3790,""en"",""ja"")"),"ザモシチ")</f>
        <v>ザモシチ</v>
      </c>
      <c r="I3790" s="9" t="str">
        <f>IFERROR(__xludf.DUMMYFUNCTION("GOOGLETRANSLATE($A3790,""en"",""ko"")"),"자모시치")</f>
        <v>자모시치</v>
      </c>
      <c r="J3790" s="9" t="str">
        <f>IFERROR(__xludf.DUMMYFUNCTION("GOOGLETRANSLATE($A3790,""en"",""pt-BR"")"),"Zamość")</f>
        <v>Zamość</v>
      </c>
    </row>
    <row r="3791">
      <c r="A3791" s="9" t="str">
        <f>IFERROR(__xludf.DUMMYFUNCTION("""COMPUTED_VALUE"""),"Toruń")</f>
        <v>Toruń</v>
      </c>
      <c r="B3791" s="9" t="str">
        <f>IFERROR(__xludf.DUMMYFUNCTION("""COMPUTED_VALUE"""),"pl-to")</f>
        <v>pl-to</v>
      </c>
      <c r="C3791" s="9" t="str">
        <f>IFERROR(__xludf.DUMMYFUNCTION("GOOGLETRANSLATE($A3791,""en"",""de"")"),"Toruń")</f>
        <v>Toruń</v>
      </c>
      <c r="D3791" s="9" t="str">
        <f>IFERROR(__xludf.DUMMYFUNCTION("GOOGLETRANSLATE($A3791,""en"",""fr"")"),"Torun")</f>
        <v>Torun</v>
      </c>
      <c r="E3791" s="9" t="str">
        <f>IFERROR(__xludf.DUMMYFUNCTION("GOOGLETRANSLATE($A3791,""en"",""es"")"),"Toruń")</f>
        <v>Toruń</v>
      </c>
      <c r="F3791" s="9" t="str">
        <f>IFERROR(__xludf.DUMMYFUNCTION("GOOGLETRANSLATE($A3791,""en"",""it"")"),"Torun")</f>
        <v>Torun</v>
      </c>
      <c r="G3791" s="9" t="str">
        <f>IFERROR(__xludf.DUMMYFUNCTION("GOOGLETRANSLATE($A3791,""en"",""zh-cn"")"),"托伦")</f>
        <v>托伦</v>
      </c>
      <c r="H3791" s="9" t="str">
        <f>IFERROR(__xludf.DUMMYFUNCTION("GOOGLETRANSLATE($A3791,""en"",""ja"")"),"トルン")</f>
        <v>トルン</v>
      </c>
      <c r="I3791" s="9" t="str">
        <f>IFERROR(__xludf.DUMMYFUNCTION("GOOGLETRANSLATE($A3791,""en"",""ko"")"),"토룬")</f>
        <v>토룬</v>
      </c>
      <c r="J3791" s="9" t="str">
        <f>IFERROR(__xludf.DUMMYFUNCTION("GOOGLETRANSLATE($A3791,""en"",""pt-BR"")"),"Toruń")</f>
        <v>Toruń</v>
      </c>
    </row>
    <row r="3792">
      <c r="A3792" s="9" t="str">
        <f>IFERROR(__xludf.DUMMYFUNCTION("""COMPUTED_VALUE"""),"Tarnobrzeg")</f>
        <v>Tarnobrzeg</v>
      </c>
      <c r="B3792" s="9" t="str">
        <f>IFERROR(__xludf.DUMMYFUNCTION("""COMPUTED_VALUE"""),"pl-tg")</f>
        <v>pl-tg</v>
      </c>
      <c r="C3792" s="9" t="str">
        <f>IFERROR(__xludf.DUMMYFUNCTION("GOOGLETRANSLATE($A3792,""en"",""de"")"),"Tarnobrzeg")</f>
        <v>Tarnobrzeg</v>
      </c>
      <c r="D3792" s="9" t="str">
        <f>IFERROR(__xludf.DUMMYFUNCTION("GOOGLETRANSLATE($A3792,""en"",""fr"")"),"Tarnobrzeg")</f>
        <v>Tarnobrzeg</v>
      </c>
      <c r="E3792" s="9" t="str">
        <f>IFERROR(__xludf.DUMMYFUNCTION("GOOGLETRANSLATE($A3792,""en"",""es"")"),"Tarnobrzeg")</f>
        <v>Tarnobrzeg</v>
      </c>
      <c r="F3792" s="9" t="str">
        <f>IFERROR(__xludf.DUMMYFUNCTION("GOOGLETRANSLATE($A3792,""en"",""it"")"),"Tarnobrzeg")</f>
        <v>Tarnobrzeg</v>
      </c>
      <c r="G3792" s="9" t="str">
        <f>IFERROR(__xludf.DUMMYFUNCTION("GOOGLETRANSLATE($A3792,""en"",""zh-cn"")"),"塔尔诺布热格")</f>
        <v>塔尔诺布热格</v>
      </c>
      <c r="H3792" s="9" t="str">
        <f>IFERROR(__xludf.DUMMYFUNCTION("GOOGLETRANSLATE($A3792,""en"",""ja"")"),"タルノブジェク")</f>
        <v>タルノブジェク</v>
      </c>
      <c r="I3792" s="9" t="str">
        <f>IFERROR(__xludf.DUMMYFUNCTION("GOOGLETRANSLATE($A3792,""en"",""ko"")"),"타르노브제크")</f>
        <v>타르노브제크</v>
      </c>
      <c r="J3792" s="9" t="str">
        <f>IFERROR(__xludf.DUMMYFUNCTION("GOOGLETRANSLATE($A3792,""en"",""pt-BR"")"),"Tarnobrzeg")</f>
        <v>Tarnobrzeg</v>
      </c>
    </row>
    <row r="3793">
      <c r="A3793" s="9" t="str">
        <f>IFERROR(__xludf.DUMMYFUNCTION("""COMPUTED_VALUE"""),"Tarnów")</f>
        <v>Tarnów</v>
      </c>
      <c r="B3793" s="9" t="str">
        <f>IFERROR(__xludf.DUMMYFUNCTION("""COMPUTED_VALUE"""),"pl-ta")</f>
        <v>pl-ta</v>
      </c>
      <c r="C3793" s="9" t="str">
        <f>IFERROR(__xludf.DUMMYFUNCTION("GOOGLETRANSLATE($A3793,""en"",""de"")"),"Tarnów")</f>
        <v>Tarnów</v>
      </c>
      <c r="D3793" s="9" t="str">
        <f>IFERROR(__xludf.DUMMYFUNCTION("GOOGLETRANSLATE($A3793,""en"",""fr"")"),"Tarnow")</f>
        <v>Tarnow</v>
      </c>
      <c r="E3793" s="9" t="str">
        <f>IFERROR(__xludf.DUMMYFUNCTION("GOOGLETRANSLATE($A3793,""en"",""es"")"),"Tarnów")</f>
        <v>Tarnów</v>
      </c>
      <c r="F3793" s="9" t="str">
        <f>IFERROR(__xludf.DUMMYFUNCTION("GOOGLETRANSLATE($A3793,""en"",""it"")"),"Tarnow")</f>
        <v>Tarnow</v>
      </c>
      <c r="G3793" s="9" t="str">
        <f>IFERROR(__xludf.DUMMYFUNCTION("GOOGLETRANSLATE($A3793,""en"",""zh-cn"")"),"塔尔努夫")</f>
        <v>塔尔努夫</v>
      </c>
      <c r="H3793" s="9" t="str">
        <f>IFERROR(__xludf.DUMMYFUNCTION("GOOGLETRANSLATE($A3793,""en"",""ja"")"),"タルヌフ")</f>
        <v>タルヌフ</v>
      </c>
      <c r="I3793" s="9" t="str">
        <f>IFERROR(__xludf.DUMMYFUNCTION("GOOGLETRANSLATE($A3793,""en"",""ko"")"),"타르누프")</f>
        <v>타르누프</v>
      </c>
      <c r="J3793" s="9" t="str">
        <f>IFERROR(__xludf.DUMMYFUNCTION("GOOGLETRANSLATE($A3793,""en"",""pt-BR"")"),"Tarnow")</f>
        <v>Tarnow</v>
      </c>
    </row>
    <row r="3794">
      <c r="A3794" s="9" t="str">
        <f>IFERROR(__xludf.DUMMYFUNCTION("""COMPUTED_VALUE"""),"Szczecin")</f>
        <v>Szczecin</v>
      </c>
      <c r="B3794" s="9" t="str">
        <f>IFERROR(__xludf.DUMMYFUNCTION("""COMPUTED_VALUE"""),"pl-sz")</f>
        <v>pl-sz</v>
      </c>
      <c r="C3794" s="9" t="str">
        <f>IFERROR(__xludf.DUMMYFUNCTION("GOOGLETRANSLATE($A3794,""en"",""de"")"),"Stettin")</f>
        <v>Stettin</v>
      </c>
      <c r="D3794" s="9" t="str">
        <f>IFERROR(__xludf.DUMMYFUNCTION("GOOGLETRANSLATE($A3794,""en"",""fr"")"),"Szczecin")</f>
        <v>Szczecin</v>
      </c>
      <c r="E3794" s="9" t="str">
        <f>IFERROR(__xludf.DUMMYFUNCTION("GOOGLETRANSLATE($A3794,""en"",""es"")"),"Szczecin")</f>
        <v>Szczecin</v>
      </c>
      <c r="F3794" s="9" t="str">
        <f>IFERROR(__xludf.DUMMYFUNCTION("GOOGLETRANSLATE($A3794,""en"",""it"")"),"Stettino")</f>
        <v>Stettino</v>
      </c>
      <c r="G3794" s="9" t="str">
        <f>IFERROR(__xludf.DUMMYFUNCTION("GOOGLETRANSLATE($A3794,""en"",""zh-cn"")"),"什切青")</f>
        <v>什切青</v>
      </c>
      <c r="H3794" s="9" t="str">
        <f>IFERROR(__xludf.DUMMYFUNCTION("GOOGLETRANSLATE($A3794,""en"",""ja"")"),"シュチェチン")</f>
        <v>シュチェチン</v>
      </c>
      <c r="I3794" s="9" t="str">
        <f>IFERROR(__xludf.DUMMYFUNCTION("GOOGLETRANSLATE($A3794,""en"",""ko"")"),"슈체친")</f>
        <v>슈체친</v>
      </c>
      <c r="J3794" s="9" t="str">
        <f>IFERROR(__xludf.DUMMYFUNCTION("GOOGLETRANSLATE($A3794,""en"",""pt-BR"")"),"Estetino")</f>
        <v>Estetino</v>
      </c>
    </row>
    <row r="3795">
      <c r="A3795" s="9" t="str">
        <f>IFERROR(__xludf.DUMMYFUNCTION("""COMPUTED_VALUE"""),"Wałbrzych")</f>
        <v>Wałbrzych</v>
      </c>
      <c r="B3795" s="9" t="str">
        <f>IFERROR(__xludf.DUMMYFUNCTION("""COMPUTED_VALUE"""),"pl-wb")</f>
        <v>pl-wb</v>
      </c>
      <c r="C3795" s="9" t="str">
        <f>IFERROR(__xludf.DUMMYFUNCTION("GOOGLETRANSLATE($A3795,""en"",""de"")"),"Wałbrzych")</f>
        <v>Wałbrzych</v>
      </c>
      <c r="D3795" s="9" t="str">
        <f>IFERROR(__xludf.DUMMYFUNCTION("GOOGLETRANSLATE($A3795,""en"",""fr"")"),"Wałbrzych")</f>
        <v>Wałbrzych</v>
      </c>
      <c r="E3795" s="9" t="str">
        <f>IFERROR(__xludf.DUMMYFUNCTION("GOOGLETRANSLATE($A3795,""en"",""es"")"),"Wałbrzych")</f>
        <v>Wałbrzych</v>
      </c>
      <c r="F3795" s="9" t="str">
        <f>IFERROR(__xludf.DUMMYFUNCTION("GOOGLETRANSLATE($A3795,""en"",""it"")"),"Walbrzych")</f>
        <v>Walbrzych</v>
      </c>
      <c r="G3795" s="9" t="str">
        <f>IFERROR(__xludf.DUMMYFUNCTION("GOOGLETRANSLATE($A3795,""en"",""zh-cn"")"),"瓦乌布日赫")</f>
        <v>瓦乌布日赫</v>
      </c>
      <c r="H3795" s="9" t="str">
        <f>IFERROR(__xludf.DUMMYFUNCTION("GOOGLETRANSLATE($A3795,""en"",""ja"")"),"ヴァウブジフ")</f>
        <v>ヴァウブジフ</v>
      </c>
      <c r="I3795" s="9" t="str">
        <f>IFERROR(__xludf.DUMMYFUNCTION("GOOGLETRANSLATE($A3795,""en"",""ko"")"),"바우브지흐")</f>
        <v>바우브지흐</v>
      </c>
      <c r="J3795" s="9" t="str">
        <f>IFERROR(__xludf.DUMMYFUNCTION("GOOGLETRANSLATE($A3795,""en"",""pt-BR"")"),"Walbrzych")</f>
        <v>Walbrzych</v>
      </c>
    </row>
    <row r="3796">
      <c r="A3796" s="9" t="str">
        <f>IFERROR(__xludf.DUMMYFUNCTION("""COMPUTED_VALUE"""),"Warszawa")</f>
        <v>Warszawa</v>
      </c>
      <c r="B3796" s="9" t="str">
        <f>IFERROR(__xludf.DUMMYFUNCTION("""COMPUTED_VALUE"""),"pl-wa")</f>
        <v>pl-wa</v>
      </c>
      <c r="C3796" s="9" t="str">
        <f>IFERROR(__xludf.DUMMYFUNCTION("GOOGLETRANSLATE($A3796,""en"",""de"")"),"Warschau")</f>
        <v>Warschau</v>
      </c>
      <c r="D3796" s="9" t="str">
        <f>IFERROR(__xludf.DUMMYFUNCTION("GOOGLETRANSLATE($A3796,""en"",""fr"")"),"Varsovie")</f>
        <v>Varsovie</v>
      </c>
      <c r="E3796" s="9" t="str">
        <f>IFERROR(__xludf.DUMMYFUNCTION("GOOGLETRANSLATE($A3796,""en"",""es"")"),"Varsovia")</f>
        <v>Varsovia</v>
      </c>
      <c r="F3796" s="9" t="str">
        <f>IFERROR(__xludf.DUMMYFUNCTION("GOOGLETRANSLATE($A3796,""en"",""it"")"),"Varsavia")</f>
        <v>Varsavia</v>
      </c>
      <c r="G3796" s="9" t="str">
        <f>IFERROR(__xludf.DUMMYFUNCTION("GOOGLETRANSLATE($A3796,""en"",""zh-cn"")"),"华沙")</f>
        <v>华沙</v>
      </c>
      <c r="H3796" s="9" t="str">
        <f>IFERROR(__xludf.DUMMYFUNCTION("GOOGLETRANSLATE($A3796,""en"",""ja"")"),"ワルシャワ")</f>
        <v>ワルシャワ</v>
      </c>
      <c r="I3796" s="9" t="str">
        <f>IFERROR(__xludf.DUMMYFUNCTION("GOOGLETRANSLATE($A3796,""en"",""ko"")"),"바르샤바")</f>
        <v>바르샤바</v>
      </c>
      <c r="J3796" s="9" t="str">
        <f>IFERROR(__xludf.DUMMYFUNCTION("GOOGLETRANSLATE($A3796,""en"",""pt-BR"")"),"Varsóvia")</f>
        <v>Varsóvia</v>
      </c>
    </row>
    <row r="3797">
      <c r="A3797" s="9" t="str">
        <f>IFERROR(__xludf.DUMMYFUNCTION("""COMPUTED_VALUE"""),"Piła")</f>
        <v>Piła</v>
      </c>
      <c r="B3797" s="9" t="str">
        <f>IFERROR(__xludf.DUMMYFUNCTION("""COMPUTED_VALUE"""),"pl-pi")</f>
        <v>pl-pi</v>
      </c>
      <c r="C3797" s="9" t="str">
        <f>IFERROR(__xludf.DUMMYFUNCTION("GOOGLETRANSLATE($A3797,""en"",""de"")"),"Pila")</f>
        <v>Pila</v>
      </c>
      <c r="D3797" s="9" t="str">
        <f>IFERROR(__xludf.DUMMYFUNCTION("GOOGLETRANSLATE($A3797,""en"",""fr"")"),"Pila")</f>
        <v>Pila</v>
      </c>
      <c r="E3797" s="9" t="str">
        <f>IFERROR(__xludf.DUMMYFUNCTION("GOOGLETRANSLATE($A3797,""en"",""es"")"),"pila")</f>
        <v>pila</v>
      </c>
      <c r="F3797" s="9" t="str">
        <f>IFERROR(__xludf.DUMMYFUNCTION("GOOGLETRANSLATE($A3797,""en"",""it"")"),"Pila")</f>
        <v>Pila</v>
      </c>
      <c r="G3797" s="9" t="str">
        <f>IFERROR(__xludf.DUMMYFUNCTION("GOOGLETRANSLATE($A3797,""en"",""zh-cn"")"),"皮拉")</f>
        <v>皮拉</v>
      </c>
      <c r="H3797" s="9" t="str">
        <f>IFERROR(__xludf.DUMMYFUNCTION("GOOGLETRANSLATE($A3797,""en"",""ja"")"),"ピワ")</f>
        <v>ピワ</v>
      </c>
      <c r="I3797" s="9" t="str">
        <f>IFERROR(__xludf.DUMMYFUNCTION("GOOGLETRANSLATE($A3797,""en"",""ko"")"),"피와")</f>
        <v>피와</v>
      </c>
      <c r="J3797" s="9" t="str">
        <f>IFERROR(__xludf.DUMMYFUNCTION("GOOGLETRANSLATE($A3797,""en"",""pt-BR"")"),"Piła")</f>
        <v>Piła</v>
      </c>
    </row>
    <row r="3798">
      <c r="A3798" s="9" t="str">
        <f>IFERROR(__xludf.DUMMYFUNCTION("""COMPUTED_VALUE"""),"Ostrołęka")</f>
        <v>Ostrołęka</v>
      </c>
      <c r="B3798" s="9" t="str">
        <f>IFERROR(__xludf.DUMMYFUNCTION("""COMPUTED_VALUE"""),"pl-os")</f>
        <v>pl-os</v>
      </c>
      <c r="C3798" s="9" t="str">
        <f>IFERROR(__xludf.DUMMYFUNCTION("GOOGLETRANSLATE($A3798,""en"",""de"")"),"Ostrołęka")</f>
        <v>Ostrołęka</v>
      </c>
      <c r="D3798" s="9" t="str">
        <f>IFERROR(__xludf.DUMMYFUNCTION("GOOGLETRANSLATE($A3798,""en"",""fr"")"),"Ostrołęka")</f>
        <v>Ostrołęka</v>
      </c>
      <c r="E3798" s="9" t="str">
        <f>IFERROR(__xludf.DUMMYFUNCTION("GOOGLETRANSLATE($A3798,""en"",""es"")"),"Ostrołęka")</f>
        <v>Ostrołęka</v>
      </c>
      <c r="F3798" s="9" t="str">
        <f>IFERROR(__xludf.DUMMYFUNCTION("GOOGLETRANSLATE($A3798,""en"",""it"")"),"Ostrołęka")</f>
        <v>Ostrołęka</v>
      </c>
      <c r="G3798" s="9" t="str">
        <f>IFERROR(__xludf.DUMMYFUNCTION("GOOGLETRANSLATE($A3798,""en"",""zh-cn"")"),"奥斯特罗文卡")</f>
        <v>奥斯特罗文卡</v>
      </c>
      <c r="H3798" s="9" t="str">
        <f>IFERROR(__xludf.DUMMYFUNCTION("GOOGLETRANSLATE($A3798,""en"",""ja"")"),"オストロウェカ")</f>
        <v>オストロウェカ</v>
      </c>
      <c r="I3798" s="9" t="str">
        <f>IFERROR(__xludf.DUMMYFUNCTION("GOOGLETRANSLATE($A3798,""en"",""ko"")"),"오스트로웽카")</f>
        <v>오스트로웽카</v>
      </c>
      <c r="J3798" s="9" t="str">
        <f>IFERROR(__xludf.DUMMYFUNCTION("GOOGLETRANSLATE($A3798,""en"",""pt-BR"")"),"Ostrołęka")</f>
        <v>Ostrołęka</v>
      </c>
    </row>
    <row r="3799">
      <c r="A3799" s="9" t="str">
        <f>IFERROR(__xludf.DUMMYFUNCTION("""COMPUTED_VALUE"""),"Przemyśl")</f>
        <v>Przemyśl</v>
      </c>
      <c r="B3799" s="9" t="str">
        <f>IFERROR(__xludf.DUMMYFUNCTION("""COMPUTED_VALUE"""),"pl-pr")</f>
        <v>pl-pr</v>
      </c>
      <c r="C3799" s="9" t="str">
        <f>IFERROR(__xludf.DUMMYFUNCTION("GOOGLETRANSLATE($A3799,""en"",""de"")"),"Przemyśl")</f>
        <v>Przemyśl</v>
      </c>
      <c r="D3799" s="9" t="str">
        <f>IFERROR(__xludf.DUMMYFUNCTION("GOOGLETRANSLATE($A3799,""en"",""fr"")"),"Przemysl")</f>
        <v>Przemysl</v>
      </c>
      <c r="E3799" s="9" t="str">
        <f>IFERROR(__xludf.DUMMYFUNCTION("GOOGLETRANSLATE($A3799,""en"",""es"")"),"Przemyśl")</f>
        <v>Przemyśl</v>
      </c>
      <c r="F3799" s="9" t="str">
        <f>IFERROR(__xludf.DUMMYFUNCTION("GOOGLETRANSLATE($A3799,""en"",""it"")"),"Przemyśl")</f>
        <v>Przemyśl</v>
      </c>
      <c r="G3799" s="9" t="str">
        <f>IFERROR(__xludf.DUMMYFUNCTION("GOOGLETRANSLATE($A3799,""en"",""zh-cn"")"),"普热梅希尔")</f>
        <v>普热梅希尔</v>
      </c>
      <c r="H3799" s="9" t="str">
        <f>IFERROR(__xludf.DUMMYFUNCTION("GOOGLETRANSLATE($A3799,""en"",""ja"")"),"プシェミシル")</f>
        <v>プシェミシル</v>
      </c>
      <c r="I3799" s="9" t="str">
        <f>IFERROR(__xludf.DUMMYFUNCTION("GOOGLETRANSLATE($A3799,""en"",""ko"")"),"프셰미실")</f>
        <v>프셰미실</v>
      </c>
      <c r="J3799" s="9" t="str">
        <f>IFERROR(__xludf.DUMMYFUNCTION("GOOGLETRANSLATE($A3799,""en"",""pt-BR"")"),"Przemyśl")</f>
        <v>Przemyśl</v>
      </c>
    </row>
    <row r="3800">
      <c r="A3800" s="9" t="str">
        <f>IFERROR(__xludf.DUMMYFUNCTION("""COMPUTED_VALUE"""),"Poznań")</f>
        <v>Poznań</v>
      </c>
      <c r="B3800" s="9" t="str">
        <f>IFERROR(__xludf.DUMMYFUNCTION("""COMPUTED_VALUE"""),"pl-po")</f>
        <v>pl-po</v>
      </c>
      <c r="C3800" s="9" t="str">
        <f>IFERROR(__xludf.DUMMYFUNCTION("GOOGLETRANSLATE($A3800,""en"",""de"")"),"Posen")</f>
        <v>Posen</v>
      </c>
      <c r="D3800" s="9" t="str">
        <f>IFERROR(__xludf.DUMMYFUNCTION("GOOGLETRANSLATE($A3800,""en"",""fr"")"),"Poznan")</f>
        <v>Poznan</v>
      </c>
      <c r="E3800" s="9" t="str">
        <f>IFERROR(__xludf.DUMMYFUNCTION("GOOGLETRANSLATE($A3800,""en"",""es"")"),"Poznan")</f>
        <v>Poznan</v>
      </c>
      <c r="F3800" s="9" t="str">
        <f>IFERROR(__xludf.DUMMYFUNCTION("GOOGLETRANSLATE($A3800,""en"",""it"")"),"Poznań")</f>
        <v>Poznań</v>
      </c>
      <c r="G3800" s="9" t="str">
        <f>IFERROR(__xludf.DUMMYFUNCTION("GOOGLETRANSLATE($A3800,""en"",""zh-cn"")"),"波兹南")</f>
        <v>波兹南</v>
      </c>
      <c r="H3800" s="9" t="str">
        <f>IFERROR(__xludf.DUMMYFUNCTION("GOOGLETRANSLATE($A3800,""en"",""ja"")"),"ポズナン")</f>
        <v>ポズナン</v>
      </c>
      <c r="I3800" s="9" t="str">
        <f>IFERROR(__xludf.DUMMYFUNCTION("GOOGLETRANSLATE($A3800,""en"",""ko"")"),"포즈난")</f>
        <v>포즈난</v>
      </c>
      <c r="J3800" s="9" t="str">
        <f>IFERROR(__xludf.DUMMYFUNCTION("GOOGLETRANSLATE($A3800,""en"",""pt-BR"")"),"Poznań")</f>
        <v>Poznań</v>
      </c>
    </row>
    <row r="3801">
      <c r="A3801" s="9" t="str">
        <f>IFERROR(__xludf.DUMMYFUNCTION("""COMPUTED_VALUE"""),"Płock")</f>
        <v>Płock</v>
      </c>
      <c r="B3801" s="9" t="str">
        <f>IFERROR(__xludf.DUMMYFUNCTION("""COMPUTED_VALUE"""),"pl-pl")</f>
        <v>pl-pl</v>
      </c>
      <c r="C3801" s="9" t="str">
        <f>IFERROR(__xludf.DUMMYFUNCTION("GOOGLETRANSLATE($A3801,""en"",""de"")"),"Płock")</f>
        <v>Płock</v>
      </c>
      <c r="D3801" s="9" t="str">
        <f>IFERROR(__xludf.DUMMYFUNCTION("GOOGLETRANSLATE($A3801,""en"",""fr"")"),"Plock")</f>
        <v>Plock</v>
      </c>
      <c r="E3801" s="9" t="str">
        <f>IFERROR(__xludf.DUMMYFUNCTION("GOOGLETRANSLATE($A3801,""en"",""es"")"),"Plock")</f>
        <v>Plock</v>
      </c>
      <c r="F3801" s="9" t="str">
        <f>IFERROR(__xludf.DUMMYFUNCTION("GOOGLETRANSLATE($A3801,""en"",""it"")"),"Plock")</f>
        <v>Plock</v>
      </c>
      <c r="G3801" s="9" t="str">
        <f>IFERROR(__xludf.DUMMYFUNCTION("GOOGLETRANSLATE($A3801,""en"",""zh-cn"")"),"普沃茨克")</f>
        <v>普沃茨克</v>
      </c>
      <c r="H3801" s="9" t="str">
        <f>IFERROR(__xludf.DUMMYFUNCTION("GOOGLETRANSLATE($A3801,""en"",""ja"")"),"プウォツク")</f>
        <v>プウォツク</v>
      </c>
      <c r="I3801" s="9" t="str">
        <f>IFERROR(__xludf.DUMMYFUNCTION("GOOGLETRANSLATE($A3801,""en"",""ko"")"),"프워츠크")</f>
        <v>프워츠크</v>
      </c>
      <c r="J3801" s="9" t="str">
        <f>IFERROR(__xludf.DUMMYFUNCTION("GOOGLETRANSLATE($A3801,""en"",""pt-BR"")"),"Plock")</f>
        <v>Plock</v>
      </c>
    </row>
    <row r="3802">
      <c r="A3802" s="9" t="str">
        <f>IFERROR(__xludf.DUMMYFUNCTION("""COMPUTED_VALUE"""),"Siedlce")</f>
        <v>Siedlce</v>
      </c>
      <c r="B3802" s="9" t="str">
        <f>IFERROR(__xludf.DUMMYFUNCTION("""COMPUTED_VALUE"""),"pl-se")</f>
        <v>pl-se</v>
      </c>
      <c r="C3802" s="9" t="str">
        <f>IFERROR(__xludf.DUMMYFUNCTION("GOOGLETRANSLATE($A3802,""en"",""de"")"),"Siedlce")</f>
        <v>Siedlce</v>
      </c>
      <c r="D3802" s="9" t="str">
        <f>IFERROR(__xludf.DUMMYFUNCTION("GOOGLETRANSLATE($A3802,""en"",""fr"")"),"Siedlce")</f>
        <v>Siedlce</v>
      </c>
      <c r="E3802" s="9" t="str">
        <f>IFERROR(__xludf.DUMMYFUNCTION("GOOGLETRANSLATE($A3802,""en"",""es"")"),"Siedlce")</f>
        <v>Siedlce</v>
      </c>
      <c r="F3802" s="9" t="str">
        <f>IFERROR(__xludf.DUMMYFUNCTION("GOOGLETRANSLATE($A3802,""en"",""it"")"),"Siedlce")</f>
        <v>Siedlce</v>
      </c>
      <c r="G3802" s="9" t="str">
        <f>IFERROR(__xludf.DUMMYFUNCTION("GOOGLETRANSLATE($A3802,""en"",""zh-cn"")"),"谢德尔采")</f>
        <v>谢德尔采</v>
      </c>
      <c r="H3802" s="9" t="str">
        <f>IFERROR(__xludf.DUMMYFUNCTION("GOOGLETRANSLATE($A3802,""en"",""ja"")"),"シェドルツェ")</f>
        <v>シェドルツェ</v>
      </c>
      <c r="I3802" s="9" t="str">
        <f>IFERROR(__xludf.DUMMYFUNCTION("GOOGLETRANSLATE($A3802,""en"",""ko"")"),"시들체")</f>
        <v>시들체</v>
      </c>
      <c r="J3802" s="9" t="str">
        <f>IFERROR(__xludf.DUMMYFUNCTION("GOOGLETRANSLATE($A3802,""en"",""pt-BR"")"),"Siedlce")</f>
        <v>Siedlce</v>
      </c>
    </row>
    <row r="3803">
      <c r="A3803" s="9" t="str">
        <f>IFERROR(__xludf.DUMMYFUNCTION("""COMPUTED_VALUE"""),"Rzeszów")</f>
        <v>Rzeszów</v>
      </c>
      <c r="B3803" s="9" t="str">
        <f>IFERROR(__xludf.DUMMYFUNCTION("""COMPUTED_VALUE"""),"pl-rz")</f>
        <v>pl-rz</v>
      </c>
      <c r="C3803" s="9" t="str">
        <f>IFERROR(__xludf.DUMMYFUNCTION("GOOGLETRANSLATE($A3803,""en"",""de"")"),"Rzeszów")</f>
        <v>Rzeszów</v>
      </c>
      <c r="D3803" s="9" t="str">
        <f>IFERROR(__xludf.DUMMYFUNCTION("GOOGLETRANSLATE($A3803,""en"",""fr"")"),"Rzeszow")</f>
        <v>Rzeszow</v>
      </c>
      <c r="E3803" s="9" t="str">
        <f>IFERROR(__xludf.DUMMYFUNCTION("GOOGLETRANSLATE($A3803,""en"",""es"")"),"Rzeszów")</f>
        <v>Rzeszów</v>
      </c>
      <c r="F3803" s="9" t="str">
        <f>IFERROR(__xludf.DUMMYFUNCTION("GOOGLETRANSLATE($A3803,""en"",""it"")"),"Rzeszów")</f>
        <v>Rzeszów</v>
      </c>
      <c r="G3803" s="9" t="str">
        <f>IFERROR(__xludf.DUMMYFUNCTION("GOOGLETRANSLATE($A3803,""en"",""zh-cn"")"),"热舒夫")</f>
        <v>热舒夫</v>
      </c>
      <c r="H3803" s="9" t="str">
        <f>IFERROR(__xludf.DUMMYFUNCTION("GOOGLETRANSLATE($A3803,""en"",""ja"")"),"ジェシュフ")</f>
        <v>ジェシュフ</v>
      </c>
      <c r="I3803" s="9" t="str">
        <f>IFERROR(__xludf.DUMMYFUNCTION("GOOGLETRANSLATE($A3803,""en"",""ko"")"),"르제슈프")</f>
        <v>르제슈프</v>
      </c>
      <c r="J3803" s="9" t="str">
        <f>IFERROR(__xludf.DUMMYFUNCTION("GOOGLETRANSLATE($A3803,""en"",""pt-BR"")"),"Rzeszów")</f>
        <v>Rzeszów</v>
      </c>
    </row>
    <row r="3804">
      <c r="A3804" s="9" t="str">
        <f>IFERROR(__xludf.DUMMYFUNCTION("""COMPUTED_VALUE"""),"Radom")</f>
        <v>Radom</v>
      </c>
      <c r="B3804" s="9" t="str">
        <f>IFERROR(__xludf.DUMMYFUNCTION("""COMPUTED_VALUE"""),"pl-ra")</f>
        <v>pl-ra</v>
      </c>
      <c r="C3804" s="9" t="str">
        <f>IFERROR(__xludf.DUMMYFUNCTION("GOOGLETRANSLATE($A3804,""en"",""de"")"),"Radom")</f>
        <v>Radom</v>
      </c>
      <c r="D3804" s="9" t="str">
        <f>IFERROR(__xludf.DUMMYFUNCTION("GOOGLETRANSLATE($A3804,""en"",""fr"")"),"Radom")</f>
        <v>Radom</v>
      </c>
      <c r="E3804" s="9" t="str">
        <f>IFERROR(__xludf.DUMMYFUNCTION("GOOGLETRANSLATE($A3804,""en"",""es"")"),"Radom")</f>
        <v>Radom</v>
      </c>
      <c r="F3804" s="9" t="str">
        <f>IFERROR(__xludf.DUMMYFUNCTION("GOOGLETRANSLATE($A3804,""en"",""it"")"),"Radom")</f>
        <v>Radom</v>
      </c>
      <c r="G3804" s="9" t="str">
        <f>IFERROR(__xludf.DUMMYFUNCTION("GOOGLETRANSLATE($A3804,""en"",""zh-cn"")"),"拉多姆")</f>
        <v>拉多姆</v>
      </c>
      <c r="H3804" s="9" t="str">
        <f>IFERROR(__xludf.DUMMYFUNCTION("GOOGLETRANSLATE($A3804,""en"",""ja"")"),"ラドム")</f>
        <v>ラドム</v>
      </c>
      <c r="I3804" s="9" t="str">
        <f>IFERROR(__xludf.DUMMYFUNCTION("GOOGLETRANSLATE($A3804,""en"",""ko"")"),"라돔")</f>
        <v>라돔</v>
      </c>
      <c r="J3804" s="9" t="str">
        <f>IFERROR(__xludf.DUMMYFUNCTION("GOOGLETRANSLATE($A3804,""en"",""pt-BR"")"),"Radom")</f>
        <v>Radom</v>
      </c>
    </row>
    <row r="3805">
      <c r="A3805" s="9" t="str">
        <f>IFERROR(__xludf.DUMMYFUNCTION("""COMPUTED_VALUE"""),"Piotrków")</f>
        <v>Piotrków</v>
      </c>
      <c r="B3805" s="9" t="str">
        <f>IFERROR(__xludf.DUMMYFUNCTION("""COMPUTED_VALUE"""),"pl-pt")</f>
        <v>pl-pt</v>
      </c>
      <c r="C3805" s="9" t="str">
        <f>IFERROR(__xludf.DUMMYFUNCTION("GOOGLETRANSLATE($A3805,""en"",""de"")"),"Piotrków")</f>
        <v>Piotrków</v>
      </c>
      <c r="D3805" s="9" t="str">
        <f>IFERROR(__xludf.DUMMYFUNCTION("GOOGLETRANSLATE($A3805,""en"",""fr"")"),"Piotrków")</f>
        <v>Piotrków</v>
      </c>
      <c r="E3805" s="9" t="str">
        <f>IFERROR(__xludf.DUMMYFUNCTION("GOOGLETRANSLATE($A3805,""en"",""es"")"),"Piotrków")</f>
        <v>Piotrków</v>
      </c>
      <c r="F3805" s="9" t="str">
        <f>IFERROR(__xludf.DUMMYFUNCTION("GOOGLETRANSLATE($A3805,""en"",""it"")"),"Piotrków")</f>
        <v>Piotrków</v>
      </c>
      <c r="G3805" s="9" t="str">
        <f>IFERROR(__xludf.DUMMYFUNCTION("GOOGLETRANSLATE($A3805,""en"",""zh-cn"")"),"皮奥特库夫")</f>
        <v>皮奥特库夫</v>
      </c>
      <c r="H3805" s="9" t="str">
        <f>IFERROR(__xludf.DUMMYFUNCTION("GOOGLETRANSLATE($A3805,""en"",""ja"")"),"ピョトクフ")</f>
        <v>ピョトクフ</v>
      </c>
      <c r="I3805" s="9" t="str">
        <f>IFERROR(__xludf.DUMMYFUNCTION("GOOGLETRANSLATE($A3805,""en"",""ko"")"),"피오트르쿠프")</f>
        <v>피오트르쿠프</v>
      </c>
      <c r="J3805" s="9" t="str">
        <f>IFERROR(__xludf.DUMMYFUNCTION("GOOGLETRANSLATE($A3805,""en"",""pt-BR"")"),"Piotrków")</f>
        <v>Piotrków</v>
      </c>
    </row>
    <row r="3806">
      <c r="A3806" s="9" t="str">
        <f>IFERROR(__xludf.DUMMYFUNCTION("""COMPUTED_VALUE"""),"Suwałki")</f>
        <v>Suwałki</v>
      </c>
      <c r="B3806" s="9" t="str">
        <f>IFERROR(__xludf.DUMMYFUNCTION("""COMPUTED_VALUE"""),"pl-su")</f>
        <v>pl-su</v>
      </c>
      <c r="C3806" s="9" t="str">
        <f>IFERROR(__xludf.DUMMYFUNCTION("GOOGLETRANSLATE($A3806,""en"",""de"")"),"Suwałki")</f>
        <v>Suwałki</v>
      </c>
      <c r="D3806" s="9" t="str">
        <f>IFERROR(__xludf.DUMMYFUNCTION("GOOGLETRANSLATE($A3806,""en"",""fr"")"),"Suwalki")</f>
        <v>Suwalki</v>
      </c>
      <c r="E3806" s="9" t="str">
        <f>IFERROR(__xludf.DUMMYFUNCTION("GOOGLETRANSLATE($A3806,""en"",""es"")"),"Suwałki")</f>
        <v>Suwałki</v>
      </c>
      <c r="F3806" s="9" t="str">
        <f>IFERROR(__xludf.DUMMYFUNCTION("GOOGLETRANSLATE($A3806,""en"",""it"")"),"Suwalki")</f>
        <v>Suwalki</v>
      </c>
      <c r="G3806" s="9" t="str">
        <f>IFERROR(__xludf.DUMMYFUNCTION("GOOGLETRANSLATE($A3806,""en"",""zh-cn"")"),"苏瓦乌基")</f>
        <v>苏瓦乌基</v>
      </c>
      <c r="H3806" s="9" t="str">
        <f>IFERROR(__xludf.DUMMYFUNCTION("GOOGLETRANSLATE($A3806,""en"",""ja"")"),"スヴァウキ")</f>
        <v>スヴァウキ</v>
      </c>
      <c r="I3806" s="9" t="str">
        <f>IFERROR(__xludf.DUMMYFUNCTION("GOOGLETRANSLATE($A3806,""en"",""ko"")"),"수바우키")</f>
        <v>수바우키</v>
      </c>
      <c r="J3806" s="9" t="str">
        <f>IFERROR(__xludf.DUMMYFUNCTION("GOOGLETRANSLATE($A3806,""en"",""pt-BR"")"),"Suwałki")</f>
        <v>Suwałki</v>
      </c>
    </row>
    <row r="3807">
      <c r="A3807" s="9" t="str">
        <f>IFERROR(__xludf.DUMMYFUNCTION("""COMPUTED_VALUE"""),"Sieradz")</f>
        <v>Sieradz</v>
      </c>
      <c r="B3807" s="9" t="str">
        <f>IFERROR(__xludf.DUMMYFUNCTION("""COMPUTED_VALUE"""),"pl-si")</f>
        <v>pl-si</v>
      </c>
      <c r="C3807" s="9" t="str">
        <f>IFERROR(__xludf.DUMMYFUNCTION("GOOGLETRANSLATE($A3807,""en"",""de"")"),"Sieradz")</f>
        <v>Sieradz</v>
      </c>
      <c r="D3807" s="9" t="str">
        <f>IFERROR(__xludf.DUMMYFUNCTION("GOOGLETRANSLATE($A3807,""en"",""fr"")"),"Sieradz")</f>
        <v>Sieradz</v>
      </c>
      <c r="E3807" s="9" t="str">
        <f>IFERROR(__xludf.DUMMYFUNCTION("GOOGLETRANSLATE($A3807,""en"",""es"")"),"Sieradz")</f>
        <v>Sieradz</v>
      </c>
      <c r="F3807" s="9" t="str">
        <f>IFERROR(__xludf.DUMMYFUNCTION("GOOGLETRANSLATE($A3807,""en"",""it"")"),"Sieradz")</f>
        <v>Sieradz</v>
      </c>
      <c r="G3807" s="9" t="str">
        <f>IFERROR(__xludf.DUMMYFUNCTION("GOOGLETRANSLATE($A3807,""en"",""zh-cn"")"),"谢拉兹")</f>
        <v>谢拉兹</v>
      </c>
      <c r="H3807" s="9" t="str">
        <f>IFERROR(__xludf.DUMMYFUNCTION("GOOGLETRANSLATE($A3807,""en"",""ja"")"),"シェラズ")</f>
        <v>シェラズ</v>
      </c>
      <c r="I3807" s="9" t="str">
        <f>IFERROR(__xludf.DUMMYFUNCTION("GOOGLETRANSLATE($A3807,""en"",""ko"")"),"시에라츠")</f>
        <v>시에라츠</v>
      </c>
      <c r="J3807" s="9" t="str">
        <f>IFERROR(__xludf.DUMMYFUNCTION("GOOGLETRANSLATE($A3807,""en"",""pt-BR"")"),"Sieradz")</f>
        <v>Sieradz</v>
      </c>
    </row>
    <row r="3808">
      <c r="A3808" s="9" t="str">
        <f>IFERROR(__xludf.DUMMYFUNCTION("""COMPUTED_VALUE"""),"Olsztyn")</f>
        <v>Olsztyn</v>
      </c>
      <c r="B3808" s="9" t="str">
        <f>IFERROR(__xludf.DUMMYFUNCTION("""COMPUTED_VALUE"""),"pl-ol")</f>
        <v>pl-ol</v>
      </c>
      <c r="C3808" s="9" t="str">
        <f>IFERROR(__xludf.DUMMYFUNCTION("GOOGLETRANSLATE($A3808,""en"",""de"")"),"Allenstein")</f>
        <v>Allenstein</v>
      </c>
      <c r="D3808" s="9" t="str">
        <f>IFERROR(__xludf.DUMMYFUNCTION("GOOGLETRANSLATE($A3808,""en"",""fr"")"),"Olsztyn")</f>
        <v>Olsztyn</v>
      </c>
      <c r="E3808" s="9" t="str">
        <f>IFERROR(__xludf.DUMMYFUNCTION("GOOGLETRANSLATE($A3808,""en"",""es"")"),"Olsztyn")</f>
        <v>Olsztyn</v>
      </c>
      <c r="F3808" s="9" t="str">
        <f>IFERROR(__xludf.DUMMYFUNCTION("GOOGLETRANSLATE($A3808,""en"",""it"")"),"Olsztyn")</f>
        <v>Olsztyn</v>
      </c>
      <c r="G3808" s="9" t="str">
        <f>IFERROR(__xludf.DUMMYFUNCTION("GOOGLETRANSLATE($A3808,""en"",""zh-cn"")"),"奥尔什丁")</f>
        <v>奥尔什丁</v>
      </c>
      <c r="H3808" s="9" t="str">
        <f>IFERROR(__xludf.DUMMYFUNCTION("GOOGLETRANSLATE($A3808,""en"",""ja"")"),"オルシュティン")</f>
        <v>オルシュティン</v>
      </c>
      <c r="I3808" s="9" t="str">
        <f>IFERROR(__xludf.DUMMYFUNCTION("GOOGLETRANSLATE($A3808,""en"",""ko"")"),"올슈틴")</f>
        <v>올슈틴</v>
      </c>
      <c r="J3808" s="9" t="str">
        <f>IFERROR(__xludf.DUMMYFUNCTION("GOOGLETRANSLATE($A3808,""en"",""pt-BR"")"),"Olsztyn")</f>
        <v>Olsztyn</v>
      </c>
    </row>
    <row r="3809">
      <c r="A3809" s="9" t="str">
        <f>IFERROR(__xludf.DUMMYFUNCTION("""COMPUTED_VALUE"""),"Nowy Sącz")</f>
        <v>Nowy Sącz</v>
      </c>
      <c r="B3809" s="9" t="str">
        <f>IFERROR(__xludf.DUMMYFUNCTION("""COMPUTED_VALUE"""),"pl-ns")</f>
        <v>pl-ns</v>
      </c>
      <c r="C3809" s="9" t="str">
        <f>IFERROR(__xludf.DUMMYFUNCTION("GOOGLETRANSLATE($A3809,""en"",""de"")"),"Nowy Sącz")</f>
        <v>Nowy Sącz</v>
      </c>
      <c r="D3809" s="9" t="str">
        <f>IFERROR(__xludf.DUMMYFUNCTION("GOOGLETRANSLATE($A3809,""en"",""fr"")"),"Nowy Sącz")</f>
        <v>Nowy Sącz</v>
      </c>
      <c r="E3809" s="9" t="str">
        <f>IFERROR(__xludf.DUMMYFUNCTION("GOOGLETRANSLATE($A3809,""en"",""es"")"),"Nowy Sącz")</f>
        <v>Nowy Sącz</v>
      </c>
      <c r="F3809" s="9" t="str">
        <f>IFERROR(__xludf.DUMMYFUNCTION("GOOGLETRANSLATE($A3809,""en"",""it"")"),"Nowy Sącz")</f>
        <v>Nowy Sącz</v>
      </c>
      <c r="G3809" s="9" t="str">
        <f>IFERROR(__xludf.DUMMYFUNCTION("GOOGLETRANSLATE($A3809,""en"",""zh-cn"")"),"新松奇")</f>
        <v>新松奇</v>
      </c>
      <c r="H3809" s="9" t="str">
        <f>IFERROR(__xludf.DUMMYFUNCTION("GOOGLETRANSLATE($A3809,""en"",""ja"")"),"ノヴィ・ソンチ")</f>
        <v>ノヴィ・ソンチ</v>
      </c>
      <c r="I3809" s="9" t="str">
        <f>IFERROR(__xludf.DUMMYFUNCTION("GOOGLETRANSLATE($A3809,""en"",""ko"")"),"노비 송치")</f>
        <v>노비 송치</v>
      </c>
      <c r="J3809" s="9" t="str">
        <f>IFERROR(__xludf.DUMMYFUNCTION("GOOGLETRANSLATE($A3809,""en"",""pt-BR"")"),"Nowy Sącz")</f>
        <v>Nowy Sącz</v>
      </c>
    </row>
    <row r="3810">
      <c r="A3810" s="9" t="str">
        <f>IFERROR(__xludf.DUMMYFUNCTION("""COMPUTED_VALUE"""),"Kalisz")</f>
        <v>Kalisz</v>
      </c>
      <c r="B3810" s="9" t="str">
        <f>IFERROR(__xludf.DUMMYFUNCTION("""COMPUTED_VALUE"""),"pl-kl")</f>
        <v>pl-kl</v>
      </c>
      <c r="C3810" s="9" t="str">
        <f>IFERROR(__xludf.DUMMYFUNCTION("GOOGLETRANSLATE($A3810,""en"",""de"")"),"Kalisz")</f>
        <v>Kalisz</v>
      </c>
      <c r="D3810" s="9" t="str">
        <f>IFERROR(__xludf.DUMMYFUNCTION("GOOGLETRANSLATE($A3810,""en"",""fr"")"),"Kalisz")</f>
        <v>Kalisz</v>
      </c>
      <c r="E3810" s="9" t="str">
        <f>IFERROR(__xludf.DUMMYFUNCTION("GOOGLETRANSLATE($A3810,""en"",""es"")"),"Kalisz")</f>
        <v>Kalisz</v>
      </c>
      <c r="F3810" s="9" t="str">
        <f>IFERROR(__xludf.DUMMYFUNCTION("GOOGLETRANSLATE($A3810,""en"",""it"")"),"Kalisz")</f>
        <v>Kalisz</v>
      </c>
      <c r="G3810" s="9" t="str">
        <f>IFERROR(__xludf.DUMMYFUNCTION("GOOGLETRANSLATE($A3810,""en"",""zh-cn"")"),"卡利什")</f>
        <v>卡利什</v>
      </c>
      <c r="H3810" s="9" t="str">
        <f>IFERROR(__xludf.DUMMYFUNCTION("GOOGLETRANSLATE($A3810,""en"",""ja"")"),"カリシュ")</f>
        <v>カリシュ</v>
      </c>
      <c r="I3810" s="9" t="str">
        <f>IFERROR(__xludf.DUMMYFUNCTION("GOOGLETRANSLATE($A3810,""en"",""ko"")"),"칼리슈")</f>
        <v>칼리슈</v>
      </c>
      <c r="J3810" s="9" t="str">
        <f>IFERROR(__xludf.DUMMYFUNCTION("GOOGLETRANSLATE($A3810,""en"",""pt-BR"")"),"Kalisz")</f>
        <v>Kalisz</v>
      </c>
    </row>
    <row r="3811">
      <c r="A3811" s="9" t="str">
        <f>IFERROR(__xludf.DUMMYFUNCTION("""COMPUTED_VALUE"""),"Kielce")</f>
        <v>Kielce</v>
      </c>
      <c r="B3811" s="9" t="str">
        <f>IFERROR(__xludf.DUMMYFUNCTION("""COMPUTED_VALUE"""),"pl-ki")</f>
        <v>pl-ki</v>
      </c>
      <c r="C3811" s="9" t="str">
        <f>IFERROR(__xludf.DUMMYFUNCTION("GOOGLETRANSLATE($A3811,""en"",""de"")"),"Kielce")</f>
        <v>Kielce</v>
      </c>
      <c r="D3811" s="9" t="str">
        <f>IFERROR(__xludf.DUMMYFUNCTION("GOOGLETRANSLATE($A3811,""en"",""fr"")"),"Kielce")</f>
        <v>Kielce</v>
      </c>
      <c r="E3811" s="9" t="str">
        <f>IFERROR(__xludf.DUMMYFUNCTION("GOOGLETRANSLATE($A3811,""en"",""es"")"),"Kielce")</f>
        <v>Kielce</v>
      </c>
      <c r="F3811" s="9" t="str">
        <f>IFERROR(__xludf.DUMMYFUNCTION("GOOGLETRANSLATE($A3811,""en"",""it"")"),"Kielce")</f>
        <v>Kielce</v>
      </c>
      <c r="G3811" s="9" t="str">
        <f>IFERROR(__xludf.DUMMYFUNCTION("GOOGLETRANSLATE($A3811,""en"",""zh-cn"")"),"凯尔采")</f>
        <v>凯尔采</v>
      </c>
      <c r="H3811" s="9" t="str">
        <f>IFERROR(__xludf.DUMMYFUNCTION("GOOGLETRANSLATE($A3811,""en"",""ja"")"),"キェルツェ")</f>
        <v>キェルツェ</v>
      </c>
      <c r="I3811" s="9" t="str">
        <f>IFERROR(__xludf.DUMMYFUNCTION("GOOGLETRANSLATE($A3811,""en"",""ko"")"),"키엘체")</f>
        <v>키엘체</v>
      </c>
      <c r="J3811" s="9" t="str">
        <f>IFERROR(__xludf.DUMMYFUNCTION("GOOGLETRANSLATE($A3811,""en"",""pt-BR"")"),"Kielce")</f>
        <v>Kielce</v>
      </c>
    </row>
    <row r="3812">
      <c r="A3812" s="9" t="str">
        <f>IFERROR(__xludf.DUMMYFUNCTION("""COMPUTED_VALUE"""),"Katowice")</f>
        <v>Katowice</v>
      </c>
      <c r="B3812" s="9" t="str">
        <f>IFERROR(__xludf.DUMMYFUNCTION("""COMPUTED_VALUE"""),"pl-ka")</f>
        <v>pl-ka</v>
      </c>
      <c r="C3812" s="9" t="str">
        <f>IFERROR(__xludf.DUMMYFUNCTION("GOOGLETRANSLATE($A3812,""en"",""de"")"),"Kattowitz")</f>
        <v>Kattowitz</v>
      </c>
      <c r="D3812" s="9" t="str">
        <f>IFERROR(__xludf.DUMMYFUNCTION("GOOGLETRANSLATE($A3812,""en"",""fr"")"),"Katowice")</f>
        <v>Katowice</v>
      </c>
      <c r="E3812" s="9" t="str">
        <f>IFERROR(__xludf.DUMMYFUNCTION("GOOGLETRANSLATE($A3812,""en"",""es"")"),"Katowice")</f>
        <v>Katowice</v>
      </c>
      <c r="F3812" s="9" t="str">
        <f>IFERROR(__xludf.DUMMYFUNCTION("GOOGLETRANSLATE($A3812,""en"",""it"")"),"Katowice")</f>
        <v>Katowice</v>
      </c>
      <c r="G3812" s="9" t="str">
        <f>IFERROR(__xludf.DUMMYFUNCTION("GOOGLETRANSLATE($A3812,""en"",""zh-cn"")"),"卡托维兹")</f>
        <v>卡托维兹</v>
      </c>
      <c r="H3812" s="9" t="str">
        <f>IFERROR(__xludf.DUMMYFUNCTION("GOOGLETRANSLATE($A3812,""en"",""ja"")"),"カトヴィツェ")</f>
        <v>カトヴィツェ</v>
      </c>
      <c r="I3812" s="9" t="str">
        <f>IFERROR(__xludf.DUMMYFUNCTION("GOOGLETRANSLATE($A3812,""en"",""ko"")"),"카토비체")</f>
        <v>카토비체</v>
      </c>
      <c r="J3812" s="9" t="str">
        <f>IFERROR(__xludf.DUMMYFUNCTION("GOOGLETRANSLATE($A3812,""en"",""pt-BR"")"),"Katowice")</f>
        <v>Katowice</v>
      </c>
    </row>
    <row r="3813">
      <c r="A3813" s="9" t="str">
        <f>IFERROR(__xludf.DUMMYFUNCTION("""COMPUTED_VALUE"""),"Jelenia Góra")</f>
        <v>Jelenia Góra</v>
      </c>
      <c r="B3813" s="9" t="str">
        <f>IFERROR(__xludf.DUMMYFUNCTION("""COMPUTED_VALUE"""),"pl-jg")</f>
        <v>pl-jg</v>
      </c>
      <c r="C3813" s="9" t="str">
        <f>IFERROR(__xludf.DUMMYFUNCTION("GOOGLETRANSLATE($A3813,""en"",""de"")"),"Jelenia Góra")</f>
        <v>Jelenia Góra</v>
      </c>
      <c r="D3813" s="9" t="str">
        <f>IFERROR(__xludf.DUMMYFUNCTION("GOOGLETRANSLATE($A3813,""en"",""fr"")"),"Jelenia Gora")</f>
        <v>Jelenia Gora</v>
      </c>
      <c r="E3813" s="9" t="str">
        <f>IFERROR(__xludf.DUMMYFUNCTION("GOOGLETRANSLATE($A3813,""en"",""es"")"),"Jelenia Góra")</f>
        <v>Jelenia Góra</v>
      </c>
      <c r="F3813" s="9" t="str">
        <f>IFERROR(__xludf.DUMMYFUNCTION("GOOGLETRANSLATE($A3813,""en"",""it"")"),"Jelenia Gora")</f>
        <v>Jelenia Gora</v>
      </c>
      <c r="G3813" s="9" t="str">
        <f>IFERROR(__xludf.DUMMYFUNCTION("GOOGLETRANSLATE($A3813,""en"",""zh-cn"")"),"耶莱尼娅·古拉")</f>
        <v>耶莱尼娅·古拉</v>
      </c>
      <c r="H3813" s="9" t="str">
        <f>IFERROR(__xludf.DUMMYFUNCTION("GOOGLETRANSLATE($A3813,""en"",""ja"")"),"エレニア・グーラ")</f>
        <v>エレニア・グーラ</v>
      </c>
      <c r="I3813" s="9" t="str">
        <f>IFERROR(__xludf.DUMMYFUNCTION("GOOGLETRANSLATE($A3813,""en"",""ko"")"),"옐레니아 고라")</f>
        <v>옐레니아 고라</v>
      </c>
      <c r="J3813" s="9" t="str">
        <f>IFERROR(__xludf.DUMMYFUNCTION("GOOGLETRANSLATE($A3813,""en"",""pt-BR"")"),"Jelenia Góra")</f>
        <v>Jelenia Góra</v>
      </c>
    </row>
    <row r="3814">
      <c r="A3814" s="9" t="str">
        <f>IFERROR(__xludf.DUMMYFUNCTION("""COMPUTED_VALUE"""),"Kraków")</f>
        <v>Kraków</v>
      </c>
      <c r="B3814" s="9" t="str">
        <f>IFERROR(__xludf.DUMMYFUNCTION("""COMPUTED_VALUE"""),"pl-kr")</f>
        <v>pl-kr</v>
      </c>
      <c r="C3814" s="9" t="str">
        <f>IFERROR(__xludf.DUMMYFUNCTION("GOOGLETRANSLATE($A3814,""en"",""de"")"),"Krakau")</f>
        <v>Krakau</v>
      </c>
      <c r="D3814" s="9" t="str">
        <f>IFERROR(__xludf.DUMMYFUNCTION("GOOGLETRANSLATE($A3814,""en"",""fr"")"),"Cracovie")</f>
        <v>Cracovie</v>
      </c>
      <c r="E3814" s="9" t="str">
        <f>IFERROR(__xludf.DUMMYFUNCTION("GOOGLETRANSLATE($A3814,""en"",""es"")"),"Cracovia")</f>
        <v>Cracovia</v>
      </c>
      <c r="F3814" s="9" t="str">
        <f>IFERROR(__xludf.DUMMYFUNCTION("GOOGLETRANSLATE($A3814,""en"",""it"")"),"Cracovia")</f>
        <v>Cracovia</v>
      </c>
      <c r="G3814" s="9" t="str">
        <f>IFERROR(__xludf.DUMMYFUNCTION("GOOGLETRANSLATE($A3814,""en"",""zh-cn"")"),"克拉科夫")</f>
        <v>克拉科夫</v>
      </c>
      <c r="H3814" s="9" t="str">
        <f>IFERROR(__xludf.DUMMYFUNCTION("GOOGLETRANSLATE($A3814,""en"",""ja"")"),"クラクフ")</f>
        <v>クラクフ</v>
      </c>
      <c r="I3814" s="9" t="str">
        <f>IFERROR(__xludf.DUMMYFUNCTION("GOOGLETRANSLATE($A3814,""en"",""ko"")"),"크라쿠프")</f>
        <v>크라쿠프</v>
      </c>
      <c r="J3814" s="9" t="str">
        <f>IFERROR(__xludf.DUMMYFUNCTION("GOOGLETRANSLATE($A3814,""en"",""pt-BR"")"),"Cracóvia")</f>
        <v>Cracóvia</v>
      </c>
    </row>
    <row r="3815">
      <c r="A3815" s="9" t="str">
        <f>IFERROR(__xludf.DUMMYFUNCTION("""COMPUTED_VALUE"""),"Koszalin")</f>
        <v>Koszalin</v>
      </c>
      <c r="B3815" s="9" t="str">
        <f>IFERROR(__xludf.DUMMYFUNCTION("""COMPUTED_VALUE"""),"pl-ko")</f>
        <v>pl-ko</v>
      </c>
      <c r="C3815" s="9" t="str">
        <f>IFERROR(__xludf.DUMMYFUNCTION("GOOGLETRANSLATE($A3815,""en"",""de"")"),"Koszalin")</f>
        <v>Koszalin</v>
      </c>
      <c r="D3815" s="9" t="str">
        <f>IFERROR(__xludf.DUMMYFUNCTION("GOOGLETRANSLATE($A3815,""en"",""fr"")"),"Koszaline")</f>
        <v>Koszaline</v>
      </c>
      <c r="E3815" s="9" t="str">
        <f>IFERROR(__xludf.DUMMYFUNCTION("GOOGLETRANSLATE($A3815,""en"",""es"")"),"Koszalín")</f>
        <v>Koszalín</v>
      </c>
      <c r="F3815" s="9" t="str">
        <f>IFERROR(__xludf.DUMMYFUNCTION("GOOGLETRANSLATE($A3815,""en"",""it"")"),"Koszalin")</f>
        <v>Koszalin</v>
      </c>
      <c r="G3815" s="9" t="str">
        <f>IFERROR(__xludf.DUMMYFUNCTION("GOOGLETRANSLATE($A3815,""en"",""zh-cn"")"),"科沙林")</f>
        <v>科沙林</v>
      </c>
      <c r="H3815" s="9" t="str">
        <f>IFERROR(__xludf.DUMMYFUNCTION("GOOGLETRANSLATE($A3815,""en"",""ja"")"),"コシャリン")</f>
        <v>コシャリン</v>
      </c>
      <c r="I3815" s="9" t="str">
        <f>IFERROR(__xludf.DUMMYFUNCTION("GOOGLETRANSLATE($A3815,""en"",""ko"")"),"코잘린")</f>
        <v>코잘린</v>
      </c>
      <c r="J3815" s="9" t="str">
        <f>IFERROR(__xludf.DUMMYFUNCTION("GOOGLETRANSLATE($A3815,""en"",""pt-BR"")"),"Koszalin")</f>
        <v>Koszalin</v>
      </c>
    </row>
    <row r="3816">
      <c r="A3816" s="9" t="str">
        <f>IFERROR(__xludf.DUMMYFUNCTION("""COMPUTED_VALUE"""),"Konin")</f>
        <v>Konin</v>
      </c>
      <c r="B3816" s="9" t="str">
        <f>IFERROR(__xludf.DUMMYFUNCTION("""COMPUTED_VALUE"""),"pl-kn")</f>
        <v>pl-kn</v>
      </c>
      <c r="C3816" s="9" t="str">
        <f>IFERROR(__xludf.DUMMYFUNCTION("GOOGLETRANSLATE($A3816,""en"",""de"")"),"Konin")</f>
        <v>Konin</v>
      </c>
      <c r="D3816" s="9" t="str">
        <f>IFERROR(__xludf.DUMMYFUNCTION("GOOGLETRANSLATE($A3816,""en"",""fr"")"),"Konin")</f>
        <v>Konin</v>
      </c>
      <c r="E3816" s="9" t="str">
        <f>IFERROR(__xludf.DUMMYFUNCTION("GOOGLETRANSLATE($A3816,""en"",""es"")"),"Konin")</f>
        <v>Konin</v>
      </c>
      <c r="F3816" s="9" t="str">
        <f>IFERROR(__xludf.DUMMYFUNCTION("GOOGLETRANSLATE($A3816,""en"",""it"")"),"Konin")</f>
        <v>Konin</v>
      </c>
      <c r="G3816" s="9" t="str">
        <f>IFERROR(__xludf.DUMMYFUNCTION("GOOGLETRANSLATE($A3816,""en"",""zh-cn"")"),"科宁")</f>
        <v>科宁</v>
      </c>
      <c r="H3816" s="9" t="str">
        <f>IFERROR(__xludf.DUMMYFUNCTION("GOOGLETRANSLATE($A3816,""en"",""ja"")"),"弘忍")</f>
        <v>弘忍</v>
      </c>
      <c r="I3816" s="9" t="str">
        <f>IFERROR(__xludf.DUMMYFUNCTION("GOOGLETRANSLATE($A3816,""en"",""ko"")"),"코닌")</f>
        <v>코닌</v>
      </c>
      <c r="J3816" s="9" t="str">
        <f>IFERROR(__xludf.DUMMYFUNCTION("GOOGLETRANSLATE($A3816,""en"",""pt-BR"")"),"Konin")</f>
        <v>Konin</v>
      </c>
    </row>
    <row r="3817">
      <c r="A3817" s="9" t="str">
        <f>IFERROR(__xludf.DUMMYFUNCTION("""COMPUTED_VALUE"""),"Leszno")</f>
        <v>Leszno</v>
      </c>
      <c r="B3817" s="9" t="str">
        <f>IFERROR(__xludf.DUMMYFUNCTION("""COMPUTED_VALUE"""),"pl-le")</f>
        <v>pl-le</v>
      </c>
      <c r="C3817" s="9" t="str">
        <f>IFERROR(__xludf.DUMMYFUNCTION("GOOGLETRANSLATE($A3817,""en"",""de"")"),"Leszno")</f>
        <v>Leszno</v>
      </c>
      <c r="D3817" s="9" t="str">
        <f>IFERROR(__xludf.DUMMYFUNCTION("GOOGLETRANSLATE($A3817,""en"",""fr"")"),"Leszno")</f>
        <v>Leszno</v>
      </c>
      <c r="E3817" s="9" t="str">
        <f>IFERROR(__xludf.DUMMYFUNCTION("GOOGLETRANSLATE($A3817,""en"",""es"")"),"Leszno")</f>
        <v>Leszno</v>
      </c>
      <c r="F3817" s="9" t="str">
        <f>IFERROR(__xludf.DUMMYFUNCTION("GOOGLETRANSLATE($A3817,""en"",""it"")"),"Leszno")</f>
        <v>Leszno</v>
      </c>
      <c r="G3817" s="9" t="str">
        <f>IFERROR(__xludf.DUMMYFUNCTION("GOOGLETRANSLATE($A3817,""en"",""zh-cn"")"),"莱什诺")</f>
        <v>莱什诺</v>
      </c>
      <c r="H3817" s="9" t="str">
        <f>IFERROR(__xludf.DUMMYFUNCTION("GOOGLETRANSLATE($A3817,""en"",""ja"")"),"レシュノ")</f>
        <v>レシュノ</v>
      </c>
      <c r="I3817" s="9" t="str">
        <f>IFERROR(__xludf.DUMMYFUNCTION("GOOGLETRANSLATE($A3817,""en"",""ko"")"),"레즈노")</f>
        <v>레즈노</v>
      </c>
      <c r="J3817" s="9" t="str">
        <f>IFERROR(__xludf.DUMMYFUNCTION("GOOGLETRANSLATE($A3817,""en"",""pt-BR"")"),"Leszno")</f>
        <v>Leszno</v>
      </c>
    </row>
    <row r="3818">
      <c r="A3818" s="9" t="str">
        <f>IFERROR(__xludf.DUMMYFUNCTION("""COMPUTED_VALUE"""),"Krosno")</f>
        <v>Krosno</v>
      </c>
      <c r="B3818" s="9" t="str">
        <f>IFERROR(__xludf.DUMMYFUNCTION("""COMPUTED_VALUE"""),"pl-ks")</f>
        <v>pl-ks</v>
      </c>
      <c r="C3818" s="9" t="str">
        <f>IFERROR(__xludf.DUMMYFUNCTION("GOOGLETRANSLATE($A3818,""en"",""de"")"),"Krosno")</f>
        <v>Krosno</v>
      </c>
      <c r="D3818" s="9" t="str">
        <f>IFERROR(__xludf.DUMMYFUNCTION("GOOGLETRANSLATE($A3818,""en"",""fr"")"),"Krosno")</f>
        <v>Krosno</v>
      </c>
      <c r="E3818" s="9" t="str">
        <f>IFERROR(__xludf.DUMMYFUNCTION("GOOGLETRANSLATE($A3818,""en"",""es"")"),"Krosno")</f>
        <v>Krosno</v>
      </c>
      <c r="F3818" s="9" t="str">
        <f>IFERROR(__xludf.DUMMYFUNCTION("GOOGLETRANSLATE($A3818,""en"",""it"")"),"Krosno")</f>
        <v>Krosno</v>
      </c>
      <c r="G3818" s="9" t="str">
        <f>IFERROR(__xludf.DUMMYFUNCTION("GOOGLETRANSLATE($A3818,""en"",""zh-cn"")"),"克罗斯诺")</f>
        <v>克罗斯诺</v>
      </c>
      <c r="H3818" s="9" t="str">
        <f>IFERROR(__xludf.DUMMYFUNCTION("GOOGLETRANSLATE($A3818,""en"",""ja"")"),"クロスノ")</f>
        <v>クロスノ</v>
      </c>
      <c r="I3818" s="9" t="str">
        <f>IFERROR(__xludf.DUMMYFUNCTION("GOOGLETRANSLATE($A3818,""en"",""ko"")"),"크로스노")</f>
        <v>크로스노</v>
      </c>
      <c r="J3818" s="9" t="str">
        <f>IFERROR(__xludf.DUMMYFUNCTION("GOOGLETRANSLATE($A3818,""en"",""pt-BR"")"),"Crosno")</f>
        <v>Crosno</v>
      </c>
    </row>
    <row r="3819">
      <c r="A3819" s="9" t="str">
        <f>IFERROR(__xludf.DUMMYFUNCTION("""COMPUTED_VALUE"""),"Łomża")</f>
        <v>Łomża</v>
      </c>
      <c r="B3819" s="9" t="str">
        <f>IFERROR(__xludf.DUMMYFUNCTION("""COMPUTED_VALUE"""),"pl-lo")</f>
        <v>pl-lo</v>
      </c>
      <c r="C3819" s="9" t="str">
        <f>IFERROR(__xludf.DUMMYFUNCTION("GOOGLETRANSLATE($A3819,""en"",""de"")"),"Łomża")</f>
        <v>Łomża</v>
      </c>
      <c r="D3819" s="9" t="str">
        <f>IFERROR(__xludf.DUMMYFUNCTION("GOOGLETRANSLATE($A3819,""en"",""fr"")"),"Łomza")</f>
        <v>Łomza</v>
      </c>
      <c r="E3819" s="9" t="str">
        <f>IFERROR(__xludf.DUMMYFUNCTION("GOOGLETRANSLATE($A3819,""en"",""es"")"),"Łomża")</f>
        <v>Łomża</v>
      </c>
      <c r="F3819" s="9" t="str">
        <f>IFERROR(__xludf.DUMMYFUNCTION("GOOGLETRANSLATE($A3819,""en"",""it"")"),"Lomza")</f>
        <v>Lomza</v>
      </c>
      <c r="G3819" s="9" t="str">
        <f>IFERROR(__xludf.DUMMYFUNCTION("GOOGLETRANSLATE($A3819,""en"",""zh-cn"")"),"沃姆扎")</f>
        <v>沃姆扎</v>
      </c>
      <c r="H3819" s="9" t="str">
        <f>IFERROR(__xludf.DUMMYFUNCTION("GOOGLETRANSLATE($A3819,""en"",""ja"")"),"ウォムザ")</f>
        <v>ウォムザ</v>
      </c>
      <c r="I3819" s="9" t="str">
        <f>IFERROR(__xludf.DUMMYFUNCTION("GOOGLETRANSLATE($A3819,""en"",""ko"")"),"옴자")</f>
        <v>옴자</v>
      </c>
      <c r="J3819" s="9" t="str">
        <f>IFERROR(__xludf.DUMMYFUNCTION("GOOGLETRANSLATE($A3819,""en"",""pt-BR"")"),"Łomża")</f>
        <v>Łomża</v>
      </c>
    </row>
    <row r="3820">
      <c r="A3820" s="9" t="str">
        <f>IFERROR(__xludf.DUMMYFUNCTION("""COMPUTED_VALUE"""),"Legnica")</f>
        <v>Legnica</v>
      </c>
      <c r="B3820" s="9" t="str">
        <f>IFERROR(__xludf.DUMMYFUNCTION("""COMPUTED_VALUE"""),"pl-lg")</f>
        <v>pl-lg</v>
      </c>
      <c r="C3820" s="9" t="str">
        <f>IFERROR(__xludf.DUMMYFUNCTION("GOOGLETRANSLATE($A3820,""en"",""de"")"),"Liegnitz")</f>
        <v>Liegnitz</v>
      </c>
      <c r="D3820" s="9" t="str">
        <f>IFERROR(__xludf.DUMMYFUNCTION("GOOGLETRANSLATE($A3820,""en"",""fr"")"),"Legnica")</f>
        <v>Legnica</v>
      </c>
      <c r="E3820" s="9" t="str">
        <f>IFERROR(__xludf.DUMMYFUNCTION("GOOGLETRANSLATE($A3820,""en"",""es"")"),"Legnica")</f>
        <v>Legnica</v>
      </c>
      <c r="F3820" s="9" t="str">
        <f>IFERROR(__xludf.DUMMYFUNCTION("GOOGLETRANSLATE($A3820,""en"",""it"")"),"Legnica")</f>
        <v>Legnica</v>
      </c>
      <c r="G3820" s="9" t="str">
        <f>IFERROR(__xludf.DUMMYFUNCTION("GOOGLETRANSLATE($A3820,""en"",""zh-cn"")"),"莱格尼察")</f>
        <v>莱格尼察</v>
      </c>
      <c r="H3820" s="9" t="str">
        <f>IFERROR(__xludf.DUMMYFUNCTION("GOOGLETRANSLATE($A3820,""en"",""ja"")"),"レグニツァ")</f>
        <v>レグニツァ</v>
      </c>
      <c r="I3820" s="9" t="str">
        <f>IFERROR(__xludf.DUMMYFUNCTION("GOOGLETRANSLATE($A3820,""en"",""ko"")"),"레그니차")</f>
        <v>레그니차</v>
      </c>
      <c r="J3820" s="9" t="str">
        <f>IFERROR(__xludf.DUMMYFUNCTION("GOOGLETRANSLATE($A3820,""en"",""pt-BR"")"),"Legnica")</f>
        <v>Legnica</v>
      </c>
    </row>
    <row r="3821">
      <c r="A3821" s="9" t="str">
        <f>IFERROR(__xludf.DUMMYFUNCTION("""COMPUTED_VALUE"""),"Gorzów")</f>
        <v>Gorzów</v>
      </c>
      <c r="B3821" s="9" t="str">
        <f>IFERROR(__xludf.DUMMYFUNCTION("""COMPUTED_VALUE"""),"pl-go")</f>
        <v>pl-go</v>
      </c>
      <c r="C3821" s="9" t="str">
        <f>IFERROR(__xludf.DUMMYFUNCTION("GOOGLETRANSLATE($A3821,""en"",""de"")"),"Gorzów")</f>
        <v>Gorzów</v>
      </c>
      <c r="D3821" s="9" t="str">
        <f>IFERROR(__xludf.DUMMYFUNCTION("GOOGLETRANSLATE($A3821,""en"",""fr"")"),"Gorzow")</f>
        <v>Gorzow</v>
      </c>
      <c r="E3821" s="9" t="str">
        <f>IFERROR(__xludf.DUMMYFUNCTION("GOOGLETRANSLATE($A3821,""en"",""es"")"),"Gorzów")</f>
        <v>Gorzów</v>
      </c>
      <c r="F3821" s="9" t="str">
        <f>IFERROR(__xludf.DUMMYFUNCTION("GOOGLETRANSLATE($A3821,""en"",""it"")"),"Gorzow")</f>
        <v>Gorzow</v>
      </c>
      <c r="G3821" s="9" t="str">
        <f>IFERROR(__xludf.DUMMYFUNCTION("GOOGLETRANSLATE($A3821,""en"",""zh-cn"")"),"戈茹夫")</f>
        <v>戈茹夫</v>
      </c>
      <c r="H3821" s="9" t="str">
        <f>IFERROR(__xludf.DUMMYFUNCTION("GOOGLETRANSLATE($A3821,""en"",""ja"")"),"ゴジュフ")</f>
        <v>ゴジュフ</v>
      </c>
      <c r="I3821" s="9" t="str">
        <f>IFERROR(__xludf.DUMMYFUNCTION("GOOGLETRANSLATE($A3821,""en"",""ko"")"),"고르주프")</f>
        <v>고르주프</v>
      </c>
      <c r="J3821" s="9" t="str">
        <f>IFERROR(__xludf.DUMMYFUNCTION("GOOGLETRANSLATE($A3821,""en"",""pt-BR"")"),"Gorzów")</f>
        <v>Gorzów</v>
      </c>
    </row>
    <row r="3822">
      <c r="A3822" s="9" t="str">
        <f>IFERROR(__xludf.DUMMYFUNCTION("""COMPUTED_VALUE"""),"Gdańsk")</f>
        <v>Gdańsk</v>
      </c>
      <c r="B3822" s="9" t="str">
        <f>IFERROR(__xludf.DUMMYFUNCTION("""COMPUTED_VALUE"""),"pl-gd")</f>
        <v>pl-gd</v>
      </c>
      <c r="C3822" s="9" t="str">
        <f>IFERROR(__xludf.DUMMYFUNCTION("GOOGLETRANSLATE($A3822,""en"",""de"")"),"Danzig")</f>
        <v>Danzig</v>
      </c>
      <c r="D3822" s="9" t="str">
        <f>IFERROR(__xludf.DUMMYFUNCTION("GOOGLETRANSLATE($A3822,""en"",""fr"")"),"Gdańsk")</f>
        <v>Gdańsk</v>
      </c>
      <c r="E3822" s="9" t="str">
        <f>IFERROR(__xludf.DUMMYFUNCTION("GOOGLETRANSLATE($A3822,""en"",""es"")"),"Gdansk")</f>
        <v>Gdansk</v>
      </c>
      <c r="F3822" s="9" t="str">
        <f>IFERROR(__xludf.DUMMYFUNCTION("GOOGLETRANSLATE($A3822,""en"",""it"")"),"Danzica")</f>
        <v>Danzica</v>
      </c>
      <c r="G3822" s="9" t="str">
        <f>IFERROR(__xludf.DUMMYFUNCTION("GOOGLETRANSLATE($A3822,""en"",""zh-cn"")"),"格但斯克")</f>
        <v>格但斯克</v>
      </c>
      <c r="H3822" s="9" t="str">
        <f>IFERROR(__xludf.DUMMYFUNCTION("GOOGLETRANSLATE($A3822,""en"",""ja"")"),"グダニスク")</f>
        <v>グダニスク</v>
      </c>
      <c r="I3822" s="9" t="str">
        <f>IFERROR(__xludf.DUMMYFUNCTION("GOOGLETRANSLATE($A3822,""en"",""ko"")"),"그단스크")</f>
        <v>그단스크</v>
      </c>
      <c r="J3822" s="9" t="str">
        <f>IFERROR(__xludf.DUMMYFUNCTION("GOOGLETRANSLATE($A3822,""en"",""pt-BR"")"),"Gdańsk")</f>
        <v>Gdańsk</v>
      </c>
    </row>
    <row r="3823">
      <c r="A3823" s="9" t="str">
        <f>IFERROR(__xludf.DUMMYFUNCTION("""COMPUTED_VALUE"""),"Elbląg")</f>
        <v>Elbląg</v>
      </c>
      <c r="B3823" s="9" t="str">
        <f>IFERROR(__xludf.DUMMYFUNCTION("""COMPUTED_VALUE"""),"pl-el")</f>
        <v>pl-el</v>
      </c>
      <c r="C3823" s="9" t="str">
        <f>IFERROR(__xludf.DUMMYFUNCTION("GOOGLETRANSLATE($A3823,""en"",""de"")"),"Elbing")</f>
        <v>Elbing</v>
      </c>
      <c r="D3823" s="9" t="str">
        <f>IFERROR(__xludf.DUMMYFUNCTION("GOOGLETRANSLATE($A3823,""en"",""fr"")"),"Elblag")</f>
        <v>Elblag</v>
      </c>
      <c r="E3823" s="9" t="str">
        <f>IFERROR(__xludf.DUMMYFUNCTION("GOOGLETRANSLATE($A3823,""en"",""es"")"),"Elbląg")</f>
        <v>Elbląg</v>
      </c>
      <c r="F3823" s="9" t="str">
        <f>IFERROR(__xludf.DUMMYFUNCTION("GOOGLETRANSLATE($A3823,""en"",""it"")"),"Elbląg")</f>
        <v>Elbląg</v>
      </c>
      <c r="G3823" s="9" t="str">
        <f>IFERROR(__xludf.DUMMYFUNCTION("GOOGLETRANSLATE($A3823,""en"",""zh-cn"")"),"埃尔布隆格")</f>
        <v>埃尔布隆格</v>
      </c>
      <c r="H3823" s="9" t="str">
        <f>IFERROR(__xludf.DUMMYFUNCTION("GOOGLETRANSLATE($A3823,""en"",""ja"")"),"エルブロンク")</f>
        <v>エルブロンク</v>
      </c>
      <c r="I3823" s="9" t="str">
        <f>IFERROR(__xludf.DUMMYFUNCTION("GOOGLETRANSLATE($A3823,""en"",""ko"")"),"엘블롱")</f>
        <v>엘블롱</v>
      </c>
      <c r="J3823" s="9" t="str">
        <f>IFERROR(__xludf.DUMMYFUNCTION("GOOGLETRANSLATE($A3823,""en"",""pt-BR"")"),"Elblag")</f>
        <v>Elblag</v>
      </c>
    </row>
    <row r="3824">
      <c r="A3824" s="9" t="str">
        <f>IFERROR(__xludf.DUMMYFUNCTION("""COMPUTED_VALUE"""),"Biala Podlaska")</f>
        <v>Biala Podlaska</v>
      </c>
      <c r="B3824" s="9" t="str">
        <f>IFERROR(__xludf.DUMMYFUNCTION("""COMPUTED_VALUE"""),"pl-bp")</f>
        <v>pl-bp</v>
      </c>
      <c r="C3824" s="9" t="str">
        <f>IFERROR(__xludf.DUMMYFUNCTION("GOOGLETRANSLATE($A3824,""en"",""de"")"),"Biala Podlaska")</f>
        <v>Biala Podlaska</v>
      </c>
      <c r="D3824" s="9" t="str">
        <f>IFERROR(__xludf.DUMMYFUNCTION("GOOGLETRANSLATE($A3824,""en"",""fr"")"),"Biala Podlaska")</f>
        <v>Biala Podlaska</v>
      </c>
      <c r="E3824" s="9" t="str">
        <f>IFERROR(__xludf.DUMMYFUNCTION("GOOGLETRANSLATE($A3824,""en"",""es"")"),"Biała Podlaska")</f>
        <v>Biała Podlaska</v>
      </c>
      <c r="F3824" s="9" t="str">
        <f>IFERROR(__xludf.DUMMYFUNCTION("GOOGLETRANSLATE($A3824,""en"",""it"")"),"Biala Podlaska")</f>
        <v>Biala Podlaska</v>
      </c>
      <c r="G3824" s="9" t="str">
        <f>IFERROR(__xludf.DUMMYFUNCTION("GOOGLETRANSLATE($A3824,""en"",""zh-cn"")"),"比亚拉波德拉斯卡")</f>
        <v>比亚拉波德拉斯卡</v>
      </c>
      <c r="H3824" s="9" t="str">
        <f>IFERROR(__xludf.DUMMYFUNCTION("GOOGLETRANSLATE($A3824,""en"",""ja"")"),"ビアラ・ポドラスカ")</f>
        <v>ビアラ・ポドラスカ</v>
      </c>
      <c r="I3824" s="9" t="str">
        <f>IFERROR(__xludf.DUMMYFUNCTION("GOOGLETRANSLATE($A3824,""en"",""ko"")"),"비알라 포들라스카")</f>
        <v>비알라 포들라스카</v>
      </c>
      <c r="J3824" s="9" t="str">
        <f>IFERROR(__xludf.DUMMYFUNCTION("GOOGLETRANSLATE($A3824,""en"",""pt-BR"")"),"Biala Podlaska")</f>
        <v>Biala Podlaska</v>
      </c>
    </row>
    <row r="3825">
      <c r="A3825" s="9" t="str">
        <f>IFERROR(__xludf.DUMMYFUNCTION("""COMPUTED_VALUE"""),"Bialystok")</f>
        <v>Bialystok</v>
      </c>
      <c r="B3825" s="9" t="str">
        <f>IFERROR(__xludf.DUMMYFUNCTION("""COMPUTED_VALUE"""),"pl-bk")</f>
        <v>pl-bk</v>
      </c>
      <c r="C3825" s="9" t="str">
        <f>IFERROR(__xludf.DUMMYFUNCTION("GOOGLETRANSLATE($A3825,""en"",""de"")"),"Bialystok")</f>
        <v>Bialystok</v>
      </c>
      <c r="D3825" s="9" t="str">
        <f>IFERROR(__xludf.DUMMYFUNCTION("GOOGLETRANSLATE($A3825,""en"",""fr"")"),"Bialystok")</f>
        <v>Bialystok</v>
      </c>
      <c r="E3825" s="9" t="str">
        <f>IFERROR(__xludf.DUMMYFUNCTION("GOOGLETRANSLATE($A3825,""en"",""es"")"),"Białystok")</f>
        <v>Białystok</v>
      </c>
      <c r="F3825" s="9" t="str">
        <f>IFERROR(__xludf.DUMMYFUNCTION("GOOGLETRANSLATE($A3825,""en"",""it"")"),"Bialystok")</f>
        <v>Bialystok</v>
      </c>
      <c r="G3825" s="9" t="str">
        <f>IFERROR(__xludf.DUMMYFUNCTION("GOOGLETRANSLATE($A3825,""en"",""zh-cn"")"),"比亚韦斯托克")</f>
        <v>比亚韦斯托克</v>
      </c>
      <c r="H3825" s="9" t="str">
        <f>IFERROR(__xludf.DUMMYFUNCTION("GOOGLETRANSLATE($A3825,""en"",""ja"")"),"ビャウィストク")</f>
        <v>ビャウィストク</v>
      </c>
      <c r="I3825" s="9" t="str">
        <f>IFERROR(__xludf.DUMMYFUNCTION("GOOGLETRANSLATE($A3825,""en"",""ko"")"),"비알리스톡")</f>
        <v>비알리스톡</v>
      </c>
      <c r="J3825" s="9" t="str">
        <f>IFERROR(__xludf.DUMMYFUNCTION("GOOGLETRANSLATE($A3825,""en"",""pt-BR"")"),"Bialystok")</f>
        <v>Bialystok</v>
      </c>
    </row>
    <row r="3826">
      <c r="A3826" s="9" t="str">
        <f>IFERROR(__xludf.DUMMYFUNCTION("""COMPUTED_VALUE"""),"Bielsko-Biala")</f>
        <v>Bielsko-Biala</v>
      </c>
      <c r="B3826" s="9" t="str">
        <f>IFERROR(__xludf.DUMMYFUNCTION("""COMPUTED_VALUE"""),"pl-bb")</f>
        <v>pl-bb</v>
      </c>
      <c r="C3826" s="9" t="str">
        <f>IFERROR(__xludf.DUMMYFUNCTION("GOOGLETRANSLATE($A3826,""en"",""de"")"),"Bielsko-Biala")</f>
        <v>Bielsko-Biala</v>
      </c>
      <c r="D3826" s="9" t="str">
        <f>IFERROR(__xludf.DUMMYFUNCTION("GOOGLETRANSLATE($A3826,""en"",""fr"")"),"Bielsko-Biała")</f>
        <v>Bielsko-Biała</v>
      </c>
      <c r="E3826" s="9" t="str">
        <f>IFERROR(__xludf.DUMMYFUNCTION("GOOGLETRANSLATE($A3826,""en"",""es"")"),"Bielsko-biala")</f>
        <v>Bielsko-biala</v>
      </c>
      <c r="F3826" s="9" t="str">
        <f>IFERROR(__xludf.DUMMYFUNCTION("GOOGLETRANSLATE($A3826,""en"",""it"")"),"Bielsko-Biala")</f>
        <v>Bielsko-Biala</v>
      </c>
      <c r="G3826" s="9" t="str">
        <f>IFERROR(__xludf.DUMMYFUNCTION("GOOGLETRANSLATE($A3826,""en"",""zh-cn"")"),"别尔斯科-比亚拉")</f>
        <v>别尔斯科-比亚拉</v>
      </c>
      <c r="H3826" s="9" t="str">
        <f>IFERROR(__xludf.DUMMYFUNCTION("GOOGLETRANSLATE($A3826,""en"",""ja"")"),"ビェルスコビャワ")</f>
        <v>ビェルスコビャワ</v>
      </c>
      <c r="I3826" s="9" t="str">
        <f>IFERROR(__xludf.DUMMYFUNCTION("GOOGLETRANSLATE($A3826,""en"",""ko"")"),"비엘스코-비아와")</f>
        <v>비엘스코-비아와</v>
      </c>
      <c r="J3826" s="9" t="str">
        <f>IFERROR(__xludf.DUMMYFUNCTION("GOOGLETRANSLATE($A3826,""en"",""pt-BR"")"),"Bielsko-Biala")</f>
        <v>Bielsko-Biala</v>
      </c>
    </row>
    <row r="3827">
      <c r="A3827" s="9" t="str">
        <f>IFERROR(__xludf.DUMMYFUNCTION("""COMPUTED_VALUE"""),"Częstochowa")</f>
        <v>Częstochowa</v>
      </c>
      <c r="B3827" s="9" t="str">
        <f>IFERROR(__xludf.DUMMYFUNCTION("""COMPUTED_VALUE"""),"pl-cz")</f>
        <v>pl-cz</v>
      </c>
      <c r="C3827" s="9" t="str">
        <f>IFERROR(__xludf.DUMMYFUNCTION("GOOGLETRANSLATE($A3827,""en"",""de"")"),"Tschenstochau")</f>
        <v>Tschenstochau</v>
      </c>
      <c r="D3827" s="9" t="str">
        <f>IFERROR(__xludf.DUMMYFUNCTION("GOOGLETRANSLATE($A3827,""en"",""fr"")"),"Częstochowa")</f>
        <v>Częstochowa</v>
      </c>
      <c r="E3827" s="9" t="str">
        <f>IFERROR(__xludf.DUMMYFUNCTION("GOOGLETRANSLATE($A3827,""en"",""es"")"),"Częstochowa")</f>
        <v>Częstochowa</v>
      </c>
      <c r="F3827" s="9" t="str">
        <f>IFERROR(__xludf.DUMMYFUNCTION("GOOGLETRANSLATE($A3827,""en"",""it"")"),"Czestochowa")</f>
        <v>Czestochowa</v>
      </c>
      <c r="G3827" s="9" t="str">
        <f>IFERROR(__xludf.DUMMYFUNCTION("GOOGLETRANSLATE($A3827,""en"",""zh-cn"")"),"琴斯托霍瓦")</f>
        <v>琴斯托霍瓦</v>
      </c>
      <c r="H3827" s="9" t="str">
        <f>IFERROR(__xludf.DUMMYFUNCTION("GOOGLETRANSLATE($A3827,""en"",""ja"")"),"チェンストホバ")</f>
        <v>チェンストホバ</v>
      </c>
      <c r="I3827" s="9" t="str">
        <f>IFERROR(__xludf.DUMMYFUNCTION("GOOGLETRANSLATE($A3827,""en"",""ko"")"),"쳉스토호와")</f>
        <v>쳉스토호와</v>
      </c>
      <c r="J3827" s="9" t="str">
        <f>IFERROR(__xludf.DUMMYFUNCTION("GOOGLETRANSLATE($A3827,""en"",""pt-BR"")"),"Czestochowa")</f>
        <v>Czestochowa</v>
      </c>
    </row>
    <row r="3828">
      <c r="A3828" s="9" t="str">
        <f>IFERROR(__xludf.DUMMYFUNCTION("""COMPUTED_VALUE"""),"Ciechanów")</f>
        <v>Ciechanów</v>
      </c>
      <c r="B3828" s="9" t="str">
        <f>IFERROR(__xludf.DUMMYFUNCTION("""COMPUTED_VALUE"""),"pl-ci")</f>
        <v>pl-ci</v>
      </c>
      <c r="C3828" s="9" t="str">
        <f>IFERROR(__xludf.DUMMYFUNCTION("GOOGLETRANSLATE($A3828,""en"",""de"")"),"Ciechanów")</f>
        <v>Ciechanów</v>
      </c>
      <c r="D3828" s="9" t="str">
        <f>IFERROR(__xludf.DUMMYFUNCTION("GOOGLETRANSLATE($A3828,""en"",""fr"")"),"Ciechanow")</f>
        <v>Ciechanow</v>
      </c>
      <c r="E3828" s="9" t="str">
        <f>IFERROR(__xludf.DUMMYFUNCTION("GOOGLETRANSLATE($A3828,""en"",""es"")"),"Ciechanów")</f>
        <v>Ciechanów</v>
      </c>
      <c r="F3828" s="9" t="str">
        <f>IFERROR(__xludf.DUMMYFUNCTION("GOOGLETRANSLATE($A3828,""en"",""it"")"),"Ciechanów")</f>
        <v>Ciechanów</v>
      </c>
      <c r="G3828" s="9" t="str">
        <f>IFERROR(__xludf.DUMMYFUNCTION("GOOGLETRANSLATE($A3828,""en"",""zh-cn"")"),"切哈努夫")</f>
        <v>切哈努夫</v>
      </c>
      <c r="H3828" s="9" t="str">
        <f>IFERROR(__xludf.DUMMYFUNCTION("GOOGLETRANSLATE($A3828,""en"",""ja"")"),"チェハヌフ")</f>
        <v>チェハヌフ</v>
      </c>
      <c r="I3828" s="9" t="str">
        <f>IFERROR(__xludf.DUMMYFUNCTION("GOOGLETRANSLATE($A3828,""en"",""ko"")"),"치에하누프")</f>
        <v>치에하누프</v>
      </c>
      <c r="J3828" s="9" t="str">
        <f>IFERROR(__xludf.DUMMYFUNCTION("GOOGLETRANSLATE($A3828,""en"",""pt-BR"")"),"Ciechanów")</f>
        <v>Ciechanów</v>
      </c>
    </row>
    <row r="3829">
      <c r="A3829" s="9" t="str">
        <f>IFERROR(__xludf.DUMMYFUNCTION("""COMPUTED_VALUE"""),"Chelm")</f>
        <v>Chelm</v>
      </c>
      <c r="B3829" s="9" t="str">
        <f>IFERROR(__xludf.DUMMYFUNCTION("""COMPUTED_VALUE"""),"pl-ch")</f>
        <v>pl-ch</v>
      </c>
      <c r="C3829" s="9" t="str">
        <f>IFERROR(__xludf.DUMMYFUNCTION("GOOGLETRANSLATE($A3829,""en"",""de"")"),"Chelm")</f>
        <v>Chelm</v>
      </c>
      <c r="D3829" s="9" t="str">
        <f>IFERROR(__xludf.DUMMYFUNCTION("GOOGLETRANSLATE($A3829,""en"",""fr"")"),"Chelm")</f>
        <v>Chelm</v>
      </c>
      <c r="E3829" s="9" t="str">
        <f>IFERROR(__xludf.DUMMYFUNCTION("GOOGLETRANSLATE($A3829,""en"",""es"")"),"Chelm")</f>
        <v>Chelm</v>
      </c>
      <c r="F3829" s="9" t="str">
        <f>IFERROR(__xludf.DUMMYFUNCTION("GOOGLETRANSLATE($A3829,""en"",""it"")"),"Chelm")</f>
        <v>Chelm</v>
      </c>
      <c r="G3829" s="9" t="str">
        <f>IFERROR(__xludf.DUMMYFUNCTION("GOOGLETRANSLATE($A3829,""en"",""zh-cn"")"),"海尔姆")</f>
        <v>海尔姆</v>
      </c>
      <c r="H3829" s="9" t="str">
        <f>IFERROR(__xludf.DUMMYFUNCTION("GOOGLETRANSLATE($A3829,""en"",""ja"")"),"チェルム")</f>
        <v>チェルム</v>
      </c>
      <c r="I3829" s="9" t="str">
        <f>IFERROR(__xludf.DUMMYFUNCTION("GOOGLETRANSLATE($A3829,""en"",""ko"")"),"첼름")</f>
        <v>첼름</v>
      </c>
      <c r="J3829" s="9" t="str">
        <f>IFERROR(__xludf.DUMMYFUNCTION("GOOGLETRANSLATE($A3829,""en"",""pt-BR"")"),"Chelm")</f>
        <v>Chelm</v>
      </c>
    </row>
    <row r="3830">
      <c r="A3830" s="9" t="str">
        <f>IFERROR(__xludf.DUMMYFUNCTION("""COMPUTED_VALUE"""),"Bydgoszcz")</f>
        <v>Bydgoszcz</v>
      </c>
      <c r="B3830" s="9" t="str">
        <f>IFERROR(__xludf.DUMMYFUNCTION("""COMPUTED_VALUE"""),"pl-by")</f>
        <v>pl-by</v>
      </c>
      <c r="C3830" s="9" t="str">
        <f>IFERROR(__xludf.DUMMYFUNCTION("GOOGLETRANSLATE($A3830,""en"",""de"")"),"Bydgoszcz")</f>
        <v>Bydgoszcz</v>
      </c>
      <c r="D3830" s="9" t="str">
        <f>IFERROR(__xludf.DUMMYFUNCTION("GOOGLETRANSLATE($A3830,""en"",""fr"")"),"Bydgoszcz")</f>
        <v>Bydgoszcz</v>
      </c>
      <c r="E3830" s="9" t="str">
        <f>IFERROR(__xludf.DUMMYFUNCTION("GOOGLETRANSLATE($A3830,""en"",""es"")"),"Bydgoszcz")</f>
        <v>Bydgoszcz</v>
      </c>
      <c r="F3830" s="9" t="str">
        <f>IFERROR(__xludf.DUMMYFUNCTION("GOOGLETRANSLATE($A3830,""en"",""it"")"),"Bydgoszcz")</f>
        <v>Bydgoszcz</v>
      </c>
      <c r="G3830" s="9" t="str">
        <f>IFERROR(__xludf.DUMMYFUNCTION("GOOGLETRANSLATE($A3830,""en"",""zh-cn"")"),"比得哥什")</f>
        <v>比得哥什</v>
      </c>
      <c r="H3830" s="9" t="str">
        <f>IFERROR(__xludf.DUMMYFUNCTION("GOOGLETRANSLATE($A3830,""en"",""ja"")"),"ブィドゴシュチュ")</f>
        <v>ブィドゴシュチュ</v>
      </c>
      <c r="I3830" s="9" t="str">
        <f>IFERROR(__xludf.DUMMYFUNCTION("GOOGLETRANSLATE($A3830,""en"",""ko"")"),"비드고슈치")</f>
        <v>비드고슈치</v>
      </c>
      <c r="J3830" s="9" t="str">
        <f>IFERROR(__xludf.DUMMYFUNCTION("GOOGLETRANSLATE($A3830,""en"",""pt-BR"")"),"Bydgoszcz")</f>
        <v>Bydgoszcz</v>
      </c>
    </row>
    <row r="3831">
      <c r="A3831" s="9" t="str">
        <f>IFERROR(__xludf.DUMMYFUNCTION("""COMPUTED_VALUE"""),"Guarda")</f>
        <v>Guarda</v>
      </c>
      <c r="B3831" s="9" t="str">
        <f>IFERROR(__xludf.DUMMYFUNCTION("""COMPUTED_VALUE"""),"pt-09")</f>
        <v>pt-09</v>
      </c>
      <c r="C3831" s="9" t="str">
        <f>IFERROR(__xludf.DUMMYFUNCTION("GOOGLETRANSLATE($A3831,""en"",""de"")"),"Guarda")</f>
        <v>Guarda</v>
      </c>
      <c r="D3831" s="9" t="str">
        <f>IFERROR(__xludf.DUMMYFUNCTION("GOOGLETRANSLATE($A3831,""en"",""fr"")"),"Garde")</f>
        <v>Garde</v>
      </c>
      <c r="E3831" s="9" t="str">
        <f>IFERROR(__xludf.DUMMYFUNCTION("GOOGLETRANSLATE($A3831,""en"",""es"")"),"Guarda")</f>
        <v>Guarda</v>
      </c>
      <c r="F3831" s="9" t="str">
        <f>IFERROR(__xludf.DUMMYFUNCTION("GOOGLETRANSLATE($A3831,""en"",""it"")"),"Guarda")</f>
        <v>Guarda</v>
      </c>
      <c r="G3831" s="9" t="str">
        <f>IFERROR(__xludf.DUMMYFUNCTION("GOOGLETRANSLATE($A3831,""en"",""zh-cn"")"),"瓜尔达")</f>
        <v>瓜尔达</v>
      </c>
      <c r="H3831" s="9" t="str">
        <f>IFERROR(__xludf.DUMMYFUNCTION("GOOGLETRANSLATE($A3831,""en"",""ja"")"),"グアルダ")</f>
        <v>グアルダ</v>
      </c>
      <c r="I3831" s="9" t="str">
        <f>IFERROR(__xludf.DUMMYFUNCTION("GOOGLETRANSLATE($A3831,""en"",""ko"")"),"과르다")</f>
        <v>과르다</v>
      </c>
      <c r="J3831" s="9" t="str">
        <f>IFERROR(__xludf.DUMMYFUNCTION("GOOGLETRANSLATE($A3831,""en"",""pt-BR"")"),"Guarda")</f>
        <v>Guarda</v>
      </c>
    </row>
    <row r="3832">
      <c r="A3832" s="9" t="str">
        <f>IFERROR(__xludf.DUMMYFUNCTION("""COMPUTED_VALUE"""),"Leiria")</f>
        <v>Leiria</v>
      </c>
      <c r="B3832" s="9" t="str">
        <f>IFERROR(__xludf.DUMMYFUNCTION("""COMPUTED_VALUE"""),"pt-10")</f>
        <v>pt-10</v>
      </c>
      <c r="C3832" s="9" t="str">
        <f>IFERROR(__xludf.DUMMYFUNCTION("GOOGLETRANSLATE($A3832,""en"",""de"")"),"Leiria")</f>
        <v>Leiria</v>
      </c>
      <c r="D3832" s="9" t="str">
        <f>IFERROR(__xludf.DUMMYFUNCTION("GOOGLETRANSLATE($A3832,""en"",""fr"")"),"Leiria")</f>
        <v>Leiria</v>
      </c>
      <c r="E3832" s="9" t="str">
        <f>IFERROR(__xludf.DUMMYFUNCTION("GOOGLETRANSLATE($A3832,""en"",""es"")"),"Leiría")</f>
        <v>Leiría</v>
      </c>
      <c r="F3832" s="9" t="str">
        <f>IFERROR(__xludf.DUMMYFUNCTION("GOOGLETRANSLATE($A3832,""en"",""it"")"),"Leiria")</f>
        <v>Leiria</v>
      </c>
      <c r="G3832" s="9" t="str">
        <f>IFERROR(__xludf.DUMMYFUNCTION("GOOGLETRANSLATE($A3832,""en"",""zh-cn"")"),"莱里亚")</f>
        <v>莱里亚</v>
      </c>
      <c r="H3832" s="9" t="str">
        <f>IFERROR(__xludf.DUMMYFUNCTION("GOOGLETRANSLATE($A3832,""en"",""ja"")"),"レイリア")</f>
        <v>レイリア</v>
      </c>
      <c r="I3832" s="9" t="str">
        <f>IFERROR(__xludf.DUMMYFUNCTION("GOOGLETRANSLATE($A3832,""en"",""ko"")"),"레이리아")</f>
        <v>레이리아</v>
      </c>
      <c r="J3832" s="9" t="str">
        <f>IFERROR(__xludf.DUMMYFUNCTION("GOOGLETRANSLATE($A3832,""en"",""pt-BR"")"),"Leiria")</f>
        <v>Leiria</v>
      </c>
    </row>
    <row r="3833">
      <c r="A3833" s="9" t="str">
        <f>IFERROR(__xludf.DUMMYFUNCTION("""COMPUTED_VALUE"""),"Lisboa")</f>
        <v>Lisboa</v>
      </c>
      <c r="B3833" s="9" t="str">
        <f>IFERROR(__xludf.DUMMYFUNCTION("""COMPUTED_VALUE"""),"pt-11")</f>
        <v>pt-11</v>
      </c>
      <c r="C3833" s="9" t="str">
        <f>IFERROR(__xludf.DUMMYFUNCTION("GOOGLETRANSLATE($A3833,""en"",""de"")"),"Lissabon")</f>
        <v>Lissabon</v>
      </c>
      <c r="D3833" s="9" t="str">
        <f>IFERROR(__xludf.DUMMYFUNCTION("GOOGLETRANSLATE($A3833,""en"",""fr"")"),"Lisbonne")</f>
        <v>Lisbonne</v>
      </c>
      <c r="E3833" s="9" t="str">
        <f>IFERROR(__xludf.DUMMYFUNCTION("GOOGLETRANSLATE($A3833,""en"",""es"")"),"lisboa")</f>
        <v>lisboa</v>
      </c>
      <c r="F3833" s="9" t="str">
        <f>IFERROR(__xludf.DUMMYFUNCTION("GOOGLETRANSLATE($A3833,""en"",""it"")"),"Lisbona")</f>
        <v>Lisbona</v>
      </c>
      <c r="G3833" s="9" t="str">
        <f>IFERROR(__xludf.DUMMYFUNCTION("GOOGLETRANSLATE($A3833,""en"",""zh-cn"")"),"里斯本")</f>
        <v>里斯本</v>
      </c>
      <c r="H3833" s="9" t="str">
        <f>IFERROR(__xludf.DUMMYFUNCTION("GOOGLETRANSLATE($A3833,""en"",""ja"")"),"リスボア")</f>
        <v>リスボア</v>
      </c>
      <c r="I3833" s="9" t="str">
        <f>IFERROR(__xludf.DUMMYFUNCTION("GOOGLETRANSLATE($A3833,""en"",""ko"")"),"리스보아")</f>
        <v>리스보아</v>
      </c>
      <c r="J3833" s="9" t="str">
        <f>IFERROR(__xludf.DUMMYFUNCTION("GOOGLETRANSLATE($A3833,""en"",""pt-BR"")"),"Lisboa")</f>
        <v>Lisboa</v>
      </c>
    </row>
    <row r="3834">
      <c r="A3834" s="9" t="str">
        <f>IFERROR(__xludf.DUMMYFUNCTION("""COMPUTED_VALUE"""),"Portalegre")</f>
        <v>Portalegre</v>
      </c>
      <c r="B3834" s="9" t="str">
        <f>IFERROR(__xludf.DUMMYFUNCTION("""COMPUTED_VALUE"""),"pt-12")</f>
        <v>pt-12</v>
      </c>
      <c r="C3834" s="9" t="str">
        <f>IFERROR(__xludf.DUMMYFUNCTION("GOOGLETRANSLATE($A3834,""en"",""de"")"),"Portalegre")</f>
        <v>Portalegre</v>
      </c>
      <c r="D3834" s="9" t="str">
        <f>IFERROR(__xludf.DUMMYFUNCTION("GOOGLETRANSLATE($A3834,""en"",""fr"")"),"Portalegre")</f>
        <v>Portalegre</v>
      </c>
      <c r="E3834" s="9" t="str">
        <f>IFERROR(__xludf.DUMMYFUNCTION("GOOGLETRANSLATE($A3834,""en"",""es"")"),"Portalegre")</f>
        <v>Portalegre</v>
      </c>
      <c r="F3834" s="9" t="str">
        <f>IFERROR(__xludf.DUMMYFUNCTION("GOOGLETRANSLATE($A3834,""en"",""it"")"),"Portalegre")</f>
        <v>Portalegre</v>
      </c>
      <c r="G3834" s="9" t="str">
        <f>IFERROR(__xludf.DUMMYFUNCTION("GOOGLETRANSLATE($A3834,""en"",""zh-cn"")"),"波塔莱格雷")</f>
        <v>波塔莱格雷</v>
      </c>
      <c r="H3834" s="9" t="str">
        <f>IFERROR(__xludf.DUMMYFUNCTION("GOOGLETRANSLATE($A3834,""en"",""ja"")"),"ポルタレグレ")</f>
        <v>ポルタレグレ</v>
      </c>
      <c r="I3834" s="9" t="str">
        <f>IFERROR(__xludf.DUMMYFUNCTION("GOOGLETRANSLATE($A3834,""en"",""ko"")"),"포르탈레그레")</f>
        <v>포르탈레그레</v>
      </c>
      <c r="J3834" s="9" t="str">
        <f>IFERROR(__xludf.DUMMYFUNCTION("GOOGLETRANSLATE($A3834,""en"",""pt-BR"")"),"Portalegre")</f>
        <v>Portalegre</v>
      </c>
    </row>
    <row r="3835">
      <c r="A3835" s="9" t="str">
        <f>IFERROR(__xludf.DUMMYFUNCTION("""COMPUTED_VALUE"""),"Castelo Branco")</f>
        <v>Castelo Branco</v>
      </c>
      <c r="B3835" s="9" t="str">
        <f>IFERROR(__xludf.DUMMYFUNCTION("""COMPUTED_VALUE"""),"pt-05")</f>
        <v>pt-05</v>
      </c>
      <c r="C3835" s="9" t="str">
        <f>IFERROR(__xludf.DUMMYFUNCTION("GOOGLETRANSLATE($A3835,""en"",""de"")"),"Castelo Branco")</f>
        <v>Castelo Branco</v>
      </c>
      <c r="D3835" s="9" t="str">
        <f>IFERROR(__xludf.DUMMYFUNCTION("GOOGLETRANSLATE($A3835,""en"",""fr"")"),"Château Branco")</f>
        <v>Château Branco</v>
      </c>
      <c r="E3835" s="9" t="str">
        <f>IFERROR(__xludf.DUMMYFUNCTION("GOOGLETRANSLATE($A3835,""en"",""es"")"),"Castelo Branco")</f>
        <v>Castelo Branco</v>
      </c>
      <c r="F3835" s="9" t="str">
        <f>IFERROR(__xludf.DUMMYFUNCTION("GOOGLETRANSLATE($A3835,""en"",""it"")"),"Castello Branco")</f>
        <v>Castello Branco</v>
      </c>
      <c r="G3835" s="9" t="str">
        <f>IFERROR(__xludf.DUMMYFUNCTION("GOOGLETRANSLATE($A3835,""en"",""zh-cn"")"),"布兰科堡")</f>
        <v>布兰科堡</v>
      </c>
      <c r="H3835" s="9" t="str">
        <f>IFERROR(__xludf.DUMMYFUNCTION("GOOGLETRANSLATE($A3835,""en"",""ja"")"),"カステロ ブランコ")</f>
        <v>カステロ ブランコ</v>
      </c>
      <c r="I3835" s="9" t="str">
        <f>IFERROR(__xludf.DUMMYFUNCTION("GOOGLETRANSLATE($A3835,""en"",""ko"")"),"카스텔로 브랑코")</f>
        <v>카스텔로 브랑코</v>
      </c>
      <c r="J3835" s="9" t="str">
        <f>IFERROR(__xludf.DUMMYFUNCTION("GOOGLETRANSLATE($A3835,""en"",""pt-BR"")"),"Castelo Branco")</f>
        <v>Castelo Branco</v>
      </c>
    </row>
    <row r="3836">
      <c r="A3836" s="9" t="str">
        <f>IFERROR(__xludf.DUMMYFUNCTION("""COMPUTED_VALUE"""),"Coimbra")</f>
        <v>Coimbra</v>
      </c>
      <c r="B3836" s="9" t="str">
        <f>IFERROR(__xludf.DUMMYFUNCTION("""COMPUTED_VALUE"""),"pt-06")</f>
        <v>pt-06</v>
      </c>
      <c r="C3836" s="9" t="str">
        <f>IFERROR(__xludf.DUMMYFUNCTION("GOOGLETRANSLATE($A3836,""en"",""de"")"),"Coimbra")</f>
        <v>Coimbra</v>
      </c>
      <c r="D3836" s="9" t="str">
        <f>IFERROR(__xludf.DUMMYFUNCTION("GOOGLETRANSLATE($A3836,""en"",""fr"")"),"Coïmbre")</f>
        <v>Coïmbre</v>
      </c>
      <c r="E3836" s="9" t="str">
        <f>IFERROR(__xludf.DUMMYFUNCTION("GOOGLETRANSLATE($A3836,""en"",""es"")"),"Coímbra")</f>
        <v>Coímbra</v>
      </c>
      <c r="F3836" s="9" t="str">
        <f>IFERROR(__xludf.DUMMYFUNCTION("GOOGLETRANSLATE($A3836,""en"",""it"")"),"Coimbra")</f>
        <v>Coimbra</v>
      </c>
      <c r="G3836" s="9" t="str">
        <f>IFERROR(__xludf.DUMMYFUNCTION("GOOGLETRANSLATE($A3836,""en"",""zh-cn"")"),"科英布拉")</f>
        <v>科英布拉</v>
      </c>
      <c r="H3836" s="9" t="str">
        <f>IFERROR(__xludf.DUMMYFUNCTION("GOOGLETRANSLATE($A3836,""en"",""ja"")"),"コインブラ")</f>
        <v>コインブラ</v>
      </c>
      <c r="I3836" s="9" t="str">
        <f>IFERROR(__xludf.DUMMYFUNCTION("GOOGLETRANSLATE($A3836,""en"",""ko"")"),"코임브라")</f>
        <v>코임브라</v>
      </c>
      <c r="J3836" s="9" t="str">
        <f>IFERROR(__xludf.DUMMYFUNCTION("GOOGLETRANSLATE($A3836,""en"",""pt-BR"")"),"Coimbra")</f>
        <v>Coimbra</v>
      </c>
    </row>
    <row r="3837">
      <c r="A3837" s="9" t="str">
        <f>IFERROR(__xludf.DUMMYFUNCTION("""COMPUTED_VALUE"""),"Évora")</f>
        <v>Évora</v>
      </c>
      <c r="B3837" s="9" t="str">
        <f>IFERROR(__xludf.DUMMYFUNCTION("""COMPUTED_VALUE"""),"pt-07")</f>
        <v>pt-07</v>
      </c>
      <c r="C3837" s="9" t="str">
        <f>IFERROR(__xludf.DUMMYFUNCTION("GOOGLETRANSLATE($A3837,""en"",""de"")"),"Evora")</f>
        <v>Evora</v>
      </c>
      <c r="D3837" s="9" t="str">
        <f>IFERROR(__xludf.DUMMYFUNCTION("GOOGLETRANSLATE($A3837,""en"",""fr"")"),"Évora")</f>
        <v>Évora</v>
      </c>
      <c r="E3837" s="9" t="str">
        <f>IFERROR(__xludf.DUMMYFUNCTION("GOOGLETRANSLATE($A3837,""en"",""es"")"),"Évora")</f>
        <v>Évora</v>
      </c>
      <c r="F3837" s="9" t="str">
        <f>IFERROR(__xludf.DUMMYFUNCTION("GOOGLETRANSLATE($A3837,""en"",""it"")"),"Évora")</f>
        <v>Évora</v>
      </c>
      <c r="G3837" s="9" t="str">
        <f>IFERROR(__xludf.DUMMYFUNCTION("GOOGLETRANSLATE($A3837,""en"",""zh-cn"")"),"埃武拉")</f>
        <v>埃武拉</v>
      </c>
      <c r="H3837" s="9" t="str">
        <f>IFERROR(__xludf.DUMMYFUNCTION("GOOGLETRANSLATE($A3837,""en"",""ja"")"),"エヴォラ")</f>
        <v>エヴォラ</v>
      </c>
      <c r="I3837" s="9" t="str">
        <f>IFERROR(__xludf.DUMMYFUNCTION("GOOGLETRANSLATE($A3837,""en"",""ko"")"),"에보라")</f>
        <v>에보라</v>
      </c>
      <c r="J3837" s="9" t="str">
        <f>IFERROR(__xludf.DUMMYFUNCTION("GOOGLETRANSLATE($A3837,""en"",""pt-BR"")"),"Évora")</f>
        <v>Évora</v>
      </c>
    </row>
    <row r="3838">
      <c r="A3838" s="9" t="str">
        <f>IFERROR(__xludf.DUMMYFUNCTION("""COMPUTED_VALUE"""),"Faro")</f>
        <v>Faro</v>
      </c>
      <c r="B3838" s="9" t="str">
        <f>IFERROR(__xludf.DUMMYFUNCTION("""COMPUTED_VALUE"""),"pt-08")</f>
        <v>pt-08</v>
      </c>
      <c r="C3838" s="9" t="str">
        <f>IFERROR(__xludf.DUMMYFUNCTION("GOOGLETRANSLATE($A3838,""en"",""de"")"),"Faro")</f>
        <v>Faro</v>
      </c>
      <c r="D3838" s="9" t="str">
        <f>IFERROR(__xludf.DUMMYFUNCTION("GOOGLETRANSLATE($A3838,""en"",""fr"")"),"Faro")</f>
        <v>Faro</v>
      </c>
      <c r="E3838" s="9" t="str">
        <f>IFERROR(__xludf.DUMMYFUNCTION("GOOGLETRANSLATE($A3838,""en"",""es"")"),"Faraón")</f>
        <v>Faraón</v>
      </c>
      <c r="F3838" s="9" t="str">
        <f>IFERROR(__xludf.DUMMYFUNCTION("GOOGLETRANSLATE($A3838,""en"",""it"")"),"Faro")</f>
        <v>Faro</v>
      </c>
      <c r="G3838" s="9" t="str">
        <f>IFERROR(__xludf.DUMMYFUNCTION("GOOGLETRANSLATE($A3838,""en"",""zh-cn"")"),"法鲁")</f>
        <v>法鲁</v>
      </c>
      <c r="H3838" s="9" t="str">
        <f>IFERROR(__xludf.DUMMYFUNCTION("GOOGLETRANSLATE($A3838,""en"",""ja"")"),"ファロ")</f>
        <v>ファロ</v>
      </c>
      <c r="I3838" s="9" t="str">
        <f>IFERROR(__xludf.DUMMYFUNCTION("GOOGLETRANSLATE($A3838,""en"",""ko"")"),"놀이")</f>
        <v>놀이</v>
      </c>
      <c r="J3838" s="9" t="str">
        <f>IFERROR(__xludf.DUMMYFUNCTION("GOOGLETRANSLATE($A3838,""en"",""pt-BR"")"),"Faro")</f>
        <v>Faro</v>
      </c>
    </row>
    <row r="3839">
      <c r="A3839" s="9" t="str">
        <f>IFERROR(__xludf.DUMMYFUNCTION("""COMPUTED_VALUE"""),"Aveiro")</f>
        <v>Aveiro</v>
      </c>
      <c r="B3839" s="9" t="str">
        <f>IFERROR(__xludf.DUMMYFUNCTION("""COMPUTED_VALUE"""),"pt-01")</f>
        <v>pt-01</v>
      </c>
      <c r="C3839" s="9" t="str">
        <f>IFERROR(__xludf.DUMMYFUNCTION("GOOGLETRANSLATE($A3839,""en"",""de"")"),"Aveiro")</f>
        <v>Aveiro</v>
      </c>
      <c r="D3839" s="9" t="str">
        <f>IFERROR(__xludf.DUMMYFUNCTION("GOOGLETRANSLATE($A3839,""en"",""fr"")"),"Aveiro")</f>
        <v>Aveiro</v>
      </c>
      <c r="E3839" s="9" t="str">
        <f>IFERROR(__xludf.DUMMYFUNCTION("GOOGLETRANSLATE($A3839,""en"",""es"")"),"Aveiro")</f>
        <v>Aveiro</v>
      </c>
      <c r="F3839" s="9" t="str">
        <f>IFERROR(__xludf.DUMMYFUNCTION("GOOGLETRANSLATE($A3839,""en"",""it"")"),"Aveiro")</f>
        <v>Aveiro</v>
      </c>
      <c r="G3839" s="9" t="str">
        <f>IFERROR(__xludf.DUMMYFUNCTION("GOOGLETRANSLATE($A3839,""en"",""zh-cn"")"),"阿威罗")</f>
        <v>阿威罗</v>
      </c>
      <c r="H3839" s="9" t="str">
        <f>IFERROR(__xludf.DUMMYFUNCTION("GOOGLETRANSLATE($A3839,""en"",""ja"")"),"アベイロ")</f>
        <v>アベイロ</v>
      </c>
      <c r="I3839" s="9" t="str">
        <f>IFERROR(__xludf.DUMMYFUNCTION("GOOGLETRANSLATE($A3839,""en"",""ko"")"),"아베이루")</f>
        <v>아베이루</v>
      </c>
      <c r="J3839" s="9" t="str">
        <f>IFERROR(__xludf.DUMMYFUNCTION("GOOGLETRANSLATE($A3839,""en"",""pt-BR"")"),"Aveiro")</f>
        <v>Aveiro</v>
      </c>
    </row>
    <row r="3840">
      <c r="A3840" s="9" t="str">
        <f>IFERROR(__xludf.DUMMYFUNCTION("""COMPUTED_VALUE"""),"Beja (PT)")</f>
        <v>Beja (PT)</v>
      </c>
      <c r="B3840" s="9" t="str">
        <f>IFERROR(__xludf.DUMMYFUNCTION("""COMPUTED_VALUE"""),"pt-02")</f>
        <v>pt-02</v>
      </c>
      <c r="C3840" s="9" t="str">
        <f>IFERROR(__xludf.DUMMYFUNCTION("GOOGLETRANSLATE($A3840,""en"",""de"")"),"Beja (PT)")</f>
        <v>Beja (PT)</v>
      </c>
      <c r="D3840" s="9" t="str">
        <f>IFERROR(__xludf.DUMMYFUNCTION("GOOGLETRANSLATE($A3840,""en"",""fr"")"),"Béja (PT)")</f>
        <v>Béja (PT)</v>
      </c>
      <c r="E3840" s="9" t="str">
        <f>IFERROR(__xludf.DUMMYFUNCTION("GOOGLETRANSLATE($A3840,""en"",""es"")"),"Beja (PT)")</f>
        <v>Beja (PT)</v>
      </c>
      <c r="F3840" s="9" t="str">
        <f>IFERROR(__xludf.DUMMYFUNCTION("GOOGLETRANSLATE($A3840,""en"",""it"")"),"Beja (PT)")</f>
        <v>Beja (PT)</v>
      </c>
      <c r="G3840" s="9" t="str">
        <f>IFERROR(__xludf.DUMMYFUNCTION("GOOGLETRANSLATE($A3840,""en"",""zh-cn"")"),"贝雅 (PT)")</f>
        <v>贝雅 (PT)</v>
      </c>
      <c r="H3840" s="9" t="str">
        <f>IFERROR(__xludf.DUMMYFUNCTION("GOOGLETRANSLATE($A3840,""en"",""ja"")"),"ベジャ (PT)")</f>
        <v>ベジャ (PT)</v>
      </c>
      <c r="I3840" s="9" t="str">
        <f>IFERROR(__xludf.DUMMYFUNCTION("GOOGLETRANSLATE($A3840,""en"",""ko"")"),"베자(PT)")</f>
        <v>베자(PT)</v>
      </c>
      <c r="J3840" s="9" t="str">
        <f>IFERROR(__xludf.DUMMYFUNCTION("GOOGLETRANSLATE($A3840,""en"",""pt-BR"")"),"Beja (PT)")</f>
        <v>Beja (PT)</v>
      </c>
    </row>
    <row r="3841">
      <c r="A3841" s="9" t="str">
        <f>IFERROR(__xludf.DUMMYFUNCTION("""COMPUTED_VALUE"""),"Braga")</f>
        <v>Braga</v>
      </c>
      <c r="B3841" s="9" t="str">
        <f>IFERROR(__xludf.DUMMYFUNCTION("""COMPUTED_VALUE"""),"pt-03")</f>
        <v>pt-03</v>
      </c>
      <c r="C3841" s="9" t="str">
        <f>IFERROR(__xludf.DUMMYFUNCTION("GOOGLETRANSLATE($A3841,""en"",""de"")"),"Braga")</f>
        <v>Braga</v>
      </c>
      <c r="D3841" s="9" t="str">
        <f>IFERROR(__xludf.DUMMYFUNCTION("GOOGLETRANSLATE($A3841,""en"",""fr"")"),"Braga")</f>
        <v>Braga</v>
      </c>
      <c r="E3841" s="9" t="str">
        <f>IFERROR(__xludf.DUMMYFUNCTION("GOOGLETRANSLATE($A3841,""en"",""es"")"),"braga")</f>
        <v>braga</v>
      </c>
      <c r="F3841" s="9" t="str">
        <f>IFERROR(__xludf.DUMMYFUNCTION("GOOGLETRANSLATE($A3841,""en"",""it"")"),"Braga")</f>
        <v>Braga</v>
      </c>
      <c r="G3841" s="9" t="str">
        <f>IFERROR(__xludf.DUMMYFUNCTION("GOOGLETRANSLATE($A3841,""en"",""zh-cn"")"),"布拉加")</f>
        <v>布拉加</v>
      </c>
      <c r="H3841" s="9" t="str">
        <f>IFERROR(__xludf.DUMMYFUNCTION("GOOGLETRANSLATE($A3841,""en"",""ja"")"),"ブラガ")</f>
        <v>ブラガ</v>
      </c>
      <c r="I3841" s="9" t="str">
        <f>IFERROR(__xludf.DUMMYFUNCTION("GOOGLETRANSLATE($A3841,""en"",""ko"")"),"브라가")</f>
        <v>브라가</v>
      </c>
      <c r="J3841" s="9" t="str">
        <f>IFERROR(__xludf.DUMMYFUNCTION("GOOGLETRANSLATE($A3841,""en"",""pt-BR"")"),"Braga")</f>
        <v>Braga</v>
      </c>
    </row>
    <row r="3842">
      <c r="A3842" s="9" t="str">
        <f>IFERROR(__xludf.DUMMYFUNCTION("""COMPUTED_VALUE"""),"Bragança")</f>
        <v>Bragança</v>
      </c>
      <c r="B3842" s="9" t="str">
        <f>IFERROR(__xludf.DUMMYFUNCTION("""COMPUTED_VALUE"""),"pt-04")</f>
        <v>pt-04</v>
      </c>
      <c r="C3842" s="9" t="str">
        <f>IFERROR(__xludf.DUMMYFUNCTION("GOOGLETRANSLATE($A3842,""en"",""de"")"),"Bragança")</f>
        <v>Bragança</v>
      </c>
      <c r="D3842" s="9" t="str">
        <f>IFERROR(__xludf.DUMMYFUNCTION("GOOGLETRANSLATE($A3842,""en"",""fr"")"),"Bragance")</f>
        <v>Bragance</v>
      </c>
      <c r="E3842" s="9" t="str">
        <f>IFERROR(__xludf.DUMMYFUNCTION("GOOGLETRANSLATE($A3842,""en"",""es"")"),"Braganza")</f>
        <v>Braganza</v>
      </c>
      <c r="F3842" s="9" t="str">
        <f>IFERROR(__xludf.DUMMYFUNCTION("GOOGLETRANSLATE($A3842,""en"",""it"")"),"Braganza")</f>
        <v>Braganza</v>
      </c>
      <c r="G3842" s="9" t="str">
        <f>IFERROR(__xludf.DUMMYFUNCTION("GOOGLETRANSLATE($A3842,""en"",""zh-cn"")"),"布拉干萨")</f>
        <v>布拉干萨</v>
      </c>
      <c r="H3842" s="9" t="str">
        <f>IFERROR(__xludf.DUMMYFUNCTION("GOOGLETRANSLATE($A3842,""en"",""ja"")"),"ブラガンサ")</f>
        <v>ブラガンサ</v>
      </c>
      <c r="I3842" s="9" t="str">
        <f>IFERROR(__xludf.DUMMYFUNCTION("GOOGLETRANSLATE($A3842,""en"",""ko"")"),"브라간사")</f>
        <v>브라간사</v>
      </c>
      <c r="J3842" s="9" t="str">
        <f>IFERROR(__xludf.DUMMYFUNCTION("GOOGLETRANSLATE($A3842,""en"",""pt-BR"")"),"Bragança")</f>
        <v>Bragança</v>
      </c>
    </row>
    <row r="3843">
      <c r="A3843" s="9" t="str">
        <f>IFERROR(__xludf.DUMMYFUNCTION("""COMPUTED_VALUE"""),"Vila Real")</f>
        <v>Vila Real</v>
      </c>
      <c r="B3843" s="9" t="str">
        <f>IFERROR(__xludf.DUMMYFUNCTION("""COMPUTED_VALUE"""),"pt-17")</f>
        <v>pt-17</v>
      </c>
      <c r="C3843" s="9" t="str">
        <f>IFERROR(__xludf.DUMMYFUNCTION("GOOGLETRANSLATE($A3843,""en"",""de"")"),"Vila Real")</f>
        <v>Vila Real</v>
      </c>
      <c r="D3843" s="9" t="str">
        <f>IFERROR(__xludf.DUMMYFUNCTION("GOOGLETRANSLATE($A3843,""en"",""fr"")"),"Vila Réal")</f>
        <v>Vila Réal</v>
      </c>
      <c r="E3843" s="9" t="str">
        <f>IFERROR(__xludf.DUMMYFUNCTION("GOOGLETRANSLATE($A3843,""en"",""es"")"),"Villa Real")</f>
        <v>Villa Real</v>
      </c>
      <c r="F3843" s="9" t="str">
        <f>IFERROR(__xludf.DUMMYFUNCTION("GOOGLETRANSLATE($A3843,""en"",""it"")"),"Villa Real")</f>
        <v>Villa Real</v>
      </c>
      <c r="G3843" s="9" t="str">
        <f>IFERROR(__xludf.DUMMYFUNCTION("GOOGLETRANSLATE($A3843,""en"",""zh-cn"")"),"维拉·雷亚尔")</f>
        <v>维拉·雷亚尔</v>
      </c>
      <c r="H3843" s="9" t="str">
        <f>IFERROR(__xludf.DUMMYFUNCTION("GOOGLETRANSLATE($A3843,""en"",""ja"")"),"ビラ・レアル")</f>
        <v>ビラ・レアル</v>
      </c>
      <c r="I3843" s="9" t="str">
        <f>IFERROR(__xludf.DUMMYFUNCTION("GOOGLETRANSLATE($A3843,""en"",""ko"")"),"빌라 레알")</f>
        <v>빌라 레알</v>
      </c>
      <c r="J3843" s="9" t="str">
        <f>IFERROR(__xludf.DUMMYFUNCTION("GOOGLETRANSLATE($A3843,""en"",""pt-BR"")"),"Vila Real")</f>
        <v>Vila Real</v>
      </c>
    </row>
    <row r="3844">
      <c r="A3844" s="9" t="str">
        <f>IFERROR(__xludf.DUMMYFUNCTION("""COMPUTED_VALUE"""),"Viseu")</f>
        <v>Viseu</v>
      </c>
      <c r="B3844" s="9" t="str">
        <f>IFERROR(__xludf.DUMMYFUNCTION("""COMPUTED_VALUE"""),"pt-18")</f>
        <v>pt-18</v>
      </c>
      <c r="C3844" s="9" t="str">
        <f>IFERROR(__xludf.DUMMYFUNCTION("GOOGLETRANSLATE($A3844,""en"",""de"")"),"Viseu")</f>
        <v>Viseu</v>
      </c>
      <c r="D3844" s="9" t="str">
        <f>IFERROR(__xludf.DUMMYFUNCTION("GOOGLETRANSLATE($A3844,""en"",""fr"")"),"Viseu")</f>
        <v>Viseu</v>
      </c>
      <c r="E3844" s="9" t="str">
        <f>IFERROR(__xludf.DUMMYFUNCTION("GOOGLETRANSLATE($A3844,""en"",""es"")"),"Viseu")</f>
        <v>Viseu</v>
      </c>
      <c r="F3844" s="9" t="str">
        <f>IFERROR(__xludf.DUMMYFUNCTION("GOOGLETRANSLATE($A3844,""en"",""it"")"),"Viseu")</f>
        <v>Viseu</v>
      </c>
      <c r="G3844" s="9" t="str">
        <f>IFERROR(__xludf.DUMMYFUNCTION("GOOGLETRANSLATE($A3844,""en"",""zh-cn"")"),"维塞乌")</f>
        <v>维塞乌</v>
      </c>
      <c r="H3844" s="9" t="str">
        <f>IFERROR(__xludf.DUMMYFUNCTION("GOOGLETRANSLATE($A3844,""en"",""ja"")"),"ビゼウ")</f>
        <v>ビゼウ</v>
      </c>
      <c r="I3844" s="9" t="str">
        <f>IFERROR(__xludf.DUMMYFUNCTION("GOOGLETRANSLATE($A3844,""en"",""ko"")"),"비제우")</f>
        <v>비제우</v>
      </c>
      <c r="J3844" s="9" t="str">
        <f>IFERROR(__xludf.DUMMYFUNCTION("GOOGLETRANSLATE($A3844,""en"",""pt-BR"")"),"Viseu")</f>
        <v>Viseu</v>
      </c>
    </row>
    <row r="3845">
      <c r="A3845" s="9" t="str">
        <f>IFERROR(__xludf.DUMMYFUNCTION("""COMPUTED_VALUE"""),"Região Autónoma dos Açores")</f>
        <v>Região Autónoma dos Açores</v>
      </c>
      <c r="B3845" s="9" t="str">
        <f>IFERROR(__xludf.DUMMYFUNCTION("""COMPUTED_VALUE"""),"pt-20")</f>
        <v>pt-20</v>
      </c>
      <c r="C3845" s="9" t="str">
        <f>IFERROR(__xludf.DUMMYFUNCTION("GOOGLETRANSLATE($A3845,""en"",""de"")"),"Região Autónoma dos Açores")</f>
        <v>Região Autónoma dos Açores</v>
      </c>
      <c r="D3845" s="9" t="str">
        <f>IFERROR(__xludf.DUMMYFUNCTION("GOOGLETRANSLATE($A3845,""en"",""fr"")"),"Région autonome des Açores")</f>
        <v>Région autonome des Açores</v>
      </c>
      <c r="E3845" s="9" t="str">
        <f>IFERROR(__xludf.DUMMYFUNCTION("GOOGLETRANSLATE($A3845,""en"",""es"")"),"Región Autónoma de las Azores")</f>
        <v>Región Autónoma de las Azores</v>
      </c>
      <c r="F3845" s="9" t="str">
        <f>IFERROR(__xludf.DUMMYFUNCTION("GOOGLETRANSLATE($A3845,""en"",""it"")"),"Regione Autonoma delle Azzorre")</f>
        <v>Regione Autonoma delle Azzorre</v>
      </c>
      <c r="G3845" s="9" t="str">
        <f>IFERROR(__xludf.DUMMYFUNCTION("GOOGLETRANSLATE($A3845,""en"",""zh-cn"")"),"亚速尔自治区")</f>
        <v>亚速尔自治区</v>
      </c>
      <c r="H3845" s="9" t="str">
        <f>IFERROR(__xludf.DUMMYFUNCTION("GOOGLETRANSLATE($A3845,""en"",""ja"")"),"アソーレ自治州")</f>
        <v>アソーレ自治州</v>
      </c>
      <c r="I3845" s="9" t="str">
        <f>IFERROR(__xludf.DUMMYFUNCTION("GOOGLETRANSLATE($A3845,""en"",""ko"")"),"Região Autónoma dos Açores")</f>
        <v>Região Autónoma dos Açores</v>
      </c>
      <c r="J3845" s="9" t="str">
        <f>IFERROR(__xludf.DUMMYFUNCTION("GOOGLETRANSLATE($A3845,""en"",""pt-BR"")"),"Região Autónoma dos Açores")</f>
        <v>Região Autónoma dos Açores</v>
      </c>
    </row>
    <row r="3846">
      <c r="A3846" s="9" t="str">
        <f>IFERROR(__xludf.DUMMYFUNCTION("""COMPUTED_VALUE"""),"Região Autónoma da Madeira")</f>
        <v>Região Autónoma da Madeira</v>
      </c>
      <c r="B3846" s="9" t="str">
        <f>IFERROR(__xludf.DUMMYFUNCTION("""COMPUTED_VALUE"""),"pt-30")</f>
        <v>pt-30</v>
      </c>
      <c r="C3846" s="9" t="str">
        <f>IFERROR(__xludf.DUMMYFUNCTION("GOOGLETRANSLATE($A3846,""en"",""de"")"),"Autonome Region Madeira")</f>
        <v>Autonome Region Madeira</v>
      </c>
      <c r="D3846" s="9" t="str">
        <f>IFERROR(__xludf.DUMMYFUNCTION("GOOGLETRANSLATE($A3846,""en"",""fr"")"),"Région autonome de Madère")</f>
        <v>Région autonome de Madère</v>
      </c>
      <c r="E3846" s="9" t="str">
        <f>IFERROR(__xludf.DUMMYFUNCTION("GOOGLETRANSLATE($A3846,""en"",""es"")"),"Región Autónoma de Madeira")</f>
        <v>Región Autónoma de Madeira</v>
      </c>
      <c r="F3846" s="9" t="str">
        <f>IFERROR(__xludf.DUMMYFUNCTION("GOOGLETRANSLATE($A3846,""en"",""it"")"),"Regione Autonoma di Madeira")</f>
        <v>Regione Autonoma di Madeira</v>
      </c>
      <c r="G3846" s="9" t="str">
        <f>IFERROR(__xludf.DUMMYFUNCTION("GOOGLETRANSLATE($A3846,""en"",""zh-cn"")"),"马德拉自治区")</f>
        <v>马德拉自治区</v>
      </c>
      <c r="H3846" s="9" t="str">
        <f>IFERROR(__xludf.DUMMYFUNCTION("GOOGLETRANSLATE($A3846,""en"",""ja"")"),"マデイラ自治区")</f>
        <v>マデイラ自治区</v>
      </c>
      <c r="I3846" s="9" t="str">
        <f>IFERROR(__xludf.DUMMYFUNCTION("GOOGLETRANSLATE($A3846,""en"",""ko"")"),"마데이라 지역(Região Autónoma da Madeira)")</f>
        <v>마데이라 지역(Região Autónoma da Madeira)</v>
      </c>
      <c r="J3846" s="9" t="str">
        <f>IFERROR(__xludf.DUMMYFUNCTION("GOOGLETRANSLATE($A3846,""en"",""pt-BR"")"),"Região Autónoma da Madeira")</f>
        <v>Região Autónoma da Madeira</v>
      </c>
    </row>
    <row r="3847">
      <c r="A3847" s="9" t="str">
        <f>IFERROR(__xludf.DUMMYFUNCTION("""COMPUTED_VALUE"""),"Porto")</f>
        <v>Porto</v>
      </c>
      <c r="B3847" s="9" t="str">
        <f>IFERROR(__xludf.DUMMYFUNCTION("""COMPUTED_VALUE"""),"pt-13")</f>
        <v>pt-13</v>
      </c>
      <c r="C3847" s="9" t="str">
        <f>IFERROR(__xludf.DUMMYFUNCTION("GOOGLETRANSLATE($A3847,""en"",""de"")"),"Porto")</f>
        <v>Porto</v>
      </c>
      <c r="D3847" s="9" t="str">
        <f>IFERROR(__xludf.DUMMYFUNCTION("GOOGLETRANSLATE($A3847,""en"",""fr"")"),"Porto")</f>
        <v>Porto</v>
      </c>
      <c r="E3847" s="9" t="str">
        <f>IFERROR(__xludf.DUMMYFUNCTION("GOOGLETRANSLATE($A3847,""en"",""es"")"),"Oporto")</f>
        <v>Oporto</v>
      </c>
      <c r="F3847" s="9" t="str">
        <f>IFERROR(__xludf.DUMMYFUNCTION("GOOGLETRANSLATE($A3847,""en"",""it"")"),"Porto")</f>
        <v>Porto</v>
      </c>
      <c r="G3847" s="9" t="str">
        <f>IFERROR(__xludf.DUMMYFUNCTION("GOOGLETRANSLATE($A3847,""en"",""zh-cn"")"),"波尔图")</f>
        <v>波尔图</v>
      </c>
      <c r="H3847" s="9" t="str">
        <f>IFERROR(__xludf.DUMMYFUNCTION("GOOGLETRANSLATE($A3847,""en"",""ja"")"),"ポルト")</f>
        <v>ポルト</v>
      </c>
      <c r="I3847" s="9" t="str">
        <f>IFERROR(__xludf.DUMMYFUNCTION("GOOGLETRANSLATE($A3847,""en"",""ko"")"),"포르투")</f>
        <v>포르투</v>
      </c>
      <c r="J3847" s="9" t="str">
        <f>IFERROR(__xludf.DUMMYFUNCTION("GOOGLETRANSLATE($A3847,""en"",""pt-BR"")"),"Porto")</f>
        <v>Porto</v>
      </c>
    </row>
    <row r="3848">
      <c r="A3848" s="9" t="str">
        <f>IFERROR(__xludf.DUMMYFUNCTION("""COMPUTED_VALUE"""),"Santarém")</f>
        <v>Santarém</v>
      </c>
      <c r="B3848" s="9" t="str">
        <f>IFERROR(__xludf.DUMMYFUNCTION("""COMPUTED_VALUE"""),"pt-14")</f>
        <v>pt-14</v>
      </c>
      <c r="C3848" s="9" t="str">
        <f>IFERROR(__xludf.DUMMYFUNCTION("GOOGLETRANSLATE($A3848,""en"",""de"")"),"Santarém")</f>
        <v>Santarém</v>
      </c>
      <c r="D3848" s="9" t="str">
        <f>IFERROR(__xludf.DUMMYFUNCTION("GOOGLETRANSLATE($A3848,""en"",""fr"")"),"Santarem")</f>
        <v>Santarem</v>
      </c>
      <c r="E3848" s="9" t="str">
        <f>IFERROR(__xludf.DUMMYFUNCTION("GOOGLETRANSLATE($A3848,""en"",""es"")"),"Santarém")</f>
        <v>Santarém</v>
      </c>
      <c r="F3848" s="9" t="str">
        <f>IFERROR(__xludf.DUMMYFUNCTION("GOOGLETRANSLATE($A3848,""en"",""it"")"),"Santarém")</f>
        <v>Santarém</v>
      </c>
      <c r="G3848" s="9" t="str">
        <f>IFERROR(__xludf.DUMMYFUNCTION("GOOGLETRANSLATE($A3848,""en"",""zh-cn"")"),"圣塔伦")</f>
        <v>圣塔伦</v>
      </c>
      <c r="H3848" s="9" t="str">
        <f>IFERROR(__xludf.DUMMYFUNCTION("GOOGLETRANSLATE($A3848,""en"",""ja"")"),"サンタレン")</f>
        <v>サンタレン</v>
      </c>
      <c r="I3848" s="9" t="str">
        <f>IFERROR(__xludf.DUMMYFUNCTION("GOOGLETRANSLATE($A3848,""en"",""ko"")"),"산타렘")</f>
        <v>산타렘</v>
      </c>
      <c r="J3848" s="9" t="str">
        <f>IFERROR(__xludf.DUMMYFUNCTION("GOOGLETRANSLATE($A3848,""en"",""pt-BR"")"),"Santarém")</f>
        <v>Santarém</v>
      </c>
    </row>
    <row r="3849">
      <c r="A3849" s="9" t="str">
        <f>IFERROR(__xludf.DUMMYFUNCTION("""COMPUTED_VALUE"""),"Setúbal")</f>
        <v>Setúbal</v>
      </c>
      <c r="B3849" s="9" t="str">
        <f>IFERROR(__xludf.DUMMYFUNCTION("""COMPUTED_VALUE"""),"pt-15")</f>
        <v>pt-15</v>
      </c>
      <c r="C3849" s="9" t="str">
        <f>IFERROR(__xludf.DUMMYFUNCTION("GOOGLETRANSLATE($A3849,""en"",""de"")"),"Setúbal")</f>
        <v>Setúbal</v>
      </c>
      <c r="D3849" s="9" t="str">
        <f>IFERROR(__xludf.DUMMYFUNCTION("GOOGLETRANSLATE($A3849,""en"",""fr"")"),"Setúbal")</f>
        <v>Setúbal</v>
      </c>
      <c r="E3849" s="9" t="str">
        <f>IFERROR(__xludf.DUMMYFUNCTION("GOOGLETRANSLATE($A3849,""en"",""es"")"),"Setúbal")</f>
        <v>Setúbal</v>
      </c>
      <c r="F3849" s="9" t="str">
        <f>IFERROR(__xludf.DUMMYFUNCTION("GOOGLETRANSLATE($A3849,""en"",""it"")"),"Setúbal")</f>
        <v>Setúbal</v>
      </c>
      <c r="G3849" s="9" t="str">
        <f>IFERROR(__xludf.DUMMYFUNCTION("GOOGLETRANSLATE($A3849,""en"",""zh-cn"")"),"塞图巴尔")</f>
        <v>塞图巴尔</v>
      </c>
      <c r="H3849" s="9" t="str">
        <f>IFERROR(__xludf.DUMMYFUNCTION("GOOGLETRANSLATE($A3849,""en"",""ja"")"),"セトゥーバル")</f>
        <v>セトゥーバル</v>
      </c>
      <c r="I3849" s="9" t="str">
        <f>IFERROR(__xludf.DUMMYFUNCTION("GOOGLETRANSLATE($A3849,""en"",""ko"")"),"세투발")</f>
        <v>세투발</v>
      </c>
      <c r="J3849" s="9" t="str">
        <f>IFERROR(__xludf.DUMMYFUNCTION("GOOGLETRANSLATE($A3849,""en"",""pt-BR"")"),"Setúbal")</f>
        <v>Setúbal</v>
      </c>
    </row>
    <row r="3850">
      <c r="A3850" s="9" t="str">
        <f>IFERROR(__xludf.DUMMYFUNCTION("""COMPUTED_VALUE"""),"Viana do Castelo")</f>
        <v>Viana do Castelo</v>
      </c>
      <c r="B3850" s="9" t="str">
        <f>IFERROR(__xludf.DUMMYFUNCTION("""COMPUTED_VALUE"""),"pt-16")</f>
        <v>pt-16</v>
      </c>
      <c r="C3850" s="9" t="str">
        <f>IFERROR(__xludf.DUMMYFUNCTION("GOOGLETRANSLATE($A3850,""en"",""de"")"),"Viana do Castelo")</f>
        <v>Viana do Castelo</v>
      </c>
      <c r="D3850" s="9" t="str">
        <f>IFERROR(__xludf.DUMMYFUNCTION("GOOGLETRANSLATE($A3850,""en"",""fr"")"),"Viana do Castelo")</f>
        <v>Viana do Castelo</v>
      </c>
      <c r="E3850" s="9" t="str">
        <f>IFERROR(__xludf.DUMMYFUNCTION("GOOGLETRANSLATE($A3850,""en"",""es"")"),"Viana do Castelo")</f>
        <v>Viana do Castelo</v>
      </c>
      <c r="F3850" s="9" t="str">
        <f>IFERROR(__xludf.DUMMYFUNCTION("GOOGLETRANSLATE($A3850,""en"",""it"")"),"Viana do Castelo")</f>
        <v>Viana do Castelo</v>
      </c>
      <c r="G3850" s="9" t="str">
        <f>IFERROR(__xludf.DUMMYFUNCTION("GOOGLETRANSLATE($A3850,""en"",""zh-cn"")"),"维亚纳堡")</f>
        <v>维亚纳堡</v>
      </c>
      <c r="H3850" s="9" t="str">
        <f>IFERROR(__xludf.DUMMYFUNCTION("GOOGLETRANSLATE($A3850,""en"",""ja"")"),"ヴィアナ ド カステロ")</f>
        <v>ヴィアナ ド カステロ</v>
      </c>
      <c r="I3850" s="9" t="str">
        <f>IFERROR(__xludf.DUMMYFUNCTION("GOOGLETRANSLATE($A3850,""en"",""ko"")"),"비아나 도 카스텔로")</f>
        <v>비아나 도 카스텔로</v>
      </c>
      <c r="J3850" s="9" t="str">
        <f>IFERROR(__xludf.DUMMYFUNCTION("GOOGLETRANSLATE($A3850,""en"",""pt-BR"")"),"Viana do Castelo")</f>
        <v>Viana do Castelo</v>
      </c>
    </row>
    <row r="3851">
      <c r="A3851" s="9" t="str">
        <f>IFERROR(__xludf.DUMMYFUNCTION("""COMPUTED_VALUE"""),"Az̧ Za̧`āyin")</f>
        <v>Az̧ Za̧`āyin</v>
      </c>
      <c r="B3851" s="9" t="str">
        <f>IFERROR(__xludf.DUMMYFUNCTION("""COMPUTED_VALUE"""),"qa-za")</f>
        <v>qa-za</v>
      </c>
      <c r="C3851" s="9" t="str">
        <f>IFERROR(__xludf.DUMMYFUNCTION("GOOGLETRANSLATE($A3851,""en"",""de"")"),"Az̧ Za̧`āyin")</f>
        <v>Az̧ Za̧`āyin</v>
      </c>
      <c r="D3851" s="9" t="str">
        <f>IFERROR(__xludf.DUMMYFUNCTION("GOOGLETRANSLATE($A3851,""en"",""fr"")"),"Az̧ Za̧`āyin")</f>
        <v>Az̧ Za̧`āyin</v>
      </c>
      <c r="E3851" s="9" t="str">
        <f>IFERROR(__xludf.DUMMYFUNCTION("GOOGLETRANSLATE($A3851,""en"",""es"")"),"Az̧ Za̧`āyin")</f>
        <v>Az̧ Za̧`āyin</v>
      </c>
      <c r="F3851" s="9" t="str">
        <f>IFERROR(__xludf.DUMMYFUNCTION("GOOGLETRANSLATE($A3851,""en"",""it"")"),"Az̧ Za̧`āyin")</f>
        <v>Az̧ Za̧`āyin</v>
      </c>
      <c r="G3851" s="9" t="str">
        <f>IFERROR(__xludf.DUMMYFUNCTION("GOOGLETRANSLATE($A3851,""en"",""zh-cn"")"),"Az̧ Za̧`āyin")</f>
        <v>Az̧ Za̧`āyin</v>
      </c>
      <c r="H3851" s="9" t="str">
        <f>IFERROR(__xludf.DUMMYFUNCTION("GOOGLETRANSLATE($A3851,""en"",""ja"")"),"アズー・ザーイン")</f>
        <v>アズー・ザーイン</v>
      </c>
      <c r="I3851" s="9" t="str">
        <f>IFERROR(__xludf.DUMMYFUNCTION("GOOGLETRANSLATE($A3851,""en"",""ko"")"),"Az̧ Za̧`āyin")</f>
        <v>Az̧ Za̧`āyin</v>
      </c>
      <c r="J3851" s="9" t="str">
        <f>IFERROR(__xludf.DUMMYFUNCTION("GOOGLETRANSLATE($A3851,""en"",""pt-BR"")"),"Az̧ Za̧`āyin")</f>
        <v>Az̧ Za̧`āyin</v>
      </c>
    </row>
    <row r="3852">
      <c r="A3852" s="9" t="str">
        <f>IFERROR(__xludf.DUMMYFUNCTION("""COMPUTED_VALUE"""),"Ar Rayyān")</f>
        <v>Ar Rayyān</v>
      </c>
      <c r="B3852" s="9" t="str">
        <f>IFERROR(__xludf.DUMMYFUNCTION("""COMPUTED_VALUE"""),"qa-ra")</f>
        <v>qa-ra</v>
      </c>
      <c r="C3852" s="9" t="str">
        <f>IFERROR(__xludf.DUMMYFUNCTION("GOOGLETRANSLATE($A3852,""en"",""de"")"),"Ar Rayyan")</f>
        <v>Ar Rayyan</v>
      </c>
      <c r="D3852" s="9" t="str">
        <f>IFERROR(__xludf.DUMMYFUNCTION("GOOGLETRANSLATE($A3852,""en"",""fr"")"),"Ar Rayyan")</f>
        <v>Ar Rayyan</v>
      </c>
      <c r="E3852" s="9" t="str">
        <f>IFERROR(__xludf.DUMMYFUNCTION("GOOGLETRANSLATE($A3852,""en"",""es"")"),"Ar Rayyān")</f>
        <v>Ar Rayyān</v>
      </c>
      <c r="F3852" s="9" t="str">
        <f>IFERROR(__xludf.DUMMYFUNCTION("GOOGLETRANSLATE($A3852,""en"",""it"")"),"Ar Rayyan")</f>
        <v>Ar Rayyan</v>
      </c>
      <c r="G3852" s="9" t="str">
        <f>IFERROR(__xludf.DUMMYFUNCTION("GOOGLETRANSLATE($A3852,""en"",""zh-cn"")"),"阿尔雷延")</f>
        <v>阿尔雷延</v>
      </c>
      <c r="H3852" s="9" t="str">
        <f>IFERROR(__xludf.DUMMYFUNCTION("GOOGLETRANSLATE($A3852,""en"",""ja"")"),"アル・ライヤーン")</f>
        <v>アル・ライヤーン</v>
      </c>
      <c r="I3852" s="9" t="str">
        <f>IFERROR(__xludf.DUMMYFUNCTION("GOOGLETRANSLATE($A3852,""en"",""ko"")"),"아르 라이얀")</f>
        <v>아르 라이얀</v>
      </c>
      <c r="J3852" s="9" t="str">
        <f>IFERROR(__xludf.DUMMYFUNCTION("GOOGLETRANSLATE($A3852,""en"",""pt-BR"")"),"Ar Rayyan")</f>
        <v>Ar Rayyan</v>
      </c>
    </row>
    <row r="3853">
      <c r="A3853" s="9" t="str">
        <f>IFERROR(__xludf.DUMMYFUNCTION("""COMPUTED_VALUE"""),"Umm Şalāl")</f>
        <v>Umm Şalāl</v>
      </c>
      <c r="B3853" s="9" t="str">
        <f>IFERROR(__xludf.DUMMYFUNCTION("""COMPUTED_VALUE"""),"qa-us")</f>
        <v>qa-us</v>
      </c>
      <c r="C3853" s="9" t="str">
        <f>IFERROR(__xludf.DUMMYFUNCTION("GOOGLETRANSLATE($A3853,""en"",""de"")"),"Umm Şalāl")</f>
        <v>Umm Şalāl</v>
      </c>
      <c r="D3853" s="9" t="str">
        <f>IFERROR(__xludf.DUMMYFUNCTION("GOOGLETRANSLATE($A3853,""en"",""fr"")"),"Umm Salal")</f>
        <v>Umm Salal</v>
      </c>
      <c r="E3853" s="9" t="str">
        <f>IFERROR(__xludf.DUMMYFUNCTION("GOOGLETRANSLATE($A3853,""en"",""es"")"),"Umm Salal")</f>
        <v>Umm Salal</v>
      </c>
      <c r="F3853" s="9" t="str">
        <f>IFERROR(__xludf.DUMMYFUNCTION("GOOGLETRANSLATE($A3853,""en"",""it"")"),"Umm Salal")</f>
        <v>Umm Salal</v>
      </c>
      <c r="G3853" s="9" t="str">
        <f>IFERROR(__xludf.DUMMYFUNCTION("GOOGLETRANSLATE($A3853,""en"",""zh-cn"")"),"乌姆萨拉尔")</f>
        <v>乌姆萨拉尔</v>
      </c>
      <c r="H3853" s="9" t="str">
        <f>IFERROR(__xludf.DUMMYFUNCTION("GOOGLETRANSLATE($A3853,""en"",""ja"")"),"ウンム・シャラル")</f>
        <v>ウンム・シャラル</v>
      </c>
      <c r="I3853" s="9" t="str">
        <f>IFERROR(__xludf.DUMMYFUNCTION("GOOGLETRANSLATE($A3853,""en"",""ko"")"),"음 살랄")</f>
        <v>음 살랄</v>
      </c>
      <c r="J3853" s="9" t="str">
        <f>IFERROR(__xludf.DUMMYFUNCTION("GOOGLETRANSLATE($A3853,""en"",""pt-BR"")"),"Umm Salal")</f>
        <v>Umm Salal</v>
      </c>
    </row>
    <row r="3854">
      <c r="A3854" s="9" t="str">
        <f>IFERROR(__xludf.DUMMYFUNCTION("""COMPUTED_VALUE"""),"Ad Dawḩah")</f>
        <v>Ad Dawḩah</v>
      </c>
      <c r="B3854" s="9" t="str">
        <f>IFERROR(__xludf.DUMMYFUNCTION("""COMPUTED_VALUE"""),"qa-da")</f>
        <v>qa-da</v>
      </c>
      <c r="C3854" s="9" t="str">
        <f>IFERROR(__xludf.DUMMYFUNCTION("GOOGLETRANSLATE($A3854,""en"",""de"")"),"Ad Dawḩah")</f>
        <v>Ad Dawḩah</v>
      </c>
      <c r="D3854" s="9" t="str">
        <f>IFERROR(__xludf.DUMMYFUNCTION("GOOGLETRANSLATE($A3854,""en"",""fr"")"),"Ad Dawḩah")</f>
        <v>Ad Dawḩah</v>
      </c>
      <c r="E3854" s="9" t="str">
        <f>IFERROR(__xludf.DUMMYFUNCTION("GOOGLETRANSLATE($A3854,""en"",""es"")"),"Ad Dawḩah")</f>
        <v>Ad Dawḩah</v>
      </c>
      <c r="F3854" s="9" t="str">
        <f>IFERROR(__xludf.DUMMYFUNCTION("GOOGLETRANSLATE($A3854,""en"",""it"")"),"Ad Dawḩah")</f>
        <v>Ad Dawḩah</v>
      </c>
      <c r="G3854" s="9" t="str">
        <f>IFERROR(__xludf.DUMMYFUNCTION("GOOGLETRANSLATE($A3854,""en"",""zh-cn"")"),"阿德·道哈")</f>
        <v>阿德·道哈</v>
      </c>
      <c r="H3854" s="9" t="str">
        <f>IFERROR(__xludf.DUMMYFUNCTION("GOOGLETRANSLATE($A3854,""en"",""ja"")"),"アド・ダウア")</f>
        <v>アド・ダウア</v>
      </c>
      <c r="I3854" s="9" t="str">
        <f>IFERROR(__xludf.DUMMYFUNCTION("GOOGLETRANSLATE($A3854,""en"",""ko"")"),"앗 다우하")</f>
        <v>앗 다우하</v>
      </c>
      <c r="J3854" s="9" t="str">
        <f>IFERROR(__xludf.DUMMYFUNCTION("GOOGLETRANSLATE($A3854,""en"",""pt-BR"")"),"Ad Dawḩah")</f>
        <v>Ad Dawḩah</v>
      </c>
    </row>
    <row r="3855">
      <c r="A3855" s="9" t="str">
        <f>IFERROR(__xludf.DUMMYFUNCTION("""COMPUTED_VALUE"""),"Al Khawr wa adh Dhakhīrah")</f>
        <v>Al Khawr wa adh Dhakhīrah</v>
      </c>
      <c r="B3855" s="9" t="str">
        <f>IFERROR(__xludf.DUMMYFUNCTION("""COMPUTED_VALUE"""),"qa-kh")</f>
        <v>qa-kh</v>
      </c>
      <c r="C3855" s="9" t="str">
        <f>IFERROR(__xludf.DUMMYFUNCTION("GOOGLETRANSLATE($A3855,""en"",""de"")"),"Al Khawr wa adh Dhakhīrah")</f>
        <v>Al Khawr wa adh Dhakhīrah</v>
      </c>
      <c r="D3855" s="9" t="str">
        <f>IFERROR(__xludf.DUMMYFUNCTION("GOOGLETRANSLATE($A3855,""en"",""fr"")"),"Al Khawr wa adh Dhakhirah")</f>
        <v>Al Khawr wa adh Dhakhirah</v>
      </c>
      <c r="E3855" s="9" t="str">
        <f>IFERROR(__xludf.DUMMYFUNCTION("GOOGLETRANSLATE($A3855,""en"",""es"")"),"Al Khawr wa adh Dhakhīrah")</f>
        <v>Al Khawr wa adh Dhakhīrah</v>
      </c>
      <c r="F3855" s="9" t="str">
        <f>IFERROR(__xludf.DUMMYFUNCTION("GOOGLETRANSLATE($A3855,""en"",""it"")"),"Al Khawr wa adh Dhakhīrah")</f>
        <v>Al Khawr wa adh Dhakhīrah</v>
      </c>
      <c r="G3855" s="9" t="str">
        <f>IFERROR(__xludf.DUMMYFUNCTION("GOOGLETRANSLATE($A3855,""en"",""zh-cn"")"),"Al Khawr wa adh Dhakhīrah")</f>
        <v>Al Khawr wa adh Dhakhīrah</v>
      </c>
      <c r="H3855" s="9" t="str">
        <f>IFERROR(__xludf.DUMMYFUNCTION("GOOGLETRANSLATE($A3855,""en"",""ja"")"),"アル・ホール・ワ・アド・ダキーラ")</f>
        <v>アル・ホール・ワ・アド・ダキーラ</v>
      </c>
      <c r="I3855" s="9" t="str">
        <f>IFERROR(__xludf.DUMMYFUNCTION("GOOGLETRANSLATE($A3855,""en"",""ko"")"),"알 카우르 와 아드 다키라")</f>
        <v>알 카우르 와 아드 다키라</v>
      </c>
      <c r="J3855" s="9" t="str">
        <f>IFERROR(__xludf.DUMMYFUNCTION("GOOGLETRANSLATE($A3855,""en"",""pt-BR"")"),"Al Khawr wa adh Dhakhīrah")</f>
        <v>Al Khawr wa adh Dhakhīrah</v>
      </c>
    </row>
    <row r="3856">
      <c r="A3856" s="9" t="str">
        <f>IFERROR(__xludf.DUMMYFUNCTION("""COMPUTED_VALUE"""),"Ash Shamāl")</f>
        <v>Ash Shamāl</v>
      </c>
      <c r="B3856" s="9" t="str">
        <f>IFERROR(__xludf.DUMMYFUNCTION("""COMPUTED_VALUE"""),"qa-ms")</f>
        <v>qa-ms</v>
      </c>
      <c r="C3856" s="9" t="str">
        <f>IFERROR(__xludf.DUMMYFUNCTION("GOOGLETRANSLATE($A3856,""en"",""de"")"),"Ash Shamal")</f>
        <v>Ash Shamal</v>
      </c>
      <c r="D3856" s="9" t="str">
        <f>IFERROR(__xludf.DUMMYFUNCTION("GOOGLETRANSLATE($A3856,""en"",""fr"")"),"Ash Shamal")</f>
        <v>Ash Shamal</v>
      </c>
      <c r="E3856" s="9" t="str">
        <f>IFERROR(__xludf.DUMMYFUNCTION("GOOGLETRANSLATE($A3856,""en"",""es"")"),"Ash Shamal")</f>
        <v>Ash Shamal</v>
      </c>
      <c r="F3856" s="9" t="str">
        <f>IFERROR(__xludf.DUMMYFUNCTION("GOOGLETRANSLATE($A3856,""en"",""it"")"),"Ash Shamal")</f>
        <v>Ash Shamal</v>
      </c>
      <c r="G3856" s="9" t="str">
        <f>IFERROR(__xludf.DUMMYFUNCTION("GOOGLETRANSLATE($A3856,""en"",""zh-cn"")"),"阿什·沙玛尔")</f>
        <v>阿什·沙玛尔</v>
      </c>
      <c r="H3856" s="9" t="str">
        <f>IFERROR(__xludf.DUMMYFUNCTION("GOOGLETRANSLATE($A3856,""en"",""ja"")"),"アッシュ・シャマル")</f>
        <v>アッシュ・シャマル</v>
      </c>
      <c r="I3856" s="9" t="str">
        <f>IFERROR(__xludf.DUMMYFUNCTION("GOOGLETRANSLATE($A3856,""en"",""ko"")"),"애쉬 샤말")</f>
        <v>애쉬 샤말</v>
      </c>
      <c r="J3856" s="9" t="str">
        <f>IFERROR(__xludf.DUMMYFUNCTION("GOOGLETRANSLATE($A3856,""en"",""pt-BR"")"),"Ash Shamal")</f>
        <v>Ash Shamal</v>
      </c>
    </row>
    <row r="3857">
      <c r="A3857" s="9" t="str">
        <f>IFERROR(__xludf.DUMMYFUNCTION("""COMPUTED_VALUE"""),"Al Wakrah")</f>
        <v>Al Wakrah</v>
      </c>
      <c r="B3857" s="9" t="str">
        <f>IFERROR(__xludf.DUMMYFUNCTION("""COMPUTED_VALUE"""),"qa-wa")</f>
        <v>qa-wa</v>
      </c>
      <c r="C3857" s="9" t="str">
        <f>IFERROR(__xludf.DUMMYFUNCTION("GOOGLETRANSLATE($A3857,""en"",""de"")"),"Al Wakrah")</f>
        <v>Al Wakrah</v>
      </c>
      <c r="D3857" s="9" t="str">
        <f>IFERROR(__xludf.DUMMYFUNCTION("GOOGLETRANSLATE($A3857,""en"",""fr"")"),"Al Wakrah")</f>
        <v>Al Wakrah</v>
      </c>
      <c r="E3857" s="9" t="str">
        <f>IFERROR(__xludf.DUMMYFUNCTION("GOOGLETRANSLATE($A3857,""en"",""es"")"),"Al Wakrah")</f>
        <v>Al Wakrah</v>
      </c>
      <c r="F3857" s="9" t="str">
        <f>IFERROR(__xludf.DUMMYFUNCTION("GOOGLETRANSLATE($A3857,""en"",""it"")"),"Al Wakrah")</f>
        <v>Al Wakrah</v>
      </c>
      <c r="G3857" s="9" t="str">
        <f>IFERROR(__xludf.DUMMYFUNCTION("GOOGLETRANSLATE($A3857,""en"",""zh-cn"")"),"沃克拉")</f>
        <v>沃克拉</v>
      </c>
      <c r="H3857" s="9" t="str">
        <f>IFERROR(__xludf.DUMMYFUNCTION("GOOGLETRANSLATE($A3857,""en"",""ja"")"),"アル・ワクラ")</f>
        <v>アル・ワクラ</v>
      </c>
      <c r="I3857" s="9" t="str">
        <f>IFERROR(__xludf.DUMMYFUNCTION("GOOGLETRANSLATE($A3857,""en"",""ko"")"),"알 와크라")</f>
        <v>알 와크라</v>
      </c>
      <c r="J3857" s="9" t="str">
        <f>IFERROR(__xludf.DUMMYFUNCTION("GOOGLETRANSLATE($A3857,""en"",""pt-BR"")"),"Al-Wakrah")</f>
        <v>Al-Wakrah</v>
      </c>
    </row>
    <row r="3858">
      <c r="A3858" s="9" t="str">
        <f>IFERROR(__xludf.DUMMYFUNCTION("""COMPUTED_VALUE"""),"Ash Shīḩānīyah")</f>
        <v>Ash Shīḩānīyah</v>
      </c>
      <c r="B3858" s="9" t="str">
        <f>IFERROR(__xludf.DUMMYFUNCTION("""COMPUTED_VALUE"""),"qa-sh")</f>
        <v>qa-sh</v>
      </c>
      <c r="C3858" s="9" t="str">
        <f>IFERROR(__xludf.DUMMYFUNCTION("GOOGLETRANSLATE($A3858,""en"",""de"")"),"Ash Shīḩānīyah")</f>
        <v>Ash Shīḩānīyah</v>
      </c>
      <c r="D3858" s="9" t="str">
        <f>IFERROR(__xludf.DUMMYFUNCTION("GOOGLETRANSLATE($A3858,""en"",""fr"")"),"Ash Shiḩānīyah")</f>
        <v>Ash Shiḩānīyah</v>
      </c>
      <c r="E3858" s="9" t="str">
        <f>IFERROR(__xludf.DUMMYFUNCTION("GOOGLETRANSLATE($A3858,""en"",""es"")"),"Ash Shīḩānīyah")</f>
        <v>Ash Shīḩānīyah</v>
      </c>
      <c r="F3858" s="9" t="str">
        <f>IFERROR(__xludf.DUMMYFUNCTION("GOOGLETRANSLATE($A3858,""en"",""it"")"),"Ash Shīḩānīyah")</f>
        <v>Ash Shīḩānīyah</v>
      </c>
      <c r="G3858" s="9" t="str">
        <f>IFERROR(__xludf.DUMMYFUNCTION("GOOGLETRANSLATE($A3858,""en"",""zh-cn"")"),"阿什·什哈尼亚")</f>
        <v>阿什·什哈尼亚</v>
      </c>
      <c r="H3858" s="9" t="str">
        <f>IFERROR(__xludf.DUMMYFUNCTION("GOOGLETRANSLATE($A3858,""en"",""ja"")"),"アッシュ・シーハニーヤ")</f>
        <v>アッシュ・シーハニーヤ</v>
      </c>
      <c r="I3858" s="9" t="str">
        <f>IFERROR(__xludf.DUMMYFUNCTION("GOOGLETRANSLATE($A3858,""en"",""ko"")"),"애쉬 시하니야")</f>
        <v>애쉬 시하니야</v>
      </c>
      <c r="J3858" s="9" t="str">
        <f>IFERROR(__xludf.DUMMYFUNCTION("GOOGLETRANSLATE($A3858,""en"",""pt-BR"")"),"Ash Shīḩānīyah")</f>
        <v>Ash Shīḩānīyah</v>
      </c>
    </row>
    <row r="3859">
      <c r="A3859" s="9" t="str">
        <f>IFERROR(__xludf.DUMMYFUNCTION("""COMPUTED_VALUE"""),"South Jeolla")</f>
        <v>South Jeolla</v>
      </c>
      <c r="B3859" s="9" t="str">
        <f>IFERROR(__xludf.DUMMYFUNCTION("""COMPUTED_VALUE"""),"kr-46")</f>
        <v>kr-46</v>
      </c>
      <c r="C3859" s="9" t="str">
        <f>IFERROR(__xludf.DUMMYFUNCTION("GOOGLETRANSLATE($A3859,""en"",""de"")"),"Süd-Jeolla")</f>
        <v>Süd-Jeolla</v>
      </c>
      <c r="D3859" s="9" t="str">
        <f>IFERROR(__xludf.DUMMYFUNCTION("GOOGLETRANSLATE($A3859,""en"",""fr"")"),"Jeolla Sud")</f>
        <v>Jeolla Sud</v>
      </c>
      <c r="E3859" s="9" t="str">
        <f>IFERROR(__xludf.DUMMYFUNCTION("GOOGLETRANSLATE($A3859,""en"",""es"")"),"Jeolla del Sur")</f>
        <v>Jeolla del Sur</v>
      </c>
      <c r="F3859" s="9" t="str">
        <f>IFERROR(__xludf.DUMMYFUNCTION("GOOGLETRANSLATE($A3859,""en"",""it"")"),"Jeolla meridionale")</f>
        <v>Jeolla meridionale</v>
      </c>
      <c r="G3859" s="9" t="str">
        <f>IFERROR(__xludf.DUMMYFUNCTION("GOOGLETRANSLATE($A3859,""en"",""zh-cn"")"),"全罗南道")</f>
        <v>全罗南道</v>
      </c>
      <c r="H3859" s="9" t="str">
        <f>IFERROR(__xludf.DUMMYFUNCTION("GOOGLETRANSLATE($A3859,""en"",""ja"")"),"全羅南道")</f>
        <v>全羅南道</v>
      </c>
      <c r="I3859" s="9" t="str">
        <f>IFERROR(__xludf.DUMMYFUNCTION("GOOGLETRANSLATE($A3859,""en"",""ko"")"),"전남")</f>
        <v>전남</v>
      </c>
      <c r="J3859" s="9" t="str">
        <f>IFERROR(__xludf.DUMMYFUNCTION("GOOGLETRANSLATE($A3859,""en"",""pt-BR"")"),"Jeolla do Sul")</f>
        <v>Jeolla do Sul</v>
      </c>
    </row>
    <row r="3860">
      <c r="A3860" s="9" t="str">
        <f>IFERROR(__xludf.DUMMYFUNCTION("""COMPUTED_VALUE"""),"North Gyeongsang")</f>
        <v>North Gyeongsang</v>
      </c>
      <c r="B3860" s="9" t="str">
        <f>IFERROR(__xludf.DUMMYFUNCTION("""COMPUTED_VALUE"""),"kr-47")</f>
        <v>kr-47</v>
      </c>
      <c r="C3860" s="9" t="str">
        <f>IFERROR(__xludf.DUMMYFUNCTION("GOOGLETRANSLATE($A3860,""en"",""de"")"),"Nord-Gyeongsang")</f>
        <v>Nord-Gyeongsang</v>
      </c>
      <c r="D3860" s="9" t="str">
        <f>IFERROR(__xludf.DUMMYFUNCTION("GOOGLETRANSLATE($A3860,""en"",""fr"")"),"Gyeongsang du Nord")</f>
        <v>Gyeongsang du Nord</v>
      </c>
      <c r="E3860" s="9" t="str">
        <f>IFERROR(__xludf.DUMMYFUNCTION("GOOGLETRANSLATE($A3860,""en"",""es"")"),"Gyeongsang del Norte")</f>
        <v>Gyeongsang del Norte</v>
      </c>
      <c r="F3860" s="9" t="str">
        <f>IFERROR(__xludf.DUMMYFUNCTION("GOOGLETRANSLATE($A3860,""en"",""it"")"),"Gyeongsang settentrionale")</f>
        <v>Gyeongsang settentrionale</v>
      </c>
      <c r="G3860" s="9" t="str">
        <f>IFERROR(__xludf.DUMMYFUNCTION("GOOGLETRANSLATE($A3860,""en"",""zh-cn"")"),"庆尚北道")</f>
        <v>庆尚北道</v>
      </c>
      <c r="H3860" s="9" t="str">
        <f>IFERROR(__xludf.DUMMYFUNCTION("GOOGLETRANSLATE($A3860,""en"",""ja"")"),"慶尚北道")</f>
        <v>慶尚北道</v>
      </c>
      <c r="I3860" s="9" t="str">
        <f>IFERROR(__xludf.DUMMYFUNCTION("GOOGLETRANSLATE($A3860,""en"",""ko"")"),"경상북도")</f>
        <v>경상북도</v>
      </c>
      <c r="J3860" s="9" t="str">
        <f>IFERROR(__xludf.DUMMYFUNCTION("GOOGLETRANSLATE($A3860,""en"",""pt-BR"")"),"Gyeongsang do Norte")</f>
        <v>Gyeongsang do Norte</v>
      </c>
    </row>
    <row r="3861">
      <c r="A3861" s="9" t="str">
        <f>IFERROR(__xludf.DUMMYFUNCTION("""COMPUTED_VALUE"""),"South Chungcheong")</f>
        <v>South Chungcheong</v>
      </c>
      <c r="B3861" s="9" t="str">
        <f>IFERROR(__xludf.DUMMYFUNCTION("""COMPUTED_VALUE"""),"kr-44")</f>
        <v>kr-44</v>
      </c>
      <c r="C3861" s="9" t="str">
        <f>IFERROR(__xludf.DUMMYFUNCTION("GOOGLETRANSLATE($A3861,""en"",""de"")"),"Süd-Chungcheong")</f>
        <v>Süd-Chungcheong</v>
      </c>
      <c r="D3861" s="9" t="str">
        <f>IFERROR(__xludf.DUMMYFUNCTION("GOOGLETRANSLATE($A3861,""en"",""fr"")"),"Chungcheong Sud")</f>
        <v>Chungcheong Sud</v>
      </c>
      <c r="E3861" s="9" t="str">
        <f>IFERROR(__xludf.DUMMYFUNCTION("GOOGLETRANSLATE($A3861,""en"",""es"")"),"Chungcheong del Sur")</f>
        <v>Chungcheong del Sur</v>
      </c>
      <c r="F3861" s="9" t="str">
        <f>IFERROR(__xludf.DUMMYFUNCTION("GOOGLETRANSLATE($A3861,""en"",""it"")"),"Chungcheong meridionale")</f>
        <v>Chungcheong meridionale</v>
      </c>
      <c r="G3861" s="9" t="str">
        <f>IFERROR(__xludf.DUMMYFUNCTION("GOOGLETRANSLATE($A3861,""en"",""zh-cn"")"),"忠清南道")</f>
        <v>忠清南道</v>
      </c>
      <c r="H3861" s="9" t="str">
        <f>IFERROR(__xludf.DUMMYFUNCTION("GOOGLETRANSLATE($A3861,""en"",""ja"")"),"忠清南道")</f>
        <v>忠清南道</v>
      </c>
      <c r="I3861" s="9" t="str">
        <f>IFERROR(__xludf.DUMMYFUNCTION("GOOGLETRANSLATE($A3861,""en"",""ko"")"),"충청남도")</f>
        <v>충청남도</v>
      </c>
      <c r="J3861" s="9" t="str">
        <f>IFERROR(__xludf.DUMMYFUNCTION("GOOGLETRANSLATE($A3861,""en"",""pt-BR"")"),"Chungcheong do Sul")</f>
        <v>Chungcheong do Sul</v>
      </c>
    </row>
    <row r="3862">
      <c r="A3862" s="9" t="str">
        <f>IFERROR(__xludf.DUMMYFUNCTION("""COMPUTED_VALUE"""),"North Jeolla")</f>
        <v>North Jeolla</v>
      </c>
      <c r="B3862" s="9" t="str">
        <f>IFERROR(__xludf.DUMMYFUNCTION("""COMPUTED_VALUE"""),"kr-45")</f>
        <v>kr-45</v>
      </c>
      <c r="C3862" s="9" t="str">
        <f>IFERROR(__xludf.DUMMYFUNCTION("GOOGLETRANSLATE($A3862,""en"",""de"")"),"Nord-Jeolla")</f>
        <v>Nord-Jeolla</v>
      </c>
      <c r="D3862" s="9" t="str">
        <f>IFERROR(__xludf.DUMMYFUNCTION("GOOGLETRANSLATE($A3862,""en"",""fr"")"),"Jeolla du Nord")</f>
        <v>Jeolla du Nord</v>
      </c>
      <c r="E3862" s="9" t="str">
        <f>IFERROR(__xludf.DUMMYFUNCTION("GOOGLETRANSLATE($A3862,""en"",""es"")"),"Jeolla del Norte")</f>
        <v>Jeolla del Norte</v>
      </c>
      <c r="F3862" s="9" t="str">
        <f>IFERROR(__xludf.DUMMYFUNCTION("GOOGLETRANSLATE($A3862,""en"",""it"")"),"Jeolla settentrionale")</f>
        <v>Jeolla settentrionale</v>
      </c>
      <c r="G3862" s="9" t="str">
        <f>IFERROR(__xludf.DUMMYFUNCTION("GOOGLETRANSLATE($A3862,""en"",""zh-cn"")"),"全罗北道")</f>
        <v>全罗北道</v>
      </c>
      <c r="H3862" s="9" t="str">
        <f>IFERROR(__xludf.DUMMYFUNCTION("GOOGLETRANSLATE($A3862,""en"",""ja"")"),"全羅北道")</f>
        <v>全羅北道</v>
      </c>
      <c r="I3862" s="9" t="str">
        <f>IFERROR(__xludf.DUMMYFUNCTION("GOOGLETRANSLATE($A3862,""en"",""ko"")"),"전북")</f>
        <v>전북</v>
      </c>
      <c r="J3862" s="9" t="str">
        <f>IFERROR(__xludf.DUMMYFUNCTION("GOOGLETRANSLATE($A3862,""en"",""pt-BR"")"),"Jeolla do Norte")</f>
        <v>Jeolla do Norte</v>
      </c>
    </row>
    <row r="3863">
      <c r="A3863" s="9" t="str">
        <f>IFERROR(__xludf.DUMMYFUNCTION("""COMPUTED_VALUE"""),"Gangwon")</f>
        <v>Gangwon</v>
      </c>
      <c r="B3863" s="9" t="str">
        <f>IFERROR(__xludf.DUMMYFUNCTION("""COMPUTED_VALUE"""),"kr-42")</f>
        <v>kr-42</v>
      </c>
      <c r="C3863" s="9" t="str">
        <f>IFERROR(__xludf.DUMMYFUNCTION("GOOGLETRANSLATE($A3863,""en"",""de"")"),"Gangwon")</f>
        <v>Gangwon</v>
      </c>
      <c r="D3863" s="9" t="str">
        <f>IFERROR(__xludf.DUMMYFUNCTION("GOOGLETRANSLATE($A3863,""en"",""fr"")"),"Gangwon")</f>
        <v>Gangwon</v>
      </c>
      <c r="E3863" s="9" t="str">
        <f>IFERROR(__xludf.DUMMYFUNCTION("GOOGLETRANSLATE($A3863,""en"",""es"")"),"Gangwon")</f>
        <v>Gangwon</v>
      </c>
      <c r="F3863" s="9" t="str">
        <f>IFERROR(__xludf.DUMMYFUNCTION("GOOGLETRANSLATE($A3863,""en"",""it"")"),"Gangwon")</f>
        <v>Gangwon</v>
      </c>
      <c r="G3863" s="9" t="str">
        <f>IFERROR(__xludf.DUMMYFUNCTION("GOOGLETRANSLATE($A3863,""en"",""zh-cn"")"),"江原道")</f>
        <v>江原道</v>
      </c>
      <c r="H3863" s="9" t="str">
        <f>IFERROR(__xludf.DUMMYFUNCTION("GOOGLETRANSLATE($A3863,""en"",""ja"")"),"江原道")</f>
        <v>江原道</v>
      </c>
      <c r="I3863" s="9" t="str">
        <f>IFERROR(__xludf.DUMMYFUNCTION("GOOGLETRANSLATE($A3863,""en"",""ko"")"),"강원도")</f>
        <v>강원도</v>
      </c>
      <c r="J3863" s="9" t="str">
        <f>IFERROR(__xludf.DUMMYFUNCTION("GOOGLETRANSLATE($A3863,""en"",""pt-BR"")"),"Gangwon")</f>
        <v>Gangwon</v>
      </c>
    </row>
    <row r="3864">
      <c r="A3864" s="9" t="str">
        <f>IFERROR(__xludf.DUMMYFUNCTION("""COMPUTED_VALUE"""),"North Chungcheong")</f>
        <v>North Chungcheong</v>
      </c>
      <c r="B3864" s="9" t="str">
        <f>IFERROR(__xludf.DUMMYFUNCTION("""COMPUTED_VALUE"""),"kr-43")</f>
        <v>kr-43</v>
      </c>
      <c r="C3864" s="9" t="str">
        <f>IFERROR(__xludf.DUMMYFUNCTION("GOOGLETRANSLATE($A3864,""en"",""de"")"),"Nord-Chungcheong")</f>
        <v>Nord-Chungcheong</v>
      </c>
      <c r="D3864" s="9" t="str">
        <f>IFERROR(__xludf.DUMMYFUNCTION("GOOGLETRANSLATE($A3864,""en"",""fr"")"),"Chungcheong Nord")</f>
        <v>Chungcheong Nord</v>
      </c>
      <c r="E3864" s="9" t="str">
        <f>IFERROR(__xludf.DUMMYFUNCTION("GOOGLETRANSLATE($A3864,""en"",""es"")"),"Chungcheong del Norte")</f>
        <v>Chungcheong del Norte</v>
      </c>
      <c r="F3864" s="9" t="str">
        <f>IFERROR(__xludf.DUMMYFUNCTION("GOOGLETRANSLATE($A3864,""en"",""it"")"),"Chungcheong nord")</f>
        <v>Chungcheong nord</v>
      </c>
      <c r="G3864" s="9" t="str">
        <f>IFERROR(__xludf.DUMMYFUNCTION("GOOGLETRANSLATE($A3864,""en"",""zh-cn"")"),"忠清北道")</f>
        <v>忠清北道</v>
      </c>
      <c r="H3864" s="9" t="str">
        <f>IFERROR(__xludf.DUMMYFUNCTION("GOOGLETRANSLATE($A3864,""en"",""ja"")"),"忠清北道")</f>
        <v>忠清北道</v>
      </c>
      <c r="I3864" s="9" t="str">
        <f>IFERROR(__xludf.DUMMYFUNCTION("GOOGLETRANSLATE($A3864,""en"",""ko"")"),"충청북도")</f>
        <v>충청북도</v>
      </c>
      <c r="J3864" s="9" t="str">
        <f>IFERROR(__xludf.DUMMYFUNCTION("GOOGLETRANSLATE($A3864,""en"",""pt-BR"")"),"Chungcheong do Norte")</f>
        <v>Chungcheong do Norte</v>
      </c>
    </row>
    <row r="3865">
      <c r="A3865" s="9" t="str">
        <f>IFERROR(__xludf.DUMMYFUNCTION("""COMPUTED_VALUE"""),"Ulsan")</f>
        <v>Ulsan</v>
      </c>
      <c r="B3865" s="9" t="str">
        <f>IFERROR(__xludf.DUMMYFUNCTION("""COMPUTED_VALUE"""),"kr-31")</f>
        <v>kr-31</v>
      </c>
      <c r="C3865" s="9" t="str">
        <f>IFERROR(__xludf.DUMMYFUNCTION("GOOGLETRANSLATE($A3865,""en"",""de"")"),"Ulsan")</f>
        <v>Ulsan</v>
      </c>
      <c r="D3865" s="9" t="str">
        <f>IFERROR(__xludf.DUMMYFUNCTION("GOOGLETRANSLATE($A3865,""en"",""fr"")"),"Ulsan")</f>
        <v>Ulsan</v>
      </c>
      <c r="E3865" s="9" t="str">
        <f>IFERROR(__xludf.DUMMYFUNCTION("GOOGLETRANSLATE($A3865,""en"",""es"")"),"Ulsan")</f>
        <v>Ulsan</v>
      </c>
      <c r="F3865" s="9" t="str">
        <f>IFERROR(__xludf.DUMMYFUNCTION("GOOGLETRANSLATE($A3865,""en"",""it"")"),"Ulsan")</f>
        <v>Ulsan</v>
      </c>
      <c r="G3865" s="9" t="str">
        <f>IFERROR(__xludf.DUMMYFUNCTION("GOOGLETRANSLATE($A3865,""en"",""zh-cn"")"),"蔚山")</f>
        <v>蔚山</v>
      </c>
      <c r="H3865" s="9" t="str">
        <f>IFERROR(__xludf.DUMMYFUNCTION("GOOGLETRANSLATE($A3865,""en"",""ja"")"),"蔚山")</f>
        <v>蔚山</v>
      </c>
      <c r="I3865" s="9" t="str">
        <f>IFERROR(__xludf.DUMMYFUNCTION("GOOGLETRANSLATE($A3865,""en"",""ko"")"),"울산")</f>
        <v>울산</v>
      </c>
      <c r="J3865" s="9" t="str">
        <f>IFERROR(__xludf.DUMMYFUNCTION("GOOGLETRANSLATE($A3865,""en"",""pt-BR"")"),"Ulsan")</f>
        <v>Ulsan</v>
      </c>
    </row>
    <row r="3866">
      <c r="A3866" s="9" t="str">
        <f>IFERROR(__xludf.DUMMYFUNCTION("""COMPUTED_VALUE"""),"Gyeonggi")</f>
        <v>Gyeonggi</v>
      </c>
      <c r="B3866" s="9" t="str">
        <f>IFERROR(__xludf.DUMMYFUNCTION("""COMPUTED_VALUE"""),"kr-41")</f>
        <v>kr-41</v>
      </c>
      <c r="C3866" s="9" t="str">
        <f>IFERROR(__xludf.DUMMYFUNCTION("GOOGLETRANSLATE($A3866,""en"",""de"")"),"Gyeonggi")</f>
        <v>Gyeonggi</v>
      </c>
      <c r="D3866" s="9" t="str">
        <f>IFERROR(__xludf.DUMMYFUNCTION("GOOGLETRANSLATE($A3866,""en"",""fr"")"),"Gyeonggi")</f>
        <v>Gyeonggi</v>
      </c>
      <c r="E3866" s="9" t="str">
        <f>IFERROR(__xludf.DUMMYFUNCTION("GOOGLETRANSLATE($A3866,""en"",""es"")"),"Gyeonggi")</f>
        <v>Gyeonggi</v>
      </c>
      <c r="F3866" s="9" t="str">
        <f>IFERROR(__xludf.DUMMYFUNCTION("GOOGLETRANSLATE($A3866,""en"",""it"")"),"Gyeonggi")</f>
        <v>Gyeonggi</v>
      </c>
      <c r="G3866" s="9" t="str">
        <f>IFERROR(__xludf.DUMMYFUNCTION("GOOGLETRANSLATE($A3866,""en"",""zh-cn"")"),"京畿道")</f>
        <v>京畿道</v>
      </c>
      <c r="H3866" s="9" t="str">
        <f>IFERROR(__xludf.DUMMYFUNCTION("GOOGLETRANSLATE($A3866,""en"",""ja"")"),"京畿道")</f>
        <v>京畿道</v>
      </c>
      <c r="I3866" s="9" t="str">
        <f>IFERROR(__xludf.DUMMYFUNCTION("GOOGLETRANSLATE($A3866,""en"",""ko"")"),"경기")</f>
        <v>경기</v>
      </c>
      <c r="J3866" s="9" t="str">
        <f>IFERROR(__xludf.DUMMYFUNCTION("GOOGLETRANSLATE($A3866,""en"",""pt-BR"")"),"Gyeonggi")</f>
        <v>Gyeonggi</v>
      </c>
    </row>
    <row r="3867">
      <c r="A3867" s="9" t="str">
        <f>IFERROR(__xludf.DUMMYFUNCTION("""COMPUTED_VALUE"""),"South Gyeongsang")</f>
        <v>South Gyeongsang</v>
      </c>
      <c r="B3867" s="9" t="str">
        <f>IFERROR(__xludf.DUMMYFUNCTION("""COMPUTED_VALUE"""),"kr-48")</f>
        <v>kr-48</v>
      </c>
      <c r="C3867" s="9" t="str">
        <f>IFERROR(__xludf.DUMMYFUNCTION("GOOGLETRANSLATE($A3867,""en"",""de"")"),"Süd-Gyeongsang")</f>
        <v>Süd-Gyeongsang</v>
      </c>
      <c r="D3867" s="9" t="str">
        <f>IFERROR(__xludf.DUMMYFUNCTION("GOOGLETRANSLATE($A3867,""en"",""fr"")"),"Gyeongsang du Sud")</f>
        <v>Gyeongsang du Sud</v>
      </c>
      <c r="E3867" s="9" t="str">
        <f>IFERROR(__xludf.DUMMYFUNCTION("GOOGLETRANSLATE($A3867,""en"",""es"")"),"Gyeongsang del Sur")</f>
        <v>Gyeongsang del Sur</v>
      </c>
      <c r="F3867" s="9" t="str">
        <f>IFERROR(__xludf.DUMMYFUNCTION("GOOGLETRANSLATE($A3867,""en"",""it"")"),"Gyeongsang meridionale")</f>
        <v>Gyeongsang meridionale</v>
      </c>
      <c r="G3867" s="9" t="str">
        <f>IFERROR(__xludf.DUMMYFUNCTION("GOOGLETRANSLATE($A3867,""en"",""zh-cn"")"),"庆尚南道")</f>
        <v>庆尚南道</v>
      </c>
      <c r="H3867" s="9" t="str">
        <f>IFERROR(__xludf.DUMMYFUNCTION("GOOGLETRANSLATE($A3867,""en"",""ja"")"),"慶尚南道")</f>
        <v>慶尚南道</v>
      </c>
      <c r="I3867" s="9" t="str">
        <f>IFERROR(__xludf.DUMMYFUNCTION("GOOGLETRANSLATE($A3867,""en"",""ko"")"),"경상남도")</f>
        <v>경상남도</v>
      </c>
      <c r="J3867" s="9" t="str">
        <f>IFERROR(__xludf.DUMMYFUNCTION("GOOGLETRANSLATE($A3867,""en"",""pt-BR"")"),"Gyeongsang do Sul")</f>
        <v>Gyeongsang do Sul</v>
      </c>
    </row>
    <row r="3868">
      <c r="A3868" s="9" t="str">
        <f>IFERROR(__xludf.DUMMYFUNCTION("""COMPUTED_VALUE"""),"Jeju")</f>
        <v>Jeju</v>
      </c>
      <c r="B3868" s="9" t="str">
        <f>IFERROR(__xludf.DUMMYFUNCTION("""COMPUTED_VALUE"""),"kr-49")</f>
        <v>kr-49</v>
      </c>
      <c r="C3868" s="9" t="str">
        <f>IFERROR(__xludf.DUMMYFUNCTION("GOOGLETRANSLATE($A3868,""en"",""de"")"),"Jeju")</f>
        <v>Jeju</v>
      </c>
      <c r="D3868" s="9" t="str">
        <f>IFERROR(__xludf.DUMMYFUNCTION("GOOGLETRANSLATE($A3868,""en"",""fr"")"),"Jeju")</f>
        <v>Jeju</v>
      </c>
      <c r="E3868" s="9" t="str">
        <f>IFERROR(__xludf.DUMMYFUNCTION("GOOGLETRANSLATE($A3868,""en"",""es"")"),"Jeju")</f>
        <v>Jeju</v>
      </c>
      <c r="F3868" s="9" t="str">
        <f>IFERROR(__xludf.DUMMYFUNCTION("GOOGLETRANSLATE($A3868,""en"",""it"")"),"Jeju")</f>
        <v>Jeju</v>
      </c>
      <c r="G3868" s="9" t="str">
        <f>IFERROR(__xludf.DUMMYFUNCTION("GOOGLETRANSLATE($A3868,""en"",""zh-cn"")"),"济州岛")</f>
        <v>济州岛</v>
      </c>
      <c r="H3868" s="9" t="str">
        <f>IFERROR(__xludf.DUMMYFUNCTION("GOOGLETRANSLATE($A3868,""en"",""ja"")"),"済州")</f>
        <v>済州</v>
      </c>
      <c r="I3868" s="9" t="str">
        <f>IFERROR(__xludf.DUMMYFUNCTION("GOOGLETRANSLATE($A3868,""en"",""ko"")"),"제주")</f>
        <v>제주</v>
      </c>
      <c r="J3868" s="9" t="str">
        <f>IFERROR(__xludf.DUMMYFUNCTION("GOOGLETRANSLATE($A3868,""en"",""pt-BR"")"),"Jeju")</f>
        <v>Jeju</v>
      </c>
    </row>
    <row r="3869">
      <c r="A3869" s="9" t="str">
        <f>IFERROR(__xludf.DUMMYFUNCTION("""COMPUTED_VALUE"""),"Daejeon")</f>
        <v>Daejeon</v>
      </c>
      <c r="B3869" s="9" t="str">
        <f>IFERROR(__xludf.DUMMYFUNCTION("""COMPUTED_VALUE"""),"kr-30")</f>
        <v>kr-30</v>
      </c>
      <c r="C3869" s="9" t="str">
        <f>IFERROR(__xludf.DUMMYFUNCTION("GOOGLETRANSLATE($A3869,""en"",""de"")"),"Daejeon")</f>
        <v>Daejeon</v>
      </c>
      <c r="D3869" s="9" t="str">
        <f>IFERROR(__xludf.DUMMYFUNCTION("GOOGLETRANSLATE($A3869,""en"",""fr"")"),"Daejeon")</f>
        <v>Daejeon</v>
      </c>
      <c r="E3869" s="9" t="str">
        <f>IFERROR(__xludf.DUMMYFUNCTION("GOOGLETRANSLATE($A3869,""en"",""es"")"),"Daejeon")</f>
        <v>Daejeon</v>
      </c>
      <c r="F3869" s="9" t="str">
        <f>IFERROR(__xludf.DUMMYFUNCTION("GOOGLETRANSLATE($A3869,""en"",""it"")"),"Daejeon")</f>
        <v>Daejeon</v>
      </c>
      <c r="G3869" s="9" t="str">
        <f>IFERROR(__xludf.DUMMYFUNCTION("GOOGLETRANSLATE($A3869,""en"",""zh-cn"")"),"大田")</f>
        <v>大田</v>
      </c>
      <c r="H3869" s="9" t="str">
        <f>IFERROR(__xludf.DUMMYFUNCTION("GOOGLETRANSLATE($A3869,""en"",""ja"")"),"大田")</f>
        <v>大田</v>
      </c>
      <c r="I3869" s="9" t="str">
        <f>IFERROR(__xludf.DUMMYFUNCTION("GOOGLETRANSLATE($A3869,""en"",""ko"")"),"대전")</f>
        <v>대전</v>
      </c>
      <c r="J3869" s="9" t="str">
        <f>IFERROR(__xludf.DUMMYFUNCTION("GOOGLETRANSLATE($A3869,""en"",""pt-BR"")"),"Daejeon")</f>
        <v>Daejeon</v>
      </c>
    </row>
    <row r="3870">
      <c r="A3870" s="9" t="str">
        <f>IFERROR(__xludf.DUMMYFUNCTION("""COMPUTED_VALUE"""),"Incheon")</f>
        <v>Incheon</v>
      </c>
      <c r="B3870" s="9" t="str">
        <f>IFERROR(__xludf.DUMMYFUNCTION("""COMPUTED_VALUE"""),"kr-28")</f>
        <v>kr-28</v>
      </c>
      <c r="C3870" s="9" t="str">
        <f>IFERROR(__xludf.DUMMYFUNCTION("GOOGLETRANSLATE($A3870,""en"",""de"")"),"Incheon")</f>
        <v>Incheon</v>
      </c>
      <c r="D3870" s="9" t="str">
        <f>IFERROR(__xludf.DUMMYFUNCTION("GOOGLETRANSLATE($A3870,""en"",""fr"")"),"Incheon")</f>
        <v>Incheon</v>
      </c>
      <c r="E3870" s="9" t="str">
        <f>IFERROR(__xludf.DUMMYFUNCTION("GOOGLETRANSLATE($A3870,""en"",""es"")"),"Incheon")</f>
        <v>Incheon</v>
      </c>
      <c r="F3870" s="9" t="str">
        <f>IFERROR(__xludf.DUMMYFUNCTION("GOOGLETRANSLATE($A3870,""en"",""it"")"),"Incheon")</f>
        <v>Incheon</v>
      </c>
      <c r="G3870" s="9" t="str">
        <f>IFERROR(__xludf.DUMMYFUNCTION("GOOGLETRANSLATE($A3870,""en"",""zh-cn"")"),"仁川")</f>
        <v>仁川</v>
      </c>
      <c r="H3870" s="9" t="str">
        <f>IFERROR(__xludf.DUMMYFUNCTION("GOOGLETRANSLATE($A3870,""en"",""ja"")"),"仁川")</f>
        <v>仁川</v>
      </c>
      <c r="I3870" s="9" t="str">
        <f>IFERROR(__xludf.DUMMYFUNCTION("GOOGLETRANSLATE($A3870,""en"",""ko"")"),"인천")</f>
        <v>인천</v>
      </c>
      <c r="J3870" s="9" t="str">
        <f>IFERROR(__xludf.DUMMYFUNCTION("GOOGLETRANSLATE($A3870,""en"",""pt-BR"")"),"Incheon")</f>
        <v>Incheon</v>
      </c>
    </row>
    <row r="3871">
      <c r="A3871" s="9" t="str">
        <f>IFERROR(__xludf.DUMMYFUNCTION("""COMPUTED_VALUE"""),"Gwangju")</f>
        <v>Gwangju</v>
      </c>
      <c r="B3871" s="9" t="str">
        <f>IFERROR(__xludf.DUMMYFUNCTION("""COMPUTED_VALUE"""),"kr-29")</f>
        <v>kr-29</v>
      </c>
      <c r="C3871" s="9" t="str">
        <f>IFERROR(__xludf.DUMMYFUNCTION("GOOGLETRANSLATE($A3871,""en"",""de"")"),"Gwangju")</f>
        <v>Gwangju</v>
      </c>
      <c r="D3871" s="9" t="str">
        <f>IFERROR(__xludf.DUMMYFUNCTION("GOOGLETRANSLATE($A3871,""en"",""fr"")"),"Gwangju")</f>
        <v>Gwangju</v>
      </c>
      <c r="E3871" s="9" t="str">
        <f>IFERROR(__xludf.DUMMYFUNCTION("GOOGLETRANSLATE($A3871,""en"",""es"")"),"Gwangju")</f>
        <v>Gwangju</v>
      </c>
      <c r="F3871" s="9" t="str">
        <f>IFERROR(__xludf.DUMMYFUNCTION("GOOGLETRANSLATE($A3871,""en"",""it"")"),"Gwangju")</f>
        <v>Gwangju</v>
      </c>
      <c r="G3871" s="9" t="str">
        <f>IFERROR(__xludf.DUMMYFUNCTION("GOOGLETRANSLATE($A3871,""en"",""zh-cn"")"),"光州")</f>
        <v>光州</v>
      </c>
      <c r="H3871" s="9" t="str">
        <f>IFERROR(__xludf.DUMMYFUNCTION("GOOGLETRANSLATE($A3871,""en"",""ja"")"),"光州")</f>
        <v>光州</v>
      </c>
      <c r="I3871" s="9" t="str">
        <f>IFERROR(__xludf.DUMMYFUNCTION("GOOGLETRANSLATE($A3871,""en"",""ko"")"),"광주")</f>
        <v>광주</v>
      </c>
      <c r="J3871" s="9" t="str">
        <f>IFERROR(__xludf.DUMMYFUNCTION("GOOGLETRANSLATE($A3871,""en"",""pt-BR"")"),"Gwangju")</f>
        <v>Gwangju</v>
      </c>
    </row>
    <row r="3872">
      <c r="A3872" s="9" t="str">
        <f>IFERROR(__xludf.DUMMYFUNCTION("""COMPUTED_VALUE"""),"Busan")</f>
        <v>Busan</v>
      </c>
      <c r="B3872" s="9" t="str">
        <f>IFERROR(__xludf.DUMMYFUNCTION("""COMPUTED_VALUE"""),"kr-26")</f>
        <v>kr-26</v>
      </c>
      <c r="C3872" s="9" t="str">
        <f>IFERROR(__xludf.DUMMYFUNCTION("GOOGLETRANSLATE($A3872,""en"",""de"")"),"Busan")</f>
        <v>Busan</v>
      </c>
      <c r="D3872" s="9" t="str">
        <f>IFERROR(__xludf.DUMMYFUNCTION("GOOGLETRANSLATE($A3872,""en"",""fr"")"),"Pusan")</f>
        <v>Pusan</v>
      </c>
      <c r="E3872" s="9" t="str">
        <f>IFERROR(__xludf.DUMMYFUNCTION("GOOGLETRANSLATE($A3872,""en"",""es"")"),"Busán")</f>
        <v>Busán</v>
      </c>
      <c r="F3872" s="9" t="str">
        <f>IFERROR(__xludf.DUMMYFUNCTION("GOOGLETRANSLATE($A3872,""en"",""it"")"),"Pusan")</f>
        <v>Pusan</v>
      </c>
      <c r="G3872" s="9" t="str">
        <f>IFERROR(__xludf.DUMMYFUNCTION("GOOGLETRANSLATE($A3872,""en"",""zh-cn"")"),"釜山")</f>
        <v>釜山</v>
      </c>
      <c r="H3872" s="9" t="str">
        <f>IFERROR(__xludf.DUMMYFUNCTION("GOOGLETRANSLATE($A3872,""en"",""ja"")"),"釜山")</f>
        <v>釜山</v>
      </c>
      <c r="I3872" s="9" t="str">
        <f>IFERROR(__xludf.DUMMYFUNCTION("GOOGLETRANSLATE($A3872,""en"",""ko"")"),"부산")</f>
        <v>부산</v>
      </c>
      <c r="J3872" s="9" t="str">
        <f>IFERROR(__xludf.DUMMYFUNCTION("GOOGLETRANSLATE($A3872,""en"",""pt-BR"")"),"Busan")</f>
        <v>Busan</v>
      </c>
    </row>
    <row r="3873">
      <c r="A3873" s="9" t="str">
        <f>IFERROR(__xludf.DUMMYFUNCTION("""COMPUTED_VALUE"""),"Daegu")</f>
        <v>Daegu</v>
      </c>
      <c r="B3873" s="9" t="str">
        <f>IFERROR(__xludf.DUMMYFUNCTION("""COMPUTED_VALUE"""),"kr-27")</f>
        <v>kr-27</v>
      </c>
      <c r="C3873" s="9" t="str">
        <f>IFERROR(__xludf.DUMMYFUNCTION("GOOGLETRANSLATE($A3873,""en"",""de"")"),"Daegu")</f>
        <v>Daegu</v>
      </c>
      <c r="D3873" s="9" t="str">
        <f>IFERROR(__xludf.DUMMYFUNCTION("GOOGLETRANSLATE($A3873,""en"",""fr"")"),"Daegu")</f>
        <v>Daegu</v>
      </c>
      <c r="E3873" s="9" t="str">
        <f>IFERROR(__xludf.DUMMYFUNCTION("GOOGLETRANSLATE($A3873,""en"",""es"")"),"Daegu")</f>
        <v>Daegu</v>
      </c>
      <c r="F3873" s="9" t="str">
        <f>IFERROR(__xludf.DUMMYFUNCTION("GOOGLETRANSLATE($A3873,""en"",""it"")"),"Daegu")</f>
        <v>Daegu</v>
      </c>
      <c r="G3873" s="9" t="str">
        <f>IFERROR(__xludf.DUMMYFUNCTION("GOOGLETRANSLATE($A3873,""en"",""zh-cn"")"),"大邱")</f>
        <v>大邱</v>
      </c>
      <c r="H3873" s="9" t="str">
        <f>IFERROR(__xludf.DUMMYFUNCTION("GOOGLETRANSLATE($A3873,""en"",""ja"")"),"大邱")</f>
        <v>大邱</v>
      </c>
      <c r="I3873" s="9" t="str">
        <f>IFERROR(__xludf.DUMMYFUNCTION("GOOGLETRANSLATE($A3873,""en"",""ko"")"),"대구")</f>
        <v>대구</v>
      </c>
      <c r="J3873" s="9" t="str">
        <f>IFERROR(__xludf.DUMMYFUNCTION("GOOGLETRANSLATE($A3873,""en"",""pt-BR"")"),"Daegu")</f>
        <v>Daegu</v>
      </c>
    </row>
    <row r="3874">
      <c r="A3874" s="9" t="str">
        <f>IFERROR(__xludf.DUMMYFUNCTION("""COMPUTED_VALUE"""),"Seoul")</f>
        <v>Seoul</v>
      </c>
      <c r="B3874" s="9" t="str">
        <f>IFERROR(__xludf.DUMMYFUNCTION("""COMPUTED_VALUE"""),"kr-11")</f>
        <v>kr-11</v>
      </c>
      <c r="C3874" s="9" t="str">
        <f>IFERROR(__xludf.DUMMYFUNCTION("GOOGLETRANSLATE($A3874,""en"",""de"")"),"Seoul")</f>
        <v>Seoul</v>
      </c>
      <c r="D3874" s="9" t="str">
        <f>IFERROR(__xludf.DUMMYFUNCTION("GOOGLETRANSLATE($A3874,""en"",""fr"")"),"Séoul")</f>
        <v>Séoul</v>
      </c>
      <c r="E3874" s="9" t="str">
        <f>IFERROR(__xludf.DUMMYFUNCTION("GOOGLETRANSLATE($A3874,""en"",""es"")"),"Seúl")</f>
        <v>Seúl</v>
      </c>
      <c r="F3874" s="9" t="str">
        <f>IFERROR(__xludf.DUMMYFUNCTION("GOOGLETRANSLATE($A3874,""en"",""it"")"),"Seul")</f>
        <v>Seul</v>
      </c>
      <c r="G3874" s="9" t="str">
        <f>IFERROR(__xludf.DUMMYFUNCTION("GOOGLETRANSLATE($A3874,""en"",""zh-cn"")"),"汉城")</f>
        <v>汉城</v>
      </c>
      <c r="H3874" s="9" t="str">
        <f>IFERROR(__xludf.DUMMYFUNCTION("GOOGLETRANSLATE($A3874,""en"",""ja"")"),"ソウル")</f>
        <v>ソウル</v>
      </c>
      <c r="I3874" s="9" t="str">
        <f>IFERROR(__xludf.DUMMYFUNCTION("GOOGLETRANSLATE($A3874,""en"",""ko"")"),"서울")</f>
        <v>서울</v>
      </c>
      <c r="J3874" s="9" t="str">
        <f>IFERROR(__xludf.DUMMYFUNCTION("GOOGLETRANSLATE($A3874,""en"",""pt-BR"")"),"Seul")</f>
        <v>Seul</v>
      </c>
    </row>
    <row r="3875">
      <c r="A3875" s="9" t="str">
        <f>IFERROR(__xludf.DUMMYFUNCTION("""COMPUTED_VALUE"""),"Sejong")</f>
        <v>Sejong</v>
      </c>
      <c r="B3875" s="9" t="str">
        <f>IFERROR(__xludf.DUMMYFUNCTION("""COMPUTED_VALUE"""),"kr-50")</f>
        <v>kr-50</v>
      </c>
      <c r="C3875" s="9" t="str">
        <f>IFERROR(__xludf.DUMMYFUNCTION("GOOGLETRANSLATE($A3875,""en"",""de"")"),"Sejong")</f>
        <v>Sejong</v>
      </c>
      <c r="D3875" s="9" t="str">
        <f>IFERROR(__xludf.DUMMYFUNCTION("GOOGLETRANSLATE($A3875,""en"",""fr"")"),"Sejong")</f>
        <v>Sejong</v>
      </c>
      <c r="E3875" s="9" t="str">
        <f>IFERROR(__xludf.DUMMYFUNCTION("GOOGLETRANSLATE($A3875,""en"",""es"")"),"Sejong")</f>
        <v>Sejong</v>
      </c>
      <c r="F3875" s="9" t="str">
        <f>IFERROR(__xludf.DUMMYFUNCTION("GOOGLETRANSLATE($A3875,""en"",""it"")"),"Sejong")</f>
        <v>Sejong</v>
      </c>
      <c r="G3875" s="9" t="str">
        <f>IFERROR(__xludf.DUMMYFUNCTION("GOOGLETRANSLATE($A3875,""en"",""zh-cn"")"),"世宗")</f>
        <v>世宗</v>
      </c>
      <c r="H3875" s="9" t="str">
        <f>IFERROR(__xludf.DUMMYFUNCTION("GOOGLETRANSLATE($A3875,""en"",""ja"")"),"世宗")</f>
        <v>世宗</v>
      </c>
      <c r="I3875" s="9" t="str">
        <f>IFERROR(__xludf.DUMMYFUNCTION("GOOGLETRANSLATE($A3875,""en"",""ko"")"),"세종")</f>
        <v>세종</v>
      </c>
      <c r="J3875" s="9" t="str">
        <f>IFERROR(__xludf.DUMMYFUNCTION("GOOGLETRANSLATE($A3875,""en"",""pt-BR"")"),"Sejong")</f>
        <v>Sejong</v>
      </c>
    </row>
    <row r="3876">
      <c r="A3876" s="9" t="str">
        <f>IFERROR(__xludf.DUMMYFUNCTION("""COMPUTED_VALUE"""),"Hînceşti")</f>
        <v>Hînceşti</v>
      </c>
      <c r="B3876" s="9" t="str">
        <f>IFERROR(__xludf.DUMMYFUNCTION("""COMPUTED_VALUE"""),"md-hi")</f>
        <v>md-hi</v>
      </c>
      <c r="C3876" s="9" t="str">
        <f>IFERROR(__xludf.DUMMYFUNCTION("GOOGLETRANSLATE($A3876,""en"",""de"")"),"Hînceşti")</f>
        <v>Hînceşti</v>
      </c>
      <c r="D3876" s="9" t="str">
        <f>IFERROR(__xludf.DUMMYFUNCTION("GOOGLETRANSLATE($A3876,""en"",""fr"")"),"Hîncești")</f>
        <v>Hîncești</v>
      </c>
      <c r="E3876" s="9" t="str">
        <f>IFERROR(__xludf.DUMMYFUNCTION("GOOGLETRANSLATE($A3876,""en"",""es"")"),"Hîncești")</f>
        <v>Hîncești</v>
      </c>
      <c r="F3876" s="9" t="str">
        <f>IFERROR(__xludf.DUMMYFUNCTION("GOOGLETRANSLATE($A3876,""en"",""it"")"),"Hînceşti")</f>
        <v>Hînceşti</v>
      </c>
      <c r="G3876" s="9" t="str">
        <f>IFERROR(__xludf.DUMMYFUNCTION("GOOGLETRANSLATE($A3876,""en"",""zh-cn"")"),"欣切什蒂")</f>
        <v>欣切什蒂</v>
      </c>
      <c r="H3876" s="9" t="str">
        <f>IFERROR(__xludf.DUMMYFUNCTION("GOOGLETRANSLATE($A3876,""en"",""ja"")"),"ヒンセンシュティ")</f>
        <v>ヒンセンシュティ</v>
      </c>
      <c r="I3876" s="9" t="str">
        <f>IFERROR(__xludf.DUMMYFUNCTION("GOOGLETRANSLATE($A3876,""en"",""ko"")"),"히세슈티")</f>
        <v>히세슈티</v>
      </c>
      <c r="J3876" s="9" t="str">
        <f>IFERROR(__xludf.DUMMYFUNCTION("GOOGLETRANSLATE($A3876,""en"",""pt-BR"")"),"Hînceşti")</f>
        <v>Hînceşti</v>
      </c>
    </row>
    <row r="3877">
      <c r="A3877" s="9" t="str">
        <f>IFERROR(__xludf.DUMMYFUNCTION("""COMPUTED_VALUE"""),"Basarabeasca")</f>
        <v>Basarabeasca</v>
      </c>
      <c r="B3877" s="9" t="str">
        <f>IFERROR(__xludf.DUMMYFUNCTION("""COMPUTED_VALUE"""),"md-bs")</f>
        <v>md-bs</v>
      </c>
      <c r="C3877" s="9" t="str">
        <f>IFERROR(__xludf.DUMMYFUNCTION("GOOGLETRANSLATE($A3877,""en"",""de"")"),"Basarabeasca")</f>
        <v>Basarabeasca</v>
      </c>
      <c r="D3877" s="9" t="str">
        <f>IFERROR(__xludf.DUMMYFUNCTION("GOOGLETRANSLATE($A3877,""en"",""fr"")"),"Basarabeasca")</f>
        <v>Basarabeasca</v>
      </c>
      <c r="E3877" s="9" t="str">
        <f>IFERROR(__xludf.DUMMYFUNCTION("GOOGLETRANSLATE($A3877,""en"",""es"")"),"Basarabeasca")</f>
        <v>Basarabeasca</v>
      </c>
      <c r="F3877" s="9" t="str">
        <f>IFERROR(__xludf.DUMMYFUNCTION("GOOGLETRANSLATE($A3877,""en"",""it"")"),"Basarabeasca")</f>
        <v>Basarabeasca</v>
      </c>
      <c r="G3877" s="9" t="str">
        <f>IFERROR(__xludf.DUMMYFUNCTION("GOOGLETRANSLATE($A3877,""en"",""zh-cn"")"),"巴萨拉韦斯卡")</f>
        <v>巴萨拉韦斯卡</v>
      </c>
      <c r="H3877" s="9" t="str">
        <f>IFERROR(__xludf.DUMMYFUNCTION("GOOGLETRANSLATE($A3877,""en"",""ja"")"),"バサラベアスカ")</f>
        <v>バサラベアスカ</v>
      </c>
      <c r="I3877" s="9" t="str">
        <f>IFERROR(__xludf.DUMMYFUNCTION("GOOGLETRANSLATE($A3877,""en"",""ko"")"),"바사라베아스카")</f>
        <v>바사라베아스카</v>
      </c>
      <c r="J3877" s="9" t="str">
        <f>IFERROR(__xludf.DUMMYFUNCTION("GOOGLETRANSLATE($A3877,""en"",""pt-BR"")"),"Basarabeasca")</f>
        <v>Basarabeasca</v>
      </c>
    </row>
    <row r="3878">
      <c r="A3878" s="9" t="str">
        <f>IFERROR(__xludf.DUMMYFUNCTION("""COMPUTED_VALUE"""),"Ialoveni")</f>
        <v>Ialoveni</v>
      </c>
      <c r="B3878" s="9" t="str">
        <f>IFERROR(__xludf.DUMMYFUNCTION("""COMPUTED_VALUE"""),"md-ia")</f>
        <v>md-ia</v>
      </c>
      <c r="C3878" s="9" t="str">
        <f>IFERROR(__xludf.DUMMYFUNCTION("GOOGLETRANSLATE($A3878,""en"",""de"")"),"Ialoveni")</f>
        <v>Ialoveni</v>
      </c>
      <c r="D3878" s="9" t="str">
        <f>IFERROR(__xludf.DUMMYFUNCTION("GOOGLETRANSLATE($A3878,""en"",""fr"")"),"Ialovéni")</f>
        <v>Ialovéni</v>
      </c>
      <c r="E3878" s="9" t="str">
        <f>IFERROR(__xludf.DUMMYFUNCTION("GOOGLETRANSLATE($A3878,""en"",""es"")"),"Ialoveni")</f>
        <v>Ialoveni</v>
      </c>
      <c r="F3878" s="9" t="str">
        <f>IFERROR(__xludf.DUMMYFUNCTION("GOOGLETRANSLATE($A3878,""en"",""it"")"),"Ialoveni")</f>
        <v>Ialoveni</v>
      </c>
      <c r="G3878" s="9" t="str">
        <f>IFERROR(__xludf.DUMMYFUNCTION("GOOGLETRANSLATE($A3878,""en"",""zh-cn"")"),"亚洛维尼")</f>
        <v>亚洛维尼</v>
      </c>
      <c r="H3878" s="9" t="str">
        <f>IFERROR(__xludf.DUMMYFUNCTION("GOOGLETRANSLATE($A3878,""en"",""ja"")"),"イアロヴェニ")</f>
        <v>イアロヴェニ</v>
      </c>
      <c r="I3878" s="9" t="str">
        <f>IFERROR(__xludf.DUMMYFUNCTION("GOOGLETRANSLATE($A3878,""en"",""ko"")"),"이알로베니")</f>
        <v>이알로베니</v>
      </c>
      <c r="J3878" s="9" t="str">
        <f>IFERROR(__xludf.DUMMYFUNCTION("GOOGLETRANSLATE($A3878,""en"",""pt-BR"")"),"Ialoveni")</f>
        <v>Ialoveni</v>
      </c>
    </row>
    <row r="3879">
      <c r="A3879" s="9" t="str">
        <f>IFERROR(__xludf.DUMMYFUNCTION("""COMPUTED_VALUE"""),"Ungheni")</f>
        <v>Ungheni</v>
      </c>
      <c r="B3879" s="9" t="str">
        <f>IFERROR(__xludf.DUMMYFUNCTION("""COMPUTED_VALUE"""),"md-un")</f>
        <v>md-un</v>
      </c>
      <c r="C3879" s="9" t="str">
        <f>IFERROR(__xludf.DUMMYFUNCTION("GOOGLETRANSLATE($A3879,""en"",""de"")"),"Ungheni")</f>
        <v>Ungheni</v>
      </c>
      <c r="D3879" s="9" t="str">
        <f>IFERROR(__xludf.DUMMYFUNCTION("GOOGLETRANSLATE($A3879,""en"",""fr"")"),"Unghéni")</f>
        <v>Unghéni</v>
      </c>
      <c r="E3879" s="9" t="str">
        <f>IFERROR(__xludf.DUMMYFUNCTION("GOOGLETRANSLATE($A3879,""en"",""es"")"),"Ungheni")</f>
        <v>Ungheni</v>
      </c>
      <c r="F3879" s="9" t="str">
        <f>IFERROR(__xludf.DUMMYFUNCTION("GOOGLETRANSLATE($A3879,""en"",""it"")"),"Ungheni")</f>
        <v>Ungheni</v>
      </c>
      <c r="G3879" s="9" t="str">
        <f>IFERROR(__xludf.DUMMYFUNCTION("GOOGLETRANSLATE($A3879,""en"",""zh-cn"")"),"翁盖尼")</f>
        <v>翁盖尼</v>
      </c>
      <c r="H3879" s="9" t="str">
        <f>IFERROR(__xludf.DUMMYFUNCTION("GOOGLETRANSLATE($A3879,""en"",""ja"")"),"ウンゲニ")</f>
        <v>ウンゲニ</v>
      </c>
      <c r="I3879" s="9" t="str">
        <f>IFERROR(__xludf.DUMMYFUNCTION("GOOGLETRANSLATE($A3879,""en"",""ko"")"),"운게니")</f>
        <v>운게니</v>
      </c>
      <c r="J3879" s="9" t="str">
        <f>IFERROR(__xludf.DUMMYFUNCTION("GOOGLETRANSLATE($A3879,""en"",""pt-BR"")"),"Ungheni")</f>
        <v>Ungheni</v>
      </c>
    </row>
    <row r="3880">
      <c r="A3880" s="9" t="str">
        <f>IFERROR(__xludf.DUMMYFUNCTION("""COMPUTED_VALUE"""),"Orhei")</f>
        <v>Orhei</v>
      </c>
      <c r="B3880" s="9" t="str">
        <f>IFERROR(__xludf.DUMMYFUNCTION("""COMPUTED_VALUE"""),"md-or")</f>
        <v>md-or</v>
      </c>
      <c r="C3880" s="9" t="str">
        <f>IFERROR(__xludf.DUMMYFUNCTION("GOOGLETRANSLATE($A3880,""en"",""de"")"),"Orhei")</f>
        <v>Orhei</v>
      </c>
      <c r="D3880" s="9" t="str">
        <f>IFERROR(__xludf.DUMMYFUNCTION("GOOGLETRANSLATE($A3880,""en"",""fr"")"),"Orhéi")</f>
        <v>Orhéi</v>
      </c>
      <c r="E3880" s="9" t="str">
        <f>IFERROR(__xludf.DUMMYFUNCTION("GOOGLETRANSLATE($A3880,""en"",""es"")"),"Orhei")</f>
        <v>Orhei</v>
      </c>
      <c r="F3880" s="9" t="str">
        <f>IFERROR(__xludf.DUMMYFUNCTION("GOOGLETRANSLATE($A3880,""en"",""it"")"),"Orhei")</f>
        <v>Orhei</v>
      </c>
      <c r="G3880" s="9" t="str">
        <f>IFERROR(__xludf.DUMMYFUNCTION("GOOGLETRANSLATE($A3880,""en"",""zh-cn"")"),"奥尔海伊")</f>
        <v>奥尔海伊</v>
      </c>
      <c r="H3880" s="9" t="str">
        <f>IFERROR(__xludf.DUMMYFUNCTION("GOOGLETRANSLATE($A3880,""en"",""ja"")"),"オルヘイ")</f>
        <v>オルヘイ</v>
      </c>
      <c r="I3880" s="9" t="str">
        <f>IFERROR(__xludf.DUMMYFUNCTION("GOOGLETRANSLATE($A3880,""en"",""ko"")"),"오르헤이")</f>
        <v>오르헤이</v>
      </c>
      <c r="J3880" s="9" t="str">
        <f>IFERROR(__xludf.DUMMYFUNCTION("GOOGLETRANSLATE($A3880,""en"",""pt-BR"")"),"Orhei")</f>
        <v>Orhei</v>
      </c>
    </row>
    <row r="3881">
      <c r="A3881" s="9" t="str">
        <f>IFERROR(__xludf.DUMMYFUNCTION("""COMPUTED_VALUE"""),"Străşeni")</f>
        <v>Străşeni</v>
      </c>
      <c r="B3881" s="9" t="str">
        <f>IFERROR(__xludf.DUMMYFUNCTION("""COMPUTED_VALUE"""),"md-st")</f>
        <v>md-st</v>
      </c>
      <c r="C3881" s="9" t="str">
        <f>IFERROR(__xludf.DUMMYFUNCTION("GOOGLETRANSLATE($A3881,""en"",""de"")"),"Străşeni")</f>
        <v>Străşeni</v>
      </c>
      <c r="D3881" s="9" t="str">
        <f>IFERROR(__xludf.DUMMYFUNCTION("GOOGLETRANSLATE($A3881,""en"",""fr"")"),"Strășeni")</f>
        <v>Strășeni</v>
      </c>
      <c r="E3881" s="9" t="str">
        <f>IFERROR(__xludf.DUMMYFUNCTION("GOOGLETRANSLATE($A3881,""en"",""es"")"),"Strășeni")</f>
        <v>Strășeni</v>
      </c>
      <c r="F3881" s="9" t="str">
        <f>IFERROR(__xludf.DUMMYFUNCTION("GOOGLETRANSLATE($A3881,""en"",""it"")"),"Straşeni")</f>
        <v>Straşeni</v>
      </c>
      <c r="G3881" s="9" t="str">
        <f>IFERROR(__xludf.DUMMYFUNCTION("GOOGLETRANSLATE($A3881,""en"",""zh-cn"")"),"斯特勒谢尼")</f>
        <v>斯特勒谢尼</v>
      </c>
      <c r="H3881" s="9" t="str">
        <f>IFERROR(__xludf.DUMMYFUNCTION("GOOGLETRANSLATE($A3881,""en"",""ja"")"),"ストラシェニ")</f>
        <v>ストラシェニ</v>
      </c>
      <c r="I3881" s="9" t="str">
        <f>IFERROR(__xludf.DUMMYFUNCTION("GOOGLETRANSLATE($A3881,""en"",""ko"")"),"스트라셰니")</f>
        <v>스트라셰니</v>
      </c>
      <c r="J3881" s="9" t="str">
        <f>IFERROR(__xludf.DUMMYFUNCTION("GOOGLETRANSLATE($A3881,""en"",""pt-BR"")"),"Straseni")</f>
        <v>Straseni</v>
      </c>
    </row>
    <row r="3882">
      <c r="A3882" s="9" t="str">
        <f>IFERROR(__xludf.DUMMYFUNCTION("""COMPUTED_VALUE"""),"Nisporeni")</f>
        <v>Nisporeni</v>
      </c>
      <c r="B3882" s="9" t="str">
        <f>IFERROR(__xludf.DUMMYFUNCTION("""COMPUTED_VALUE"""),"md-ni")</f>
        <v>md-ni</v>
      </c>
      <c r="C3882" s="9" t="str">
        <f>IFERROR(__xludf.DUMMYFUNCTION("GOOGLETRANSLATE($A3882,""en"",""de"")"),"Nisporeni")</f>
        <v>Nisporeni</v>
      </c>
      <c r="D3882" s="9" t="str">
        <f>IFERROR(__xludf.DUMMYFUNCTION("GOOGLETRANSLATE($A3882,""en"",""fr"")"),"Nisporeni")</f>
        <v>Nisporeni</v>
      </c>
      <c r="E3882" s="9" t="str">
        <f>IFERROR(__xludf.DUMMYFUNCTION("GOOGLETRANSLATE($A3882,""en"",""es"")"),"nisporeno")</f>
        <v>nisporeno</v>
      </c>
      <c r="F3882" s="9" t="str">
        <f>IFERROR(__xludf.DUMMYFUNCTION("GOOGLETRANSLATE($A3882,""en"",""it"")"),"Nisporeni")</f>
        <v>Nisporeni</v>
      </c>
      <c r="G3882" s="9" t="str">
        <f>IFERROR(__xludf.DUMMYFUNCTION("GOOGLETRANSLATE($A3882,""en"",""zh-cn"")"),"尼斯波雷尼")</f>
        <v>尼斯波雷尼</v>
      </c>
      <c r="H3882" s="9" t="str">
        <f>IFERROR(__xludf.DUMMYFUNCTION("GOOGLETRANSLATE($A3882,""en"",""ja"")"),"ニスポレーニ")</f>
        <v>ニスポレーニ</v>
      </c>
      <c r="I3882" s="9" t="str">
        <f>IFERROR(__xludf.DUMMYFUNCTION("GOOGLETRANSLATE($A3882,""en"",""ko"")"),"니스포르니")</f>
        <v>니스포르니</v>
      </c>
      <c r="J3882" s="9" t="str">
        <f>IFERROR(__xludf.DUMMYFUNCTION("GOOGLETRANSLATE($A3882,""en"",""pt-BR"")"),"Nisporeni")</f>
        <v>Nisporeni</v>
      </c>
    </row>
    <row r="3883">
      <c r="A3883" s="9" t="str">
        <f>IFERROR(__xludf.DUMMYFUNCTION("""COMPUTED_VALUE"""),"Ştefan Vodă")</f>
        <v>Ştefan Vodă</v>
      </c>
      <c r="B3883" s="9" t="str">
        <f>IFERROR(__xludf.DUMMYFUNCTION("""COMPUTED_VALUE"""),"md-sv")</f>
        <v>md-sv</v>
      </c>
      <c r="C3883" s="9" t="str">
        <f>IFERROR(__xludf.DUMMYFUNCTION("GOOGLETRANSLATE($A3883,""en"",""de"")"),"Stefan Vodă")</f>
        <v>Stefan Vodă</v>
      </c>
      <c r="D3883" s="9" t="str">
        <f>IFERROR(__xludf.DUMMYFUNCTION("GOOGLETRANSLATE($A3883,""en"",""fr"")"),"Stefan Vodă")</f>
        <v>Stefan Vodă</v>
      </c>
      <c r="E3883" s="9" t="str">
        <f>IFERROR(__xludf.DUMMYFUNCTION("GOOGLETRANSLATE($A3883,""en"",""es"")"),"Ştefan Vodă")</f>
        <v>Ştefan Vodă</v>
      </c>
      <c r="F3883" s="9" t="str">
        <f>IFERROR(__xludf.DUMMYFUNCTION("GOOGLETRANSLATE($A3883,""en"",""it"")"),"Ştefan Voda")</f>
        <v>Ştefan Voda</v>
      </c>
      <c r="G3883" s="9" t="str">
        <f>IFERROR(__xludf.DUMMYFUNCTION("GOOGLETRANSLATE($A3883,""en"",""zh-cn"")"),"斯特凡·沃德")</f>
        <v>斯特凡·沃德</v>
      </c>
      <c r="H3883" s="9" t="str">
        <f>IFERROR(__xludf.DUMMYFUNCTION("GOOGLETRANSLATE($A3883,""en"",""ja"")"),"ステファン・ヴォダ")</f>
        <v>ステファン・ヴォダ</v>
      </c>
      <c r="I3883" s="9" t="str">
        <f>IFERROR(__xludf.DUMMYFUNCTION("GOOGLETRANSLATE($A3883,""en"",""ko"")"),"슈테판 보다")</f>
        <v>슈테판 보다</v>
      </c>
      <c r="J3883" s="9" t="str">
        <f>IFERROR(__xludf.DUMMYFUNCTION("GOOGLETRANSLATE($A3883,""en"",""pt-BR"")"),"Ştefan Vodă")</f>
        <v>Ştefan Vodă</v>
      </c>
    </row>
    <row r="3884">
      <c r="A3884" s="9" t="str">
        <f>IFERROR(__xludf.DUMMYFUNCTION("""COMPUTED_VALUE"""),"Taraclia")</f>
        <v>Taraclia</v>
      </c>
      <c r="B3884" s="9" t="str">
        <f>IFERROR(__xludf.DUMMYFUNCTION("""COMPUTED_VALUE"""),"md-ta")</f>
        <v>md-ta</v>
      </c>
      <c r="C3884" s="9" t="str">
        <f>IFERROR(__xludf.DUMMYFUNCTION("GOOGLETRANSLATE($A3884,""en"",""de"")"),"Taraclia")</f>
        <v>Taraclia</v>
      </c>
      <c r="D3884" s="9" t="str">
        <f>IFERROR(__xludf.DUMMYFUNCTION("GOOGLETRANSLATE($A3884,""en"",""fr"")"),"Taraclia")</f>
        <v>Taraclia</v>
      </c>
      <c r="E3884" s="9" t="str">
        <f>IFERROR(__xludf.DUMMYFUNCTION("GOOGLETRANSLATE($A3884,""en"",""es"")"),"Taraclia")</f>
        <v>Taraclia</v>
      </c>
      <c r="F3884" s="9" t="str">
        <f>IFERROR(__xludf.DUMMYFUNCTION("GOOGLETRANSLATE($A3884,""en"",""it"")"),"Taraclia")</f>
        <v>Taraclia</v>
      </c>
      <c r="G3884" s="9" t="str">
        <f>IFERROR(__xludf.DUMMYFUNCTION("GOOGLETRANSLATE($A3884,""en"",""zh-cn"")"),"塔拉克利亚")</f>
        <v>塔拉克利亚</v>
      </c>
      <c r="H3884" s="9" t="str">
        <f>IFERROR(__xludf.DUMMYFUNCTION("GOOGLETRANSLATE($A3884,""en"",""ja"")"),"タラクリア")</f>
        <v>タラクリア</v>
      </c>
      <c r="I3884" s="9" t="str">
        <f>IFERROR(__xludf.DUMMYFUNCTION("GOOGLETRANSLATE($A3884,""en"",""ko"")"),"타라클리아")</f>
        <v>타라클리아</v>
      </c>
      <c r="J3884" s="9" t="str">
        <f>IFERROR(__xludf.DUMMYFUNCTION("GOOGLETRANSLATE($A3884,""en"",""pt-BR"")"),"Taraclia")</f>
        <v>Taraclia</v>
      </c>
    </row>
    <row r="3885">
      <c r="A3885" s="9" t="str">
        <f>IFERROR(__xludf.DUMMYFUNCTION("""COMPUTED_VALUE"""),"Rîşcani")</f>
        <v>Rîşcani</v>
      </c>
      <c r="B3885" s="9" t="str">
        <f>IFERROR(__xludf.DUMMYFUNCTION("""COMPUTED_VALUE"""),"md-ri")</f>
        <v>md-ri</v>
      </c>
      <c r="C3885" s="9" t="str">
        <f>IFERROR(__xludf.DUMMYFUNCTION("GOOGLETRANSLATE($A3885,""en"",""de"")"),"Rîşcani")</f>
        <v>Rîşcani</v>
      </c>
      <c r="D3885" s="9" t="str">
        <f>IFERROR(__xludf.DUMMYFUNCTION("GOOGLETRANSLATE($A3885,""en"",""fr"")"),"Rîșcani")</f>
        <v>Rîșcani</v>
      </c>
      <c r="E3885" s="9" t="str">
        <f>IFERROR(__xludf.DUMMYFUNCTION("GOOGLETRANSLATE($A3885,""en"",""es"")"),"Rîşcani")</f>
        <v>Rîşcani</v>
      </c>
      <c r="F3885" s="9" t="str">
        <f>IFERROR(__xludf.DUMMYFUNCTION("GOOGLETRANSLATE($A3885,""en"",""it"")"),"Rişcani")</f>
        <v>Rişcani</v>
      </c>
      <c r="G3885" s="9" t="str">
        <f>IFERROR(__xludf.DUMMYFUNCTION("GOOGLETRANSLATE($A3885,""en"",""zh-cn"")"),"里斯卡尼")</f>
        <v>里斯卡尼</v>
      </c>
      <c r="H3885" s="9" t="str">
        <f>IFERROR(__xludf.DUMMYFUNCTION("GOOGLETRANSLATE($A3885,""en"",""ja"")"),"リスカニ")</f>
        <v>リスカニ</v>
      </c>
      <c r="I3885" s="9" t="str">
        <f>IFERROR(__xludf.DUMMYFUNCTION("GOOGLETRANSLATE($A3885,""en"",""ko"")"),"리스카니")</f>
        <v>리스카니</v>
      </c>
      <c r="J3885" s="9" t="str">
        <f>IFERROR(__xludf.DUMMYFUNCTION("GOOGLETRANSLATE($A3885,""en"",""pt-BR"")"),"Rîşcani")</f>
        <v>Rîşcani</v>
      </c>
    </row>
    <row r="3886">
      <c r="A3886" s="9" t="str">
        <f>IFERROR(__xludf.DUMMYFUNCTION("""COMPUTED_VALUE"""),"Drochia")</f>
        <v>Drochia</v>
      </c>
      <c r="B3886" s="9" t="str">
        <f>IFERROR(__xludf.DUMMYFUNCTION("""COMPUTED_VALUE"""),"md-dr")</f>
        <v>md-dr</v>
      </c>
      <c r="C3886" s="9" t="str">
        <f>IFERROR(__xludf.DUMMYFUNCTION("GOOGLETRANSLATE($A3886,""en"",""de"")"),"Drochia")</f>
        <v>Drochia</v>
      </c>
      <c r="D3886" s="9" t="str">
        <f>IFERROR(__xludf.DUMMYFUNCTION("GOOGLETRANSLATE($A3886,""en"",""fr"")"),"Drochie")</f>
        <v>Drochie</v>
      </c>
      <c r="E3886" s="9" t="str">
        <f>IFERROR(__xludf.DUMMYFUNCTION("GOOGLETRANSLATE($A3886,""en"",""es"")"),"Drochia")</f>
        <v>Drochia</v>
      </c>
      <c r="F3886" s="9" t="str">
        <f>IFERROR(__xludf.DUMMYFUNCTION("GOOGLETRANSLATE($A3886,""en"",""it"")"),"Drochia")</f>
        <v>Drochia</v>
      </c>
      <c r="G3886" s="9" t="str">
        <f>IFERROR(__xludf.DUMMYFUNCTION("GOOGLETRANSLATE($A3886,""en"",""zh-cn"")"),"德罗奇亚")</f>
        <v>德罗奇亚</v>
      </c>
      <c r="H3886" s="9" t="str">
        <f>IFERROR(__xludf.DUMMYFUNCTION("GOOGLETRANSLATE($A3886,""en"",""ja"")"),"ドロキア")</f>
        <v>ドロキア</v>
      </c>
      <c r="I3886" s="9" t="str">
        <f>IFERROR(__xludf.DUMMYFUNCTION("GOOGLETRANSLATE($A3886,""en"",""ko"")"),"드로키아")</f>
        <v>드로키아</v>
      </c>
      <c r="J3886" s="9" t="str">
        <f>IFERROR(__xludf.DUMMYFUNCTION("GOOGLETRANSLATE($A3886,""en"",""pt-BR"")"),"Dróquia")</f>
        <v>Dróquia</v>
      </c>
    </row>
    <row r="3887">
      <c r="A3887" s="9" t="str">
        <f>IFERROR(__xludf.DUMMYFUNCTION("""COMPUTED_VALUE"""),"Anenii Noi")</f>
        <v>Anenii Noi</v>
      </c>
      <c r="B3887" s="9" t="str">
        <f>IFERROR(__xludf.DUMMYFUNCTION("""COMPUTED_VALUE"""),"md-an")</f>
        <v>md-an</v>
      </c>
      <c r="C3887" s="9" t="str">
        <f>IFERROR(__xludf.DUMMYFUNCTION("GOOGLETRANSLATE($A3887,""en"",""de"")"),"Anenii Noi")</f>
        <v>Anenii Noi</v>
      </c>
      <c r="D3887" s="9" t="str">
        <f>IFERROR(__xludf.DUMMYFUNCTION("GOOGLETRANSLATE($A3887,""en"",""fr"")"),"Anenii Noi")</f>
        <v>Anenii Noi</v>
      </c>
      <c r="E3887" s="9" t="str">
        <f>IFERROR(__xludf.DUMMYFUNCTION("GOOGLETRANSLATE($A3887,""en"",""es"")"),"Anenii Noi")</f>
        <v>Anenii Noi</v>
      </c>
      <c r="F3887" s="9" t="str">
        <f>IFERROR(__xludf.DUMMYFUNCTION("GOOGLETRANSLATE($A3887,""en"",""it"")"),"Aneni Noi")</f>
        <v>Aneni Noi</v>
      </c>
      <c r="G3887" s="9" t="str">
        <f>IFERROR(__xludf.DUMMYFUNCTION("GOOGLETRANSLATE($A3887,""en"",""zh-cn"")"),"阿内尼·诺伊")</f>
        <v>阿内尼·诺伊</v>
      </c>
      <c r="H3887" s="9" t="str">
        <f>IFERROR(__xludf.DUMMYFUNCTION("GOOGLETRANSLATE($A3887,""en"",""ja"")"),"アネニイノイ")</f>
        <v>アネニイノイ</v>
      </c>
      <c r="I3887" s="9" t="str">
        <f>IFERROR(__xludf.DUMMYFUNCTION("GOOGLETRANSLATE($A3887,""en"",""ko"")"),"아네니 노이")</f>
        <v>아네니 노이</v>
      </c>
      <c r="J3887" s="9" t="str">
        <f>IFERROR(__xludf.DUMMYFUNCTION("GOOGLETRANSLATE($A3887,""en"",""pt-BR"")"),"Anenii Noi")</f>
        <v>Anenii Noi</v>
      </c>
    </row>
    <row r="3888">
      <c r="A3888" s="9" t="str">
        <f>IFERROR(__xludf.DUMMYFUNCTION("""COMPUTED_VALUE"""),"Şoldăneşti")</f>
        <v>Şoldăneşti</v>
      </c>
      <c r="B3888" s="9" t="str">
        <f>IFERROR(__xludf.DUMMYFUNCTION("""COMPUTED_VALUE"""),"md-sd")</f>
        <v>md-sd</v>
      </c>
      <c r="C3888" s="9" t="str">
        <f>IFERROR(__xludf.DUMMYFUNCTION("GOOGLETRANSLATE($A3888,""en"",""de"")"),"Şoldăneşti")</f>
        <v>Şoldăneşti</v>
      </c>
      <c r="D3888" s="9" t="str">
        <f>IFERROR(__xludf.DUMMYFUNCTION("GOOGLETRANSLATE($A3888,""en"",""fr"")"),"Soldanești")</f>
        <v>Soldanești</v>
      </c>
      <c r="E3888" s="9" t="str">
        <f>IFERROR(__xludf.DUMMYFUNCTION("GOOGLETRANSLATE($A3888,""en"",""es"")"),"Şoldăneşti")</f>
        <v>Şoldăneşti</v>
      </c>
      <c r="F3888" s="9" t="str">
        <f>IFERROR(__xludf.DUMMYFUNCTION("GOOGLETRANSLATE($A3888,""en"",""it"")"),"Şoldăneşti")</f>
        <v>Şoldăneşti</v>
      </c>
      <c r="G3888" s="9" t="str">
        <f>IFERROR(__xludf.DUMMYFUNCTION("GOOGLETRANSLATE($A3888,""en"",""zh-cn"")"),"绍尔德内什蒂")</f>
        <v>绍尔德内什蒂</v>
      </c>
      <c r="H3888" s="9" t="str">
        <f>IFERROR(__xludf.DUMMYFUNCTION("GOOGLETRANSLATE($A3888,""en"",""ja"")"),"ショルダネシュティ")</f>
        <v>ショルダネシュティ</v>
      </c>
      <c r="I3888" s="9" t="str">
        <f>IFERROR(__xludf.DUMMYFUNCTION("GOOGLETRANSLATE($A3888,""en"",""ko"")"),"쏠다네슈티")</f>
        <v>쏠다네슈티</v>
      </c>
      <c r="J3888" s="9" t="str">
        <f>IFERROR(__xludf.DUMMYFUNCTION("GOOGLETRANSLATE($A3888,""en"",""pt-BR"")"),"Şoldăneşti")</f>
        <v>Şoldăneşti</v>
      </c>
    </row>
    <row r="3889">
      <c r="A3889" s="9" t="str">
        <f>IFERROR(__xludf.DUMMYFUNCTION("""COMPUTED_VALUE"""),"Soroca")</f>
        <v>Soroca</v>
      </c>
      <c r="B3889" s="9" t="str">
        <f>IFERROR(__xludf.DUMMYFUNCTION("""COMPUTED_VALUE"""),"md-so")</f>
        <v>md-so</v>
      </c>
      <c r="C3889" s="9" t="str">
        <f>IFERROR(__xludf.DUMMYFUNCTION("GOOGLETRANSLATE($A3889,""en"",""de"")"),"Soroca")</f>
        <v>Soroca</v>
      </c>
      <c r="D3889" s="9" t="str">
        <f>IFERROR(__xludf.DUMMYFUNCTION("GOOGLETRANSLATE($A3889,""en"",""fr"")"),"Sorocá")</f>
        <v>Sorocá</v>
      </c>
      <c r="E3889" s="9" t="str">
        <f>IFERROR(__xludf.DUMMYFUNCTION("GOOGLETRANSLATE($A3889,""en"",""es"")"),"Soroca")</f>
        <v>Soroca</v>
      </c>
      <c r="F3889" s="9" t="str">
        <f>IFERROR(__xludf.DUMMYFUNCTION("GOOGLETRANSLATE($A3889,""en"",""it"")"),"Soroca")</f>
        <v>Soroca</v>
      </c>
      <c r="G3889" s="9" t="str">
        <f>IFERROR(__xludf.DUMMYFUNCTION("GOOGLETRANSLATE($A3889,""en"",""zh-cn"")"),"索罗卡")</f>
        <v>索罗卡</v>
      </c>
      <c r="H3889" s="9" t="str">
        <f>IFERROR(__xludf.DUMMYFUNCTION("GOOGLETRANSLATE($A3889,""en"",""ja"")"),"ソロカ")</f>
        <v>ソロカ</v>
      </c>
      <c r="I3889" s="9" t="str">
        <f>IFERROR(__xludf.DUMMYFUNCTION("GOOGLETRANSLATE($A3889,""en"",""ko"")"),"소로카")</f>
        <v>소로카</v>
      </c>
      <c r="J3889" s="9" t="str">
        <f>IFERROR(__xludf.DUMMYFUNCTION("GOOGLETRANSLATE($A3889,""en"",""pt-BR"")"),"Soroca")</f>
        <v>Soroca</v>
      </c>
    </row>
    <row r="3890">
      <c r="A3890" s="9" t="str">
        <f>IFERROR(__xludf.DUMMYFUNCTION("""COMPUTED_VALUE"""),"Cahul")</f>
        <v>Cahul</v>
      </c>
      <c r="B3890" s="9" t="str">
        <f>IFERROR(__xludf.DUMMYFUNCTION("""COMPUTED_VALUE"""),"md-ca")</f>
        <v>md-ca</v>
      </c>
      <c r="C3890" s="9" t="str">
        <f>IFERROR(__xludf.DUMMYFUNCTION("GOOGLETRANSLATE($A3890,""en"",""de"")"),"Cahul")</f>
        <v>Cahul</v>
      </c>
      <c r="D3890" s="9" t="str">
        <f>IFERROR(__xludf.DUMMYFUNCTION("GOOGLETRANSLATE($A3890,""en"",""fr"")"),"Cahul")</f>
        <v>Cahul</v>
      </c>
      <c r="E3890" s="9" t="str">
        <f>IFERROR(__xludf.DUMMYFUNCTION("GOOGLETRANSLATE($A3890,""en"",""es"")"),"Cahul")</f>
        <v>Cahul</v>
      </c>
      <c r="F3890" s="9" t="str">
        <f>IFERROR(__xludf.DUMMYFUNCTION("GOOGLETRANSLATE($A3890,""en"",""it"")"),"Cahul")</f>
        <v>Cahul</v>
      </c>
      <c r="G3890" s="9" t="str">
        <f>IFERROR(__xludf.DUMMYFUNCTION("GOOGLETRANSLATE($A3890,""en"",""zh-cn"")"),"卡胡尔")</f>
        <v>卡胡尔</v>
      </c>
      <c r="H3890" s="9" t="str">
        <f>IFERROR(__xludf.DUMMYFUNCTION("GOOGLETRANSLATE($A3890,""en"",""ja"")"),"カフル")</f>
        <v>カフル</v>
      </c>
      <c r="I3890" s="9" t="str">
        <f>IFERROR(__xludf.DUMMYFUNCTION("GOOGLETRANSLATE($A3890,""en"",""ko"")"),"카훌")</f>
        <v>카훌</v>
      </c>
      <c r="J3890" s="9" t="str">
        <f>IFERROR(__xludf.DUMMYFUNCTION("GOOGLETRANSLATE($A3890,""en"",""pt-BR"")"),"Cahul")</f>
        <v>Cahul</v>
      </c>
    </row>
    <row r="3891">
      <c r="A3891" s="9" t="str">
        <f>IFERROR(__xludf.DUMMYFUNCTION("""COMPUTED_VALUE"""),"Ocniţa")</f>
        <v>Ocniţa</v>
      </c>
      <c r="B3891" s="9" t="str">
        <f>IFERROR(__xludf.DUMMYFUNCTION("""COMPUTED_VALUE"""),"md-oc")</f>
        <v>md-oc</v>
      </c>
      <c r="C3891" s="9" t="str">
        <f>IFERROR(__xludf.DUMMYFUNCTION("GOOGLETRANSLATE($A3891,""en"",""de"")"),"Ocniţa")</f>
        <v>Ocniţa</v>
      </c>
      <c r="D3891" s="9" t="str">
        <f>IFERROR(__xludf.DUMMYFUNCTION("GOOGLETRANSLATE($A3891,""en"",""fr"")"),"Ocnita")</f>
        <v>Ocnita</v>
      </c>
      <c r="E3891" s="9" t="str">
        <f>IFERROR(__xludf.DUMMYFUNCTION("GOOGLETRANSLATE($A3891,""en"",""es"")"),"Ocniţa")</f>
        <v>Ocniţa</v>
      </c>
      <c r="F3891" s="9" t="str">
        <f>IFERROR(__xludf.DUMMYFUNCTION("GOOGLETRANSLATE($A3891,""en"",""it"")"),"Ocniţa")</f>
        <v>Ocniţa</v>
      </c>
      <c r="G3891" s="9" t="str">
        <f>IFERROR(__xludf.DUMMYFUNCTION("GOOGLETRANSLATE($A3891,""en"",""zh-cn"")"),"奥克尼察")</f>
        <v>奥克尼察</v>
      </c>
      <c r="H3891" s="9" t="str">
        <f>IFERROR(__xludf.DUMMYFUNCTION("GOOGLETRANSLATE($A3891,""en"",""ja"")"),"オクニツァ")</f>
        <v>オクニツァ</v>
      </c>
      <c r="I3891" s="9" t="str">
        <f>IFERROR(__xludf.DUMMYFUNCTION("GOOGLETRANSLATE($A3891,""en"",""ko"")"),"옥니차")</f>
        <v>옥니차</v>
      </c>
      <c r="J3891" s="9" t="str">
        <f>IFERROR(__xludf.DUMMYFUNCTION("GOOGLETRANSLATE($A3891,""en"",""pt-BR"")"),"Ocniţa")</f>
        <v>Ocniţa</v>
      </c>
    </row>
    <row r="3892">
      <c r="A3892" s="9" t="str">
        <f>IFERROR(__xludf.DUMMYFUNCTION("""COMPUTED_VALUE"""),"Bender [Tighina]")</f>
        <v>Bender [Tighina]</v>
      </c>
      <c r="B3892" s="9" t="str">
        <f>IFERROR(__xludf.DUMMYFUNCTION("""COMPUTED_VALUE"""),"md-bd")</f>
        <v>md-bd</v>
      </c>
      <c r="C3892" s="9" t="str">
        <f>IFERROR(__xludf.DUMMYFUNCTION("GOOGLETRANSLATE($A3892,""en"",""de"")"),"Bender [Tighina]")</f>
        <v>Bender [Tighina]</v>
      </c>
      <c r="D3892" s="9" t="str">
        <f>IFERROR(__xludf.DUMMYFUNCTION("GOOGLETRANSLATE($A3892,""en"",""fr"")"),"Cintreuse [Tighina]")</f>
        <v>Cintreuse [Tighina]</v>
      </c>
      <c r="E3892" s="9" t="str">
        <f>IFERROR(__xludf.DUMMYFUNCTION("GOOGLETRANSLATE($A3892,""en"",""es"")"),"Bender [Tighina]")</f>
        <v>Bender [Tighina]</v>
      </c>
      <c r="F3892" s="9" t="str">
        <f>IFERROR(__xludf.DUMMYFUNCTION("GOOGLETRANSLATE($A3892,""en"",""it"")"),"Bender [Tighina]")</f>
        <v>Bender [Tighina]</v>
      </c>
      <c r="G3892" s="9" t="str">
        <f>IFERROR(__xludf.DUMMYFUNCTION("GOOGLETRANSLATE($A3892,""en"",""zh-cn"")"),"班德尔[蒂吉纳]")</f>
        <v>班德尔[蒂吉纳]</v>
      </c>
      <c r="H3892" s="9" t="str">
        <f>IFERROR(__xludf.DUMMYFUNCTION("GOOGLETRANSLATE($A3892,""en"",""ja"")"),"ベンダー【ティギナ】")</f>
        <v>ベンダー【ティギナ】</v>
      </c>
      <c r="I3892" s="9" t="str">
        <f>IFERROR(__xludf.DUMMYFUNCTION("GOOGLETRANSLATE($A3892,""en"",""ko"")"),"벤더 [티히나]")</f>
        <v>벤더 [티히나]</v>
      </c>
      <c r="J3892" s="9" t="str">
        <f>IFERROR(__xludf.DUMMYFUNCTION("GOOGLETRANSLATE($A3892,""en"",""pt-BR"")"),"Bender [Tighina]")</f>
        <v>Bender [Tighina]</v>
      </c>
    </row>
    <row r="3893">
      <c r="A3893" s="9" t="str">
        <f>IFERROR(__xludf.DUMMYFUNCTION("""COMPUTED_VALUE"""),"Rezina")</f>
        <v>Rezina</v>
      </c>
      <c r="B3893" s="9" t="str">
        <f>IFERROR(__xludf.DUMMYFUNCTION("""COMPUTED_VALUE"""),"md-re")</f>
        <v>md-re</v>
      </c>
      <c r="C3893" s="9" t="str">
        <f>IFERROR(__xludf.DUMMYFUNCTION("GOOGLETRANSLATE($A3893,""en"",""de"")"),"Rezina")</f>
        <v>Rezina</v>
      </c>
      <c r="D3893" s="9" t="str">
        <f>IFERROR(__xludf.DUMMYFUNCTION("GOOGLETRANSLATE($A3893,""en"",""fr"")"),"Rézina")</f>
        <v>Rézina</v>
      </c>
      <c r="E3893" s="9" t="str">
        <f>IFERROR(__xludf.DUMMYFUNCTION("GOOGLETRANSLATE($A3893,""en"",""es"")"),"rezina")</f>
        <v>rezina</v>
      </c>
      <c r="F3893" s="9" t="str">
        <f>IFERROR(__xludf.DUMMYFUNCTION("GOOGLETRANSLATE($A3893,""en"",""it"")"),"Rezina")</f>
        <v>Rezina</v>
      </c>
      <c r="G3893" s="9" t="str">
        <f>IFERROR(__xludf.DUMMYFUNCTION("GOOGLETRANSLATE($A3893,""en"",""zh-cn"")"),"雷齐纳")</f>
        <v>雷齐纳</v>
      </c>
      <c r="H3893" s="9" t="str">
        <f>IFERROR(__xludf.DUMMYFUNCTION("GOOGLETRANSLATE($A3893,""en"",""ja"")"),"レジーナ")</f>
        <v>レジーナ</v>
      </c>
      <c r="I3893" s="9" t="str">
        <f>IFERROR(__xludf.DUMMYFUNCTION("GOOGLETRANSLATE($A3893,""en"",""ko"")"),"레지나")</f>
        <v>레지나</v>
      </c>
      <c r="J3893" s="9" t="str">
        <f>IFERROR(__xludf.DUMMYFUNCTION("GOOGLETRANSLATE($A3893,""en"",""pt-BR"")"),"Rezina")</f>
        <v>Rezina</v>
      </c>
    </row>
    <row r="3894">
      <c r="A3894" s="9" t="str">
        <f>IFERROR(__xludf.DUMMYFUNCTION("""COMPUTED_VALUE"""),"Glodeni")</f>
        <v>Glodeni</v>
      </c>
      <c r="B3894" s="9" t="str">
        <f>IFERROR(__xludf.DUMMYFUNCTION("""COMPUTED_VALUE"""),"md-gl")</f>
        <v>md-gl</v>
      </c>
      <c r="C3894" s="9" t="str">
        <f>IFERROR(__xludf.DUMMYFUNCTION("GOOGLETRANSLATE($A3894,""en"",""de"")"),"Glodeni")</f>
        <v>Glodeni</v>
      </c>
      <c r="D3894" s="9" t="str">
        <f>IFERROR(__xludf.DUMMYFUNCTION("GOOGLETRANSLATE($A3894,""en"",""fr"")"),"Glodeni")</f>
        <v>Glodeni</v>
      </c>
      <c r="E3894" s="9" t="str">
        <f>IFERROR(__xludf.DUMMYFUNCTION("GOOGLETRANSLATE($A3894,""en"",""es"")"),"glodeni")</f>
        <v>glodeni</v>
      </c>
      <c r="F3894" s="9" t="str">
        <f>IFERROR(__xludf.DUMMYFUNCTION("GOOGLETRANSLATE($A3894,""en"",""it"")"),"Glodeni")</f>
        <v>Glodeni</v>
      </c>
      <c r="G3894" s="9" t="str">
        <f>IFERROR(__xludf.DUMMYFUNCTION("GOOGLETRANSLATE($A3894,""en"",""zh-cn"")"),"格洛德尼")</f>
        <v>格洛德尼</v>
      </c>
      <c r="H3894" s="9" t="str">
        <f>IFERROR(__xludf.DUMMYFUNCTION("GOOGLETRANSLATE($A3894,""en"",""ja"")"),"グロデニ")</f>
        <v>グロデニ</v>
      </c>
      <c r="I3894" s="9" t="str">
        <f>IFERROR(__xludf.DUMMYFUNCTION("GOOGLETRANSLATE($A3894,""en"",""ko"")"),"글로데니")</f>
        <v>글로데니</v>
      </c>
      <c r="J3894" s="9" t="str">
        <f>IFERROR(__xludf.DUMMYFUNCTION("GOOGLETRANSLATE($A3894,""en"",""pt-BR"")"),"Glodeni")</f>
        <v>Glodeni</v>
      </c>
    </row>
    <row r="3895">
      <c r="A3895" s="9" t="str">
        <f>IFERROR(__xludf.DUMMYFUNCTION("""COMPUTED_VALUE"""),"Dubăsari")</f>
        <v>Dubăsari</v>
      </c>
      <c r="B3895" s="9" t="str">
        <f>IFERROR(__xludf.DUMMYFUNCTION("""COMPUTED_VALUE"""),"md-du")</f>
        <v>md-du</v>
      </c>
      <c r="C3895" s="9" t="str">
        <f>IFERROR(__xludf.DUMMYFUNCTION("GOOGLETRANSLATE($A3895,""en"",""de"")"),"Dubăsari")</f>
        <v>Dubăsari</v>
      </c>
      <c r="D3895" s="9" t="str">
        <f>IFERROR(__xludf.DUMMYFUNCTION("GOOGLETRANSLATE($A3895,""en"",""fr"")"),"Dubasari")</f>
        <v>Dubasari</v>
      </c>
      <c r="E3895" s="9" t="str">
        <f>IFERROR(__xludf.DUMMYFUNCTION("GOOGLETRANSLATE($A3895,""en"",""es"")"),"Dubăsari")</f>
        <v>Dubăsari</v>
      </c>
      <c r="F3895" s="9" t="str">
        <f>IFERROR(__xludf.DUMMYFUNCTION("GOOGLETRANSLATE($A3895,""en"",""it"")"),"Dubasari")</f>
        <v>Dubasari</v>
      </c>
      <c r="G3895" s="9" t="str">
        <f>IFERROR(__xludf.DUMMYFUNCTION("GOOGLETRANSLATE($A3895,""en"",""zh-cn"")"),"杜巴萨里")</f>
        <v>杜巴萨里</v>
      </c>
      <c r="H3895" s="9" t="str">
        <f>IFERROR(__xludf.DUMMYFUNCTION("GOOGLETRANSLATE($A3895,""en"",""ja"")"),"ドゥバサリ")</f>
        <v>ドゥバサリ</v>
      </c>
      <c r="I3895" s="9" t="str">
        <f>IFERROR(__xludf.DUMMYFUNCTION("GOOGLETRANSLATE($A3895,""en"",""ko"")"),"두바사리")</f>
        <v>두바사리</v>
      </c>
      <c r="J3895" s="9" t="str">
        <f>IFERROR(__xludf.DUMMYFUNCTION("GOOGLETRANSLATE($A3895,""en"",""pt-BR"")"),"Dubăsari")</f>
        <v>Dubăsari</v>
      </c>
    </row>
    <row r="3896">
      <c r="A3896" s="9" t="str">
        <f>IFERROR(__xludf.DUMMYFUNCTION("""COMPUTED_VALUE"""),"Leova")</f>
        <v>Leova</v>
      </c>
      <c r="B3896" s="9" t="str">
        <f>IFERROR(__xludf.DUMMYFUNCTION("""COMPUTED_VALUE"""),"md-le")</f>
        <v>md-le</v>
      </c>
      <c r="C3896" s="9" t="str">
        <f>IFERROR(__xludf.DUMMYFUNCTION("GOOGLETRANSLATE($A3896,""en"",""de"")"),"Leova")</f>
        <v>Leova</v>
      </c>
      <c r="D3896" s="9" t="str">
        <f>IFERROR(__xludf.DUMMYFUNCTION("GOOGLETRANSLATE($A3896,""en"",""fr"")"),"Léova")</f>
        <v>Léova</v>
      </c>
      <c r="E3896" s="9" t="str">
        <f>IFERROR(__xludf.DUMMYFUNCTION("GOOGLETRANSLATE($A3896,""en"",""es"")"),"leova")</f>
        <v>leova</v>
      </c>
      <c r="F3896" s="9" t="str">
        <f>IFERROR(__xludf.DUMMYFUNCTION("GOOGLETRANSLATE($A3896,""en"",""it"")"),"Leova")</f>
        <v>Leova</v>
      </c>
      <c r="G3896" s="9" t="str">
        <f>IFERROR(__xludf.DUMMYFUNCTION("GOOGLETRANSLATE($A3896,""en"",""zh-cn"")"),"莱奥瓦")</f>
        <v>莱奥瓦</v>
      </c>
      <c r="H3896" s="9" t="str">
        <f>IFERROR(__xludf.DUMMYFUNCTION("GOOGLETRANSLATE($A3896,""en"",""ja"")"),"レオバ")</f>
        <v>レオバ</v>
      </c>
      <c r="I3896" s="9" t="str">
        <f>IFERROR(__xludf.DUMMYFUNCTION("GOOGLETRANSLATE($A3896,""en"",""ko"")"),"레오바")</f>
        <v>레오바</v>
      </c>
      <c r="J3896" s="9" t="str">
        <f>IFERROR(__xludf.DUMMYFUNCTION("GOOGLETRANSLATE($A3896,""en"",""pt-BR"")"),"Leova")</f>
        <v>Leova</v>
      </c>
    </row>
    <row r="3897">
      <c r="A3897" s="9" t="str">
        <f>IFERROR(__xludf.DUMMYFUNCTION("""COMPUTED_VALUE"""),"Călărași")</f>
        <v>Călărași</v>
      </c>
      <c r="B3897" s="9" t="str">
        <f>IFERROR(__xludf.DUMMYFUNCTION("""COMPUTED_VALUE"""),"md-cl")</f>
        <v>md-cl</v>
      </c>
      <c r="C3897" s="9" t="str">
        <f>IFERROR(__xludf.DUMMYFUNCTION("GOOGLETRANSLATE($A3897,""en"",""de"")"),"Călărași")</f>
        <v>Călărași</v>
      </c>
      <c r="D3897" s="9" t="str">
        <f>IFERROR(__xludf.DUMMYFUNCTION("GOOGLETRANSLATE($A3897,""en"",""fr"")"),"Călărași")</f>
        <v>Călărași</v>
      </c>
      <c r="E3897" s="9" t="str">
        <f>IFERROR(__xludf.DUMMYFUNCTION("GOOGLETRANSLATE($A3897,""en"",""es"")"),"Călărași")</f>
        <v>Călărași</v>
      </c>
      <c r="F3897" s="9" t="str">
        <f>IFERROR(__xludf.DUMMYFUNCTION("GOOGLETRANSLATE($A3897,""en"",""it"")"),"Călărași")</f>
        <v>Călărași</v>
      </c>
      <c r="G3897" s="9" t="str">
        <f>IFERROR(__xludf.DUMMYFUNCTION("GOOGLETRANSLATE($A3897,""en"",""zh-cn"")"),"卡拉拉西")</f>
        <v>卡拉拉西</v>
      </c>
      <c r="H3897" s="9" t="str">
        <f>IFERROR(__xludf.DUMMYFUNCTION("GOOGLETRANSLATE($A3897,""en"",""ja"")"),"カララシ")</f>
        <v>カララシ</v>
      </c>
      <c r="I3897" s="9" t="str">
        <f>IFERROR(__xludf.DUMMYFUNCTION("GOOGLETRANSLATE($A3897,""en"",""ko"")"),"칼라라시")</f>
        <v>칼라라시</v>
      </c>
      <c r="J3897" s="9" t="str">
        <f>IFERROR(__xludf.DUMMYFUNCTION("GOOGLETRANSLATE($A3897,""en"",""pt-BR"")"),"Călăraşi")</f>
        <v>Călăraşi</v>
      </c>
    </row>
    <row r="3898">
      <c r="A3898" s="9" t="str">
        <f>IFERROR(__xludf.DUMMYFUNCTION("""COMPUTED_VALUE"""),"Stînga Nistrului, unitatea teritorială din")</f>
        <v>Stînga Nistrului, unitatea teritorială din</v>
      </c>
      <c r="B3898" s="9" t="str">
        <f>IFERROR(__xludf.DUMMYFUNCTION("""COMPUTED_VALUE"""),"md-sn")</f>
        <v>md-sn</v>
      </c>
      <c r="C3898" s="9" t="str">
        <f>IFERROR(__xludf.DUMMYFUNCTION("GOOGLETRANSLATE($A3898,""en"",""de"")"),"Stînga Nistrului, Unitatea teritorială din")</f>
        <v>Stînga Nistrului, Unitatea teritorială din</v>
      </c>
      <c r="D3898" s="9" t="str">
        <f>IFERROR(__xludf.DUMMYFUNCTION("GOOGLETRANSLATE($A3898,""en"",""fr"")"),"Stînga Nistrului, unitatea teritorială din")</f>
        <v>Stînga Nistrului, unitatea teritorială din</v>
      </c>
      <c r="E3898" s="9" t="str">
        <f>IFERROR(__xludf.DUMMYFUNCTION("GOOGLETRANSLATE($A3898,""en"",""es"")"),"Stînga Nistrului, unida territorialmente")</f>
        <v>Stînga Nistrului, unida territorialmente</v>
      </c>
      <c r="F3898" s="9" t="str">
        <f>IFERROR(__xludf.DUMMYFUNCTION("GOOGLETRANSLATE($A3898,""en"",""it"")"),"Stînga Nistrului, unitatea teritorială din")</f>
        <v>Stînga Nistrului, unitatea teritorială din</v>
      </c>
      <c r="G3898" s="9" t="str">
        <f>IFERROR(__xludf.DUMMYFUNCTION("GOOGLETRANSLATE($A3898,""en"",""zh-cn"")"),"Stînga Nistrului，统一领土")</f>
        <v>Stînga Nistrului，统一领土</v>
      </c>
      <c r="H3898" s="9" t="str">
        <f>IFERROR(__xludf.DUMMYFUNCTION("GOOGLETRANSLATE($A3898,""en"",""ja"")"),"Stînga Nistrului、領土の統一")</f>
        <v>Stînga Nistrului、領土の統一</v>
      </c>
      <c r="I3898" s="9" t="str">
        <f>IFERROR(__xludf.DUMMYFUNCTION("GOOGLETRANSLATE($A3898,""en"",""ko"")"),"Stînga Nistrului, 단위 영토")</f>
        <v>Stînga Nistrului, 단위 영토</v>
      </c>
      <c r="J3898" s="9" t="str">
        <f>IFERROR(__xludf.DUMMYFUNCTION("GOOGLETRANSLATE($A3898,""en"",""pt-BR"")"),"Stînga Nistrului, unidade territorial de seu")</f>
        <v>Stînga Nistrului, unidade territorial de seu</v>
      </c>
    </row>
    <row r="3899">
      <c r="A3899" s="9" t="str">
        <f>IFERROR(__xludf.DUMMYFUNCTION("""COMPUTED_VALUE"""),"Sîngerei")</f>
        <v>Sîngerei</v>
      </c>
      <c r="B3899" s="9" t="str">
        <f>IFERROR(__xludf.DUMMYFUNCTION("""COMPUTED_VALUE"""),"md-si")</f>
        <v>md-si</v>
      </c>
      <c r="C3899" s="9" t="str">
        <f>IFERROR(__xludf.DUMMYFUNCTION("GOOGLETRANSLATE($A3899,""en"",""de"")"),"Singerei")</f>
        <v>Singerei</v>
      </c>
      <c r="D3899" s="9" t="str">
        <f>IFERROR(__xludf.DUMMYFUNCTION("GOOGLETRANSLATE($A3899,""en"",""fr"")"),"Chanteuse")</f>
        <v>Chanteuse</v>
      </c>
      <c r="E3899" s="9" t="str">
        <f>IFERROR(__xludf.DUMMYFUNCTION("GOOGLETRANSLATE($A3899,""en"",""es"")"),"Sîngerei")</f>
        <v>Sîngerei</v>
      </c>
      <c r="F3899" s="9" t="str">
        <f>IFERROR(__xludf.DUMMYFUNCTION("GOOGLETRANSLATE($A3899,""en"",""it"")"),"Sîngerei")</f>
        <v>Sîngerei</v>
      </c>
      <c r="G3899" s="9" t="str">
        <f>IFERROR(__xludf.DUMMYFUNCTION("GOOGLETRANSLATE($A3899,""en"",""zh-cn"")"),"辛格雷")</f>
        <v>辛格雷</v>
      </c>
      <c r="H3899" s="9" t="str">
        <f>IFERROR(__xludf.DUMMYFUNCTION("GOOGLETRANSLATE($A3899,""en"",""ja"")"),"シンゲレイ")</f>
        <v>シンゲレイ</v>
      </c>
      <c r="I3899" s="9" t="str">
        <f>IFERROR(__xludf.DUMMYFUNCTION("GOOGLETRANSLATE($A3899,""en"",""ko"")"),"싱게레이")</f>
        <v>싱게레이</v>
      </c>
      <c r="J3899" s="9" t="str">
        <f>IFERROR(__xludf.DUMMYFUNCTION("GOOGLETRANSLATE($A3899,""en"",""pt-BR"")"),"Sîngerei")</f>
        <v>Sîngerei</v>
      </c>
    </row>
    <row r="3900">
      <c r="A3900" s="9" t="str">
        <f>IFERROR(__xludf.DUMMYFUNCTION("""COMPUTED_VALUE"""),"Căuşeni")</f>
        <v>Căuşeni</v>
      </c>
      <c r="B3900" s="9" t="str">
        <f>IFERROR(__xludf.DUMMYFUNCTION("""COMPUTED_VALUE"""),"md-cs")</f>
        <v>md-cs</v>
      </c>
      <c r="C3900" s="9" t="str">
        <f>IFERROR(__xludf.DUMMYFUNCTION("GOOGLETRANSLATE($A3900,""en"",""de"")"),"Căuşeni")</f>
        <v>Căuşeni</v>
      </c>
      <c r="D3900" s="9" t="str">
        <f>IFERROR(__xludf.DUMMYFUNCTION("GOOGLETRANSLATE($A3900,""en"",""fr"")"),"Căușeni")</f>
        <v>Căușeni</v>
      </c>
      <c r="E3900" s="9" t="str">
        <f>IFERROR(__xludf.DUMMYFUNCTION("GOOGLETRANSLATE($A3900,""en"",""es"")"),"Căuşeni")</f>
        <v>Căuşeni</v>
      </c>
      <c r="F3900" s="9" t="str">
        <f>IFERROR(__xludf.DUMMYFUNCTION("GOOGLETRANSLATE($A3900,""en"",""it"")"),"Căuseni")</f>
        <v>Căuseni</v>
      </c>
      <c r="G3900" s="9" t="str">
        <f>IFERROR(__xludf.DUMMYFUNCTION("GOOGLETRANSLATE($A3900,""en"",""zh-cn"")"),"考塞尼")</f>
        <v>考塞尼</v>
      </c>
      <c r="H3900" s="9" t="str">
        <f>IFERROR(__xludf.DUMMYFUNCTION("GOOGLETRANSLATE($A3900,""en"",""ja"")"),"カウシェニ")</f>
        <v>カウシェニ</v>
      </c>
      <c r="I3900" s="9" t="str">
        <f>IFERROR(__xludf.DUMMYFUNCTION("GOOGLETRANSLATE($A3900,""en"",""ko"")"),"쿠셰니")</f>
        <v>쿠셰니</v>
      </c>
      <c r="J3900" s="9" t="str">
        <f>IFERROR(__xludf.DUMMYFUNCTION("GOOGLETRANSLATE($A3900,""en"",""pt-BR"")"),"Căuseni")</f>
        <v>Căuseni</v>
      </c>
    </row>
    <row r="3901">
      <c r="A3901" s="9" t="str">
        <f>IFERROR(__xludf.DUMMYFUNCTION("""COMPUTED_VALUE"""),"Găgăuzia, Unitatea teritorială autonomă (UTAG)")</f>
        <v>Găgăuzia, Unitatea teritorială autonomă (UTAG)</v>
      </c>
      <c r="B3901" s="9" t="str">
        <f>IFERROR(__xludf.DUMMYFUNCTION("""COMPUTED_VALUE"""),"md-ga")</f>
        <v>md-ga</v>
      </c>
      <c r="C3901" s="9" t="str">
        <f>IFERROR(__xludf.DUMMYFUNCTION("GOOGLETRANSLATE($A3901,""en"",""de"")"),"Gagausien, Unitatea teritorială autonomă (UTAG)")</f>
        <v>Gagausien, Unitatea teritorială autonomă (UTAG)</v>
      </c>
      <c r="D3901" s="9" t="str">
        <f>IFERROR(__xludf.DUMMYFUNCTION("GOOGLETRANSLATE($A3901,""en"",""fr"")"),"Gagaouzie, Unitatea teritorială autonome (UTAG)")</f>
        <v>Gagaouzie, Unitatea teritorială autonome (UTAG)</v>
      </c>
      <c r="E3901" s="9" t="str">
        <f>IFERROR(__xludf.DUMMYFUNCTION("GOOGLETRANSLATE($A3901,""en"",""es"")"),"Găgăuzia, Unidad Territorial Autónoma (UTAG)")</f>
        <v>Găgăuzia, Unidad Territorial Autónoma (UTAG)</v>
      </c>
      <c r="F3901" s="9" t="str">
        <f>IFERROR(__xludf.DUMMYFUNCTION("GOOGLETRANSLATE($A3901,""en"",""it"")"),"Găgăuzia, Unitatea teritorială autonomă (UTAG)")</f>
        <v>Găgăuzia, Unitatea teritorială autonomă (UTAG)</v>
      </c>
      <c r="G3901" s="9" t="str">
        <f>IFERROR(__xludf.DUMMYFUNCTION("GOOGLETRANSLATE($A3901,""en"",""zh-cn"")"),"加高齐亚，领土自治联盟 (UTAG)")</f>
        <v>加高齐亚，领土自治联盟 (UTAG)</v>
      </c>
      <c r="H3901" s="9" t="str">
        <f>IFERROR(__xludf.DUMMYFUNCTION("GOOGLETRANSLATE($A3901,""en"",""ja"")"),"ガガウジア、ウニテーテア領土自治区 (UTAG)")</f>
        <v>ガガウジア、ウニテーテア領土自治区 (UTAG)</v>
      </c>
      <c r="I3901" s="9" t="str">
        <f>IFERROR(__xludf.DUMMYFUNCTION("GOOGLETRANSLATE($A3901,""en"",""ko"")"),"Găgăuzia, Unitatea teritorială autonomă (UTAG)")</f>
        <v>Găgăuzia, Unitatea teritorială autonomă (UTAG)</v>
      </c>
      <c r="J3901" s="9" t="str">
        <f>IFERROR(__xludf.DUMMYFUNCTION("GOOGLETRANSLATE($A3901,""en"",""pt-BR"")"),"Găgăuzia, Unitatea territorial autônoma (UTAG)")</f>
        <v>Găgăuzia, Unitatea territorial autônoma (UTAG)</v>
      </c>
    </row>
    <row r="3902">
      <c r="A3902" s="9" t="str">
        <f>IFERROR(__xludf.DUMMYFUNCTION("""COMPUTED_VALUE"""),"Criuleni")</f>
        <v>Criuleni</v>
      </c>
      <c r="B3902" s="9" t="str">
        <f>IFERROR(__xludf.DUMMYFUNCTION("""COMPUTED_VALUE"""),"md-cr")</f>
        <v>md-cr</v>
      </c>
      <c r="C3902" s="9" t="str">
        <f>IFERROR(__xludf.DUMMYFUNCTION("GOOGLETRANSLATE($A3902,""en"",""de"")"),"Criuleni")</f>
        <v>Criuleni</v>
      </c>
      <c r="D3902" s="9" t="str">
        <f>IFERROR(__xludf.DUMMYFUNCTION("GOOGLETRANSLATE($A3902,""en"",""fr"")"),"Criuleni")</f>
        <v>Criuleni</v>
      </c>
      <c r="E3902" s="9" t="str">
        <f>IFERROR(__xludf.DUMMYFUNCTION("GOOGLETRANSLATE($A3902,""en"",""es"")"),"criuleni")</f>
        <v>criuleni</v>
      </c>
      <c r="F3902" s="9" t="str">
        <f>IFERROR(__xludf.DUMMYFUNCTION("GOOGLETRANSLATE($A3902,""en"",""it"")"),"Criuleni")</f>
        <v>Criuleni</v>
      </c>
      <c r="G3902" s="9" t="str">
        <f>IFERROR(__xludf.DUMMYFUNCTION("GOOGLETRANSLATE($A3902,""en"",""zh-cn"")"),"克里乌莱尼")</f>
        <v>克里乌莱尼</v>
      </c>
      <c r="H3902" s="9" t="str">
        <f>IFERROR(__xludf.DUMMYFUNCTION("GOOGLETRANSLATE($A3902,""en"",""ja"")"),"クリウレニ")</f>
        <v>クリウレニ</v>
      </c>
      <c r="I3902" s="9" t="str">
        <f>IFERROR(__xludf.DUMMYFUNCTION("GOOGLETRANSLATE($A3902,""en"",""ko"")"),"크리울레니")</f>
        <v>크리울레니</v>
      </c>
      <c r="J3902" s="9" t="str">
        <f>IFERROR(__xludf.DUMMYFUNCTION("GOOGLETRANSLATE($A3902,""en"",""pt-BR"")"),"Criuleni")</f>
        <v>Criuleni</v>
      </c>
    </row>
    <row r="3903">
      <c r="A3903" s="9" t="str">
        <f>IFERROR(__xludf.DUMMYFUNCTION("""COMPUTED_VALUE"""),"Edineţ")</f>
        <v>Edineţ</v>
      </c>
      <c r="B3903" s="9" t="str">
        <f>IFERROR(__xludf.DUMMYFUNCTION("""COMPUTED_VALUE"""),"md-ed")</f>
        <v>md-ed</v>
      </c>
      <c r="C3903" s="9" t="str">
        <f>IFERROR(__xludf.DUMMYFUNCTION("GOOGLETRANSLATE($A3903,""en"",""de"")"),"Edineţ")</f>
        <v>Edineţ</v>
      </c>
      <c r="D3903" s="9" t="str">
        <f>IFERROR(__xludf.DUMMYFUNCTION("GOOGLETRANSLATE($A3903,""en"",""fr"")"),"Edineț")</f>
        <v>Edineț</v>
      </c>
      <c r="E3903" s="9" t="str">
        <f>IFERROR(__xludf.DUMMYFUNCTION("GOOGLETRANSLATE($A3903,""en"",""es"")"),"Edineţ")</f>
        <v>Edineţ</v>
      </c>
      <c r="F3903" s="9" t="str">
        <f>IFERROR(__xludf.DUMMYFUNCTION("GOOGLETRANSLATE($A3903,""en"",""it"")"),"Edineţ")</f>
        <v>Edineţ</v>
      </c>
      <c r="G3903" s="9" t="str">
        <f>IFERROR(__xludf.DUMMYFUNCTION("GOOGLETRANSLATE($A3903,""en"",""zh-cn"")"),"埃迪内茨")</f>
        <v>埃迪内茨</v>
      </c>
      <c r="H3903" s="9" t="str">
        <f>IFERROR(__xludf.DUMMYFUNCTION("GOOGLETRANSLATE($A3903,""en"",""ja"")"),"エディネシュ")</f>
        <v>エディネシュ</v>
      </c>
      <c r="I3903" s="9" t="str">
        <f>IFERROR(__xludf.DUMMYFUNCTION("GOOGLETRANSLATE($A3903,""en"",""ko"")"),"에디네츠")</f>
        <v>에디네츠</v>
      </c>
      <c r="J3903" s="9" t="str">
        <f>IFERROR(__xludf.DUMMYFUNCTION("GOOGLETRANSLATE($A3903,""en"",""pt-BR"")"),"Edineţ")</f>
        <v>Edineţ</v>
      </c>
    </row>
    <row r="3904">
      <c r="A3904" s="9" t="str">
        <f>IFERROR(__xludf.DUMMYFUNCTION("""COMPUTED_VALUE"""),"Teleneşti")</f>
        <v>Teleneşti</v>
      </c>
      <c r="B3904" s="9" t="str">
        <f>IFERROR(__xludf.DUMMYFUNCTION("""COMPUTED_VALUE"""),"md-te")</f>
        <v>md-te</v>
      </c>
      <c r="C3904" s="9" t="str">
        <f>IFERROR(__xludf.DUMMYFUNCTION("GOOGLETRANSLATE($A3904,""en"",""de"")"),"Telenești")</f>
        <v>Telenești</v>
      </c>
      <c r="D3904" s="9" t="str">
        <f>IFERROR(__xludf.DUMMYFUNCTION("GOOGLETRANSLATE($A3904,""en"",""fr"")"),"Telenesti")</f>
        <v>Telenesti</v>
      </c>
      <c r="E3904" s="9" t="str">
        <f>IFERROR(__xludf.DUMMYFUNCTION("GOOGLETRANSLATE($A3904,""en"",""es"")"),"Telenești")</f>
        <v>Telenești</v>
      </c>
      <c r="F3904" s="9" t="str">
        <f>IFERROR(__xludf.DUMMYFUNCTION("GOOGLETRANSLATE($A3904,""en"",""it"")"),"Teleneşti")</f>
        <v>Teleneşti</v>
      </c>
      <c r="G3904" s="9" t="str">
        <f>IFERROR(__xludf.DUMMYFUNCTION("GOOGLETRANSLATE($A3904,""en"",""zh-cn"")"),"泰莱内什蒂")</f>
        <v>泰莱内什蒂</v>
      </c>
      <c r="H3904" s="9" t="str">
        <f>IFERROR(__xludf.DUMMYFUNCTION("GOOGLETRANSLATE($A3904,""en"",""ja"")"),"テレネシュティ")</f>
        <v>テレネシュティ</v>
      </c>
      <c r="I3904" s="9" t="str">
        <f>IFERROR(__xludf.DUMMYFUNCTION("GOOGLETRANSLATE($A3904,""en"",""ko"")"),"텔레네슈티")</f>
        <v>텔레네슈티</v>
      </c>
      <c r="J3904" s="9" t="str">
        <f>IFERROR(__xludf.DUMMYFUNCTION("GOOGLETRANSLATE($A3904,""en"",""pt-BR"")"),"Teleneşti")</f>
        <v>Teleneşti</v>
      </c>
    </row>
    <row r="3905">
      <c r="A3905" s="9" t="str">
        <f>IFERROR(__xludf.DUMMYFUNCTION("""COMPUTED_VALUE"""),"Cimişlia")</f>
        <v>Cimişlia</v>
      </c>
      <c r="B3905" s="9" t="str">
        <f>IFERROR(__xludf.DUMMYFUNCTION("""COMPUTED_VALUE"""),"md-cm")</f>
        <v>md-cm</v>
      </c>
      <c r="C3905" s="9" t="str">
        <f>IFERROR(__xludf.DUMMYFUNCTION("GOOGLETRANSLATE($A3905,""en"",""de"")"),"Cimişlia")</f>
        <v>Cimişlia</v>
      </c>
      <c r="D3905" s="9" t="str">
        <f>IFERROR(__xludf.DUMMYFUNCTION("GOOGLETRANSLATE($A3905,""en"",""fr"")"),"Cimișlia")</f>
        <v>Cimișlia</v>
      </c>
      <c r="E3905" s="9" t="str">
        <f>IFERROR(__xludf.DUMMYFUNCTION("GOOGLETRANSLATE($A3905,""en"",""es"")"),"Cimișlia")</f>
        <v>Cimișlia</v>
      </c>
      <c r="F3905" s="9" t="str">
        <f>IFERROR(__xludf.DUMMYFUNCTION("GOOGLETRANSLATE($A3905,""en"",""it"")"),"Cimişlia")</f>
        <v>Cimişlia</v>
      </c>
      <c r="G3905" s="9" t="str">
        <f>IFERROR(__xludf.DUMMYFUNCTION("GOOGLETRANSLATE($A3905,""en"",""zh-cn"")"),"西米什利亚")</f>
        <v>西米什利亚</v>
      </c>
      <c r="H3905" s="9" t="str">
        <f>IFERROR(__xludf.DUMMYFUNCTION("GOOGLETRANSLATE($A3905,""en"",""ja"")"),"チミシュリア")</f>
        <v>チミシュリア</v>
      </c>
      <c r="I3905" s="9" t="str">
        <f>IFERROR(__xludf.DUMMYFUNCTION("GOOGLETRANSLATE($A3905,""en"",""ko"")"),"치미슬리아")</f>
        <v>치미슬리아</v>
      </c>
      <c r="J3905" s="9" t="str">
        <f>IFERROR(__xludf.DUMMYFUNCTION("GOOGLETRANSLATE($A3905,""en"",""pt-BR"")"),"Cimişlia")</f>
        <v>Cimişlia</v>
      </c>
    </row>
    <row r="3906">
      <c r="A3906" s="9" t="str">
        <f>IFERROR(__xludf.DUMMYFUNCTION("""COMPUTED_VALUE"""),"Floreşti")</f>
        <v>Floreşti</v>
      </c>
      <c r="B3906" s="9" t="str">
        <f>IFERROR(__xludf.DUMMYFUNCTION("""COMPUTED_VALUE"""),"md-fl")</f>
        <v>md-fl</v>
      </c>
      <c r="C3906" s="9" t="str">
        <f>IFERROR(__xludf.DUMMYFUNCTION("GOOGLETRANSLATE($A3906,""en"",""de"")"),"Florești")</f>
        <v>Florești</v>
      </c>
      <c r="D3906" s="9" t="str">
        <f>IFERROR(__xludf.DUMMYFUNCTION("GOOGLETRANSLATE($A3906,""en"",""fr"")"),"Florești")</f>
        <v>Florești</v>
      </c>
      <c r="E3906" s="9" t="str">
        <f>IFERROR(__xludf.DUMMYFUNCTION("GOOGLETRANSLATE($A3906,""en"",""es"")"),"florești")</f>
        <v>florești</v>
      </c>
      <c r="F3906" s="9" t="str">
        <f>IFERROR(__xludf.DUMMYFUNCTION("GOOGLETRANSLATE($A3906,""en"",""it"")"),"Floresti")</f>
        <v>Floresti</v>
      </c>
      <c r="G3906" s="9" t="str">
        <f>IFERROR(__xludf.DUMMYFUNCTION("GOOGLETRANSLATE($A3906,""en"",""zh-cn"")"),"弗洛雷什蒂")</f>
        <v>弗洛雷什蒂</v>
      </c>
      <c r="H3906" s="9" t="str">
        <f>IFERROR(__xludf.DUMMYFUNCTION("GOOGLETRANSLATE($A3906,""en"",""ja"")"),"フロレシュティ")</f>
        <v>フロレシュティ</v>
      </c>
      <c r="I3906" s="9" t="str">
        <f>IFERROR(__xludf.DUMMYFUNCTION("GOOGLETRANSLATE($A3906,""en"",""ko"")"),"플로레스티")</f>
        <v>플로레스티</v>
      </c>
      <c r="J3906" s="9" t="str">
        <f>IFERROR(__xludf.DUMMYFUNCTION("GOOGLETRANSLATE($A3906,""en"",""pt-BR"")"),"Floreşti")</f>
        <v>Floreşti</v>
      </c>
    </row>
    <row r="3907">
      <c r="A3907" s="9" t="str">
        <f>IFERROR(__xludf.DUMMYFUNCTION("""COMPUTED_VALUE"""),"Cantemir")</f>
        <v>Cantemir</v>
      </c>
      <c r="B3907" s="9" t="str">
        <f>IFERROR(__xludf.DUMMYFUNCTION("""COMPUTED_VALUE"""),"md-ct")</f>
        <v>md-ct</v>
      </c>
      <c r="C3907" s="9" t="str">
        <f>IFERROR(__xludf.DUMMYFUNCTION("GOOGLETRANSLATE($A3907,""en"",""de"")"),"Cantemir")</f>
        <v>Cantemir</v>
      </c>
      <c r="D3907" s="9" t="str">
        <f>IFERROR(__xludf.DUMMYFUNCTION("GOOGLETRANSLATE($A3907,""en"",""fr"")"),"Cantemir")</f>
        <v>Cantemir</v>
      </c>
      <c r="E3907" s="9" t="str">
        <f>IFERROR(__xludf.DUMMYFUNCTION("GOOGLETRANSLATE($A3907,""en"",""es"")"),"Cantemir")</f>
        <v>Cantemir</v>
      </c>
      <c r="F3907" s="9" t="str">
        <f>IFERROR(__xludf.DUMMYFUNCTION("GOOGLETRANSLATE($A3907,""en"",""it"")"),"Cantemir")</f>
        <v>Cantemir</v>
      </c>
      <c r="G3907" s="9" t="str">
        <f>IFERROR(__xludf.DUMMYFUNCTION("GOOGLETRANSLATE($A3907,""en"",""zh-cn"")"),"坎特米尔")</f>
        <v>坎特米尔</v>
      </c>
      <c r="H3907" s="9" t="str">
        <f>IFERROR(__xludf.DUMMYFUNCTION("GOOGLETRANSLATE($A3907,""en"",""ja"")"),"カンテミル")</f>
        <v>カンテミル</v>
      </c>
      <c r="I3907" s="9" t="str">
        <f>IFERROR(__xludf.DUMMYFUNCTION("GOOGLETRANSLATE($A3907,""en"",""ko"")"),"칸테미르")</f>
        <v>칸테미르</v>
      </c>
      <c r="J3907" s="9" t="str">
        <f>IFERROR(__xludf.DUMMYFUNCTION("GOOGLETRANSLATE($A3907,""en"",""pt-BR"")"),"Cantemir")</f>
        <v>Cantemir</v>
      </c>
    </row>
    <row r="3908">
      <c r="A3908" s="9" t="str">
        <f>IFERROR(__xludf.DUMMYFUNCTION("""COMPUTED_VALUE"""),"Briceni")</f>
        <v>Briceni</v>
      </c>
      <c r="B3908" s="9" t="str">
        <f>IFERROR(__xludf.DUMMYFUNCTION("""COMPUTED_VALUE"""),"md-br")</f>
        <v>md-br</v>
      </c>
      <c r="C3908" s="9" t="str">
        <f>IFERROR(__xludf.DUMMYFUNCTION("GOOGLETRANSLATE($A3908,""en"",""de"")"),"Briceni")</f>
        <v>Briceni</v>
      </c>
      <c r="D3908" s="9" t="str">
        <f>IFERROR(__xludf.DUMMYFUNCTION("GOOGLETRANSLATE($A3908,""en"",""fr"")"),"Briceni")</f>
        <v>Briceni</v>
      </c>
      <c r="E3908" s="9" t="str">
        <f>IFERROR(__xludf.DUMMYFUNCTION("GOOGLETRANSLATE($A3908,""en"",""es"")"),"Briceni")</f>
        <v>Briceni</v>
      </c>
      <c r="F3908" s="9" t="str">
        <f>IFERROR(__xludf.DUMMYFUNCTION("GOOGLETRANSLATE($A3908,""en"",""it"")"),"Briceni")</f>
        <v>Briceni</v>
      </c>
      <c r="G3908" s="9" t="str">
        <f>IFERROR(__xludf.DUMMYFUNCTION("GOOGLETRANSLATE($A3908,""en"",""zh-cn"")"),"布里切尼")</f>
        <v>布里切尼</v>
      </c>
      <c r="H3908" s="9" t="str">
        <f>IFERROR(__xludf.DUMMYFUNCTION("GOOGLETRANSLATE($A3908,""en"",""ja"")"),"ブリチェニ")</f>
        <v>ブリチェニ</v>
      </c>
      <c r="I3908" s="9" t="str">
        <f>IFERROR(__xludf.DUMMYFUNCTION("GOOGLETRANSLATE($A3908,""en"",""ko"")"),"브리세니")</f>
        <v>브리세니</v>
      </c>
      <c r="J3908" s="9" t="str">
        <f>IFERROR(__xludf.DUMMYFUNCTION("GOOGLETRANSLATE($A3908,""en"",""pt-BR"")"),"Briceni")</f>
        <v>Briceni</v>
      </c>
    </row>
    <row r="3909">
      <c r="A3909" s="9" t="str">
        <f>IFERROR(__xludf.DUMMYFUNCTION("""COMPUTED_VALUE"""),"Donduşeni")</f>
        <v>Donduşeni</v>
      </c>
      <c r="B3909" s="9" t="str">
        <f>IFERROR(__xludf.DUMMYFUNCTION("""COMPUTED_VALUE"""),"md-do")</f>
        <v>md-do</v>
      </c>
      <c r="C3909" s="9" t="str">
        <f>IFERROR(__xludf.DUMMYFUNCTION("GOOGLETRANSLATE($A3909,""en"",""de"")"),"Donduşeni")</f>
        <v>Donduşeni</v>
      </c>
      <c r="D3909" s="9" t="str">
        <f>IFERROR(__xludf.DUMMYFUNCTION("GOOGLETRANSLATE($A3909,""en"",""fr"")"),"Dondușeni")</f>
        <v>Dondușeni</v>
      </c>
      <c r="E3909" s="9" t="str">
        <f>IFERROR(__xludf.DUMMYFUNCTION("GOOGLETRANSLATE($A3909,""en"",""es"")"),"Dondușeni")</f>
        <v>Dondușeni</v>
      </c>
      <c r="F3909" s="9" t="str">
        <f>IFERROR(__xludf.DUMMYFUNCTION("GOOGLETRANSLATE($A3909,""en"",""it"")"),"Donduşeni")</f>
        <v>Donduşeni</v>
      </c>
      <c r="G3909" s="9" t="str">
        <f>IFERROR(__xludf.DUMMYFUNCTION("GOOGLETRANSLATE($A3909,""en"",""zh-cn"")"),"东杜谢尼")</f>
        <v>东杜谢尼</v>
      </c>
      <c r="H3909" s="9" t="str">
        <f>IFERROR(__xludf.DUMMYFUNCTION("GOOGLETRANSLATE($A3909,""en"",""ja"")"),"ドンドゥシェニ")</f>
        <v>ドンドゥシェニ</v>
      </c>
      <c r="I3909" s="9" t="str">
        <f>IFERROR(__xludf.DUMMYFUNCTION("GOOGLETRANSLATE($A3909,""en"",""ko"")"),"돈두세니")</f>
        <v>돈두세니</v>
      </c>
      <c r="J3909" s="9" t="str">
        <f>IFERROR(__xludf.DUMMYFUNCTION("GOOGLETRANSLATE($A3909,""en"",""pt-BR"")"),"Donduşeni")</f>
        <v>Donduşeni</v>
      </c>
    </row>
    <row r="3910">
      <c r="A3910" s="9" t="str">
        <f>IFERROR(__xludf.DUMMYFUNCTION("""COMPUTED_VALUE"""),"Bălţi")</f>
        <v>Bălţi</v>
      </c>
      <c r="B3910" s="9" t="str">
        <f>IFERROR(__xludf.DUMMYFUNCTION("""COMPUTED_VALUE"""),"md-ba")</f>
        <v>md-ba</v>
      </c>
      <c r="C3910" s="9" t="str">
        <f>IFERROR(__xludf.DUMMYFUNCTION("GOOGLETRANSLATE($A3910,""en"",""de"")"),"Bălţi")</f>
        <v>Bălţi</v>
      </c>
      <c r="D3910" s="9" t="str">
        <f>IFERROR(__xludf.DUMMYFUNCTION("GOOGLETRANSLATE($A3910,""en"",""fr"")"),"Bălți")</f>
        <v>Bălți</v>
      </c>
      <c r="E3910" s="9" t="str">
        <f>IFERROR(__xludf.DUMMYFUNCTION("GOOGLETRANSLATE($A3910,""en"",""es"")"),"Balti")</f>
        <v>Balti</v>
      </c>
      <c r="F3910" s="9" t="str">
        <f>IFERROR(__xludf.DUMMYFUNCTION("GOOGLETRANSLATE($A3910,""en"",""it"")"),"Balti")</f>
        <v>Balti</v>
      </c>
      <c r="G3910" s="9" t="str">
        <f>IFERROR(__xludf.DUMMYFUNCTION("GOOGLETRANSLATE($A3910,""en"",""zh-cn"")"),"巴蒂")</f>
        <v>巴蒂</v>
      </c>
      <c r="H3910" s="9" t="str">
        <f>IFERROR(__xludf.DUMMYFUNCTION("GOOGLETRANSLATE($A3910,""en"",""ja"")"),"バルツィ")</f>
        <v>バルツィ</v>
      </c>
      <c r="I3910" s="9" t="str">
        <f>IFERROR(__xludf.DUMMYFUNCTION("GOOGLETRANSLATE($A3910,""en"",""ko"")"),"발치")</f>
        <v>발치</v>
      </c>
      <c r="J3910" s="9" t="str">
        <f>IFERROR(__xludf.DUMMYFUNCTION("GOOGLETRANSLATE($A3910,""en"",""pt-BR"")"),"Bălţi")</f>
        <v>Bălţi</v>
      </c>
    </row>
    <row r="3911">
      <c r="A3911" s="9" t="str">
        <f>IFERROR(__xludf.DUMMYFUNCTION("""COMPUTED_VALUE"""),"Chişinău")</f>
        <v>Chişinău</v>
      </c>
      <c r="B3911" s="9" t="str">
        <f>IFERROR(__xludf.DUMMYFUNCTION("""COMPUTED_VALUE"""),"md-cu")</f>
        <v>md-cu</v>
      </c>
      <c r="C3911" s="9" t="str">
        <f>IFERROR(__xludf.DUMMYFUNCTION("GOOGLETRANSLATE($A3911,""en"",""de"")"),"Chişinău")</f>
        <v>Chişinău</v>
      </c>
      <c r="D3911" s="9" t="str">
        <f>IFERROR(__xludf.DUMMYFUNCTION("GOOGLETRANSLATE($A3911,""en"",""fr"")"),"Chişinau")</f>
        <v>Chişinau</v>
      </c>
      <c r="E3911" s="9" t="str">
        <f>IFERROR(__xludf.DUMMYFUNCTION("GOOGLETRANSLATE($A3911,""en"",""es"")"),"Chisináu")</f>
        <v>Chisináu</v>
      </c>
      <c r="F3911" s="9" t="str">
        <f>IFERROR(__xludf.DUMMYFUNCTION("GOOGLETRANSLATE($A3911,""en"",""it"")"),"Chişinău")</f>
        <v>Chişinău</v>
      </c>
      <c r="G3911" s="9" t="str">
        <f>IFERROR(__xludf.DUMMYFUNCTION("GOOGLETRANSLATE($A3911,""en"",""zh-cn"")"),"基希讷乌")</f>
        <v>基希讷乌</v>
      </c>
      <c r="H3911" s="9" t="str">
        <f>IFERROR(__xludf.DUMMYFUNCTION("GOOGLETRANSLATE($A3911,""en"",""ja"")"),"キシナウ")</f>
        <v>キシナウ</v>
      </c>
      <c r="I3911" s="9" t="str">
        <f>IFERROR(__xludf.DUMMYFUNCTION("GOOGLETRANSLATE($A3911,""en"",""ko"")"),"키시너우")</f>
        <v>키시너우</v>
      </c>
      <c r="J3911" s="9" t="str">
        <f>IFERROR(__xludf.DUMMYFUNCTION("GOOGLETRANSLATE($A3911,""en"",""pt-BR"")"),"Chişinău")</f>
        <v>Chişinău</v>
      </c>
    </row>
    <row r="3912">
      <c r="A3912" s="9" t="str">
        <f>IFERROR(__xludf.DUMMYFUNCTION("""COMPUTED_VALUE"""),"Făleşti")</f>
        <v>Făleşti</v>
      </c>
      <c r="B3912" s="9" t="str">
        <f>IFERROR(__xludf.DUMMYFUNCTION("""COMPUTED_VALUE"""),"md-fa")</f>
        <v>md-fa</v>
      </c>
      <c r="C3912" s="9" t="str">
        <f>IFERROR(__xludf.DUMMYFUNCTION("GOOGLETRANSLATE($A3912,""en"",""de"")"),"Fălești")</f>
        <v>Fălești</v>
      </c>
      <c r="D3912" s="9" t="str">
        <f>IFERROR(__xludf.DUMMYFUNCTION("GOOGLETRANSLATE($A3912,""en"",""fr"")"),"Falesti")</f>
        <v>Falesti</v>
      </c>
      <c r="E3912" s="9" t="str">
        <f>IFERROR(__xludf.DUMMYFUNCTION("GOOGLETRANSLATE($A3912,""en"",""es"")"),"Fălești")</f>
        <v>Fălești</v>
      </c>
      <c r="F3912" s="9" t="str">
        <f>IFERROR(__xludf.DUMMYFUNCTION("GOOGLETRANSLATE($A3912,""en"",""it"")"),"Făleşti")</f>
        <v>Făleşti</v>
      </c>
      <c r="G3912" s="9" t="str">
        <f>IFERROR(__xludf.DUMMYFUNCTION("GOOGLETRANSLATE($A3912,""en"",""zh-cn"")"),"法莱什蒂")</f>
        <v>法莱什蒂</v>
      </c>
      <c r="H3912" s="9" t="str">
        <f>IFERROR(__xludf.DUMMYFUNCTION("GOOGLETRANSLATE($A3912,""en"",""ja"")"),"ファレスティ")</f>
        <v>ファレスティ</v>
      </c>
      <c r="I3912" s="9" t="str">
        <f>IFERROR(__xludf.DUMMYFUNCTION("GOOGLETRANSLATE($A3912,""en"",""ko"")"),"팔레슈티")</f>
        <v>팔레슈티</v>
      </c>
      <c r="J3912" s="9" t="str">
        <f>IFERROR(__xludf.DUMMYFUNCTION("GOOGLETRANSLATE($A3912,""en"",""pt-BR"")"),"Făleşti")</f>
        <v>Făleşti</v>
      </c>
    </row>
    <row r="3913">
      <c r="A3913" s="9" t="str">
        <f>IFERROR(__xludf.DUMMYFUNCTION("""COMPUTED_VALUE"""),"Kouilou")</f>
        <v>Kouilou</v>
      </c>
      <c r="B3913" s="9" t="str">
        <f>IFERROR(__xludf.DUMMYFUNCTION("""COMPUTED_VALUE"""),"cg-5")</f>
        <v>cg-5</v>
      </c>
      <c r="C3913" s="9" t="str">
        <f>IFERROR(__xludf.DUMMYFUNCTION("GOOGLETRANSLATE($A3913,""en"",""de"")"),"Kouilou")</f>
        <v>Kouilou</v>
      </c>
      <c r="D3913" s="9" t="str">
        <f>IFERROR(__xludf.DUMMYFUNCTION("GOOGLETRANSLATE($A3913,""en"",""fr"")"),"Kouilou")</f>
        <v>Kouilou</v>
      </c>
      <c r="E3913" s="9" t="str">
        <f>IFERROR(__xludf.DUMMYFUNCTION("GOOGLETRANSLATE($A3913,""en"",""es"")"),"Kouilou")</f>
        <v>Kouilou</v>
      </c>
      <c r="F3913" s="9" t="str">
        <f>IFERROR(__xludf.DUMMYFUNCTION("GOOGLETRANSLATE($A3913,""en"",""it"")"),"Kouilou")</f>
        <v>Kouilou</v>
      </c>
      <c r="G3913" s="9" t="str">
        <f>IFERROR(__xludf.DUMMYFUNCTION("GOOGLETRANSLATE($A3913,""en"",""zh-cn"")"),"库依楼")</f>
        <v>库依楼</v>
      </c>
      <c r="H3913" s="9" t="str">
        <f>IFERROR(__xludf.DUMMYFUNCTION("GOOGLETRANSLATE($A3913,""en"",""ja"")"),"クイロウ")</f>
        <v>クイロウ</v>
      </c>
      <c r="I3913" s="9" t="str">
        <f>IFERROR(__xludf.DUMMYFUNCTION("GOOGLETRANSLATE($A3913,""en"",""ko"")"),"쿠이루")</f>
        <v>쿠이루</v>
      </c>
      <c r="J3913" s="9" t="str">
        <f>IFERROR(__xludf.DUMMYFUNCTION("GOOGLETRANSLATE($A3913,""en"",""pt-BR"")"),"Kouilou")</f>
        <v>Kouilou</v>
      </c>
    </row>
    <row r="3914">
      <c r="A3914" s="9" t="str">
        <f>IFERROR(__xludf.DUMMYFUNCTION("""COMPUTED_VALUE"""),"Bouenza")</f>
        <v>Bouenza</v>
      </c>
      <c r="B3914" s="9" t="str">
        <f>IFERROR(__xludf.DUMMYFUNCTION("""COMPUTED_VALUE"""),"cg-11")</f>
        <v>cg-11</v>
      </c>
      <c r="C3914" s="9" t="str">
        <f>IFERROR(__xludf.DUMMYFUNCTION("GOOGLETRANSLATE($A3914,""en"",""de"")"),"Bouenza")</f>
        <v>Bouenza</v>
      </c>
      <c r="D3914" s="9" t="str">
        <f>IFERROR(__xludf.DUMMYFUNCTION("GOOGLETRANSLATE($A3914,""en"",""fr"")"),"Bouenza")</f>
        <v>Bouenza</v>
      </c>
      <c r="E3914" s="9" t="str">
        <f>IFERROR(__xludf.DUMMYFUNCTION("GOOGLETRANSLATE($A3914,""en"",""es"")"),"Bouenza")</f>
        <v>Bouenza</v>
      </c>
      <c r="F3914" s="9" t="str">
        <f>IFERROR(__xludf.DUMMYFUNCTION("GOOGLETRANSLATE($A3914,""en"",""it"")"),"Bouenza")</f>
        <v>Bouenza</v>
      </c>
      <c r="G3914" s="9" t="str">
        <f>IFERROR(__xludf.DUMMYFUNCTION("GOOGLETRANSLATE($A3914,""en"",""zh-cn"")"),"布恩扎")</f>
        <v>布恩扎</v>
      </c>
      <c r="H3914" s="9" t="str">
        <f>IFERROR(__xludf.DUMMYFUNCTION("GOOGLETRANSLATE($A3914,""en"",""ja"")"),"ブエンザ")</f>
        <v>ブエンザ</v>
      </c>
      <c r="I3914" s="9" t="str">
        <f>IFERROR(__xludf.DUMMYFUNCTION("GOOGLETRANSLATE($A3914,""en"",""ko"")"),"부엔자")</f>
        <v>부엔자</v>
      </c>
      <c r="J3914" s="9" t="str">
        <f>IFERROR(__xludf.DUMMYFUNCTION("GOOGLETRANSLATE($A3914,""en"",""pt-BR"")"),"Bouenza")</f>
        <v>Bouenza</v>
      </c>
    </row>
    <row r="3915">
      <c r="A3915" s="9" t="str">
        <f>IFERROR(__xludf.DUMMYFUNCTION("""COMPUTED_VALUE"""),"Lékoumou")</f>
        <v>Lékoumou</v>
      </c>
      <c r="B3915" s="9" t="str">
        <f>IFERROR(__xludf.DUMMYFUNCTION("""COMPUTED_VALUE"""),"cg-2")</f>
        <v>cg-2</v>
      </c>
      <c r="C3915" s="9" t="str">
        <f>IFERROR(__xludf.DUMMYFUNCTION("GOOGLETRANSLATE($A3915,""en"",""de"")"),"Lékoumou")</f>
        <v>Lékoumou</v>
      </c>
      <c r="D3915" s="9" t="str">
        <f>IFERROR(__xludf.DUMMYFUNCTION("GOOGLETRANSLATE($A3915,""en"",""fr"")"),"Lékoumou")</f>
        <v>Lékoumou</v>
      </c>
      <c r="E3915" s="9" t="str">
        <f>IFERROR(__xludf.DUMMYFUNCTION("GOOGLETRANSLATE($A3915,""en"",""es"")"),"Lekoumou")</f>
        <v>Lekoumou</v>
      </c>
      <c r="F3915" s="9" t="str">
        <f>IFERROR(__xludf.DUMMYFUNCTION("GOOGLETRANSLATE($A3915,""en"",""it"")"),"Lékoumou")</f>
        <v>Lékoumou</v>
      </c>
      <c r="G3915" s="9" t="str">
        <f>IFERROR(__xludf.DUMMYFUNCTION("GOOGLETRANSLATE($A3915,""en"",""zh-cn"")"),"莱库穆")</f>
        <v>莱库穆</v>
      </c>
      <c r="H3915" s="9" t="str">
        <f>IFERROR(__xludf.DUMMYFUNCTION("GOOGLETRANSLATE($A3915,""en"",""ja"")"),"レコウモ")</f>
        <v>レコウモ</v>
      </c>
      <c r="I3915" s="9" t="str">
        <f>IFERROR(__xludf.DUMMYFUNCTION("GOOGLETRANSLATE($A3915,""en"",""ko"")"),"레쿠무")</f>
        <v>레쿠무</v>
      </c>
      <c r="J3915" s="9" t="str">
        <f>IFERROR(__xludf.DUMMYFUNCTION("GOOGLETRANSLATE($A3915,""en"",""pt-BR"")"),"Lékoumou")</f>
        <v>Lékoumou</v>
      </c>
    </row>
    <row r="3916">
      <c r="A3916" s="9" t="str">
        <f>IFERROR(__xludf.DUMMYFUNCTION("""COMPUTED_VALUE"""),"Niari")</f>
        <v>Niari</v>
      </c>
      <c r="B3916" s="9" t="str">
        <f>IFERROR(__xludf.DUMMYFUNCTION("""COMPUTED_VALUE"""),"cg-9")</f>
        <v>cg-9</v>
      </c>
      <c r="C3916" s="9" t="str">
        <f>IFERROR(__xludf.DUMMYFUNCTION("GOOGLETRANSLATE($A3916,""en"",""de"")"),"Niari")</f>
        <v>Niari</v>
      </c>
      <c r="D3916" s="9" t="str">
        <f>IFERROR(__xludf.DUMMYFUNCTION("GOOGLETRANSLATE($A3916,""en"",""fr"")"),"Niari")</f>
        <v>Niari</v>
      </c>
      <c r="E3916" s="9" t="str">
        <f>IFERROR(__xludf.DUMMYFUNCTION("GOOGLETRANSLATE($A3916,""en"",""es"")"),"niari")</f>
        <v>niari</v>
      </c>
      <c r="F3916" s="9" t="str">
        <f>IFERROR(__xludf.DUMMYFUNCTION("GOOGLETRANSLATE($A3916,""en"",""it"")"),"Niari")</f>
        <v>Niari</v>
      </c>
      <c r="G3916" s="9" t="str">
        <f>IFERROR(__xludf.DUMMYFUNCTION("GOOGLETRANSLATE($A3916,""en"",""zh-cn"")"),"尼亚里")</f>
        <v>尼亚里</v>
      </c>
      <c r="H3916" s="9" t="str">
        <f>IFERROR(__xludf.DUMMYFUNCTION("GOOGLETRANSLATE($A3916,""en"",""ja"")"),"ニアリ")</f>
        <v>ニアリ</v>
      </c>
      <c r="I3916" s="9" t="str">
        <f>IFERROR(__xludf.DUMMYFUNCTION("GOOGLETRANSLATE($A3916,""en"",""ko"")"),"니아리")</f>
        <v>니아리</v>
      </c>
      <c r="J3916" s="9" t="str">
        <f>IFERROR(__xludf.DUMMYFUNCTION("GOOGLETRANSLATE($A3916,""en"",""pt-BR"")"),"Niari")</f>
        <v>Niari</v>
      </c>
    </row>
    <row r="3917">
      <c r="A3917" s="9" t="str">
        <f>IFERROR(__xludf.DUMMYFUNCTION("""COMPUTED_VALUE"""),"Pointe-Noire")</f>
        <v>Pointe-Noire</v>
      </c>
      <c r="B3917" s="9" t="str">
        <f>IFERROR(__xludf.DUMMYFUNCTION("""COMPUTED_VALUE"""),"cg-16")</f>
        <v>cg-16</v>
      </c>
      <c r="C3917" s="9" t="str">
        <f>IFERROR(__xludf.DUMMYFUNCTION("GOOGLETRANSLATE($A3917,""en"",""de"")"),"Pointe-Noire")</f>
        <v>Pointe-Noire</v>
      </c>
      <c r="D3917" s="9" t="str">
        <f>IFERROR(__xludf.DUMMYFUNCTION("GOOGLETRANSLATE($A3917,""en"",""fr"")"),"Pointe-Noire")</f>
        <v>Pointe-Noire</v>
      </c>
      <c r="E3917" s="9" t="str">
        <f>IFERROR(__xludf.DUMMYFUNCTION("GOOGLETRANSLATE($A3917,""en"",""es"")"),"Pointe-Noire")</f>
        <v>Pointe-Noire</v>
      </c>
      <c r="F3917" s="9" t="str">
        <f>IFERROR(__xludf.DUMMYFUNCTION("GOOGLETRANSLATE($A3917,""en"",""it"")"),"Pointe-Noire")</f>
        <v>Pointe-Noire</v>
      </c>
      <c r="G3917" s="9" t="str">
        <f>IFERROR(__xludf.DUMMYFUNCTION("GOOGLETRANSLATE($A3917,""en"",""zh-cn"")"),"黑角")</f>
        <v>黑角</v>
      </c>
      <c r="H3917" s="9" t="str">
        <f>IFERROR(__xludf.DUMMYFUNCTION("GOOGLETRANSLATE($A3917,""en"",""ja"")"),"ポアントノワール")</f>
        <v>ポアントノワール</v>
      </c>
      <c r="I3917" s="9" t="str">
        <f>IFERROR(__xludf.DUMMYFUNCTION("GOOGLETRANSLATE($A3917,""en"",""ko"")"),"푸앵트누아르")</f>
        <v>푸앵트누아르</v>
      </c>
      <c r="J3917" s="9" t="str">
        <f>IFERROR(__xludf.DUMMYFUNCTION("GOOGLETRANSLATE($A3917,""en"",""pt-BR"")"),"Ponta Negra")</f>
        <v>Ponta Negra</v>
      </c>
    </row>
    <row r="3918">
      <c r="A3918" s="9" t="str">
        <f>IFERROR(__xludf.DUMMYFUNCTION("""COMPUTED_VALUE"""),"Pool")</f>
        <v>Pool</v>
      </c>
      <c r="B3918" s="9" t="str">
        <f>IFERROR(__xludf.DUMMYFUNCTION("""COMPUTED_VALUE"""),"cg-12")</f>
        <v>cg-12</v>
      </c>
      <c r="C3918" s="9" t="str">
        <f>IFERROR(__xludf.DUMMYFUNCTION("GOOGLETRANSLATE($A3918,""en"",""de"")"),"Pool")</f>
        <v>Pool</v>
      </c>
      <c r="D3918" s="9" t="str">
        <f>IFERROR(__xludf.DUMMYFUNCTION("GOOGLETRANSLATE($A3918,""en"",""fr"")"),"Piscine")</f>
        <v>Piscine</v>
      </c>
      <c r="E3918" s="9" t="str">
        <f>IFERROR(__xludf.DUMMYFUNCTION("GOOGLETRANSLATE($A3918,""en"",""es"")"),"Piscina")</f>
        <v>Piscina</v>
      </c>
      <c r="F3918" s="9" t="str">
        <f>IFERROR(__xludf.DUMMYFUNCTION("GOOGLETRANSLATE($A3918,""en"",""it"")"),"Piscina")</f>
        <v>Piscina</v>
      </c>
      <c r="G3918" s="9" t="str">
        <f>IFERROR(__xludf.DUMMYFUNCTION("GOOGLETRANSLATE($A3918,""en"",""zh-cn"")"),"水池")</f>
        <v>水池</v>
      </c>
      <c r="H3918" s="9" t="str">
        <f>IFERROR(__xludf.DUMMYFUNCTION("GOOGLETRANSLATE($A3918,""en"",""ja"")"),"プール")</f>
        <v>プール</v>
      </c>
      <c r="I3918" s="9" t="str">
        <f>IFERROR(__xludf.DUMMYFUNCTION("GOOGLETRANSLATE($A3918,""en"",""ko"")"),"수영장")</f>
        <v>수영장</v>
      </c>
      <c r="J3918" s="9" t="str">
        <f>IFERROR(__xludf.DUMMYFUNCTION("GOOGLETRANSLATE($A3918,""en"",""pt-BR"")"),"Piscina")</f>
        <v>Piscina</v>
      </c>
    </row>
    <row r="3919">
      <c r="A3919" s="9" t="str">
        <f>IFERROR(__xludf.DUMMYFUNCTION("""COMPUTED_VALUE"""),"Cuvette")</f>
        <v>Cuvette</v>
      </c>
      <c r="B3919" s="9" t="str">
        <f>IFERROR(__xludf.DUMMYFUNCTION("""COMPUTED_VALUE"""),"cg-8")</f>
        <v>cg-8</v>
      </c>
      <c r="C3919" s="9" t="str">
        <f>IFERROR(__xludf.DUMMYFUNCTION("GOOGLETRANSLATE($A3919,""en"",""de"")"),"Küvette")</f>
        <v>Küvette</v>
      </c>
      <c r="D3919" s="9" t="str">
        <f>IFERROR(__xludf.DUMMYFUNCTION("GOOGLETRANSLATE($A3919,""en"",""fr"")"),"Cuvette")</f>
        <v>Cuvette</v>
      </c>
      <c r="E3919" s="9" t="str">
        <f>IFERROR(__xludf.DUMMYFUNCTION("GOOGLETRANSLATE($A3919,""en"",""es"")"),"Taza decorativa")</f>
        <v>Taza decorativa</v>
      </c>
      <c r="F3919" s="9" t="str">
        <f>IFERROR(__xludf.DUMMYFUNCTION("GOOGLETRANSLATE($A3919,""en"",""it"")"),"Cuvetta")</f>
        <v>Cuvetta</v>
      </c>
      <c r="G3919" s="9" t="str">
        <f>IFERROR(__xludf.DUMMYFUNCTION("GOOGLETRANSLATE($A3919,""en"",""zh-cn"")"),"比色皿")</f>
        <v>比色皿</v>
      </c>
      <c r="H3919" s="9" t="str">
        <f>IFERROR(__xludf.DUMMYFUNCTION("GOOGLETRANSLATE($A3919,""en"",""ja"")"),"キュベット")</f>
        <v>キュベット</v>
      </c>
      <c r="I3919" s="9" t="str">
        <f>IFERROR(__xludf.DUMMYFUNCTION("GOOGLETRANSLATE($A3919,""en"",""ko"")"),"큐벳")</f>
        <v>큐벳</v>
      </c>
      <c r="J3919" s="9" t="str">
        <f>IFERROR(__xludf.DUMMYFUNCTION("GOOGLETRANSLATE($A3919,""en"",""pt-BR"")"),"Cuvete")</f>
        <v>Cuvete</v>
      </c>
    </row>
    <row r="3920">
      <c r="A3920" s="9" t="str">
        <f>IFERROR(__xludf.DUMMYFUNCTION("""COMPUTED_VALUE"""),"Cuvette-Ouest")</f>
        <v>Cuvette-Ouest</v>
      </c>
      <c r="B3920" s="9" t="str">
        <f>IFERROR(__xludf.DUMMYFUNCTION("""COMPUTED_VALUE"""),"cg-15")</f>
        <v>cg-15</v>
      </c>
      <c r="C3920" s="9" t="str">
        <f>IFERROR(__xludf.DUMMYFUNCTION("GOOGLETRANSLATE($A3920,""en"",""de"")"),"Cuvette-Ouest")</f>
        <v>Cuvette-Ouest</v>
      </c>
      <c r="D3920" s="9" t="str">
        <f>IFERROR(__xludf.DUMMYFUNCTION("GOOGLETRANSLATE($A3920,""en"",""fr"")"),"Cuvette-Ouest")</f>
        <v>Cuvette-Ouest</v>
      </c>
      <c r="E3920" s="9" t="str">
        <f>IFERROR(__xludf.DUMMYFUNCTION("GOOGLETRANSLATE($A3920,""en"",""es"")"),"Cuvette-Oeste")</f>
        <v>Cuvette-Oeste</v>
      </c>
      <c r="F3920" s="9" t="str">
        <f>IFERROR(__xludf.DUMMYFUNCTION("GOOGLETRANSLATE($A3920,""en"",""it"")"),"Cuvette-Ouest")</f>
        <v>Cuvette-Ouest</v>
      </c>
      <c r="G3920" s="9" t="str">
        <f>IFERROR(__xludf.DUMMYFUNCTION("GOOGLETRANSLATE($A3920,""en"",""zh-cn"")"),"西库韦特")</f>
        <v>西库韦特</v>
      </c>
      <c r="H3920" s="9" t="str">
        <f>IFERROR(__xludf.DUMMYFUNCTION("GOOGLETRANSLATE($A3920,""en"",""ja"")"),"キュベット西")</f>
        <v>キュベット西</v>
      </c>
      <c r="I3920" s="9" t="str">
        <f>IFERROR(__xludf.DUMMYFUNCTION("GOOGLETRANSLATE($A3920,""en"",""ko"")"),"큐벳-웨스트")</f>
        <v>큐벳-웨스트</v>
      </c>
      <c r="J3920" s="9" t="str">
        <f>IFERROR(__xludf.DUMMYFUNCTION("GOOGLETRANSLATE($A3920,""en"",""pt-BR"")"),"Cuvette-Oeste")</f>
        <v>Cuvette-Oeste</v>
      </c>
    </row>
    <row r="3921">
      <c r="A3921" s="9" t="str">
        <f>IFERROR(__xludf.DUMMYFUNCTION("""COMPUTED_VALUE"""),"Brazzaville")</f>
        <v>Brazzaville</v>
      </c>
      <c r="B3921" s="9" t="str">
        <f>IFERROR(__xludf.DUMMYFUNCTION("""COMPUTED_VALUE"""),"cg-bzv")</f>
        <v>cg-bzv</v>
      </c>
      <c r="C3921" s="9" t="str">
        <f>IFERROR(__xludf.DUMMYFUNCTION("GOOGLETRANSLATE($A3921,""en"",""de"")"),"Brazzaville")</f>
        <v>Brazzaville</v>
      </c>
      <c r="D3921" s="9" t="str">
        <f>IFERROR(__xludf.DUMMYFUNCTION("GOOGLETRANSLATE($A3921,""en"",""fr"")"),"Brazzaville")</f>
        <v>Brazzaville</v>
      </c>
      <c r="E3921" s="9" t="str">
        <f>IFERROR(__xludf.DUMMYFUNCTION("GOOGLETRANSLATE($A3921,""en"",""es"")"),"Brazzaville")</f>
        <v>Brazzaville</v>
      </c>
      <c r="F3921" s="9" t="str">
        <f>IFERROR(__xludf.DUMMYFUNCTION("GOOGLETRANSLATE($A3921,""en"",""it"")"),"Brazzaville")</f>
        <v>Brazzaville</v>
      </c>
      <c r="G3921" s="9" t="str">
        <f>IFERROR(__xludf.DUMMYFUNCTION("GOOGLETRANSLATE($A3921,""en"",""zh-cn"")"),"布拉柴维尔")</f>
        <v>布拉柴维尔</v>
      </c>
      <c r="H3921" s="9" t="str">
        <f>IFERROR(__xludf.DUMMYFUNCTION("GOOGLETRANSLATE($A3921,""en"",""ja"")"),"ブラザビル")</f>
        <v>ブラザビル</v>
      </c>
      <c r="I3921" s="9" t="str">
        <f>IFERROR(__xludf.DUMMYFUNCTION("GOOGLETRANSLATE($A3921,""en"",""ko"")"),"브라자빌")</f>
        <v>브라자빌</v>
      </c>
      <c r="J3921" s="9" t="str">
        <f>IFERROR(__xludf.DUMMYFUNCTION("GOOGLETRANSLATE($A3921,""en"",""pt-BR"")"),"Brazavile")</f>
        <v>Brazavile</v>
      </c>
    </row>
    <row r="3922">
      <c r="A3922" s="9" t="str">
        <f>IFERROR(__xludf.DUMMYFUNCTION("""COMPUTED_VALUE"""),"Sangha (CG)")</f>
        <v>Sangha (CG)</v>
      </c>
      <c r="B3922" s="9" t="str">
        <f>IFERROR(__xludf.DUMMYFUNCTION("""COMPUTED_VALUE"""),"cg-13")</f>
        <v>cg-13</v>
      </c>
      <c r="C3922" s="9" t="str">
        <f>IFERROR(__xludf.DUMMYFUNCTION("GOOGLETRANSLATE($A3922,""en"",""de"")"),"Sangha (CG)")</f>
        <v>Sangha (CG)</v>
      </c>
      <c r="D3922" s="9" t="str">
        <f>IFERROR(__xludf.DUMMYFUNCTION("GOOGLETRANSLATE($A3922,""en"",""fr"")"),"Sangha (CG)")</f>
        <v>Sangha (CG)</v>
      </c>
      <c r="E3922" s="9" t="str">
        <f>IFERROR(__xludf.DUMMYFUNCTION("GOOGLETRANSLATE($A3922,""en"",""es"")"),"Sangha (CG)")</f>
        <v>Sangha (CG)</v>
      </c>
      <c r="F3922" s="9" t="str">
        <f>IFERROR(__xludf.DUMMYFUNCTION("GOOGLETRANSLATE($A3922,""en"",""it"")"),"Sangha (CG)")</f>
        <v>Sangha (CG)</v>
      </c>
      <c r="G3922" s="9" t="str">
        <f>IFERROR(__xludf.DUMMYFUNCTION("GOOGLETRANSLATE($A3922,""en"",""zh-cn"")"),"僧伽 (CG)")</f>
        <v>僧伽 (CG)</v>
      </c>
      <c r="H3922" s="9" t="str">
        <f>IFERROR(__xludf.DUMMYFUNCTION("GOOGLETRANSLATE($A3922,""en"",""ja"")"),"サンガ（CG）")</f>
        <v>サンガ（CG）</v>
      </c>
      <c r="I3922" s="9" t="str">
        <f>IFERROR(__xludf.DUMMYFUNCTION("GOOGLETRANSLATE($A3922,""en"",""ko"")"),"상하(CG)")</f>
        <v>상하(CG)</v>
      </c>
      <c r="J3922" s="9" t="str">
        <f>IFERROR(__xludf.DUMMYFUNCTION("GOOGLETRANSLATE($A3922,""en"",""pt-BR"")"),"Sanga (CG)")</f>
        <v>Sanga (CG)</v>
      </c>
    </row>
    <row r="3923">
      <c r="A3923" s="9" t="str">
        <f>IFERROR(__xludf.DUMMYFUNCTION("""COMPUTED_VALUE"""),"Plateaux (CG)")</f>
        <v>Plateaux (CG)</v>
      </c>
      <c r="B3923" s="9" t="str">
        <f>IFERROR(__xludf.DUMMYFUNCTION("""COMPUTED_VALUE"""),"cg-14")</f>
        <v>cg-14</v>
      </c>
      <c r="C3923" s="9" t="str">
        <f>IFERROR(__xludf.DUMMYFUNCTION("GOOGLETRANSLATE($A3923,""en"",""de"")"),"Plateaux (CG)")</f>
        <v>Plateaux (CG)</v>
      </c>
      <c r="D3923" s="9" t="str">
        <f>IFERROR(__xludf.DUMMYFUNCTION("GOOGLETRANSLATE($A3923,""en"",""fr"")"),"Plateaux (CG)")</f>
        <v>Plateaux (CG)</v>
      </c>
      <c r="E3923" s="9" t="str">
        <f>IFERROR(__xludf.DUMMYFUNCTION("GOOGLETRANSLATE($A3923,""en"",""es"")"),"Mesetas (CG)")</f>
        <v>Mesetas (CG)</v>
      </c>
      <c r="F3923" s="9" t="str">
        <f>IFERROR(__xludf.DUMMYFUNCTION("GOOGLETRANSLATE($A3923,""en"",""it"")"),"Altipiani (CG)")</f>
        <v>Altipiani (CG)</v>
      </c>
      <c r="G3923" s="9" t="str">
        <f>IFERROR(__xludf.DUMMYFUNCTION("GOOGLETRANSLATE($A3923,""en"",""zh-cn"")"),"高原 (CG)")</f>
        <v>高原 (CG)</v>
      </c>
      <c r="H3923" s="9" t="str">
        <f>IFERROR(__xludf.DUMMYFUNCTION("GOOGLETRANSLATE($A3923,""en"",""ja"")"),"高原（CG）")</f>
        <v>高原（CG）</v>
      </c>
      <c r="I3923" s="9" t="str">
        <f>IFERROR(__xludf.DUMMYFUNCTION("GOOGLETRANSLATE($A3923,""en"",""ko"")"),"플라토(CG)")</f>
        <v>플라토(CG)</v>
      </c>
      <c r="J3923" s="9" t="str">
        <f>IFERROR(__xludf.DUMMYFUNCTION("GOOGLETRANSLATE($A3923,""en"",""pt-BR"")"),"Planaltos (CG)")</f>
        <v>Planaltos (CG)</v>
      </c>
    </row>
    <row r="3924">
      <c r="A3924" s="9" t="str">
        <f>IFERROR(__xludf.DUMMYFUNCTION("""COMPUTED_VALUE"""),"Likouala")</f>
        <v>Likouala</v>
      </c>
      <c r="B3924" s="9" t="str">
        <f>IFERROR(__xludf.DUMMYFUNCTION("""COMPUTED_VALUE"""),"cg-7")</f>
        <v>cg-7</v>
      </c>
      <c r="C3924" s="9" t="str">
        <f>IFERROR(__xludf.DUMMYFUNCTION("GOOGLETRANSLATE($A3924,""en"",""de"")"),"Likouala")</f>
        <v>Likouala</v>
      </c>
      <c r="D3924" s="9" t="str">
        <f>IFERROR(__xludf.DUMMYFUNCTION("GOOGLETRANSLATE($A3924,""en"",""fr"")"),"Likouala")</f>
        <v>Likouala</v>
      </c>
      <c r="E3924" s="9" t="str">
        <f>IFERROR(__xludf.DUMMYFUNCTION("GOOGLETRANSLATE($A3924,""en"",""es"")"),"Likouala")</f>
        <v>Likouala</v>
      </c>
      <c r="F3924" s="9" t="str">
        <f>IFERROR(__xludf.DUMMYFUNCTION("GOOGLETRANSLATE($A3924,""en"",""it"")"),"Likouala")</f>
        <v>Likouala</v>
      </c>
      <c r="G3924" s="9" t="str">
        <f>IFERROR(__xludf.DUMMYFUNCTION("GOOGLETRANSLATE($A3924,""en"",""zh-cn"")"),"利库阿拉")</f>
        <v>利库阿拉</v>
      </c>
      <c r="H3924" s="9" t="str">
        <f>IFERROR(__xludf.DUMMYFUNCTION("GOOGLETRANSLATE($A3924,""en"",""ja"")"),"リコウアラ")</f>
        <v>リコウアラ</v>
      </c>
      <c r="I3924" s="9" t="str">
        <f>IFERROR(__xludf.DUMMYFUNCTION("GOOGLETRANSLATE($A3924,""en"",""ko"")"),"리쿠알라")</f>
        <v>리쿠알라</v>
      </c>
      <c r="J3924" s="9" t="str">
        <f>IFERROR(__xludf.DUMMYFUNCTION("GOOGLETRANSLATE($A3924,""en"",""pt-BR"")"),"Likouala")</f>
        <v>Likouala</v>
      </c>
    </row>
    <row r="3925">
      <c r="A3925" s="9" t="str">
        <f>IFERROR(__xludf.DUMMYFUNCTION("""COMPUTED_VALUE"""),"Gorj")</f>
        <v>Gorj</v>
      </c>
      <c r="B3925" s="9" t="str">
        <f>IFERROR(__xludf.DUMMYFUNCTION("""COMPUTED_VALUE"""),"ro-gj")</f>
        <v>ro-gj</v>
      </c>
      <c r="C3925" s="9" t="str">
        <f>IFERROR(__xludf.DUMMYFUNCTION("GOOGLETRANSLATE($A3925,""en"",""de"")"),"Gorj")</f>
        <v>Gorj</v>
      </c>
      <c r="D3925" s="9" t="str">
        <f>IFERROR(__xludf.DUMMYFUNCTION("GOOGLETRANSLATE($A3925,""en"",""fr"")"),"Gorj")</f>
        <v>Gorj</v>
      </c>
      <c r="E3925" s="9" t="str">
        <f>IFERROR(__xludf.DUMMYFUNCTION("GOOGLETRANSLATE($A3925,""en"",""es"")"),"Gorje")</f>
        <v>Gorje</v>
      </c>
      <c r="F3925" s="9" t="str">
        <f>IFERROR(__xludf.DUMMYFUNCTION("GOOGLETRANSLATE($A3925,""en"",""it"")"),"Gorj")</f>
        <v>Gorj</v>
      </c>
      <c r="G3925" s="9" t="str">
        <f>IFERROR(__xludf.DUMMYFUNCTION("GOOGLETRANSLATE($A3925,""en"",""zh-cn"")"),"戈尔吉")</f>
        <v>戈尔吉</v>
      </c>
      <c r="H3925" s="9" t="str">
        <f>IFERROR(__xludf.DUMMYFUNCTION("GOOGLETRANSLATE($A3925,""en"",""ja"")"),"ゴルジュ")</f>
        <v>ゴルジュ</v>
      </c>
      <c r="I3925" s="9" t="str">
        <f>IFERROR(__xludf.DUMMYFUNCTION("GOOGLETRANSLATE($A3925,""en"",""ko"")"),"고르지")</f>
        <v>고르지</v>
      </c>
      <c r="J3925" s="9" t="str">
        <f>IFERROR(__xludf.DUMMYFUNCTION("GOOGLETRANSLATE($A3925,""en"",""pt-BR"")"),"Gorj")</f>
        <v>Gorj</v>
      </c>
    </row>
    <row r="3926">
      <c r="A3926" s="9" t="str">
        <f>IFERROR(__xludf.DUMMYFUNCTION("""COMPUTED_VALUE"""),"Galați")</f>
        <v>Galați</v>
      </c>
      <c r="B3926" s="9" t="str">
        <f>IFERROR(__xludf.DUMMYFUNCTION("""COMPUTED_VALUE"""),"ro-gl")</f>
        <v>ro-gl</v>
      </c>
      <c r="C3926" s="9" t="str">
        <f>IFERROR(__xludf.DUMMYFUNCTION("GOOGLETRANSLATE($A3926,""en"",""de"")"),"Galați")</f>
        <v>Galați</v>
      </c>
      <c r="D3926" s="9" t="str">
        <f>IFERROR(__xludf.DUMMYFUNCTION("GOOGLETRANSLATE($A3926,""en"",""fr"")"),"Galați")</f>
        <v>Galați</v>
      </c>
      <c r="E3926" s="9" t="str">
        <f>IFERROR(__xludf.DUMMYFUNCTION("GOOGLETRANSLATE($A3926,""en"",""es"")"),"Galați")</f>
        <v>Galați</v>
      </c>
      <c r="F3926" s="9" t="str">
        <f>IFERROR(__xludf.DUMMYFUNCTION("GOOGLETRANSLATE($A3926,""en"",""it"")"),"Galati")</f>
        <v>Galati</v>
      </c>
      <c r="G3926" s="9" t="str">
        <f>IFERROR(__xludf.DUMMYFUNCTION("GOOGLETRANSLATE($A3926,""en"",""zh-cn"")"),"加拉茨")</f>
        <v>加拉茨</v>
      </c>
      <c r="H3926" s="9" t="str">
        <f>IFERROR(__xludf.DUMMYFUNCTION("GOOGLETRANSLATE($A3926,""en"",""ja"")"),"ガラシ")</f>
        <v>ガラシ</v>
      </c>
      <c r="I3926" s="9" t="str">
        <f>IFERROR(__xludf.DUMMYFUNCTION("GOOGLETRANSLATE($A3926,""en"",""ko"")"),"갈라치")</f>
        <v>갈라치</v>
      </c>
      <c r="J3926" s="9" t="str">
        <f>IFERROR(__xludf.DUMMYFUNCTION("GOOGLETRANSLATE($A3926,""en"",""pt-BR"")"),"Galaţi")</f>
        <v>Galaţi</v>
      </c>
    </row>
    <row r="3927">
      <c r="A3927" s="9" t="str">
        <f>IFERROR(__xludf.DUMMYFUNCTION("""COMPUTED_VALUE"""),"Dâmbovița")</f>
        <v>Dâmbovița</v>
      </c>
      <c r="B3927" s="9" t="str">
        <f>IFERROR(__xludf.DUMMYFUNCTION("""COMPUTED_VALUE"""),"ro-db")</f>
        <v>ro-db</v>
      </c>
      <c r="C3927" s="9" t="str">
        <f>IFERROR(__xludf.DUMMYFUNCTION("GOOGLETRANSLATE($A3927,""en"",""de"")"),"Dâmbovița")</f>
        <v>Dâmbovița</v>
      </c>
      <c r="D3927" s="9" t="str">
        <f>IFERROR(__xludf.DUMMYFUNCTION("GOOGLETRANSLATE($A3927,""en"",""fr"")"),"Dâmbovița")</f>
        <v>Dâmbovița</v>
      </c>
      <c r="E3927" s="9" t="str">
        <f>IFERROR(__xludf.DUMMYFUNCTION("GOOGLETRANSLATE($A3927,""en"",""es"")"),"Dâmbovița")</f>
        <v>Dâmbovița</v>
      </c>
      <c r="F3927" s="9" t="str">
        <f>IFERROR(__xludf.DUMMYFUNCTION("GOOGLETRANSLATE($A3927,""en"",""it"")"),"Dâmbovița")</f>
        <v>Dâmbovița</v>
      </c>
      <c r="G3927" s="9" t="str">
        <f>IFERROR(__xludf.DUMMYFUNCTION("GOOGLETRANSLATE($A3927,""en"",""zh-cn"")"),"丹博维察")</f>
        <v>丹博维察</v>
      </c>
      <c r="H3927" s="9" t="str">
        <f>IFERROR(__xludf.DUMMYFUNCTION("GOOGLETRANSLATE($A3927,""en"",""ja"")"),"ダンボヴィシャ")</f>
        <v>ダンボヴィシャ</v>
      </c>
      <c r="I3927" s="9" t="str">
        <f>IFERROR(__xludf.DUMMYFUNCTION("GOOGLETRANSLATE($A3927,""en"",""ko"")"),"담보비차")</f>
        <v>담보비차</v>
      </c>
      <c r="J3927" s="9" t="str">
        <f>IFERROR(__xludf.DUMMYFUNCTION("GOOGLETRANSLATE($A3927,""en"",""pt-BR"")"),"Dâmboviţa")</f>
        <v>Dâmboviţa</v>
      </c>
    </row>
    <row r="3928">
      <c r="A3928" s="9" t="str">
        <f>IFERROR(__xludf.DUMMYFUNCTION("""COMPUTED_VALUE"""),"Dolj")</f>
        <v>Dolj</v>
      </c>
      <c r="B3928" s="9" t="str">
        <f>IFERROR(__xludf.DUMMYFUNCTION("""COMPUTED_VALUE"""),"ro-dj")</f>
        <v>ro-dj</v>
      </c>
      <c r="C3928" s="9" t="str">
        <f>IFERROR(__xludf.DUMMYFUNCTION("GOOGLETRANSLATE($A3928,""en"",""de"")"),"Dolj")</f>
        <v>Dolj</v>
      </c>
      <c r="D3928" s="9" t="str">
        <f>IFERROR(__xludf.DUMMYFUNCTION("GOOGLETRANSLATE($A3928,""en"",""fr"")"),"Dolj")</f>
        <v>Dolj</v>
      </c>
      <c r="E3928" s="9" t="str">
        <f>IFERROR(__xludf.DUMMYFUNCTION("GOOGLETRANSLATE($A3928,""en"",""es"")"),"dolj")</f>
        <v>dolj</v>
      </c>
      <c r="F3928" s="9" t="str">
        <f>IFERROR(__xludf.DUMMYFUNCTION("GOOGLETRANSLATE($A3928,""en"",""it"")"),"Dolj")</f>
        <v>Dolj</v>
      </c>
      <c r="G3928" s="9" t="str">
        <f>IFERROR(__xludf.DUMMYFUNCTION("GOOGLETRANSLATE($A3928,""en"",""zh-cn"")"),"多尔吉")</f>
        <v>多尔吉</v>
      </c>
      <c r="H3928" s="9" t="str">
        <f>IFERROR(__xludf.DUMMYFUNCTION("GOOGLETRANSLATE($A3928,""en"",""ja"")"),"ドルジュ")</f>
        <v>ドルジュ</v>
      </c>
      <c r="I3928" s="9" t="str">
        <f>IFERROR(__xludf.DUMMYFUNCTION("GOOGLETRANSLATE($A3928,""en"",""ko"")"),"돌지")</f>
        <v>돌지</v>
      </c>
      <c r="J3928" s="9" t="str">
        <f>IFERROR(__xludf.DUMMYFUNCTION("GOOGLETRANSLATE($A3928,""en"",""pt-BR"")"),"Dolj")</f>
        <v>Dolj</v>
      </c>
    </row>
    <row r="3929">
      <c r="A3929" s="9" t="str">
        <f>IFERROR(__xludf.DUMMYFUNCTION("""COMPUTED_VALUE"""),"Constanța")</f>
        <v>Constanța</v>
      </c>
      <c r="B3929" s="9" t="str">
        <f>IFERROR(__xludf.DUMMYFUNCTION("""COMPUTED_VALUE"""),"ro-ct")</f>
        <v>ro-ct</v>
      </c>
      <c r="C3929" s="9" t="str">
        <f>IFERROR(__xludf.DUMMYFUNCTION("GOOGLETRANSLATE($A3929,""en"",""de"")"),"Konstanza")</f>
        <v>Konstanza</v>
      </c>
      <c r="D3929" s="9" t="str">
        <f>IFERROR(__xludf.DUMMYFUNCTION("GOOGLETRANSLATE($A3929,""en"",""fr"")"),"Constanta")</f>
        <v>Constanta</v>
      </c>
      <c r="E3929" s="9" t="str">
        <f>IFERROR(__xludf.DUMMYFUNCTION("GOOGLETRANSLATE($A3929,""en"",""es"")"),"Constanza")</f>
        <v>Constanza</v>
      </c>
      <c r="F3929" s="9" t="str">
        <f>IFERROR(__xludf.DUMMYFUNCTION("GOOGLETRANSLATE($A3929,""en"",""it"")"),"Costanza")</f>
        <v>Costanza</v>
      </c>
      <c r="G3929" s="9" t="str">
        <f>IFERROR(__xludf.DUMMYFUNCTION("GOOGLETRANSLATE($A3929,""en"",""zh-cn"")"),"康斯坦察")</f>
        <v>康斯坦察</v>
      </c>
      <c r="H3929" s="9" t="str">
        <f>IFERROR(__xludf.DUMMYFUNCTION("GOOGLETRANSLATE($A3929,""en"",""ja"")"),"コンスタンツァ")</f>
        <v>コンスタンツァ</v>
      </c>
      <c r="I3929" s="9" t="str">
        <f>IFERROR(__xludf.DUMMYFUNCTION("GOOGLETRANSLATE($A3929,""en"",""ko"")"),"콘스탄차")</f>
        <v>콘스탄차</v>
      </c>
      <c r="J3929" s="9" t="str">
        <f>IFERROR(__xludf.DUMMYFUNCTION("GOOGLETRANSLATE($A3929,""en"",""pt-BR"")"),"Constança")</f>
        <v>Constança</v>
      </c>
    </row>
    <row r="3930">
      <c r="A3930" s="9" t="str">
        <f>IFERROR(__xludf.DUMMYFUNCTION("""COMPUTED_VALUE"""),"Covasna")</f>
        <v>Covasna</v>
      </c>
      <c r="B3930" s="9" t="str">
        <f>IFERROR(__xludf.DUMMYFUNCTION("""COMPUTED_VALUE"""),"ro-cv")</f>
        <v>ro-cv</v>
      </c>
      <c r="C3930" s="9" t="str">
        <f>IFERROR(__xludf.DUMMYFUNCTION("GOOGLETRANSLATE($A3930,""en"",""de"")"),"Covasna")</f>
        <v>Covasna</v>
      </c>
      <c r="D3930" s="9" t="str">
        <f>IFERROR(__xludf.DUMMYFUNCTION("GOOGLETRANSLATE($A3930,""en"",""fr"")"),"Covasna")</f>
        <v>Covasna</v>
      </c>
      <c r="E3930" s="9" t="str">
        <f>IFERROR(__xludf.DUMMYFUNCTION("GOOGLETRANSLATE($A3930,""en"",""es"")"),"Covasna")</f>
        <v>Covasna</v>
      </c>
      <c r="F3930" s="9" t="str">
        <f>IFERROR(__xludf.DUMMYFUNCTION("GOOGLETRANSLATE($A3930,""en"",""it"")"),"Covasna")</f>
        <v>Covasna</v>
      </c>
      <c r="G3930" s="9" t="str">
        <f>IFERROR(__xludf.DUMMYFUNCTION("GOOGLETRANSLATE($A3930,""en"",""zh-cn"")"),"科瓦斯纳")</f>
        <v>科瓦斯纳</v>
      </c>
      <c r="H3930" s="9" t="str">
        <f>IFERROR(__xludf.DUMMYFUNCTION("GOOGLETRANSLATE($A3930,""en"",""ja"")"),"コバスナ")</f>
        <v>コバスナ</v>
      </c>
      <c r="I3930" s="9" t="str">
        <f>IFERROR(__xludf.DUMMYFUNCTION("GOOGLETRANSLATE($A3930,""en"",""ko"")"),"코바스나")</f>
        <v>코바스나</v>
      </c>
      <c r="J3930" s="9" t="str">
        <f>IFERROR(__xludf.DUMMYFUNCTION("GOOGLETRANSLATE($A3930,""en"",""pt-BR"")"),"Covasna")</f>
        <v>Covasna</v>
      </c>
    </row>
    <row r="3931">
      <c r="A3931" s="9" t="str">
        <f>IFERROR(__xludf.DUMMYFUNCTION("""COMPUTED_VALUE"""),"Călăraşi (RO)")</f>
        <v>Călăraşi (RO)</v>
      </c>
      <c r="B3931" s="9" t="str">
        <f>IFERROR(__xludf.DUMMYFUNCTION("""COMPUTED_VALUE"""),"ro-cl")</f>
        <v>ro-cl</v>
      </c>
      <c r="C3931" s="9" t="str">
        <f>IFERROR(__xludf.DUMMYFUNCTION("GOOGLETRANSLATE($A3931,""en"",""de"")"),"Călărași (RO)")</f>
        <v>Călărași (RO)</v>
      </c>
      <c r="D3931" s="9" t="str">
        <f>IFERROR(__xludf.DUMMYFUNCTION("GOOGLETRANSLATE($A3931,""en"",""fr"")"),"Călărași (RO)")</f>
        <v>Călărași (RO)</v>
      </c>
      <c r="E3931" s="9" t="str">
        <f>IFERROR(__xludf.DUMMYFUNCTION("GOOGLETRANSLATE($A3931,""en"",""es"")"),"Călăraşi (RO)")</f>
        <v>Călăraşi (RO)</v>
      </c>
      <c r="F3931" s="9" t="str">
        <f>IFERROR(__xludf.DUMMYFUNCTION("GOOGLETRANSLATE($A3931,""en"",""it"")"),"Calaraşi (RO)")</f>
        <v>Calaraşi (RO)</v>
      </c>
      <c r="G3931" s="9" t="str">
        <f>IFERROR(__xludf.DUMMYFUNCTION("GOOGLETRANSLATE($A3931,""en"",""zh-cn"")"),"克拉拉西 (RO)")</f>
        <v>克拉拉西 (RO)</v>
      </c>
      <c r="H3931" s="9" t="str">
        <f>IFERROR(__xludf.DUMMYFUNCTION("GOOGLETRANSLATE($A3931,""en"",""ja"")"),"カララシ (RO)")</f>
        <v>カララシ (RO)</v>
      </c>
      <c r="I3931" s="9" t="str">
        <f>IFERROR(__xludf.DUMMYFUNCTION("GOOGLETRANSLATE($A3931,""en"",""ko"")"),"칼라라시(RO)")</f>
        <v>칼라라시(RO)</v>
      </c>
      <c r="J3931" s="9" t="str">
        <f>IFERROR(__xludf.DUMMYFUNCTION("GOOGLETRANSLATE($A3931,""en"",""pt-BR"")"),"Călăraşi (RO)")</f>
        <v>Călăraşi (RO)</v>
      </c>
    </row>
    <row r="3932">
      <c r="A3932" s="9" t="str">
        <f>IFERROR(__xludf.DUMMYFUNCTION("""COMPUTED_VALUE"""),"Caraș-Severin")</f>
        <v>Caraș-Severin</v>
      </c>
      <c r="B3932" s="9" t="str">
        <f>IFERROR(__xludf.DUMMYFUNCTION("""COMPUTED_VALUE"""),"ro-cs")</f>
        <v>ro-cs</v>
      </c>
      <c r="C3932" s="9" t="str">
        <f>IFERROR(__xludf.DUMMYFUNCTION("GOOGLETRANSLATE($A3932,""en"",""de"")"),"Caraș-Severin")</f>
        <v>Caraș-Severin</v>
      </c>
      <c r="D3932" s="9" t="str">
        <f>IFERROR(__xludf.DUMMYFUNCTION("GOOGLETRANSLATE($A3932,""en"",""fr"")"),"Caraş-Severin")</f>
        <v>Caraş-Severin</v>
      </c>
      <c r="E3932" s="9" t="str">
        <f>IFERROR(__xludf.DUMMYFUNCTION("GOOGLETRANSLATE($A3932,""en"",""es"")"),"Caraș-Severin")</f>
        <v>Caraș-Severin</v>
      </c>
      <c r="F3932" s="9" t="str">
        <f>IFERROR(__xludf.DUMMYFUNCTION("GOOGLETRANSLATE($A3932,""en"",""it"")"),"Caraș-Severin")</f>
        <v>Caraș-Severin</v>
      </c>
      <c r="G3932" s="9" t="str">
        <f>IFERROR(__xludf.DUMMYFUNCTION("GOOGLETRANSLATE($A3932,""en"",""zh-cn"")"),"卡拉什-塞韦林")</f>
        <v>卡拉什-塞韦林</v>
      </c>
      <c r="H3932" s="9" t="str">
        <f>IFERROR(__xludf.DUMMYFUNCTION("GOOGLETRANSLATE($A3932,""en"",""ja"")"),"カラシュ=セヴェリン")</f>
        <v>カラシュ=セヴェリン</v>
      </c>
      <c r="I3932" s="9" t="str">
        <f>IFERROR(__xludf.DUMMYFUNCTION("GOOGLETRANSLATE($A3932,""en"",""ko"")"),"카라슈-세베린")</f>
        <v>카라슈-세베린</v>
      </c>
      <c r="J3932" s="9" t="str">
        <f>IFERROR(__xludf.DUMMYFUNCTION("GOOGLETRANSLATE($A3932,""en"",""pt-BR"")"),"Caraș-Severin")</f>
        <v>Caraș-Severin</v>
      </c>
    </row>
    <row r="3933">
      <c r="A3933" s="9" t="str">
        <f>IFERROR(__xludf.DUMMYFUNCTION("""COMPUTED_VALUE"""),"Giurgiu")</f>
        <v>Giurgiu</v>
      </c>
      <c r="B3933" s="9" t="str">
        <f>IFERROR(__xludf.DUMMYFUNCTION("""COMPUTED_VALUE"""),"ro-gr")</f>
        <v>ro-gr</v>
      </c>
      <c r="C3933" s="9" t="str">
        <f>IFERROR(__xludf.DUMMYFUNCTION("GOOGLETRANSLATE($A3933,""en"",""de"")"),"Giurgiu")</f>
        <v>Giurgiu</v>
      </c>
      <c r="D3933" s="9" t="str">
        <f>IFERROR(__xludf.DUMMYFUNCTION("GOOGLETRANSLATE($A3933,""en"",""fr"")"),"Giurgiu")</f>
        <v>Giurgiu</v>
      </c>
      <c r="E3933" s="9" t="str">
        <f>IFERROR(__xludf.DUMMYFUNCTION("GOOGLETRANSLATE($A3933,""en"",""es"")"),"Giurgiu")</f>
        <v>Giurgiu</v>
      </c>
      <c r="F3933" s="9" t="str">
        <f>IFERROR(__xludf.DUMMYFUNCTION("GOOGLETRANSLATE($A3933,""en"",""it"")"),"Giurgi")</f>
        <v>Giurgi</v>
      </c>
      <c r="G3933" s="9" t="str">
        <f>IFERROR(__xludf.DUMMYFUNCTION("GOOGLETRANSLATE($A3933,""en"",""zh-cn"")"),"朱尔久")</f>
        <v>朱尔久</v>
      </c>
      <c r="H3933" s="9" t="str">
        <f>IFERROR(__xludf.DUMMYFUNCTION("GOOGLETRANSLATE($A3933,""en"",""ja"")"),"ジュルジュ")</f>
        <v>ジュルジュ</v>
      </c>
      <c r="I3933" s="9" t="str">
        <f>IFERROR(__xludf.DUMMYFUNCTION("GOOGLETRANSLATE($A3933,""en"",""ko"")"),"지우르주")</f>
        <v>지우르주</v>
      </c>
      <c r="J3933" s="9" t="str">
        <f>IFERROR(__xludf.DUMMYFUNCTION("GOOGLETRANSLATE($A3933,""en"",""pt-BR"")"),"Giurgiu")</f>
        <v>Giurgiu</v>
      </c>
    </row>
    <row r="3934">
      <c r="A3934" s="9" t="str">
        <f>IFERROR(__xludf.DUMMYFUNCTION("""COMPUTED_VALUE"""),"Hunedoara")</f>
        <v>Hunedoara</v>
      </c>
      <c r="B3934" s="9" t="str">
        <f>IFERROR(__xludf.DUMMYFUNCTION("""COMPUTED_VALUE"""),"ro-hd")</f>
        <v>ro-hd</v>
      </c>
      <c r="C3934" s="9" t="str">
        <f>IFERROR(__xludf.DUMMYFUNCTION("GOOGLETRANSLATE($A3934,""en"",""de"")"),"Hunedoara")</f>
        <v>Hunedoara</v>
      </c>
      <c r="D3934" s="9" t="str">
        <f>IFERROR(__xludf.DUMMYFUNCTION("GOOGLETRANSLATE($A3934,""en"",""fr"")"),"Hunedoara")</f>
        <v>Hunedoara</v>
      </c>
      <c r="E3934" s="9" t="str">
        <f>IFERROR(__xludf.DUMMYFUNCTION("GOOGLETRANSLATE($A3934,""en"",""es"")"),"Hunedoara")</f>
        <v>Hunedoara</v>
      </c>
      <c r="F3934" s="9" t="str">
        <f>IFERROR(__xludf.DUMMYFUNCTION("GOOGLETRANSLATE($A3934,""en"",""it"")"),"Hunedoara")</f>
        <v>Hunedoara</v>
      </c>
      <c r="G3934" s="9" t="str">
        <f>IFERROR(__xludf.DUMMYFUNCTION("GOOGLETRANSLATE($A3934,""en"",""zh-cn"")"),"胡内多阿拉")</f>
        <v>胡内多阿拉</v>
      </c>
      <c r="H3934" s="9" t="str">
        <f>IFERROR(__xludf.DUMMYFUNCTION("GOOGLETRANSLATE($A3934,""en"",""ja"")"),"フネドアラ")</f>
        <v>フネドアラ</v>
      </c>
      <c r="I3934" s="9" t="str">
        <f>IFERROR(__xludf.DUMMYFUNCTION("GOOGLETRANSLATE($A3934,""en"",""ko"")"),"후네도아라")</f>
        <v>후네도아라</v>
      </c>
      <c r="J3934" s="9" t="str">
        <f>IFERROR(__xludf.DUMMYFUNCTION("GOOGLETRANSLATE($A3934,""en"",""pt-BR"")"),"Hunedoara")</f>
        <v>Hunedoara</v>
      </c>
    </row>
    <row r="3935">
      <c r="A3935" s="9" t="str">
        <f>IFERROR(__xludf.DUMMYFUNCTION("""COMPUTED_VALUE"""),"Harghita")</f>
        <v>Harghita</v>
      </c>
      <c r="B3935" s="9" t="str">
        <f>IFERROR(__xludf.DUMMYFUNCTION("""COMPUTED_VALUE"""),"ro-hr")</f>
        <v>ro-hr</v>
      </c>
      <c r="C3935" s="9" t="str">
        <f>IFERROR(__xludf.DUMMYFUNCTION("GOOGLETRANSLATE($A3935,""en"",""de"")"),"Harghita")</f>
        <v>Harghita</v>
      </c>
      <c r="D3935" s="9" t="str">
        <f>IFERROR(__xludf.DUMMYFUNCTION("GOOGLETRANSLATE($A3935,""en"",""fr"")"),"Harghita")</f>
        <v>Harghita</v>
      </c>
      <c r="E3935" s="9" t="str">
        <f>IFERROR(__xludf.DUMMYFUNCTION("GOOGLETRANSLATE($A3935,""en"",""es"")"),"harghita")</f>
        <v>harghita</v>
      </c>
      <c r="F3935" s="9" t="str">
        <f>IFERROR(__xludf.DUMMYFUNCTION("GOOGLETRANSLATE($A3935,""en"",""it"")"),"Harghita")</f>
        <v>Harghita</v>
      </c>
      <c r="G3935" s="9" t="str">
        <f>IFERROR(__xludf.DUMMYFUNCTION("GOOGLETRANSLATE($A3935,""en"",""zh-cn"")"),"哈吉塔")</f>
        <v>哈吉塔</v>
      </c>
      <c r="H3935" s="9" t="str">
        <f>IFERROR(__xludf.DUMMYFUNCTION("GOOGLETRANSLATE($A3935,""en"",""ja"")"),"ハルギタ")</f>
        <v>ハルギタ</v>
      </c>
      <c r="I3935" s="9" t="str">
        <f>IFERROR(__xludf.DUMMYFUNCTION("GOOGLETRANSLATE($A3935,""en"",""ko"")"),"하르기타")</f>
        <v>하르기타</v>
      </c>
      <c r="J3935" s="9" t="str">
        <f>IFERROR(__xludf.DUMMYFUNCTION("GOOGLETRANSLATE($A3935,""en"",""pt-BR"")"),"Harghita")</f>
        <v>Harghita</v>
      </c>
    </row>
    <row r="3936">
      <c r="A3936" s="9" t="str">
        <f>IFERROR(__xludf.DUMMYFUNCTION("""COMPUTED_VALUE"""),"Ilfov")</f>
        <v>Ilfov</v>
      </c>
      <c r="B3936" s="9" t="str">
        <f>IFERROR(__xludf.DUMMYFUNCTION("""COMPUTED_VALUE"""),"ro-if")</f>
        <v>ro-if</v>
      </c>
      <c r="C3936" s="9" t="str">
        <f>IFERROR(__xludf.DUMMYFUNCTION("GOOGLETRANSLATE($A3936,""en"",""de"")"),"Ilfov")</f>
        <v>Ilfov</v>
      </c>
      <c r="D3936" s="9" t="str">
        <f>IFERROR(__xludf.DUMMYFUNCTION("GOOGLETRANSLATE($A3936,""en"",""fr"")"),"Ilfov")</f>
        <v>Ilfov</v>
      </c>
      <c r="E3936" s="9" t="str">
        <f>IFERROR(__xludf.DUMMYFUNCTION("GOOGLETRANSLATE($A3936,""en"",""es"")"),"Ilfov")</f>
        <v>Ilfov</v>
      </c>
      <c r="F3936" s="9" t="str">
        <f>IFERROR(__xludf.DUMMYFUNCTION("GOOGLETRANSLATE($A3936,""en"",""it"")"),"Ilfov")</f>
        <v>Ilfov</v>
      </c>
      <c r="G3936" s="9" t="str">
        <f>IFERROR(__xludf.DUMMYFUNCTION("GOOGLETRANSLATE($A3936,""en"",""zh-cn"")"),"伊尔福夫")</f>
        <v>伊尔福夫</v>
      </c>
      <c r="H3936" s="9" t="str">
        <f>IFERROR(__xludf.DUMMYFUNCTION("GOOGLETRANSLATE($A3936,""en"",""ja"")"),"イルフォフ")</f>
        <v>イルフォフ</v>
      </c>
      <c r="I3936" s="9" t="str">
        <f>IFERROR(__xludf.DUMMYFUNCTION("GOOGLETRANSLATE($A3936,""en"",""ko"")"),"일포프")</f>
        <v>일포프</v>
      </c>
      <c r="J3936" s="9" t="str">
        <f>IFERROR(__xludf.DUMMYFUNCTION("GOOGLETRANSLATE($A3936,""en"",""pt-BR"")"),"Ilfov")</f>
        <v>Ilfov</v>
      </c>
    </row>
    <row r="3937">
      <c r="A3937" s="9" t="str">
        <f>IFERROR(__xludf.DUMMYFUNCTION("""COMPUTED_VALUE"""),"Bistrița-Năsăud")</f>
        <v>Bistrița-Năsăud</v>
      </c>
      <c r="B3937" s="9" t="str">
        <f>IFERROR(__xludf.DUMMYFUNCTION("""COMPUTED_VALUE"""),"ro-bn")</f>
        <v>ro-bn</v>
      </c>
      <c r="C3937" s="9" t="str">
        <f>IFERROR(__xludf.DUMMYFUNCTION("GOOGLETRANSLATE($A3937,""en"",""de"")"),"Bistrița-Năsăud")</f>
        <v>Bistrița-Năsăud</v>
      </c>
      <c r="D3937" s="9" t="str">
        <f>IFERROR(__xludf.DUMMYFUNCTION("GOOGLETRANSLATE($A3937,""en"",""fr"")"),"Bistrița-Năsăud")</f>
        <v>Bistrița-Năsăud</v>
      </c>
      <c r="E3937" s="9" t="str">
        <f>IFERROR(__xludf.DUMMYFUNCTION("GOOGLETRANSLATE($A3937,""en"",""es"")"),"Bistrița-Năsăud")</f>
        <v>Bistrița-Năsăud</v>
      </c>
      <c r="F3937" s="9" t="str">
        <f>IFERROR(__xludf.DUMMYFUNCTION("GOOGLETRANSLATE($A3937,""en"",""it"")"),"Bistrița-Năsăud")</f>
        <v>Bistrița-Năsăud</v>
      </c>
      <c r="G3937" s="9" t="str">
        <f>IFERROR(__xludf.DUMMYFUNCTION("GOOGLETRANSLATE($A3937,""en"",""zh-cn"")"),"比斯特里察-内绍德")</f>
        <v>比斯特里察-内绍德</v>
      </c>
      <c r="H3937" s="9" t="str">
        <f>IFERROR(__xludf.DUMMYFUNCTION("GOOGLETRANSLATE($A3937,""en"",""ja"")"),"ビストリシャ・ナサウド")</f>
        <v>ビストリシャ・ナサウド</v>
      </c>
      <c r="I3937" s="9" t="str">
        <f>IFERROR(__xludf.DUMMYFUNCTION("GOOGLETRANSLATE($A3937,""en"",""ko"")"),"비스트리차-나사우드")</f>
        <v>비스트리차-나사우드</v>
      </c>
      <c r="J3937" s="9" t="str">
        <f>IFERROR(__xludf.DUMMYFUNCTION("GOOGLETRANSLATE($A3937,""en"",""pt-BR"")"),"Bistrița-Năsăud")</f>
        <v>Bistrița-Năsăud</v>
      </c>
    </row>
    <row r="3938">
      <c r="A3938" s="9" t="str">
        <f>IFERROR(__xludf.DUMMYFUNCTION("""COMPUTED_VALUE"""),"Brăila")</f>
        <v>Brăila</v>
      </c>
      <c r="B3938" s="9" t="str">
        <f>IFERROR(__xludf.DUMMYFUNCTION("""COMPUTED_VALUE"""),"ro-br")</f>
        <v>ro-br</v>
      </c>
      <c r="C3938" s="9" t="str">
        <f>IFERROR(__xludf.DUMMYFUNCTION("GOOGLETRANSLATE($A3938,""en"",""de"")"),"Brăila")</f>
        <v>Brăila</v>
      </c>
      <c r="D3938" s="9" t="str">
        <f>IFERROR(__xludf.DUMMYFUNCTION("GOOGLETRANSLATE($A3938,""en"",""fr"")"),"Brăila")</f>
        <v>Brăila</v>
      </c>
      <c r="E3938" s="9" t="str">
        <f>IFERROR(__xludf.DUMMYFUNCTION("GOOGLETRANSLATE($A3938,""en"",""es"")"),"braila")</f>
        <v>braila</v>
      </c>
      <c r="F3938" s="9" t="str">
        <f>IFERROR(__xludf.DUMMYFUNCTION("GOOGLETRANSLATE($A3938,""en"",""it"")"),"Braila")</f>
        <v>Braila</v>
      </c>
      <c r="G3938" s="9" t="str">
        <f>IFERROR(__xludf.DUMMYFUNCTION("GOOGLETRANSLATE($A3938,""en"",""zh-cn"")"),"布勒伊拉")</f>
        <v>布勒伊拉</v>
      </c>
      <c r="H3938" s="9" t="str">
        <f>IFERROR(__xludf.DUMMYFUNCTION("GOOGLETRANSLATE($A3938,""en"",""ja"")"),"ブライラ")</f>
        <v>ブライラ</v>
      </c>
      <c r="I3938" s="9" t="str">
        <f>IFERROR(__xludf.DUMMYFUNCTION("GOOGLETRANSLATE($A3938,""en"",""ko"")"),"브라일라")</f>
        <v>브라일라</v>
      </c>
      <c r="J3938" s="9" t="str">
        <f>IFERROR(__xludf.DUMMYFUNCTION("GOOGLETRANSLATE($A3938,""en"",""pt-BR"")"),"Braila")</f>
        <v>Braila</v>
      </c>
    </row>
    <row r="3939">
      <c r="A3939" s="9" t="str">
        <f>IFERROR(__xludf.DUMMYFUNCTION("""COMPUTED_VALUE"""),"Bacău")</f>
        <v>Bacău</v>
      </c>
      <c r="B3939" s="9" t="str">
        <f>IFERROR(__xludf.DUMMYFUNCTION("""COMPUTED_VALUE"""),"ro-bc")</f>
        <v>ro-bc</v>
      </c>
      <c r="C3939" s="9" t="str">
        <f>IFERROR(__xludf.DUMMYFUNCTION("GOOGLETRANSLATE($A3939,""en"",""de"")"),"Bacău")</f>
        <v>Bacău</v>
      </c>
      <c r="D3939" s="9" t="str">
        <f>IFERROR(__xludf.DUMMYFUNCTION("GOOGLETRANSLATE($A3939,""en"",""fr"")"),"Bacau")</f>
        <v>Bacau</v>
      </c>
      <c r="E3939" s="9" t="str">
        <f>IFERROR(__xludf.DUMMYFUNCTION("GOOGLETRANSLATE($A3939,""en"",""es"")"),"Bacău")</f>
        <v>Bacău</v>
      </c>
      <c r="F3939" s="9" t="str">
        <f>IFERROR(__xludf.DUMMYFUNCTION("GOOGLETRANSLATE($A3939,""en"",""it"")"),"Bacau")</f>
        <v>Bacau</v>
      </c>
      <c r="G3939" s="9" t="str">
        <f>IFERROR(__xludf.DUMMYFUNCTION("GOOGLETRANSLATE($A3939,""en"",""zh-cn"")"),"巴克乌")</f>
        <v>巴克乌</v>
      </c>
      <c r="H3939" s="9" t="str">
        <f>IFERROR(__xludf.DUMMYFUNCTION("GOOGLETRANSLATE($A3939,""en"",""ja"")"),"バカウ")</f>
        <v>バカウ</v>
      </c>
      <c r="I3939" s="9" t="str">
        <f>IFERROR(__xludf.DUMMYFUNCTION("GOOGLETRANSLATE($A3939,""en"",""ko"")"),"바커우")</f>
        <v>바커우</v>
      </c>
      <c r="J3939" s="9" t="str">
        <f>IFERROR(__xludf.DUMMYFUNCTION("GOOGLETRANSLATE($A3939,""en"",""pt-BR"")"),"Bacau")</f>
        <v>Bacau</v>
      </c>
    </row>
    <row r="3940">
      <c r="A3940" s="9" t="str">
        <f>IFERROR(__xludf.DUMMYFUNCTION("""COMPUTED_VALUE"""),"Bihor")</f>
        <v>Bihor</v>
      </c>
      <c r="B3940" s="9" t="str">
        <f>IFERROR(__xludf.DUMMYFUNCTION("""COMPUTED_VALUE"""),"ro-bh")</f>
        <v>ro-bh</v>
      </c>
      <c r="C3940" s="9" t="str">
        <f>IFERROR(__xludf.DUMMYFUNCTION("GOOGLETRANSLATE($A3940,""en"",""de"")"),"Bihor")</f>
        <v>Bihor</v>
      </c>
      <c r="D3940" s="9" t="str">
        <f>IFERROR(__xludf.DUMMYFUNCTION("GOOGLETRANSLATE($A3940,""en"",""fr"")"),"Bihor")</f>
        <v>Bihor</v>
      </c>
      <c r="E3940" s="9" t="str">
        <f>IFERROR(__xludf.DUMMYFUNCTION("GOOGLETRANSLATE($A3940,""en"",""es"")"),"Bihor")</f>
        <v>Bihor</v>
      </c>
      <c r="F3940" s="9" t="str">
        <f>IFERROR(__xludf.DUMMYFUNCTION("GOOGLETRANSLATE($A3940,""en"",""it"")"),"Bihor")</f>
        <v>Bihor</v>
      </c>
      <c r="G3940" s="9" t="str">
        <f>IFERROR(__xludf.DUMMYFUNCTION("GOOGLETRANSLATE($A3940,""en"",""zh-cn"")"),"比霍尔")</f>
        <v>比霍尔</v>
      </c>
      <c r="H3940" s="9" t="str">
        <f>IFERROR(__xludf.DUMMYFUNCTION("GOOGLETRANSLATE($A3940,""en"",""ja"")"),"ビホル")</f>
        <v>ビホル</v>
      </c>
      <c r="I3940" s="9" t="str">
        <f>IFERROR(__xludf.DUMMYFUNCTION("GOOGLETRANSLATE($A3940,""en"",""ko"")"),"비호르")</f>
        <v>비호르</v>
      </c>
      <c r="J3940" s="9" t="str">
        <f>IFERROR(__xludf.DUMMYFUNCTION("GOOGLETRANSLATE($A3940,""en"",""pt-BR"")"),"Bihor")</f>
        <v>Bihor</v>
      </c>
    </row>
    <row r="3941">
      <c r="A3941" s="9" t="str">
        <f>IFERROR(__xludf.DUMMYFUNCTION("""COMPUTED_VALUE"""),"Arad")</f>
        <v>Arad</v>
      </c>
      <c r="B3941" s="9" t="str">
        <f>IFERROR(__xludf.DUMMYFUNCTION("""COMPUTED_VALUE"""),"ro-ar")</f>
        <v>ro-ar</v>
      </c>
      <c r="C3941" s="9" t="str">
        <f>IFERROR(__xludf.DUMMYFUNCTION("GOOGLETRANSLATE($A3941,""en"",""de"")"),"Arad")</f>
        <v>Arad</v>
      </c>
      <c r="D3941" s="9" t="str">
        <f>IFERROR(__xludf.DUMMYFUNCTION("GOOGLETRANSLATE($A3941,""en"",""fr"")"),"Arad")</f>
        <v>Arad</v>
      </c>
      <c r="E3941" s="9" t="str">
        <f>IFERROR(__xludf.DUMMYFUNCTION("GOOGLETRANSLATE($A3941,""en"",""es"")"),"Arad")</f>
        <v>Arad</v>
      </c>
      <c r="F3941" s="9" t="str">
        <f>IFERROR(__xludf.DUMMYFUNCTION("GOOGLETRANSLATE($A3941,""en"",""it"")"),"Arad")</f>
        <v>Arad</v>
      </c>
      <c r="G3941" s="9" t="str">
        <f>IFERROR(__xludf.DUMMYFUNCTION("GOOGLETRANSLATE($A3941,""en"",""zh-cn"")"),"阿拉德")</f>
        <v>阿拉德</v>
      </c>
      <c r="H3941" s="9" t="str">
        <f>IFERROR(__xludf.DUMMYFUNCTION("GOOGLETRANSLATE($A3941,""en"",""ja"")"),"アラド")</f>
        <v>アラド</v>
      </c>
      <c r="I3941" s="9" t="str">
        <f>IFERROR(__xludf.DUMMYFUNCTION("GOOGLETRANSLATE($A3941,""en"",""ko"")"),"아라드")</f>
        <v>아라드</v>
      </c>
      <c r="J3941" s="9" t="str">
        <f>IFERROR(__xludf.DUMMYFUNCTION("GOOGLETRANSLATE($A3941,""en"",""pt-BR"")"),"Arade")</f>
        <v>Arade</v>
      </c>
    </row>
    <row r="3942">
      <c r="A3942" s="9" t="str">
        <f>IFERROR(__xludf.DUMMYFUNCTION("""COMPUTED_VALUE"""),"București")</f>
        <v>București</v>
      </c>
      <c r="B3942" s="9" t="str">
        <f>IFERROR(__xludf.DUMMYFUNCTION("""COMPUTED_VALUE"""),"ro-b")</f>
        <v>ro-b</v>
      </c>
      <c r="C3942" s="9" t="str">
        <f>IFERROR(__xludf.DUMMYFUNCTION("GOOGLETRANSLATE($A3942,""en"",""de"")"),"București")</f>
        <v>București</v>
      </c>
      <c r="D3942" s="9" t="str">
        <f>IFERROR(__xludf.DUMMYFUNCTION("GOOGLETRANSLATE($A3942,""en"",""fr"")"),"Bucuresti")</f>
        <v>Bucuresti</v>
      </c>
      <c r="E3942" s="9" t="str">
        <f>IFERROR(__xludf.DUMMYFUNCTION("GOOGLETRANSLATE($A3942,""en"",""es"")"),"Bucuresti")</f>
        <v>Bucuresti</v>
      </c>
      <c r="F3942" s="9" t="str">
        <f>IFERROR(__xludf.DUMMYFUNCTION("GOOGLETRANSLATE($A3942,""en"",""it"")"),"Bucarest")</f>
        <v>Bucarest</v>
      </c>
      <c r="G3942" s="9" t="str">
        <f>IFERROR(__xludf.DUMMYFUNCTION("GOOGLETRANSLATE($A3942,""en"",""zh-cn"")"),"布加勒斯特")</f>
        <v>布加勒斯特</v>
      </c>
      <c r="H3942" s="9" t="str">
        <f>IFERROR(__xludf.DUMMYFUNCTION("GOOGLETRANSLATE($A3942,""en"",""ja"")"),"ブクレシュティ")</f>
        <v>ブクレシュティ</v>
      </c>
      <c r="I3942" s="9" t="str">
        <f>IFERROR(__xludf.DUMMYFUNCTION("GOOGLETRANSLATE($A3942,""en"",""ko"")"),"부쿠레슈티")</f>
        <v>부쿠레슈티</v>
      </c>
      <c r="J3942" s="9" t="str">
        <f>IFERROR(__xludf.DUMMYFUNCTION("GOOGLETRANSLATE($A3942,""en"",""pt-BR"")"),"Bucareste")</f>
        <v>Bucareste</v>
      </c>
    </row>
    <row r="3943">
      <c r="A3943" s="9" t="str">
        <f>IFERROR(__xludf.DUMMYFUNCTION("""COMPUTED_VALUE"""),"Alba")</f>
        <v>Alba</v>
      </c>
      <c r="B3943" s="9" t="str">
        <f>IFERROR(__xludf.DUMMYFUNCTION("""COMPUTED_VALUE"""),"ro-ab")</f>
        <v>ro-ab</v>
      </c>
      <c r="C3943" s="9" t="str">
        <f>IFERROR(__xludf.DUMMYFUNCTION("GOOGLETRANSLATE($A3943,""en"",""de"")"),"Alba")</f>
        <v>Alba</v>
      </c>
      <c r="D3943" s="9" t="str">
        <f>IFERROR(__xludf.DUMMYFUNCTION("GOOGLETRANSLATE($A3943,""en"",""fr"")"),"Alba")</f>
        <v>Alba</v>
      </c>
      <c r="E3943" s="9" t="str">
        <f>IFERROR(__xludf.DUMMYFUNCTION("GOOGLETRANSLATE($A3943,""en"",""es"")"),"Alba")</f>
        <v>Alba</v>
      </c>
      <c r="F3943" s="9" t="str">
        <f>IFERROR(__xludf.DUMMYFUNCTION("GOOGLETRANSLATE($A3943,""en"",""it"")"),"Alba")</f>
        <v>Alba</v>
      </c>
      <c r="G3943" s="9" t="str">
        <f>IFERROR(__xludf.DUMMYFUNCTION("GOOGLETRANSLATE($A3943,""en"",""zh-cn"")"),"阿尔巴")</f>
        <v>阿尔巴</v>
      </c>
      <c r="H3943" s="9" t="str">
        <f>IFERROR(__xludf.DUMMYFUNCTION("GOOGLETRANSLATE($A3943,""en"",""ja"")"),"アルバ")</f>
        <v>アルバ</v>
      </c>
      <c r="I3943" s="9" t="str">
        <f>IFERROR(__xludf.DUMMYFUNCTION("GOOGLETRANSLATE($A3943,""en"",""ko"")"),"알바")</f>
        <v>알바</v>
      </c>
      <c r="J3943" s="9" t="str">
        <f>IFERROR(__xludf.DUMMYFUNCTION("GOOGLETRANSLATE($A3943,""en"",""pt-BR"")"),"Alba")</f>
        <v>Alba</v>
      </c>
    </row>
    <row r="3944">
      <c r="A3944" s="9" t="str">
        <f>IFERROR(__xludf.DUMMYFUNCTION("""COMPUTED_VALUE"""),"Argeș")</f>
        <v>Argeș</v>
      </c>
      <c r="B3944" s="9" t="str">
        <f>IFERROR(__xludf.DUMMYFUNCTION("""COMPUTED_VALUE"""),"ro-ag")</f>
        <v>ro-ag</v>
      </c>
      <c r="C3944" s="9" t="str">
        <f>IFERROR(__xludf.DUMMYFUNCTION("GOOGLETRANSLATE($A3944,""en"",""de"")"),"Argeș")</f>
        <v>Argeș</v>
      </c>
      <c r="D3944" s="9" t="str">
        <f>IFERROR(__xludf.DUMMYFUNCTION("GOOGLETRANSLATE($A3944,""en"",""fr"")"),"Arges")</f>
        <v>Arges</v>
      </c>
      <c r="E3944" s="9" t="str">
        <f>IFERROR(__xludf.DUMMYFUNCTION("GOOGLETRANSLATE($A3944,""en"",""es"")"),"Argeș")</f>
        <v>Argeș</v>
      </c>
      <c r="F3944" s="9" t="str">
        <f>IFERROR(__xludf.DUMMYFUNCTION("GOOGLETRANSLATE($A3944,""en"",""it"")"),"Argeș")</f>
        <v>Argeș</v>
      </c>
      <c r="G3944" s="9" t="str">
        <f>IFERROR(__xludf.DUMMYFUNCTION("GOOGLETRANSLATE($A3944,""en"",""zh-cn"")"),"阿尔杰什")</f>
        <v>阿尔杰什</v>
      </c>
      <c r="H3944" s="9" t="str">
        <f>IFERROR(__xludf.DUMMYFUNCTION("GOOGLETRANSLATE($A3944,""en"",""ja"")"),"アルゲシュ")</f>
        <v>アルゲシュ</v>
      </c>
      <c r="I3944" s="9" t="str">
        <f>IFERROR(__xludf.DUMMYFUNCTION("GOOGLETRANSLATE($A3944,""en"",""ko"")"),"아르게슈")</f>
        <v>아르게슈</v>
      </c>
      <c r="J3944" s="9" t="str">
        <f>IFERROR(__xludf.DUMMYFUNCTION("GOOGLETRANSLATE($A3944,""en"",""pt-BR"")"),"Argeș")</f>
        <v>Argeș</v>
      </c>
    </row>
    <row r="3945">
      <c r="A3945" s="9" t="str">
        <f>IFERROR(__xludf.DUMMYFUNCTION("""COMPUTED_VALUE"""),"Buzău")</f>
        <v>Buzău</v>
      </c>
      <c r="B3945" s="9" t="str">
        <f>IFERROR(__xludf.DUMMYFUNCTION("""COMPUTED_VALUE"""),"ro-bz")</f>
        <v>ro-bz</v>
      </c>
      <c r="C3945" s="9" t="str">
        <f>IFERROR(__xludf.DUMMYFUNCTION("GOOGLETRANSLATE($A3945,""en"",""de"")"),"Buzău")</f>
        <v>Buzău</v>
      </c>
      <c r="D3945" s="9" t="str">
        <f>IFERROR(__xludf.DUMMYFUNCTION("GOOGLETRANSLATE($A3945,""en"",""fr"")"),"Buzau")</f>
        <v>Buzau</v>
      </c>
      <c r="E3945" s="9" t="str">
        <f>IFERROR(__xludf.DUMMYFUNCTION("GOOGLETRANSLATE($A3945,""en"",""es"")"),"Buzau")</f>
        <v>Buzau</v>
      </c>
      <c r="F3945" s="9" t="str">
        <f>IFERROR(__xludf.DUMMYFUNCTION("GOOGLETRANSLATE($A3945,""en"",""it"")"),"Buzau")</f>
        <v>Buzau</v>
      </c>
      <c r="G3945" s="9" t="str">
        <f>IFERROR(__xludf.DUMMYFUNCTION("GOOGLETRANSLATE($A3945,""en"",""zh-cn"")"),"布泽乌")</f>
        <v>布泽乌</v>
      </c>
      <c r="H3945" s="9" t="str">
        <f>IFERROR(__xludf.DUMMYFUNCTION("GOOGLETRANSLATE($A3945,""en"",""ja"")"),"ブザウ")</f>
        <v>ブザウ</v>
      </c>
      <c r="I3945" s="9" t="str">
        <f>IFERROR(__xludf.DUMMYFUNCTION("GOOGLETRANSLATE($A3945,""en"",""ko"")"),"부자우")</f>
        <v>부자우</v>
      </c>
      <c r="J3945" s="9" t="str">
        <f>IFERROR(__xludf.DUMMYFUNCTION("GOOGLETRANSLATE($A3945,""en"",""pt-BR"")"),"Buzău")</f>
        <v>Buzău</v>
      </c>
    </row>
    <row r="3946">
      <c r="A3946" s="9" t="str">
        <f>IFERROR(__xludf.DUMMYFUNCTION("""COMPUTED_VALUE"""),"Cluj")</f>
        <v>Cluj</v>
      </c>
      <c r="B3946" s="9" t="str">
        <f>IFERROR(__xludf.DUMMYFUNCTION("""COMPUTED_VALUE"""),"ro-cj")</f>
        <v>ro-cj</v>
      </c>
      <c r="C3946" s="9" t="str">
        <f>IFERROR(__xludf.DUMMYFUNCTION("GOOGLETRANSLATE($A3946,""en"",""de"")"),"Klausenburg")</f>
        <v>Klausenburg</v>
      </c>
      <c r="D3946" s="9" t="str">
        <f>IFERROR(__xludf.DUMMYFUNCTION("GOOGLETRANSLATE($A3946,""en"",""fr"")"),"Cluj")</f>
        <v>Cluj</v>
      </c>
      <c r="E3946" s="9" t="str">
        <f>IFERROR(__xludf.DUMMYFUNCTION("GOOGLETRANSLATE($A3946,""en"",""es"")"),"Cluja")</f>
        <v>Cluja</v>
      </c>
      <c r="F3946" s="9" t="str">
        <f>IFERROR(__xludf.DUMMYFUNCTION("GOOGLETRANSLATE($A3946,""en"",""it"")"),"Cluj")</f>
        <v>Cluj</v>
      </c>
      <c r="G3946" s="9" t="str">
        <f>IFERROR(__xludf.DUMMYFUNCTION("GOOGLETRANSLATE($A3946,""en"",""zh-cn"")"),"克卢日")</f>
        <v>克卢日</v>
      </c>
      <c r="H3946" s="9" t="str">
        <f>IFERROR(__xludf.DUMMYFUNCTION("GOOGLETRANSLATE($A3946,""en"",""ja"")"),"クルージュ")</f>
        <v>クルージュ</v>
      </c>
      <c r="I3946" s="9" t="str">
        <f>IFERROR(__xludf.DUMMYFUNCTION("GOOGLETRANSLATE($A3946,""en"",""ko"")"),"클루지")</f>
        <v>클루지</v>
      </c>
      <c r="J3946" s="9" t="str">
        <f>IFERROR(__xludf.DUMMYFUNCTION("GOOGLETRANSLATE($A3946,""en"",""pt-BR"")"),"Cluj")</f>
        <v>Cluj</v>
      </c>
    </row>
    <row r="3947">
      <c r="A3947" s="9" t="str">
        <f>IFERROR(__xludf.DUMMYFUNCTION("""COMPUTED_VALUE"""),"Botoșani")</f>
        <v>Botoșani</v>
      </c>
      <c r="B3947" s="9" t="str">
        <f>IFERROR(__xludf.DUMMYFUNCTION("""COMPUTED_VALUE"""),"ro-bt")</f>
        <v>ro-bt</v>
      </c>
      <c r="C3947" s="9" t="str">
        <f>IFERROR(__xludf.DUMMYFUNCTION("GOOGLETRANSLATE($A3947,""en"",""de"")"),"Botoșani")</f>
        <v>Botoșani</v>
      </c>
      <c r="D3947" s="9" t="str">
        <f>IFERROR(__xludf.DUMMYFUNCTION("GOOGLETRANSLATE($A3947,""en"",""fr"")"),"Botoşani")</f>
        <v>Botoşani</v>
      </c>
      <c r="E3947" s="9" t="str">
        <f>IFERROR(__xludf.DUMMYFUNCTION("GOOGLETRANSLATE($A3947,""en"",""es"")"),"Botoșani")</f>
        <v>Botoșani</v>
      </c>
      <c r="F3947" s="9" t="str">
        <f>IFERROR(__xludf.DUMMYFUNCTION("GOOGLETRANSLATE($A3947,""en"",""it"")"),"Botoșani")</f>
        <v>Botoșani</v>
      </c>
      <c r="G3947" s="9" t="str">
        <f>IFERROR(__xludf.DUMMYFUNCTION("GOOGLETRANSLATE($A3947,""en"",""zh-cn"")"),"博托沙尼")</f>
        <v>博托沙尼</v>
      </c>
      <c r="H3947" s="9" t="str">
        <f>IFERROR(__xludf.DUMMYFUNCTION("GOOGLETRANSLATE($A3947,""en"",""ja"")"),"ボトシャニ")</f>
        <v>ボトシャニ</v>
      </c>
      <c r="I3947" s="9" t="str">
        <f>IFERROR(__xludf.DUMMYFUNCTION("GOOGLETRANSLATE($A3947,""en"",""ko"")"),"보토샤니")</f>
        <v>보토샤니</v>
      </c>
      <c r="J3947" s="9" t="str">
        <f>IFERROR(__xludf.DUMMYFUNCTION("GOOGLETRANSLATE($A3947,""en"",""pt-BR"")"),"Botoşani")</f>
        <v>Botoşani</v>
      </c>
    </row>
    <row r="3948">
      <c r="A3948" s="9" t="str">
        <f>IFERROR(__xludf.DUMMYFUNCTION("""COMPUTED_VALUE"""),"Brașov")</f>
        <v>Brașov</v>
      </c>
      <c r="B3948" s="9" t="str">
        <f>IFERROR(__xludf.DUMMYFUNCTION("""COMPUTED_VALUE"""),"ro-bv")</f>
        <v>ro-bv</v>
      </c>
      <c r="C3948" s="9" t="str">
        <f>IFERROR(__xludf.DUMMYFUNCTION("GOOGLETRANSLATE($A3948,""en"",""de"")"),"Kronstadt")</f>
        <v>Kronstadt</v>
      </c>
      <c r="D3948" s="9" t="str">
        <f>IFERROR(__xludf.DUMMYFUNCTION("GOOGLETRANSLATE($A3948,""en"",""fr"")"),"Brasov")</f>
        <v>Brasov</v>
      </c>
      <c r="E3948" s="9" t="str">
        <f>IFERROR(__xludf.DUMMYFUNCTION("GOOGLETRANSLATE($A3948,""en"",""es"")"),"Brașov")</f>
        <v>Brașov</v>
      </c>
      <c r="F3948" s="9" t="str">
        <f>IFERROR(__xludf.DUMMYFUNCTION("GOOGLETRANSLATE($A3948,""en"",""it"")"),"Brașov")</f>
        <v>Brașov</v>
      </c>
      <c r="G3948" s="9" t="str">
        <f>IFERROR(__xludf.DUMMYFUNCTION("GOOGLETRANSLATE($A3948,""en"",""zh-cn"")"),"布拉索夫")</f>
        <v>布拉索夫</v>
      </c>
      <c r="H3948" s="9" t="str">
        <f>IFERROR(__xludf.DUMMYFUNCTION("GOOGLETRANSLATE($A3948,""en"",""ja"")"),"ブラショフ")</f>
        <v>ブラショフ</v>
      </c>
      <c r="I3948" s="9" t="str">
        <f>IFERROR(__xludf.DUMMYFUNCTION("GOOGLETRANSLATE($A3948,""en"",""ko"")"),"브라쇼브")</f>
        <v>브라쇼브</v>
      </c>
      <c r="J3948" s="9" t="str">
        <f>IFERROR(__xludf.DUMMYFUNCTION("GOOGLETRANSLATE($A3948,""en"",""pt-BR"")"),"Brasov")</f>
        <v>Brasov</v>
      </c>
    </row>
    <row r="3949">
      <c r="A3949" s="9" t="str">
        <f>IFERROR(__xludf.DUMMYFUNCTION("""COMPUTED_VALUE"""),"Vrancea")</f>
        <v>Vrancea</v>
      </c>
      <c r="B3949" s="9" t="str">
        <f>IFERROR(__xludf.DUMMYFUNCTION("""COMPUTED_VALUE"""),"ro-vn")</f>
        <v>ro-vn</v>
      </c>
      <c r="C3949" s="9" t="str">
        <f>IFERROR(__xludf.DUMMYFUNCTION("GOOGLETRANSLATE($A3949,""en"",""de"")"),"Vrancea")</f>
        <v>Vrancea</v>
      </c>
      <c r="D3949" s="9" t="str">
        <f>IFERROR(__xludf.DUMMYFUNCTION("GOOGLETRANSLATE($A3949,""en"",""fr"")"),"Vrancea")</f>
        <v>Vrancea</v>
      </c>
      <c r="E3949" s="9" t="str">
        <f>IFERROR(__xludf.DUMMYFUNCTION("GOOGLETRANSLATE($A3949,""en"",""es"")"),"Vrancea")</f>
        <v>Vrancea</v>
      </c>
      <c r="F3949" s="9" t="str">
        <f>IFERROR(__xludf.DUMMYFUNCTION("GOOGLETRANSLATE($A3949,""en"",""it"")"),"Vrancea")</f>
        <v>Vrancea</v>
      </c>
      <c r="G3949" s="9" t="str">
        <f>IFERROR(__xludf.DUMMYFUNCTION("GOOGLETRANSLATE($A3949,""en"",""zh-cn"")"),"弗朗恰")</f>
        <v>弗朗恰</v>
      </c>
      <c r="H3949" s="9" t="str">
        <f>IFERROR(__xludf.DUMMYFUNCTION("GOOGLETRANSLATE($A3949,""en"",""ja"")"),"ヴランセア")</f>
        <v>ヴランセア</v>
      </c>
      <c r="I3949" s="9" t="str">
        <f>IFERROR(__xludf.DUMMYFUNCTION("GOOGLETRANSLATE($A3949,""en"",""ko"")"),"브란세아")</f>
        <v>브란세아</v>
      </c>
      <c r="J3949" s="9" t="str">
        <f>IFERROR(__xludf.DUMMYFUNCTION("GOOGLETRANSLATE($A3949,""en"",""pt-BR"")"),"Vrancea")</f>
        <v>Vrancea</v>
      </c>
    </row>
    <row r="3950">
      <c r="A3950" s="9" t="str">
        <f>IFERROR(__xludf.DUMMYFUNCTION("""COMPUTED_VALUE"""),"Vaslui")</f>
        <v>Vaslui</v>
      </c>
      <c r="B3950" s="9" t="str">
        <f>IFERROR(__xludf.DUMMYFUNCTION("""COMPUTED_VALUE"""),"ro-vs")</f>
        <v>ro-vs</v>
      </c>
      <c r="C3950" s="9" t="str">
        <f>IFERROR(__xludf.DUMMYFUNCTION("GOOGLETRANSLATE($A3950,""en"",""de"")"),"Vaslui")</f>
        <v>Vaslui</v>
      </c>
      <c r="D3950" s="9" t="str">
        <f>IFERROR(__xludf.DUMMYFUNCTION("GOOGLETRANSLATE($A3950,""en"",""fr"")"),"Vaslui")</f>
        <v>Vaslui</v>
      </c>
      <c r="E3950" s="9" t="str">
        <f>IFERROR(__xludf.DUMMYFUNCTION("GOOGLETRANSLATE($A3950,""en"",""es"")"),"Vaslui")</f>
        <v>Vaslui</v>
      </c>
      <c r="F3950" s="9" t="str">
        <f>IFERROR(__xludf.DUMMYFUNCTION("GOOGLETRANSLATE($A3950,""en"",""it"")"),"Vaslui")</f>
        <v>Vaslui</v>
      </c>
      <c r="G3950" s="9" t="str">
        <f>IFERROR(__xludf.DUMMYFUNCTION("GOOGLETRANSLATE($A3950,""en"",""zh-cn"")"),"瓦斯卢伊")</f>
        <v>瓦斯卢伊</v>
      </c>
      <c r="H3950" s="9" t="str">
        <f>IFERROR(__xludf.DUMMYFUNCTION("GOOGLETRANSLATE($A3950,""en"",""ja"")"),"ヴァスルイ")</f>
        <v>ヴァスルイ</v>
      </c>
      <c r="I3950" s="9" t="str">
        <f>IFERROR(__xludf.DUMMYFUNCTION("GOOGLETRANSLATE($A3950,""en"",""ko"")"),"바슬루이")</f>
        <v>바슬루이</v>
      </c>
      <c r="J3950" s="9" t="str">
        <f>IFERROR(__xludf.DUMMYFUNCTION("GOOGLETRANSLATE($A3950,""en"",""pt-BR"")"),"Vaslui")</f>
        <v>Vaslui</v>
      </c>
    </row>
    <row r="3951">
      <c r="A3951" s="9" t="str">
        <f>IFERROR(__xludf.DUMMYFUNCTION("""COMPUTED_VALUE"""),"Teleorman")</f>
        <v>Teleorman</v>
      </c>
      <c r="B3951" s="9" t="str">
        <f>IFERROR(__xludf.DUMMYFUNCTION("""COMPUTED_VALUE"""),"ro-tr")</f>
        <v>ro-tr</v>
      </c>
      <c r="C3951" s="9" t="str">
        <f>IFERROR(__xludf.DUMMYFUNCTION("GOOGLETRANSLATE($A3951,""en"",""de"")"),"Teleorman")</f>
        <v>Teleorman</v>
      </c>
      <c r="D3951" s="9" t="str">
        <f>IFERROR(__xludf.DUMMYFUNCTION("GOOGLETRANSLATE($A3951,""en"",""fr"")"),"Téléorman")</f>
        <v>Téléorman</v>
      </c>
      <c r="E3951" s="9" t="str">
        <f>IFERROR(__xludf.DUMMYFUNCTION("GOOGLETRANSLATE($A3951,""en"",""es"")"),"Teleorman")</f>
        <v>Teleorman</v>
      </c>
      <c r="F3951" s="9" t="str">
        <f>IFERROR(__xludf.DUMMYFUNCTION("GOOGLETRANSLATE($A3951,""en"",""it"")"),"Teleorman")</f>
        <v>Teleorman</v>
      </c>
      <c r="G3951" s="9" t="str">
        <f>IFERROR(__xludf.DUMMYFUNCTION("GOOGLETRANSLATE($A3951,""en"",""zh-cn"")"),"泰勒曼")</f>
        <v>泰勒曼</v>
      </c>
      <c r="H3951" s="9" t="str">
        <f>IFERROR(__xludf.DUMMYFUNCTION("GOOGLETRANSLATE($A3951,""en"",""ja"")"),"テレオールマン")</f>
        <v>テレオールマン</v>
      </c>
      <c r="I3951" s="9" t="str">
        <f>IFERROR(__xludf.DUMMYFUNCTION("GOOGLETRANSLATE($A3951,""en"",""ko"")"),"텔레오르만")</f>
        <v>텔레오르만</v>
      </c>
      <c r="J3951" s="9" t="str">
        <f>IFERROR(__xludf.DUMMYFUNCTION("GOOGLETRANSLATE($A3951,""en"",""pt-BR"")"),"Teleorman")</f>
        <v>Teleorman</v>
      </c>
    </row>
    <row r="3952">
      <c r="A3952" s="9" t="str">
        <f>IFERROR(__xludf.DUMMYFUNCTION("""COMPUTED_VALUE"""),"Vâlcea")</f>
        <v>Vâlcea</v>
      </c>
      <c r="B3952" s="9" t="str">
        <f>IFERROR(__xludf.DUMMYFUNCTION("""COMPUTED_VALUE"""),"ro-vl")</f>
        <v>ro-vl</v>
      </c>
      <c r="C3952" s="9" t="str">
        <f>IFERROR(__xludf.DUMMYFUNCTION("GOOGLETRANSLATE($A3952,""en"",""de"")"),"Vâlcea")</f>
        <v>Vâlcea</v>
      </c>
      <c r="D3952" s="9" t="str">
        <f>IFERROR(__xludf.DUMMYFUNCTION("GOOGLETRANSLATE($A3952,""en"",""fr"")"),"Valcea")</f>
        <v>Valcea</v>
      </c>
      <c r="E3952" s="9" t="str">
        <f>IFERROR(__xludf.DUMMYFUNCTION("GOOGLETRANSLATE($A3952,""en"",""es"")"),"Valcea")</f>
        <v>Valcea</v>
      </c>
      <c r="F3952" s="9" t="str">
        <f>IFERROR(__xludf.DUMMYFUNCTION("GOOGLETRANSLATE($A3952,""en"",""it"")"),"Valcea")</f>
        <v>Valcea</v>
      </c>
      <c r="G3952" s="9" t="str">
        <f>IFERROR(__xludf.DUMMYFUNCTION("GOOGLETRANSLATE($A3952,""en"",""zh-cn"")"),"瓦尔恰")</f>
        <v>瓦尔恰</v>
      </c>
      <c r="H3952" s="9" t="str">
        <f>IFERROR(__xludf.DUMMYFUNCTION("GOOGLETRANSLATE($A3952,""en"",""ja"")"),"ヴァルセア")</f>
        <v>ヴァルセア</v>
      </c>
      <c r="I3952" s="9" t="str">
        <f>IFERROR(__xludf.DUMMYFUNCTION("GOOGLETRANSLATE($A3952,""en"",""ko"")"),"발체아")</f>
        <v>발체아</v>
      </c>
      <c r="J3952" s="9" t="str">
        <f>IFERROR(__xludf.DUMMYFUNCTION("GOOGLETRANSLATE($A3952,""en"",""pt-BR"")"),"Valcea")</f>
        <v>Valcea</v>
      </c>
    </row>
    <row r="3953">
      <c r="A3953" s="9" t="str">
        <f>IFERROR(__xludf.DUMMYFUNCTION("""COMPUTED_VALUE"""),"Tulcea")</f>
        <v>Tulcea</v>
      </c>
      <c r="B3953" s="9" t="str">
        <f>IFERROR(__xludf.DUMMYFUNCTION("""COMPUTED_VALUE"""),"ro-tl")</f>
        <v>ro-tl</v>
      </c>
      <c r="C3953" s="9" t="str">
        <f>IFERROR(__xludf.DUMMYFUNCTION("GOOGLETRANSLATE($A3953,""en"",""de"")"),"Tulcea")</f>
        <v>Tulcea</v>
      </c>
      <c r="D3953" s="9" t="str">
        <f>IFERROR(__xludf.DUMMYFUNCTION("GOOGLETRANSLATE($A3953,""en"",""fr"")"),"Tulcea")</f>
        <v>Tulcea</v>
      </c>
      <c r="E3953" s="9" t="str">
        <f>IFERROR(__xludf.DUMMYFUNCTION("GOOGLETRANSLATE($A3953,""en"",""es"")"),"Tulcea")</f>
        <v>Tulcea</v>
      </c>
      <c r="F3953" s="9" t="str">
        <f>IFERROR(__xludf.DUMMYFUNCTION("GOOGLETRANSLATE($A3953,""en"",""it"")"),"Tulcea")</f>
        <v>Tulcea</v>
      </c>
      <c r="G3953" s="9" t="str">
        <f>IFERROR(__xludf.DUMMYFUNCTION("GOOGLETRANSLATE($A3953,""en"",""zh-cn"")"),"图尔恰")</f>
        <v>图尔恰</v>
      </c>
      <c r="H3953" s="9" t="str">
        <f>IFERROR(__xludf.DUMMYFUNCTION("GOOGLETRANSLATE($A3953,""en"",""ja"")"),"トゥルチャ")</f>
        <v>トゥルチャ</v>
      </c>
      <c r="I3953" s="9" t="str">
        <f>IFERROR(__xludf.DUMMYFUNCTION("GOOGLETRANSLATE($A3953,""en"",""ko"")"),"툴체아")</f>
        <v>툴체아</v>
      </c>
      <c r="J3953" s="9" t="str">
        <f>IFERROR(__xludf.DUMMYFUNCTION("GOOGLETRANSLATE($A3953,""en"",""pt-BR"")"),"Tulcea")</f>
        <v>Tulcea</v>
      </c>
    </row>
    <row r="3954">
      <c r="A3954" s="9" t="str">
        <f>IFERROR(__xludf.DUMMYFUNCTION("""COMPUTED_VALUE"""),"Timiș")</f>
        <v>Timiș</v>
      </c>
      <c r="B3954" s="9" t="str">
        <f>IFERROR(__xludf.DUMMYFUNCTION("""COMPUTED_VALUE"""),"ro-tm")</f>
        <v>ro-tm</v>
      </c>
      <c r="C3954" s="9" t="str">
        <f>IFERROR(__xludf.DUMMYFUNCTION("GOOGLETRANSLATE($A3954,""en"",""de"")"),"Timiș")</f>
        <v>Timiș</v>
      </c>
      <c r="D3954" s="9" t="str">
        <f>IFERROR(__xludf.DUMMYFUNCTION("GOOGLETRANSLATE($A3954,""en"",""fr"")"),"Timiș")</f>
        <v>Timiș</v>
      </c>
      <c r="E3954" s="9" t="str">
        <f>IFERROR(__xludf.DUMMYFUNCTION("GOOGLETRANSLATE($A3954,""en"",""es"")"),"Timiș")</f>
        <v>Timiș</v>
      </c>
      <c r="F3954" s="9" t="str">
        <f>IFERROR(__xludf.DUMMYFUNCTION("GOOGLETRANSLATE($A3954,""en"",""it"")"),"Timiș")</f>
        <v>Timiș</v>
      </c>
      <c r="G3954" s="9" t="str">
        <f>IFERROR(__xludf.DUMMYFUNCTION("GOOGLETRANSLATE($A3954,""en"",""zh-cn"")"),"蒂米什")</f>
        <v>蒂米什</v>
      </c>
      <c r="H3954" s="9" t="str">
        <f>IFERROR(__xludf.DUMMYFUNCTION("GOOGLETRANSLATE($A3954,""en"",""ja"")"),"ティミシュ")</f>
        <v>ティミシュ</v>
      </c>
      <c r="I3954" s="9" t="str">
        <f>IFERROR(__xludf.DUMMYFUNCTION("GOOGLETRANSLATE($A3954,""en"",""ko"")"),"티미슈")</f>
        <v>티미슈</v>
      </c>
      <c r="J3954" s="9" t="str">
        <f>IFERROR(__xludf.DUMMYFUNCTION("GOOGLETRANSLATE($A3954,""en"",""pt-BR"")"),"Timiș")</f>
        <v>Timiș</v>
      </c>
    </row>
    <row r="3955">
      <c r="A3955" s="9" t="str">
        <f>IFERROR(__xludf.DUMMYFUNCTION("""COMPUTED_VALUE"""),"Satu Mare")</f>
        <v>Satu Mare</v>
      </c>
      <c r="B3955" s="9" t="str">
        <f>IFERROR(__xludf.DUMMYFUNCTION("""COMPUTED_VALUE"""),"ro-sm")</f>
        <v>ro-sm</v>
      </c>
      <c r="C3955" s="9" t="str">
        <f>IFERROR(__xludf.DUMMYFUNCTION("GOOGLETRANSLATE($A3955,""en"",""de"")"),"Satu Mare")</f>
        <v>Satu Mare</v>
      </c>
      <c r="D3955" s="9" t="str">
        <f>IFERROR(__xludf.DUMMYFUNCTION("GOOGLETRANSLATE($A3955,""en"",""fr"")"),"Satu Mare")</f>
        <v>Satu Mare</v>
      </c>
      <c r="E3955" s="9" t="str">
        <f>IFERROR(__xludf.DUMMYFUNCTION("GOOGLETRANSLATE($A3955,""en"",""es"")"),"Satu Mare")</f>
        <v>Satu Mare</v>
      </c>
      <c r="F3955" s="9" t="str">
        <f>IFERROR(__xludf.DUMMYFUNCTION("GOOGLETRANSLATE($A3955,""en"",""it"")"),"Satu Mare")</f>
        <v>Satu Mare</v>
      </c>
      <c r="G3955" s="9" t="str">
        <f>IFERROR(__xludf.DUMMYFUNCTION("GOOGLETRANSLATE($A3955,""en"",""zh-cn"")"),"萨图马雷")</f>
        <v>萨图马雷</v>
      </c>
      <c r="H3955" s="9" t="str">
        <f>IFERROR(__xludf.DUMMYFUNCTION("GOOGLETRANSLATE($A3955,""en"",""ja"")"),"サトゥ・マーレ")</f>
        <v>サトゥ・マーレ</v>
      </c>
      <c r="I3955" s="9" t="str">
        <f>IFERROR(__xludf.DUMMYFUNCTION("GOOGLETRANSLATE($A3955,""en"",""ko"")"),"사투마레")</f>
        <v>사투마레</v>
      </c>
      <c r="J3955" s="9" t="str">
        <f>IFERROR(__xludf.DUMMYFUNCTION("GOOGLETRANSLATE($A3955,""en"",""pt-BR"")"),"Satu Mare")</f>
        <v>Satu Mare</v>
      </c>
    </row>
    <row r="3956">
      <c r="A3956" s="9" t="str">
        <f>IFERROR(__xludf.DUMMYFUNCTION("""COMPUTED_VALUE"""),"Suceava")</f>
        <v>Suceava</v>
      </c>
      <c r="B3956" s="9" t="str">
        <f>IFERROR(__xludf.DUMMYFUNCTION("""COMPUTED_VALUE"""),"ro-sv")</f>
        <v>ro-sv</v>
      </c>
      <c r="C3956" s="9" t="str">
        <f>IFERROR(__xludf.DUMMYFUNCTION("GOOGLETRANSLATE($A3956,""en"",""de"")"),"Suceava")</f>
        <v>Suceava</v>
      </c>
      <c r="D3956" s="9" t="str">
        <f>IFERROR(__xludf.DUMMYFUNCTION("GOOGLETRANSLATE($A3956,""en"",""fr"")"),"Suceava")</f>
        <v>Suceava</v>
      </c>
      <c r="E3956" s="9" t="str">
        <f>IFERROR(__xludf.DUMMYFUNCTION("GOOGLETRANSLATE($A3956,""en"",""es"")"),"Suceava")</f>
        <v>Suceava</v>
      </c>
      <c r="F3956" s="9" t="str">
        <f>IFERROR(__xludf.DUMMYFUNCTION("GOOGLETRANSLATE($A3956,""en"",""it"")"),"Suceava")</f>
        <v>Suceava</v>
      </c>
      <c r="G3956" s="9" t="str">
        <f>IFERROR(__xludf.DUMMYFUNCTION("GOOGLETRANSLATE($A3956,""en"",""zh-cn"")"),"苏恰瓦")</f>
        <v>苏恰瓦</v>
      </c>
      <c r="H3956" s="9" t="str">
        <f>IFERROR(__xludf.DUMMYFUNCTION("GOOGLETRANSLATE($A3956,""en"",""ja"")"),"スチャバ")</f>
        <v>スチャバ</v>
      </c>
      <c r="I3956" s="9" t="str">
        <f>IFERROR(__xludf.DUMMYFUNCTION("GOOGLETRANSLATE($A3956,""en"",""ko"")"),"수체아바")</f>
        <v>수체아바</v>
      </c>
      <c r="J3956" s="9" t="str">
        <f>IFERROR(__xludf.DUMMYFUNCTION("GOOGLETRANSLATE($A3956,""en"",""pt-BR"")"),"Suceava")</f>
        <v>Suceava</v>
      </c>
    </row>
    <row r="3957">
      <c r="A3957" s="9" t="str">
        <f>IFERROR(__xludf.DUMMYFUNCTION("""COMPUTED_VALUE"""),"Mureș")</f>
        <v>Mureș</v>
      </c>
      <c r="B3957" s="9" t="str">
        <f>IFERROR(__xludf.DUMMYFUNCTION("""COMPUTED_VALUE"""),"ro-ms")</f>
        <v>ro-ms</v>
      </c>
      <c r="C3957" s="9" t="str">
        <f>IFERROR(__xludf.DUMMYFUNCTION("GOOGLETRANSLATE($A3957,""en"",""de"")"),"Mureș")</f>
        <v>Mureș</v>
      </c>
      <c r="D3957" s="9" t="str">
        <f>IFERROR(__xludf.DUMMYFUNCTION("GOOGLETRANSLATE($A3957,""en"",""fr"")"),"Mureș")</f>
        <v>Mureș</v>
      </c>
      <c r="E3957" s="9" t="str">
        <f>IFERROR(__xludf.DUMMYFUNCTION("GOOGLETRANSLATE($A3957,""en"",""es"")"),"Mureș")</f>
        <v>Mureș</v>
      </c>
      <c r="F3957" s="9" t="str">
        <f>IFERROR(__xludf.DUMMYFUNCTION("GOOGLETRANSLATE($A3957,""en"",""it"")"),"Mureș")</f>
        <v>Mureș</v>
      </c>
      <c r="G3957" s="9" t="str">
        <f>IFERROR(__xludf.DUMMYFUNCTION("GOOGLETRANSLATE($A3957,""en"",""zh-cn"")"),"穆列什")</f>
        <v>穆列什</v>
      </c>
      <c r="H3957" s="9" t="str">
        <f>IFERROR(__xludf.DUMMYFUNCTION("GOOGLETRANSLATE($A3957,""en"",""ja"")"),"ムレシュ")</f>
        <v>ムレシュ</v>
      </c>
      <c r="I3957" s="9" t="str">
        <f>IFERROR(__xludf.DUMMYFUNCTION("GOOGLETRANSLATE($A3957,""en"",""ko"")"),"무레슈")</f>
        <v>무레슈</v>
      </c>
      <c r="J3957" s="9" t="str">
        <f>IFERROR(__xludf.DUMMYFUNCTION("GOOGLETRANSLATE($A3957,""en"",""pt-BR"")"),"Mureș")</f>
        <v>Mureș</v>
      </c>
    </row>
    <row r="3958">
      <c r="A3958" s="9" t="str">
        <f>IFERROR(__xludf.DUMMYFUNCTION("""COMPUTED_VALUE"""),"Neamț")</f>
        <v>Neamț</v>
      </c>
      <c r="B3958" s="9" t="str">
        <f>IFERROR(__xludf.DUMMYFUNCTION("""COMPUTED_VALUE"""),"ro-nt")</f>
        <v>ro-nt</v>
      </c>
      <c r="C3958" s="9" t="str">
        <f>IFERROR(__xludf.DUMMYFUNCTION("GOOGLETRANSLATE($A3958,""en"",""de"")"),"Neamț")</f>
        <v>Neamț</v>
      </c>
      <c r="D3958" s="9" t="str">
        <f>IFERROR(__xludf.DUMMYFUNCTION("GOOGLETRANSLATE($A3958,""en"",""fr"")"),"Neamț")</f>
        <v>Neamț</v>
      </c>
      <c r="E3958" s="9" t="str">
        <f>IFERROR(__xludf.DUMMYFUNCTION("GOOGLETRANSLATE($A3958,""en"",""es"")"),"Neamț")</f>
        <v>Neamț</v>
      </c>
      <c r="F3958" s="9" t="str">
        <f>IFERROR(__xludf.DUMMYFUNCTION("GOOGLETRANSLATE($A3958,""en"",""it"")"),"Neamț")</f>
        <v>Neamț</v>
      </c>
      <c r="G3958" s="9" t="str">
        <f>IFERROR(__xludf.DUMMYFUNCTION("GOOGLETRANSLATE($A3958,""en"",""zh-cn"")"),"尼亚姆茨")</f>
        <v>尼亚姆茨</v>
      </c>
      <c r="H3958" s="9" t="str">
        <f>IFERROR(__xludf.DUMMYFUNCTION("GOOGLETRANSLATE($A3958,""en"",""ja"")"),"ネアムシュ")</f>
        <v>ネアムシュ</v>
      </c>
      <c r="I3958" s="9" t="str">
        <f>IFERROR(__xludf.DUMMYFUNCTION("GOOGLETRANSLATE($A3958,""en"",""ko"")"),"네암츠")</f>
        <v>네암츠</v>
      </c>
      <c r="J3958" s="9" t="str">
        <f>IFERROR(__xludf.DUMMYFUNCTION("GOOGLETRANSLATE($A3958,""en"",""pt-BR"")"),"Neamț")</f>
        <v>Neamț</v>
      </c>
    </row>
    <row r="3959">
      <c r="A3959" s="9" t="str">
        <f>IFERROR(__xludf.DUMMYFUNCTION("""COMPUTED_VALUE"""),"Mehedinți")</f>
        <v>Mehedinți</v>
      </c>
      <c r="B3959" s="9" t="str">
        <f>IFERROR(__xludf.DUMMYFUNCTION("""COMPUTED_VALUE"""),"ro-mh")</f>
        <v>ro-mh</v>
      </c>
      <c r="C3959" s="9" t="str">
        <f>IFERROR(__xludf.DUMMYFUNCTION("GOOGLETRANSLATE($A3959,""en"",""de"")"),"Mehedinți")</f>
        <v>Mehedinți</v>
      </c>
      <c r="D3959" s="9" t="str">
        <f>IFERROR(__xludf.DUMMYFUNCTION("GOOGLETRANSLATE($A3959,""en"",""fr"")"),"Mehedinți")</f>
        <v>Mehedinți</v>
      </c>
      <c r="E3959" s="9" t="str">
        <f>IFERROR(__xludf.DUMMYFUNCTION("GOOGLETRANSLATE($A3959,""en"",""es"")"),"Mehedinți")</f>
        <v>Mehedinți</v>
      </c>
      <c r="F3959" s="9" t="str">
        <f>IFERROR(__xludf.DUMMYFUNCTION("GOOGLETRANSLATE($A3959,""en"",""it"")"),"Mehedinți")</f>
        <v>Mehedinți</v>
      </c>
      <c r="G3959" s="9" t="str">
        <f>IFERROR(__xludf.DUMMYFUNCTION("GOOGLETRANSLATE($A3959,""en"",""zh-cn"")"),"梅赫丁齐")</f>
        <v>梅赫丁齐</v>
      </c>
      <c r="H3959" s="9" t="str">
        <f>IFERROR(__xludf.DUMMYFUNCTION("GOOGLETRANSLATE($A3959,""en"",""ja"")"),"メヘディンシ")</f>
        <v>メヘディンシ</v>
      </c>
      <c r="I3959" s="9" t="str">
        <f>IFERROR(__xludf.DUMMYFUNCTION("GOOGLETRANSLATE($A3959,""en"",""ko"")"),"메헤딘치")</f>
        <v>메헤딘치</v>
      </c>
      <c r="J3959" s="9" t="str">
        <f>IFERROR(__xludf.DUMMYFUNCTION("GOOGLETRANSLATE($A3959,""en"",""pt-BR"")"),"Mehedinţi")</f>
        <v>Mehedinţi</v>
      </c>
    </row>
    <row r="3960">
      <c r="A3960" s="9" t="str">
        <f>IFERROR(__xludf.DUMMYFUNCTION("""COMPUTED_VALUE"""),"Maramureș")</f>
        <v>Maramureș</v>
      </c>
      <c r="B3960" s="9" t="str">
        <f>IFERROR(__xludf.DUMMYFUNCTION("""COMPUTED_VALUE"""),"ro-mm")</f>
        <v>ro-mm</v>
      </c>
      <c r="C3960" s="9" t="str">
        <f>IFERROR(__xludf.DUMMYFUNCTION("GOOGLETRANSLATE($A3960,""en"",""de"")"),"Maramureș")</f>
        <v>Maramureș</v>
      </c>
      <c r="D3960" s="9" t="str">
        <f>IFERROR(__xludf.DUMMYFUNCTION("GOOGLETRANSLATE($A3960,""en"",""fr"")"),"Maramureș")</f>
        <v>Maramureș</v>
      </c>
      <c r="E3960" s="9" t="str">
        <f>IFERROR(__xludf.DUMMYFUNCTION("GOOGLETRANSLATE($A3960,""en"",""es"")"),"Maramureș")</f>
        <v>Maramureș</v>
      </c>
      <c r="F3960" s="9" t="str">
        <f>IFERROR(__xludf.DUMMYFUNCTION("GOOGLETRANSLATE($A3960,""en"",""it"")"),"Maramureș")</f>
        <v>Maramureș</v>
      </c>
      <c r="G3960" s="9" t="str">
        <f>IFERROR(__xludf.DUMMYFUNCTION("GOOGLETRANSLATE($A3960,""en"",""zh-cn"")"),"马拉穆列什")</f>
        <v>马拉穆列什</v>
      </c>
      <c r="H3960" s="9" t="str">
        <f>IFERROR(__xludf.DUMMYFUNCTION("GOOGLETRANSLATE($A3960,""en"",""ja"")"),"マラムレシュ")</f>
        <v>マラムレシュ</v>
      </c>
      <c r="I3960" s="9" t="str">
        <f>IFERROR(__xludf.DUMMYFUNCTION("GOOGLETRANSLATE($A3960,""en"",""ko"")"),"마라무레슈")</f>
        <v>마라무레슈</v>
      </c>
      <c r="J3960" s="9" t="str">
        <f>IFERROR(__xludf.DUMMYFUNCTION("GOOGLETRANSLATE($A3960,""en"",""pt-BR"")"),"Maramureș")</f>
        <v>Maramureș</v>
      </c>
    </row>
    <row r="3961">
      <c r="A3961" s="9" t="str">
        <f>IFERROR(__xludf.DUMMYFUNCTION("""COMPUTED_VALUE"""),"Ialomița")</f>
        <v>Ialomița</v>
      </c>
      <c r="B3961" s="9" t="str">
        <f>IFERROR(__xludf.DUMMYFUNCTION("""COMPUTED_VALUE"""),"ro-il")</f>
        <v>ro-il</v>
      </c>
      <c r="C3961" s="9" t="str">
        <f>IFERROR(__xludf.DUMMYFUNCTION("GOOGLETRANSLATE($A3961,""en"",""de"")"),"Ialomița")</f>
        <v>Ialomița</v>
      </c>
      <c r="D3961" s="9" t="str">
        <f>IFERROR(__xludf.DUMMYFUNCTION("GOOGLETRANSLATE($A3961,""en"",""fr"")"),"Ialomița")</f>
        <v>Ialomița</v>
      </c>
      <c r="E3961" s="9" t="str">
        <f>IFERROR(__xludf.DUMMYFUNCTION("GOOGLETRANSLATE($A3961,""en"",""es"")"),"Ialomița")</f>
        <v>Ialomița</v>
      </c>
      <c r="F3961" s="9" t="str">
        <f>IFERROR(__xludf.DUMMYFUNCTION("GOOGLETRANSLATE($A3961,""en"",""it"")"),"Ialomița")</f>
        <v>Ialomița</v>
      </c>
      <c r="G3961" s="9" t="str">
        <f>IFERROR(__xludf.DUMMYFUNCTION("GOOGLETRANSLATE($A3961,""en"",""zh-cn"")"),"雅洛米察")</f>
        <v>雅洛米察</v>
      </c>
      <c r="H3961" s="9" t="str">
        <f>IFERROR(__xludf.DUMMYFUNCTION("GOOGLETRANSLATE($A3961,""en"",""ja"")"),"イアロミシャ")</f>
        <v>イアロミシャ</v>
      </c>
      <c r="I3961" s="9" t="str">
        <f>IFERROR(__xludf.DUMMYFUNCTION("GOOGLETRANSLATE($A3961,""en"",""ko"")"),"이알로미차")</f>
        <v>이알로미차</v>
      </c>
      <c r="J3961" s="9" t="str">
        <f>IFERROR(__xludf.DUMMYFUNCTION("GOOGLETRANSLATE($A3961,""en"",""pt-BR"")"),"Ialomiţa")</f>
        <v>Ialomiţa</v>
      </c>
    </row>
    <row r="3962">
      <c r="A3962" s="9" t="str">
        <f>IFERROR(__xludf.DUMMYFUNCTION("""COMPUTED_VALUE"""),"Iași")</f>
        <v>Iași</v>
      </c>
      <c r="B3962" s="9" t="str">
        <f>IFERROR(__xludf.DUMMYFUNCTION("""COMPUTED_VALUE"""),"ro-is")</f>
        <v>ro-is</v>
      </c>
      <c r="C3962" s="9" t="str">
        <f>IFERROR(__xludf.DUMMYFUNCTION("GOOGLETRANSLATE($A3962,""en"",""de"")"),"Iași")</f>
        <v>Iași</v>
      </c>
      <c r="D3962" s="9" t="str">
        <f>IFERROR(__xludf.DUMMYFUNCTION("GOOGLETRANSLATE($A3962,""en"",""fr"")"),"Iasi")</f>
        <v>Iasi</v>
      </c>
      <c r="E3962" s="9" t="str">
        <f>IFERROR(__xludf.DUMMYFUNCTION("GOOGLETRANSLATE($A3962,""en"",""es"")"),"Iasi")</f>
        <v>Iasi</v>
      </c>
      <c r="F3962" s="9" t="str">
        <f>IFERROR(__xludf.DUMMYFUNCTION("GOOGLETRANSLATE($A3962,""en"",""it"")"),"Iasi")</f>
        <v>Iasi</v>
      </c>
      <c r="G3962" s="9" t="str">
        <f>IFERROR(__xludf.DUMMYFUNCTION("GOOGLETRANSLATE($A3962,""en"",""zh-cn"")"),"雅西")</f>
        <v>雅西</v>
      </c>
      <c r="H3962" s="9" t="str">
        <f>IFERROR(__xludf.DUMMYFUNCTION("GOOGLETRANSLATE($A3962,""en"",""ja"")"),"ヤシ")</f>
        <v>ヤシ</v>
      </c>
      <c r="I3962" s="9" t="str">
        <f>IFERROR(__xludf.DUMMYFUNCTION("GOOGLETRANSLATE($A3962,""en"",""ko"")"),"이아시")</f>
        <v>이아시</v>
      </c>
      <c r="J3962" s="9" t="str">
        <f>IFERROR(__xludf.DUMMYFUNCTION("GOOGLETRANSLATE($A3962,""en"",""pt-BR"")"),"Iaşi")</f>
        <v>Iaşi</v>
      </c>
    </row>
    <row r="3963">
      <c r="A3963" s="9" t="str">
        <f>IFERROR(__xludf.DUMMYFUNCTION("""COMPUTED_VALUE"""),"Sibiu")</f>
        <v>Sibiu</v>
      </c>
      <c r="B3963" s="9" t="str">
        <f>IFERROR(__xludf.DUMMYFUNCTION("""COMPUTED_VALUE"""),"ro-sb")</f>
        <v>ro-sb</v>
      </c>
      <c r="C3963" s="9" t="str">
        <f>IFERROR(__xludf.DUMMYFUNCTION("GOOGLETRANSLATE($A3963,""en"",""de"")"),"Hermannstadt")</f>
        <v>Hermannstadt</v>
      </c>
      <c r="D3963" s="9" t="str">
        <f>IFERROR(__xludf.DUMMYFUNCTION("GOOGLETRANSLATE($A3963,""en"",""fr"")"),"Sibiu")</f>
        <v>Sibiu</v>
      </c>
      <c r="E3963" s="9" t="str">
        <f>IFERROR(__xludf.DUMMYFUNCTION("GOOGLETRANSLATE($A3963,""en"",""es"")"),"Sibiu")</f>
        <v>Sibiu</v>
      </c>
      <c r="F3963" s="9" t="str">
        <f>IFERROR(__xludf.DUMMYFUNCTION("GOOGLETRANSLATE($A3963,""en"",""it"")"),"Sibiu")</f>
        <v>Sibiu</v>
      </c>
      <c r="G3963" s="9" t="str">
        <f>IFERROR(__xludf.DUMMYFUNCTION("GOOGLETRANSLATE($A3963,""en"",""zh-cn"")"),"锡比乌")</f>
        <v>锡比乌</v>
      </c>
      <c r="H3963" s="9" t="str">
        <f>IFERROR(__xludf.DUMMYFUNCTION("GOOGLETRANSLATE($A3963,""en"",""ja"")"),"シビウ")</f>
        <v>シビウ</v>
      </c>
      <c r="I3963" s="9" t="str">
        <f>IFERROR(__xludf.DUMMYFUNCTION("GOOGLETRANSLATE($A3963,""en"",""ko"")"),"시비우")</f>
        <v>시비우</v>
      </c>
      <c r="J3963" s="9" t="str">
        <f>IFERROR(__xludf.DUMMYFUNCTION("GOOGLETRANSLATE($A3963,""en"",""pt-BR"")"),"Sibiu")</f>
        <v>Sibiu</v>
      </c>
    </row>
    <row r="3964">
      <c r="A3964" s="9" t="str">
        <f>IFERROR(__xludf.DUMMYFUNCTION("""COMPUTED_VALUE"""),"Sălaj")</f>
        <v>Sălaj</v>
      </c>
      <c r="B3964" s="9" t="str">
        <f>IFERROR(__xludf.DUMMYFUNCTION("""COMPUTED_VALUE"""),"ro-sj")</f>
        <v>ro-sj</v>
      </c>
      <c r="C3964" s="9" t="str">
        <f>IFERROR(__xludf.DUMMYFUNCTION("GOOGLETRANSLATE($A3964,""en"",""de"")"),"Sălaj")</f>
        <v>Sălaj</v>
      </c>
      <c r="D3964" s="9" t="str">
        <f>IFERROR(__xludf.DUMMYFUNCTION("GOOGLETRANSLATE($A3964,""en"",""fr"")"),"Salaj")</f>
        <v>Salaj</v>
      </c>
      <c r="E3964" s="9" t="str">
        <f>IFERROR(__xludf.DUMMYFUNCTION("GOOGLETRANSLATE($A3964,""en"",""es"")"),"Salaj")</f>
        <v>Salaj</v>
      </c>
      <c r="F3964" s="9" t="str">
        <f>IFERROR(__xludf.DUMMYFUNCTION("GOOGLETRANSLATE($A3964,""en"",""it"")"),"Salaj")</f>
        <v>Salaj</v>
      </c>
      <c r="G3964" s="9" t="str">
        <f>IFERROR(__xludf.DUMMYFUNCTION("GOOGLETRANSLATE($A3964,""en"",""zh-cn"")"),"瑟拉吉")</f>
        <v>瑟拉吉</v>
      </c>
      <c r="H3964" s="9" t="str">
        <f>IFERROR(__xludf.DUMMYFUNCTION("GOOGLETRANSLATE($A3964,""en"",""ja"")"),"サラジ")</f>
        <v>サラジ</v>
      </c>
      <c r="I3964" s="9" t="str">
        <f>IFERROR(__xludf.DUMMYFUNCTION("GOOGLETRANSLATE($A3964,""en"",""ko"")"),"살라지")</f>
        <v>살라지</v>
      </c>
      <c r="J3964" s="9" t="str">
        <f>IFERROR(__xludf.DUMMYFUNCTION("GOOGLETRANSLATE($A3964,""en"",""pt-BR"")"),"Salaj")</f>
        <v>Salaj</v>
      </c>
    </row>
    <row r="3965">
      <c r="A3965" s="9" t="str">
        <f>IFERROR(__xludf.DUMMYFUNCTION("""COMPUTED_VALUE"""),"Olt")</f>
        <v>Olt</v>
      </c>
      <c r="B3965" s="9" t="str">
        <f>IFERROR(__xludf.DUMMYFUNCTION("""COMPUTED_VALUE"""),"ro-ot")</f>
        <v>ro-ot</v>
      </c>
      <c r="C3965" s="9" t="str">
        <f>IFERROR(__xludf.DUMMYFUNCTION("GOOGLETRANSLATE($A3965,""en"",""de"")"),"Olt")</f>
        <v>Olt</v>
      </c>
      <c r="D3965" s="9" t="str">
        <f>IFERROR(__xludf.DUMMYFUNCTION("GOOGLETRANSLATE($A3965,""en"",""fr"")"),"Olt")</f>
        <v>Olt</v>
      </c>
      <c r="E3965" s="9" t="str">
        <f>IFERROR(__xludf.DUMMYFUNCTION("GOOGLETRANSLATE($A3965,""en"",""es"")"),"viejo")</f>
        <v>viejo</v>
      </c>
      <c r="F3965" s="9" t="str">
        <f>IFERROR(__xludf.DUMMYFUNCTION("GOOGLETRANSLATE($A3965,""en"",""it"")"),"Olt")</f>
        <v>Olt</v>
      </c>
      <c r="G3965" s="9" t="str">
        <f>IFERROR(__xludf.DUMMYFUNCTION("GOOGLETRANSLATE($A3965,""en"",""zh-cn"")"),"奥尔特")</f>
        <v>奥尔特</v>
      </c>
      <c r="H3965" s="9" t="str">
        <f>IFERROR(__xludf.DUMMYFUNCTION("GOOGLETRANSLATE($A3965,""en"",""ja"")"),"オルト")</f>
        <v>オルト</v>
      </c>
      <c r="I3965" s="9" t="str">
        <f>IFERROR(__xludf.DUMMYFUNCTION("GOOGLETRANSLATE($A3965,""en"",""ko"")"),"올트")</f>
        <v>올트</v>
      </c>
      <c r="J3965" s="9" t="str">
        <f>IFERROR(__xludf.DUMMYFUNCTION("GOOGLETRANSLATE($A3965,""en"",""pt-BR"")"),"Velho")</f>
        <v>Velho</v>
      </c>
    </row>
    <row r="3966">
      <c r="A3966" s="9" t="str">
        <f>IFERROR(__xludf.DUMMYFUNCTION("""COMPUTED_VALUE"""),"Prahova")</f>
        <v>Prahova</v>
      </c>
      <c r="B3966" s="9" t="str">
        <f>IFERROR(__xludf.DUMMYFUNCTION("""COMPUTED_VALUE"""),"ro-ph")</f>
        <v>ro-ph</v>
      </c>
      <c r="C3966" s="9" t="str">
        <f>IFERROR(__xludf.DUMMYFUNCTION("GOOGLETRANSLATE($A3966,""en"",""de"")"),"Prahova")</f>
        <v>Prahova</v>
      </c>
      <c r="D3966" s="9" t="str">
        <f>IFERROR(__xludf.DUMMYFUNCTION("GOOGLETRANSLATE($A3966,""en"",""fr"")"),"Prague")</f>
        <v>Prague</v>
      </c>
      <c r="E3966" s="9" t="str">
        <f>IFERROR(__xludf.DUMMYFUNCTION("GOOGLETRANSLATE($A3966,""en"",""es"")"),"Prahová")</f>
        <v>Prahová</v>
      </c>
      <c r="F3966" s="9" t="str">
        <f>IFERROR(__xludf.DUMMYFUNCTION("GOOGLETRANSLATE($A3966,""en"",""it"")"),"Prahova")</f>
        <v>Prahova</v>
      </c>
      <c r="G3966" s="9" t="str">
        <f>IFERROR(__xludf.DUMMYFUNCTION("GOOGLETRANSLATE($A3966,""en"",""zh-cn"")"),"普拉霍娃")</f>
        <v>普拉霍娃</v>
      </c>
      <c r="H3966" s="9" t="str">
        <f>IFERROR(__xludf.DUMMYFUNCTION("GOOGLETRANSLATE($A3966,""en"",""ja"")"),"プラホヴァ")</f>
        <v>プラホヴァ</v>
      </c>
      <c r="I3966" s="9" t="str">
        <f>IFERROR(__xludf.DUMMYFUNCTION("GOOGLETRANSLATE($A3966,""en"",""ko"")"),"프라호바")</f>
        <v>프라호바</v>
      </c>
      <c r="J3966" s="9" t="str">
        <f>IFERROR(__xludf.DUMMYFUNCTION("GOOGLETRANSLATE($A3966,""en"",""pt-BR"")"),"Prahova")</f>
        <v>Prahova</v>
      </c>
    </row>
    <row r="3967">
      <c r="A3967" s="9" t="str">
        <f>IFERROR(__xludf.DUMMYFUNCTION("""COMPUTED_VALUE"""),"Pskovskaya oblast'")</f>
        <v>Pskovskaya oblast'</v>
      </c>
      <c r="B3967" s="9" t="str">
        <f>IFERROR(__xludf.DUMMYFUNCTION("""COMPUTED_VALUE"""),"ru-psk")</f>
        <v>ru-psk</v>
      </c>
      <c r="C3967" s="9" t="str">
        <f>IFERROR(__xludf.DUMMYFUNCTION("GOOGLETRANSLATE($A3967,""en"",""de"")"),"Oblast Pskow")</f>
        <v>Oblast Pskow</v>
      </c>
      <c r="D3967" s="9" t="str">
        <f>IFERROR(__xludf.DUMMYFUNCTION("GOOGLETRANSLATE($A3967,""en"",""fr"")"),"Oblast de Pskovskaya")</f>
        <v>Oblast de Pskovskaya</v>
      </c>
      <c r="E3967" s="9" t="str">
        <f>IFERROR(__xludf.DUMMYFUNCTION("GOOGLETRANSLATE($A3967,""en"",""es"")"),"Óblast de Pskovskaya")</f>
        <v>Óblast de Pskovskaya</v>
      </c>
      <c r="F3967" s="9" t="str">
        <f>IFERROR(__xludf.DUMMYFUNCTION("GOOGLETRANSLATE($A3967,""en"",""it"")"),"Oblast' di Pskovskaja'")</f>
        <v>Oblast' di Pskovskaja'</v>
      </c>
      <c r="G3967" s="9" t="str">
        <f>IFERROR(__xludf.DUMMYFUNCTION("GOOGLETRANSLATE($A3967,""en"",""zh-cn"")"),"普斯科夫州")</f>
        <v>普斯科夫州</v>
      </c>
      <c r="H3967" s="9" t="str">
        <f>IFERROR(__xludf.DUMMYFUNCTION("GOOGLETRANSLATE($A3967,""en"",""ja"")"),"プスコフスカヤ州」")</f>
        <v>プスコフスカヤ州」</v>
      </c>
      <c r="I3967" s="9" t="str">
        <f>IFERROR(__xludf.DUMMYFUNCTION("GOOGLETRANSLATE($A3967,""en"",""ko"")"),"프스코프스카야 주'")</f>
        <v>프스코프스카야 주'</v>
      </c>
      <c r="J3967" s="9" t="str">
        <f>IFERROR(__xludf.DUMMYFUNCTION("GOOGLETRANSLATE($A3967,""en"",""pt-BR"")"),"Oblast de Pskovskaia'")</f>
        <v>Oblast de Pskovskaia'</v>
      </c>
    </row>
    <row r="3968">
      <c r="A3968" s="9" t="str">
        <f>IFERROR(__xludf.DUMMYFUNCTION("""COMPUTED_VALUE"""),"Yamalo-Nenetskiy avtonomnyy okrug")</f>
        <v>Yamalo-Nenetskiy avtonomnyy okrug</v>
      </c>
      <c r="B3968" s="9" t="str">
        <f>IFERROR(__xludf.DUMMYFUNCTION("""COMPUTED_VALUE"""),"ru-yan")</f>
        <v>ru-yan</v>
      </c>
      <c r="C3968" s="9" t="str">
        <f>IFERROR(__xludf.DUMMYFUNCTION("GOOGLETRANSLATE($A3968,""en"",""de"")"),"Yamalo-Nenezkiy avtonomnyy okrug")</f>
        <v>Yamalo-Nenezkiy avtonomnyy okrug</v>
      </c>
      <c r="D3968" s="9" t="str">
        <f>IFERROR(__xludf.DUMMYFUNCTION("GOOGLETRANSLATE($A3968,""en"",""fr"")"),"Okrug avtonomnyy Yamalo-Nenetski")</f>
        <v>Okrug avtonomnyy Yamalo-Nenetski</v>
      </c>
      <c r="E3968" s="9" t="str">
        <f>IFERROR(__xludf.DUMMYFUNCTION("GOOGLETRANSLATE($A3968,""en"",""es"")"),"Yamalo-Nenetskiy avtonomnyy okrug")</f>
        <v>Yamalo-Nenetskiy avtonomnyy okrug</v>
      </c>
      <c r="F3968" s="9" t="str">
        <f>IFERROR(__xludf.DUMMYFUNCTION("GOOGLETRANSLATE($A3968,""en"",""it"")"),"Yamalo-Nenetskiy avtonomnyy okrug")</f>
        <v>Yamalo-Nenetskiy avtonomnyy okrug</v>
      </c>
      <c r="G3968" s="9" t="str">
        <f>IFERROR(__xludf.DUMMYFUNCTION("GOOGLETRANSLATE($A3968,""en"",""zh-cn"")"),"亚马尔-涅涅茨自治区")</f>
        <v>亚马尔-涅涅茨自治区</v>
      </c>
      <c r="H3968" s="9" t="str">
        <f>IFERROR(__xludf.DUMMYFUNCTION("GOOGLETRANSLATE($A3968,""en"",""ja"")"),"ヤマロ・ネネツキー・アフトノムヌイ・オクルグ")</f>
        <v>ヤマロ・ネネツキー・アフトノムヌイ・オクルグ</v>
      </c>
      <c r="I3968" s="9" t="str">
        <f>IFERROR(__xludf.DUMMYFUNCTION("GOOGLETRANSLATE($A3968,""en"",""ko"")"),"Yamalo-Nenetskiy avtonomnyy okrug")</f>
        <v>Yamalo-Nenetskiy avtonomnyy okrug</v>
      </c>
      <c r="J3968" s="9" t="str">
        <f>IFERROR(__xludf.DUMMYFUNCTION("GOOGLETRANSLATE($A3968,""en"",""pt-BR"")"),"Yamalo-Nenetskiy avtonomnyy okrug")</f>
        <v>Yamalo-Nenetskiy avtonomnyy okrug</v>
      </c>
    </row>
    <row r="3969">
      <c r="A3969" s="9" t="str">
        <f>IFERROR(__xludf.DUMMYFUNCTION("""COMPUTED_VALUE"""),"Kirovskaya oblast'")</f>
        <v>Kirovskaya oblast'</v>
      </c>
      <c r="B3969" s="9" t="str">
        <f>IFERROR(__xludf.DUMMYFUNCTION("""COMPUTED_VALUE"""),"ru-kir")</f>
        <v>ru-kir</v>
      </c>
      <c r="C3969" s="9" t="str">
        <f>IFERROR(__xludf.DUMMYFUNCTION("GOOGLETRANSLATE($A3969,""en"",""de"")"),"Oblast Kirow")</f>
        <v>Oblast Kirow</v>
      </c>
      <c r="D3969" s="9" t="str">
        <f>IFERROR(__xludf.DUMMYFUNCTION("GOOGLETRANSLATE($A3969,""en"",""fr"")"),"Oblast de Kirovskaïa")</f>
        <v>Oblast de Kirovskaïa</v>
      </c>
      <c r="E3969" s="9" t="str">
        <f>IFERROR(__xludf.DUMMYFUNCTION("GOOGLETRANSLATE($A3969,""en"",""es"")"),"Óblast de Kirovskaya")</f>
        <v>Óblast de Kirovskaya</v>
      </c>
      <c r="F3969" s="9" t="str">
        <f>IFERROR(__xludf.DUMMYFUNCTION("GOOGLETRANSLATE($A3969,""en"",""it"")"),"Oblast' di Kirovskaja")</f>
        <v>Oblast' di Kirovskaja</v>
      </c>
      <c r="G3969" s="9" t="str">
        <f>IFERROR(__xludf.DUMMYFUNCTION("GOOGLETRANSLATE($A3969,""en"",""zh-cn"")"),"基洛夫州")</f>
        <v>基洛夫州</v>
      </c>
      <c r="H3969" s="9" t="str">
        <f>IFERROR(__xludf.DUMMYFUNCTION("GOOGLETRANSLATE($A3969,""en"",""ja"")"),"キーロフスカヤ州」")</f>
        <v>キーロフスカヤ州」</v>
      </c>
      <c r="I3969" s="9" t="str">
        <f>IFERROR(__xludf.DUMMYFUNCTION("GOOGLETRANSLATE($A3969,""en"",""ko"")"),"키로프스카야 오블래스트'")</f>
        <v>키로프스카야 오블래스트'</v>
      </c>
      <c r="J3969" s="9" t="str">
        <f>IFERROR(__xludf.DUMMYFUNCTION("GOOGLETRANSLATE($A3969,""en"",""pt-BR"")"),"Oblast de Kirovskaia'")</f>
        <v>Oblast de Kirovskaia'</v>
      </c>
    </row>
    <row r="3970">
      <c r="A3970" s="9" t="str">
        <f>IFERROR(__xludf.DUMMYFUNCTION("""COMPUTED_VALUE"""),"Saratovskaya oblast'")</f>
        <v>Saratovskaya oblast'</v>
      </c>
      <c r="B3970" s="9" t="str">
        <f>IFERROR(__xludf.DUMMYFUNCTION("""COMPUTED_VALUE"""),"ru-sar")</f>
        <v>ru-sar</v>
      </c>
      <c r="C3970" s="9" t="str">
        <f>IFERROR(__xludf.DUMMYFUNCTION("GOOGLETRANSLATE($A3970,""en"",""de"")"),"Oblast Saratow")</f>
        <v>Oblast Saratow</v>
      </c>
      <c r="D3970" s="9" t="str">
        <f>IFERROR(__xludf.DUMMYFUNCTION("GOOGLETRANSLATE($A3970,""en"",""fr"")"),"Oblast de Saratovskaïa")</f>
        <v>Oblast de Saratovskaïa</v>
      </c>
      <c r="E3970" s="9" t="str">
        <f>IFERROR(__xludf.DUMMYFUNCTION("GOOGLETRANSLATE($A3970,""en"",""es"")"),"Óblast de Saratovskaya")</f>
        <v>Óblast de Saratovskaya</v>
      </c>
      <c r="F3970" s="9" t="str">
        <f>IFERROR(__xludf.DUMMYFUNCTION("GOOGLETRANSLATE($A3970,""en"",""it"")"),"Oblast' di Saratovskaja")</f>
        <v>Oblast' di Saratovskaja</v>
      </c>
      <c r="G3970" s="9" t="str">
        <f>IFERROR(__xludf.DUMMYFUNCTION("GOOGLETRANSLATE($A3970,""en"",""zh-cn"")"),"萨拉托夫州")</f>
        <v>萨拉托夫州</v>
      </c>
      <c r="H3970" s="9" t="str">
        <f>IFERROR(__xludf.DUMMYFUNCTION("GOOGLETRANSLATE($A3970,""en"",""ja"")"),"サラトフスカヤ州」")</f>
        <v>サラトフスカヤ州」</v>
      </c>
      <c r="I3970" s="9" t="str">
        <f>IFERROR(__xludf.DUMMYFUNCTION("GOOGLETRANSLATE($A3970,""en"",""ko"")"),"사라토프스카야 오블래스트'")</f>
        <v>사라토프스카야 오블래스트'</v>
      </c>
      <c r="J3970" s="9" t="str">
        <f>IFERROR(__xludf.DUMMYFUNCTION("GOOGLETRANSLATE($A3970,""en"",""pt-BR"")"),"Oblast de Saratov'")</f>
        <v>Oblast de Saratov'</v>
      </c>
    </row>
    <row r="3971">
      <c r="A3971" s="9" t="str">
        <f>IFERROR(__xludf.DUMMYFUNCTION("""COMPUTED_VALUE"""),"Udmurtskaya Respublika")</f>
        <v>Udmurtskaya Respublika</v>
      </c>
      <c r="B3971" s="9" t="str">
        <f>IFERROR(__xludf.DUMMYFUNCTION("""COMPUTED_VALUE"""),"ru-ud")</f>
        <v>ru-ud</v>
      </c>
      <c r="C3971" s="9" t="str">
        <f>IFERROR(__xludf.DUMMYFUNCTION("GOOGLETRANSLATE($A3971,""en"",""de"")"),"Udmurtskaya Respublika")</f>
        <v>Udmurtskaya Respublika</v>
      </c>
      <c r="D3971" s="9" t="str">
        <f>IFERROR(__xludf.DUMMYFUNCTION("GOOGLETRANSLATE($A3971,""en"",""fr"")"),"Respublika Oudmourtie")</f>
        <v>Respublika Oudmourtie</v>
      </c>
      <c r="E3971" s="9" t="str">
        <f>IFERROR(__xludf.DUMMYFUNCTION("GOOGLETRANSLATE($A3971,""en"",""es"")"),"República de Udmurtia")</f>
        <v>República de Udmurtia</v>
      </c>
      <c r="F3971" s="9" t="str">
        <f>IFERROR(__xludf.DUMMYFUNCTION("GOOGLETRANSLATE($A3971,""en"",""it"")"),"Repubblica dell'Udmurtskaya")</f>
        <v>Repubblica dell'Udmurtskaya</v>
      </c>
      <c r="G3971" s="9" t="str">
        <f>IFERROR(__xludf.DUMMYFUNCTION("GOOGLETRANSLATE($A3971,""en"",""zh-cn"")"),"乌德穆尔特共和国")</f>
        <v>乌德穆尔特共和国</v>
      </c>
      <c r="H3971" s="9" t="str">
        <f>IFERROR(__xludf.DUMMYFUNCTION("GOOGLETRANSLATE($A3971,""en"",""ja"")"),"ウドムルツカヤ共和国")</f>
        <v>ウドムルツカヤ共和国</v>
      </c>
      <c r="I3971" s="9" t="str">
        <f>IFERROR(__xludf.DUMMYFUNCTION("GOOGLETRANSLATE($A3971,""en"",""ko"")"),"우드무르트스카야 레스푸블리카")</f>
        <v>우드무르트스카야 레스푸블리카</v>
      </c>
      <c r="J3971" s="9" t="str">
        <f>IFERROR(__xludf.DUMMYFUNCTION("GOOGLETRANSLATE($A3971,""en"",""pt-BR"")"),"República Udmurtskaya")</f>
        <v>República Udmurtskaya</v>
      </c>
    </row>
    <row r="3972">
      <c r="A3972" s="9" t="str">
        <f>IFERROR(__xludf.DUMMYFUNCTION("""COMPUTED_VALUE"""),"Khanty-Mansiyskiy avtonomnyy okrug-Yugra")</f>
        <v>Khanty-Mansiyskiy avtonomnyy okrug-Yugra</v>
      </c>
      <c r="B3972" s="9" t="str">
        <f>IFERROR(__xludf.DUMMYFUNCTION("""COMPUTED_VALUE"""),"ru-khm")</f>
        <v>ru-khm</v>
      </c>
      <c r="C3972" s="9" t="str">
        <f>IFERROR(__xludf.DUMMYFUNCTION("GOOGLETRANSLATE($A3972,""en"",""de"")"),"Khanty-Mansiyskiy avtonomnyy okrug-Jugra")</f>
        <v>Khanty-Mansiyskiy avtonomnyy okrug-Jugra</v>
      </c>
      <c r="D3972" s="9" t="str">
        <f>IFERROR(__xludf.DUMMYFUNCTION("GOOGLETRANSLATE($A3972,""en"",""fr"")"),"Khanty-Mansiyskiy avtonomnyy okrug-Yugra")</f>
        <v>Khanty-Mansiyskiy avtonomnyy okrug-Yugra</v>
      </c>
      <c r="E3972" s="9" t="str">
        <f>IFERROR(__xludf.DUMMYFUNCTION("GOOGLETRANSLATE($A3972,""en"",""es"")"),"Khanty-Mansiyskiy avtonomnyy okrug-Yugra")</f>
        <v>Khanty-Mansiyskiy avtonomnyy okrug-Yugra</v>
      </c>
      <c r="F3972" s="9" t="str">
        <f>IFERROR(__xludf.DUMMYFUNCTION("GOOGLETRANSLATE($A3972,""en"",""it"")"),"Khanty-Mansiyskiy avtonomnyy okrug-Yugra")</f>
        <v>Khanty-Mansiyskiy avtonomnyy okrug-Yugra</v>
      </c>
      <c r="G3972" s="9" t="str">
        <f>IFERROR(__xludf.DUMMYFUNCTION("GOOGLETRANSLATE($A3972,""en"",""zh-cn"")"),"汉特-曼西自治区-尤格拉")</f>
        <v>汉特-曼西自治区-尤格拉</v>
      </c>
      <c r="H3972" s="9" t="str">
        <f>IFERROR(__xludf.DUMMYFUNCTION("GOOGLETRANSLATE($A3972,""en"",""ja"")"),"ハンティ・マンシースキー・アフトノムヌイ・オクルグ・ユグラ")</f>
        <v>ハンティ・マンシースキー・アフトノムヌイ・オクルグ・ユグラ</v>
      </c>
      <c r="I3972" s="9" t="str">
        <f>IFERROR(__xludf.DUMMYFUNCTION("GOOGLETRANSLATE($A3972,""en"",""ko"")"),"Khanty-Mansiyskiy avtonomnyy okrug-Yugra")</f>
        <v>Khanty-Mansiyskiy avtonomnyy okrug-Yugra</v>
      </c>
      <c r="J3972" s="9" t="str">
        <f>IFERROR(__xludf.DUMMYFUNCTION("GOOGLETRANSLATE($A3972,""en"",""pt-BR"")"),"Khanty-Mansiyskiy avtonomnyy okrug-Yugra")</f>
        <v>Khanty-Mansiyskiy avtonomnyy okrug-Yugra</v>
      </c>
    </row>
    <row r="3973">
      <c r="A3973" s="9" t="str">
        <f>IFERROR(__xludf.DUMMYFUNCTION("""COMPUTED_VALUE"""),"Sakha, Respublika [Yakutiya]")</f>
        <v>Sakha, Respublika [Yakutiya]</v>
      </c>
      <c r="B3973" s="9" t="str">
        <f>IFERROR(__xludf.DUMMYFUNCTION("""COMPUTED_VALUE"""),"ru-sa")</f>
        <v>ru-sa</v>
      </c>
      <c r="C3973" s="9" t="str">
        <f>IFERROR(__xludf.DUMMYFUNCTION("GOOGLETRANSLATE($A3973,""en"",""de"")"),"Sacha, Respublika [Jakutien]")</f>
        <v>Sacha, Respublika [Jakutien]</v>
      </c>
      <c r="D3973" s="9" t="str">
        <f>IFERROR(__xludf.DUMMYFUNCTION("GOOGLETRANSLATE($A3973,""en"",""fr"")"),"Sakha, Respublika [Yakutiya]")</f>
        <v>Sakha, Respublika [Yakutiya]</v>
      </c>
      <c r="E3973" s="9" t="str">
        <f>IFERROR(__xludf.DUMMYFUNCTION("GOOGLETRANSLATE($A3973,""en"",""es"")"),"Sajá, República [Yakutiya]")</f>
        <v>Sajá, República [Yakutiya]</v>
      </c>
      <c r="F3973" s="9" t="str">
        <f>IFERROR(__xludf.DUMMYFUNCTION("GOOGLETRANSLATE($A3973,""en"",""it"")"),"Sakha, Respublika [Yakutiya]")</f>
        <v>Sakha, Respublika [Yakutiya]</v>
      </c>
      <c r="G3973" s="9" t="str">
        <f>IFERROR(__xludf.DUMMYFUNCTION("GOOGLETRANSLATE($A3973,""en"",""zh-cn"")"),"萨哈共和国 [雅库特]")</f>
        <v>萨哈共和国 [雅库特]</v>
      </c>
      <c r="H3973" s="9" t="str">
        <f>IFERROR(__xludf.DUMMYFUNCTION("GOOGLETRANSLATE($A3973,""en"",""ja"")"),"サハ、共和国 [ヤクティーヤ]")</f>
        <v>サハ、共和国 [ヤクティーヤ]</v>
      </c>
      <c r="I3973" s="9" t="str">
        <f>IFERROR(__xludf.DUMMYFUNCTION("GOOGLETRANSLATE($A3973,""en"",""ko"")"),"사하, Respublika [야쿠티야]")</f>
        <v>사하, Respublika [야쿠티야]</v>
      </c>
      <c r="J3973" s="9" t="str">
        <f>IFERROR(__xludf.DUMMYFUNCTION("GOOGLETRANSLATE($A3973,""en"",""pt-BR"")"),"Sakha, República [Yakutiya]")</f>
        <v>Sakha, República [Yakutiya]</v>
      </c>
    </row>
    <row r="3974">
      <c r="A3974" s="9" t="str">
        <f>IFERROR(__xludf.DUMMYFUNCTION("""COMPUTED_VALUE"""),"Orenburgskaya oblast'")</f>
        <v>Orenburgskaya oblast'</v>
      </c>
      <c r="B3974" s="9" t="str">
        <f>IFERROR(__xludf.DUMMYFUNCTION("""COMPUTED_VALUE"""),"ru-ore")</f>
        <v>ru-ore</v>
      </c>
      <c r="C3974" s="9" t="str">
        <f>IFERROR(__xludf.DUMMYFUNCTION("GOOGLETRANSLATE($A3974,""en"",""de"")"),"Oblast Orenburg")</f>
        <v>Oblast Orenburg</v>
      </c>
      <c r="D3974" s="9" t="str">
        <f>IFERROR(__xludf.DUMMYFUNCTION("GOOGLETRANSLATE($A3974,""en"",""fr"")"),"Oblast d'Orenbourg")</f>
        <v>Oblast d'Orenbourg</v>
      </c>
      <c r="E3974" s="9" t="str">
        <f>IFERROR(__xludf.DUMMYFUNCTION("GOOGLETRANSLATE($A3974,""en"",""es"")"),"Óblast de Oremburgo")</f>
        <v>Óblast de Oremburgo</v>
      </c>
      <c r="F3974" s="9" t="str">
        <f>IFERROR(__xludf.DUMMYFUNCTION("GOOGLETRANSLATE($A3974,""en"",""it"")"),"Oblast' di Orenburgskaya'")</f>
        <v>Oblast' di Orenburgskaya'</v>
      </c>
      <c r="G3974" s="9" t="str">
        <f>IFERROR(__xludf.DUMMYFUNCTION("GOOGLETRANSLATE($A3974,""en"",""zh-cn"")"),"奥伦堡州")</f>
        <v>奥伦堡州</v>
      </c>
      <c r="H3974" s="9" t="str">
        <f>IFERROR(__xludf.DUMMYFUNCTION("GOOGLETRANSLATE($A3974,""en"",""ja"")"),"オレンブルクスカヤ州」")</f>
        <v>オレンブルクスカヤ州」</v>
      </c>
      <c r="I3974" s="9" t="str">
        <f>IFERROR(__xludf.DUMMYFUNCTION("GOOGLETRANSLATE($A3974,""en"",""ko"")"),"오렌부르크스카야 오블래스트'")</f>
        <v>오렌부르크스카야 오블래스트'</v>
      </c>
      <c r="J3974" s="9" t="str">
        <f>IFERROR(__xludf.DUMMYFUNCTION("GOOGLETRANSLATE($A3974,""en"",""pt-BR"")"),"Oblast de Oremburgo'")</f>
        <v>Oblast de Oremburgo'</v>
      </c>
    </row>
    <row r="3975">
      <c r="A3975" s="9" t="str">
        <f>IFERROR(__xludf.DUMMYFUNCTION("""COMPUTED_VALUE"""),"Ul'yanovskaya oblast'")</f>
        <v>Ul'yanovskaya oblast'</v>
      </c>
      <c r="B3975" s="9" t="str">
        <f>IFERROR(__xludf.DUMMYFUNCTION("""COMPUTED_VALUE"""),"ru-uly")</f>
        <v>ru-uly</v>
      </c>
      <c r="C3975" s="9" t="str">
        <f>IFERROR(__xludf.DUMMYFUNCTION("GOOGLETRANSLATE($A3975,""en"",""de"")"),"Oblast Uljanowskaja")</f>
        <v>Oblast Uljanowskaja</v>
      </c>
      <c r="D3975" s="9" t="str">
        <f>IFERROR(__xludf.DUMMYFUNCTION("GOOGLETRANSLATE($A3975,""en"",""fr"")"),"Oblast d'Oulianovskaïa")</f>
        <v>Oblast d'Oulianovskaïa</v>
      </c>
      <c r="E3975" s="9" t="str">
        <f>IFERROR(__xludf.DUMMYFUNCTION("GOOGLETRANSLATE($A3975,""en"",""es"")"),"Óblast de Ulyanovskaya")</f>
        <v>Óblast de Ulyanovskaya</v>
      </c>
      <c r="F3975" s="9" t="str">
        <f>IFERROR(__xludf.DUMMYFUNCTION("GOOGLETRANSLATE($A3975,""en"",""it"")"),"Oblast di Ul'yanovskaya'")</f>
        <v>Oblast di Ul'yanovskaya'</v>
      </c>
      <c r="G3975" s="9" t="str">
        <f>IFERROR(__xludf.DUMMYFUNCTION("GOOGLETRANSLATE($A3975,""en"",""zh-cn"")"),"乌扬诺夫州")</f>
        <v>乌扬诺夫州</v>
      </c>
      <c r="H3975" s="9" t="str">
        <f>IFERROR(__xludf.DUMMYFUNCTION("GOOGLETRANSLATE($A3975,""en"",""ja"")"),"ウリヤノフスカヤ州")</f>
        <v>ウリヤノフスカヤ州</v>
      </c>
      <c r="I3975" s="9" t="str">
        <f>IFERROR(__xludf.DUMMYFUNCTION("GOOGLETRANSLATE($A3975,""en"",""ko"")"),"울야노프스카야 오블래스트'")</f>
        <v>울야노프스카야 오블래스트'</v>
      </c>
      <c r="J3975" s="9" t="str">
        <f>IFERROR(__xludf.DUMMYFUNCTION("GOOGLETRANSLATE($A3975,""en"",""pt-BR"")"),"Oblast de Ul'yanovskaya'")</f>
        <v>Oblast de Ul'yanovskaya'</v>
      </c>
    </row>
    <row r="3976">
      <c r="A3976" s="9" t="str">
        <f>IFERROR(__xludf.DUMMYFUNCTION("""COMPUTED_VALUE"""),"Yaroslavskaya oblast'")</f>
        <v>Yaroslavskaya oblast'</v>
      </c>
      <c r="B3976" s="9" t="str">
        <f>IFERROR(__xludf.DUMMYFUNCTION("""COMPUTED_VALUE"""),"ru-yar")</f>
        <v>ru-yar</v>
      </c>
      <c r="C3976" s="9" t="str">
        <f>IFERROR(__xludf.DUMMYFUNCTION("GOOGLETRANSLATE($A3976,""en"",""de"")"),"Oblast Jaroslawskaja")</f>
        <v>Oblast Jaroslawskaja</v>
      </c>
      <c r="D3976" s="9" t="str">
        <f>IFERROR(__xludf.DUMMYFUNCTION("GOOGLETRANSLATE($A3976,""en"",""fr"")"),"Oblast de Iaroslavskaïa")</f>
        <v>Oblast de Iaroslavskaïa</v>
      </c>
      <c r="E3976" s="9" t="str">
        <f>IFERROR(__xludf.DUMMYFUNCTION("GOOGLETRANSLATE($A3976,""en"",""es"")"),"Óblast de Yaroslavskaya")</f>
        <v>Óblast de Yaroslavskaya</v>
      </c>
      <c r="F3976" s="9" t="str">
        <f>IFERROR(__xludf.DUMMYFUNCTION("GOOGLETRANSLATE($A3976,""en"",""it"")"),"Oblast' di Jaroslavskaja'")</f>
        <v>Oblast' di Jaroslavskaja'</v>
      </c>
      <c r="G3976" s="9" t="str">
        <f>IFERROR(__xludf.DUMMYFUNCTION("GOOGLETRANSLATE($A3976,""en"",""zh-cn"")"),"雅罗斯拉夫州")</f>
        <v>雅罗斯拉夫州</v>
      </c>
      <c r="H3976" s="9" t="str">
        <f>IFERROR(__xludf.DUMMYFUNCTION("GOOGLETRANSLATE($A3976,""en"",""ja"")"),"ヤロスラフスカヤ州」")</f>
        <v>ヤロスラフスカヤ州」</v>
      </c>
      <c r="I3976" s="9" t="str">
        <f>IFERROR(__xludf.DUMMYFUNCTION("GOOGLETRANSLATE($A3976,""en"",""ko"")"),"야로슬라프스카야 오블래스트'")</f>
        <v>야로슬라프스카야 오블래스트'</v>
      </c>
      <c r="J3976" s="9" t="str">
        <f>IFERROR(__xludf.DUMMYFUNCTION("GOOGLETRANSLATE($A3976,""en"",""pt-BR"")"),"Oblast de Iaroslavska'")</f>
        <v>Oblast de Iaroslavska'</v>
      </c>
    </row>
    <row r="3977">
      <c r="A3977" s="9" t="str">
        <f>IFERROR(__xludf.DUMMYFUNCTION("""COMPUTED_VALUE"""),"Penzenskaya oblast'")</f>
        <v>Penzenskaya oblast'</v>
      </c>
      <c r="B3977" s="9" t="str">
        <f>IFERROR(__xludf.DUMMYFUNCTION("""COMPUTED_VALUE"""),"ru-pnz")</f>
        <v>ru-pnz</v>
      </c>
      <c r="C3977" s="9" t="str">
        <f>IFERROR(__xludf.DUMMYFUNCTION("GOOGLETRANSLATE($A3977,""en"",""de"")"),"Oblast Penzenskaja")</f>
        <v>Oblast Penzenskaja</v>
      </c>
      <c r="D3977" s="9" t="str">
        <f>IFERROR(__xludf.DUMMYFUNCTION("GOOGLETRANSLATE($A3977,""en"",""fr"")"),"Oblast de Penzenskaïa")</f>
        <v>Oblast de Penzenskaïa</v>
      </c>
      <c r="E3977" s="9" t="str">
        <f>IFERROR(__xludf.DUMMYFUNCTION("GOOGLETRANSLATE($A3977,""en"",""es"")"),"Óblast de Penzenskaya")</f>
        <v>Óblast de Penzenskaya</v>
      </c>
      <c r="F3977" s="9" t="str">
        <f>IFERROR(__xludf.DUMMYFUNCTION("GOOGLETRANSLATE($A3977,""en"",""it"")"),"Oblast' di Penzenskaja")</f>
        <v>Oblast' di Penzenskaja</v>
      </c>
      <c r="G3977" s="9" t="str">
        <f>IFERROR(__xludf.DUMMYFUNCTION("GOOGLETRANSLATE($A3977,""en"",""zh-cn"")"),"彭津斯卡亚州")</f>
        <v>彭津斯卡亚州</v>
      </c>
      <c r="H3977" s="9" t="str">
        <f>IFERROR(__xludf.DUMMYFUNCTION("GOOGLETRANSLATE($A3977,""en"",""ja"")"),"ペンゼンスカヤ州」")</f>
        <v>ペンゼンスカヤ州」</v>
      </c>
      <c r="I3977" s="9" t="str">
        <f>IFERROR(__xludf.DUMMYFUNCTION("GOOGLETRANSLATE($A3977,""en"",""ko"")"),"펜젠스카야 오블래스트'")</f>
        <v>펜젠스카야 오블래스트'</v>
      </c>
      <c r="J3977" s="9" t="str">
        <f>IFERROR(__xludf.DUMMYFUNCTION("GOOGLETRANSLATE($A3977,""en"",""pt-BR"")"),"Oblast de Penzenskaia'")</f>
        <v>Oblast de Penzenskaia'</v>
      </c>
    </row>
    <row r="3978">
      <c r="A3978" s="9" t="str">
        <f>IFERROR(__xludf.DUMMYFUNCTION("""COMPUTED_VALUE"""),"Khakasiya, Respublika")</f>
        <v>Khakasiya, Respublika</v>
      </c>
      <c r="B3978" s="9" t="str">
        <f>IFERROR(__xludf.DUMMYFUNCTION("""COMPUTED_VALUE"""),"ru-kk")</f>
        <v>ru-kk</v>
      </c>
      <c r="C3978" s="9" t="str">
        <f>IFERROR(__xludf.DUMMYFUNCTION("GOOGLETRANSLATE($A3978,""en"",""de"")"),"Chakassien, Republika")</f>
        <v>Chakassien, Republika</v>
      </c>
      <c r="D3978" s="9" t="str">
        <f>IFERROR(__xludf.DUMMYFUNCTION("GOOGLETRANSLATE($A3978,""en"",""fr"")"),"Khakasiya, Respublika")</f>
        <v>Khakasiya, Respublika</v>
      </c>
      <c r="E3978" s="9" t="str">
        <f>IFERROR(__xludf.DUMMYFUNCTION("GOOGLETRANSLATE($A3978,""en"",""es"")"),"Khakasiya, República")</f>
        <v>Khakasiya, República</v>
      </c>
      <c r="F3978" s="9" t="str">
        <f>IFERROR(__xludf.DUMMYFUNCTION("GOOGLETRANSLATE($A3978,""en"",""it"")"),"Khakasiya, Repubblica")</f>
        <v>Khakasiya, Repubblica</v>
      </c>
      <c r="G3978" s="9" t="str">
        <f>IFERROR(__xludf.DUMMYFUNCTION("GOOGLETRANSLATE($A3978,""en"",""zh-cn"")"),"哈卡斯共和国")</f>
        <v>哈卡斯共和国</v>
      </c>
      <c r="H3978" s="9" t="str">
        <f>IFERROR(__xludf.DUMMYFUNCTION("GOOGLETRANSLATE($A3978,""en"",""ja"")"),"ハカシヤ、共和国")</f>
        <v>ハカシヤ、共和国</v>
      </c>
      <c r="I3978" s="9" t="str">
        <f>IFERROR(__xludf.DUMMYFUNCTION("GOOGLETRANSLATE($A3978,""en"",""ko"")"),"카카시아, 레스푸블리카")</f>
        <v>카카시아, 레스푸블리카</v>
      </c>
      <c r="J3978" s="9" t="str">
        <f>IFERROR(__xludf.DUMMYFUNCTION("GOOGLETRANSLATE($A3978,""en"",""pt-BR"")"),"Khakasiya, República")</f>
        <v>Khakasiya, República</v>
      </c>
    </row>
    <row r="3979">
      <c r="A3979" s="9" t="str">
        <f>IFERROR(__xludf.DUMMYFUNCTION("""COMPUTED_VALUE"""),"Novosibirskaya oblast'")</f>
        <v>Novosibirskaya oblast'</v>
      </c>
      <c r="B3979" s="9" t="str">
        <f>IFERROR(__xludf.DUMMYFUNCTION("""COMPUTED_VALUE"""),"ru-nvs")</f>
        <v>ru-nvs</v>
      </c>
      <c r="C3979" s="9" t="str">
        <f>IFERROR(__xludf.DUMMYFUNCTION("GOOGLETRANSLATE($A3979,""en"",""de"")"),"Oblast Nowosibirsk")</f>
        <v>Oblast Nowosibirsk</v>
      </c>
      <c r="D3979" s="9" t="str">
        <f>IFERROR(__xludf.DUMMYFUNCTION("GOOGLETRANSLATE($A3979,""en"",""fr"")"),"Oblast de Novossibirskaïa")</f>
        <v>Oblast de Novossibirskaïa</v>
      </c>
      <c r="E3979" s="9" t="str">
        <f>IFERROR(__xludf.DUMMYFUNCTION("GOOGLETRANSLATE($A3979,""en"",""es"")"),"Óblast de Novosibirskaya")</f>
        <v>Óblast de Novosibirskaya</v>
      </c>
      <c r="F3979" s="9" t="str">
        <f>IFERROR(__xludf.DUMMYFUNCTION("GOOGLETRANSLATE($A3979,""en"",""it"")"),"Oblast' di Novosibirskaja")</f>
        <v>Oblast' di Novosibirskaja</v>
      </c>
      <c r="G3979" s="9" t="str">
        <f>IFERROR(__xludf.DUMMYFUNCTION("GOOGLETRANSLATE($A3979,""en"",""zh-cn"")"),"新西伯利亚州")</f>
        <v>新西伯利亚州</v>
      </c>
      <c r="H3979" s="9" t="str">
        <f>IFERROR(__xludf.DUMMYFUNCTION("GOOGLETRANSLATE($A3979,""en"",""ja"")"),"ノヴォシビルスカヤ州」")</f>
        <v>ノヴォシビルスカヤ州」</v>
      </c>
      <c r="I3979" s="9" t="str">
        <f>IFERROR(__xludf.DUMMYFUNCTION("GOOGLETRANSLATE($A3979,""en"",""ko"")"),"노보시비르스카야 오블래스트'")</f>
        <v>노보시비르스카야 오블래스트'</v>
      </c>
      <c r="J3979" s="9" t="str">
        <f>IFERROR(__xludf.DUMMYFUNCTION("GOOGLETRANSLATE($A3979,""en"",""pt-BR"")"),"Oblast de Novosibirskaya'")</f>
        <v>Oblast de Novosibirskaya'</v>
      </c>
    </row>
    <row r="3980">
      <c r="A3980" s="9" t="str">
        <f>IFERROR(__xludf.DUMMYFUNCTION("""COMPUTED_VALUE"""),"Amurskaya oblast'")</f>
        <v>Amurskaya oblast'</v>
      </c>
      <c r="B3980" s="9" t="str">
        <f>IFERROR(__xludf.DUMMYFUNCTION("""COMPUTED_VALUE"""),"ru-amu")</f>
        <v>ru-amu</v>
      </c>
      <c r="C3980" s="9" t="str">
        <f>IFERROR(__xludf.DUMMYFUNCTION("GOOGLETRANSLATE($A3980,""en"",""de"")"),"Oblast Amur")</f>
        <v>Oblast Amur</v>
      </c>
      <c r="D3980" s="9" t="str">
        <f>IFERROR(__xludf.DUMMYFUNCTION("GOOGLETRANSLATE($A3980,""en"",""fr"")"),"Région de l'Amour")</f>
        <v>Région de l'Amour</v>
      </c>
      <c r="E3980" s="9" t="str">
        <f>IFERROR(__xludf.DUMMYFUNCTION("GOOGLETRANSLATE($A3980,""en"",""es"")"),"Óblast de Amur")</f>
        <v>Óblast de Amur</v>
      </c>
      <c r="F3980" s="9" t="str">
        <f>IFERROR(__xludf.DUMMYFUNCTION("GOOGLETRANSLATE($A3980,""en"",""it"")"),"Oblast' dell'Amurskaja")</f>
        <v>Oblast' dell'Amurskaja</v>
      </c>
      <c r="G3980" s="9" t="str">
        <f>IFERROR(__xludf.DUMMYFUNCTION("GOOGLETRANSLATE($A3980,""en"",""zh-cn"")"),"阿穆尔州'")</f>
        <v>阿穆尔州'</v>
      </c>
      <c r="H3980" s="9" t="str">
        <f>IFERROR(__xludf.DUMMYFUNCTION("GOOGLETRANSLATE($A3980,""en"",""ja"")"),"アムールスカヤ州」")</f>
        <v>アムールスカヤ州」</v>
      </c>
      <c r="I3980" s="9" t="str">
        <f>IFERROR(__xludf.DUMMYFUNCTION("GOOGLETRANSLATE($A3980,""en"",""ko"")"),"아무르스카야 오블래스트'")</f>
        <v>아무르스카야 오블래스트'</v>
      </c>
      <c r="J3980" s="9" t="str">
        <f>IFERROR(__xludf.DUMMYFUNCTION("GOOGLETRANSLATE($A3980,""en"",""pt-BR"")"),"Oblast de Amur'")</f>
        <v>Oblast de Amur'</v>
      </c>
    </row>
    <row r="3981">
      <c r="A3981" s="9" t="str">
        <f>IFERROR(__xludf.DUMMYFUNCTION("""COMPUTED_VALUE"""),"Yevreyskaya avtonomnaya oblast'")</f>
        <v>Yevreyskaya avtonomnaya oblast'</v>
      </c>
      <c r="B3981" s="9" t="str">
        <f>IFERROR(__xludf.DUMMYFUNCTION("""COMPUTED_VALUE"""),"ru-yev")</f>
        <v>ru-yev</v>
      </c>
      <c r="C3981" s="9" t="str">
        <f>IFERROR(__xludf.DUMMYFUNCTION("GOOGLETRANSLATE($A3981,""en"",""de"")"),"Jewreyskaja awtonomnaja oblast")</f>
        <v>Jewreyskaja awtonomnaja oblast</v>
      </c>
      <c r="D3981" s="9" t="str">
        <f>IFERROR(__xludf.DUMMYFUNCTION("GOOGLETRANSLATE($A3981,""en"",""fr"")"),"Région d'Evreyskaya avtonomnaya'")</f>
        <v>Région d'Evreyskaya avtonomnaya'</v>
      </c>
      <c r="E3981" s="9" t="str">
        <f>IFERROR(__xludf.DUMMYFUNCTION("GOOGLETRANSLATE($A3981,""en"",""es"")"),"Óblast de Yevreyskaya avtonomnaya")</f>
        <v>Óblast de Yevreyskaya avtonomnaya</v>
      </c>
      <c r="F3981" s="9" t="str">
        <f>IFERROR(__xludf.DUMMYFUNCTION("GOOGLETRANSLATE($A3981,""en"",""it"")"),"Yevreyskaya avtonomnaya oblast'")</f>
        <v>Yevreyskaya avtonomnaya oblast'</v>
      </c>
      <c r="G3981" s="9" t="str">
        <f>IFERROR(__xludf.DUMMYFUNCTION("GOOGLETRANSLATE($A3981,""en"",""zh-cn"")"),"叶夫雷斯卡亚阿夫托诺姆纳亚州")</f>
        <v>叶夫雷斯卡亚阿夫托诺姆纳亚州</v>
      </c>
      <c r="H3981" s="9" t="str">
        <f>IFERROR(__xludf.DUMMYFUNCTION("GOOGLETRANSLATE($A3981,""en"",""ja"")"),"エヴレイスカヤ・アフトノムナヤ州」")</f>
        <v>エヴレイスカヤ・アフトノムナヤ州」</v>
      </c>
      <c r="I3981" s="9" t="str">
        <f>IFERROR(__xludf.DUMMYFUNCTION("GOOGLETRANSLATE($A3981,""en"",""ko"")"),"예브레이스카야 아브토놈나야 오블라스트'")</f>
        <v>예브레이스카야 아브토놈나야 오블라스트'</v>
      </c>
      <c r="J3981" s="9" t="str">
        <f>IFERROR(__xludf.DUMMYFUNCTION("GOOGLETRANSLATE($A3981,""en"",""pt-BR"")"),"Oblast de Yevreyskaya Avtonomnaya'")</f>
        <v>Oblast de Yevreyskaya Avtonomnaya'</v>
      </c>
    </row>
    <row r="3982">
      <c r="A3982" s="9" t="str">
        <f>IFERROR(__xludf.DUMMYFUNCTION("""COMPUTED_VALUE"""),"Chelyabinskaya oblast'")</f>
        <v>Chelyabinskaya oblast'</v>
      </c>
      <c r="B3982" s="9" t="str">
        <f>IFERROR(__xludf.DUMMYFUNCTION("""COMPUTED_VALUE"""),"ru-che")</f>
        <v>ru-che</v>
      </c>
      <c r="C3982" s="9" t="str">
        <f>IFERROR(__xludf.DUMMYFUNCTION("GOOGLETRANSLATE($A3982,""en"",""de"")"),"Oblast Tscheljabinskaja")</f>
        <v>Oblast Tscheljabinskaja</v>
      </c>
      <c r="D3982" s="9" t="str">
        <f>IFERROR(__xludf.DUMMYFUNCTION("GOOGLETRANSLATE($A3982,""en"",""fr"")"),"Oblast de Tcheliabinskaïa")</f>
        <v>Oblast de Tcheliabinskaïa</v>
      </c>
      <c r="E3982" s="9" t="str">
        <f>IFERROR(__xludf.DUMMYFUNCTION("GOOGLETRANSLATE($A3982,""en"",""es"")"),"Óblast de Cheliábinskaya")</f>
        <v>Óblast de Cheliábinskaya</v>
      </c>
      <c r="F3982" s="9" t="str">
        <f>IFERROR(__xludf.DUMMYFUNCTION("GOOGLETRANSLATE($A3982,""en"",""it"")"),"Oblast' di Čeljabinskaja'")</f>
        <v>Oblast' di Čeljabinskaja'</v>
      </c>
      <c r="G3982" s="9" t="str">
        <f>IFERROR(__xludf.DUMMYFUNCTION("GOOGLETRANSLATE($A3982,""en"",""zh-cn"")"),"车里雅宾州")</f>
        <v>车里雅宾州</v>
      </c>
      <c r="H3982" s="9" t="str">
        <f>IFERROR(__xludf.DUMMYFUNCTION("GOOGLETRANSLATE($A3982,""en"",""ja"")"),"チェリャビンスカヤ州」")</f>
        <v>チェリャビンスカヤ州」</v>
      </c>
      <c r="I3982" s="9" t="str">
        <f>IFERROR(__xludf.DUMMYFUNCTION("GOOGLETRANSLATE($A3982,""en"",""ko"")"),"첼랴빈스카야 오블래스트'")</f>
        <v>첼랴빈스카야 오블래스트'</v>
      </c>
      <c r="J3982" s="9" t="str">
        <f>IFERROR(__xludf.DUMMYFUNCTION("GOOGLETRANSLATE($A3982,""en"",""pt-BR"")"),"Oblast de Cheliabinska'")</f>
        <v>Oblast de Cheliabinska'</v>
      </c>
    </row>
    <row r="3983">
      <c r="A3983" s="9" t="str">
        <f>IFERROR(__xludf.DUMMYFUNCTION("""COMPUTED_VALUE"""),"Altayskiy kray")</f>
        <v>Altayskiy kray</v>
      </c>
      <c r="B3983" s="9" t="str">
        <f>IFERROR(__xludf.DUMMYFUNCTION("""COMPUTED_VALUE"""),"ru-alt")</f>
        <v>ru-alt</v>
      </c>
      <c r="C3983" s="9" t="str">
        <f>IFERROR(__xludf.DUMMYFUNCTION("GOOGLETRANSLATE($A3983,""en"",""de"")"),"Altayskiy Kray")</f>
        <v>Altayskiy Kray</v>
      </c>
      <c r="D3983" s="9" t="str">
        <f>IFERROR(__xludf.DUMMYFUNCTION("GOOGLETRANSLATE($A3983,""en"",""fr"")"),"Kraï de l'Altaïski")</f>
        <v>Kraï de l'Altaïski</v>
      </c>
      <c r="E3983" s="9" t="str">
        <f>IFERROR(__xludf.DUMMYFUNCTION("GOOGLETRANSLATE($A3983,""en"",""es"")"),"Krai de Altayski")</f>
        <v>Krai de Altayski</v>
      </c>
      <c r="F3983" s="9" t="str">
        <f>IFERROR(__xludf.DUMMYFUNCTION("GOOGLETRANSLATE($A3983,""en"",""it"")"),"Altayskiy Kray")</f>
        <v>Altayskiy Kray</v>
      </c>
      <c r="G3983" s="9" t="str">
        <f>IFERROR(__xludf.DUMMYFUNCTION("GOOGLETRANSLATE($A3983,""en"",""zh-cn"")"),"阿勒泰边疆区")</f>
        <v>阿勒泰边疆区</v>
      </c>
      <c r="H3983" s="9" t="str">
        <f>IFERROR(__xludf.DUMMYFUNCTION("GOOGLETRANSLATE($A3983,""en"",""ja"")"),"アルタイスキー地方")</f>
        <v>アルタイスキー地方</v>
      </c>
      <c r="I3983" s="9" t="str">
        <f>IFERROR(__xludf.DUMMYFUNCTION("GOOGLETRANSLATE($A3983,""en"",""ko"")"),"알타이스키 크레이")</f>
        <v>알타이스키 크레이</v>
      </c>
      <c r="J3983" s="9" t="str">
        <f>IFERROR(__xludf.DUMMYFUNCTION("GOOGLETRANSLATE($A3983,""en"",""pt-BR"")"),"Krai de Altai")</f>
        <v>Krai de Altai</v>
      </c>
    </row>
    <row r="3984">
      <c r="A3984" s="9" t="str">
        <f>IFERROR(__xludf.DUMMYFUNCTION("""COMPUTED_VALUE"""),"Tyva, Respublika [Tuva]")</f>
        <v>Tyva, Respublika [Tuva]</v>
      </c>
      <c r="B3984" s="9" t="str">
        <f>IFERROR(__xludf.DUMMYFUNCTION("""COMPUTED_VALUE"""),"ru-ty")</f>
        <v>ru-ty</v>
      </c>
      <c r="C3984" s="9" t="str">
        <f>IFERROR(__xludf.DUMMYFUNCTION("GOOGLETRANSLATE($A3984,""en"",""de"")"),"Tyva, Respublika [Tuva]")</f>
        <v>Tyva, Respublika [Tuva]</v>
      </c>
      <c r="D3984" s="9" t="str">
        <f>IFERROR(__xludf.DUMMYFUNCTION("GOOGLETRANSLATE($A3984,""en"",""fr"")"),"Tyva, Respublika [Touva]")</f>
        <v>Tyva, Respublika [Touva]</v>
      </c>
      <c r="E3984" s="9" t="str">
        <f>IFERROR(__xludf.DUMMYFUNCTION("GOOGLETRANSLATE($A3984,""en"",""es"")"),"Tuvá, República [Tuvá]")</f>
        <v>Tuvá, República [Tuvá]</v>
      </c>
      <c r="F3984" s="9" t="str">
        <f>IFERROR(__xludf.DUMMYFUNCTION("GOOGLETRANSLATE($A3984,""en"",""it"")"),"Tyva, Respublika [Tuva]")</f>
        <v>Tyva, Respublika [Tuva]</v>
      </c>
      <c r="G3984" s="9" t="str">
        <f>IFERROR(__xludf.DUMMYFUNCTION("GOOGLETRANSLATE($A3984,""en"",""zh-cn"")"),"图瓦共和国 [图瓦]")</f>
        <v>图瓦共和国 [图瓦]</v>
      </c>
      <c r="H3984" s="9" t="str">
        <f>IFERROR(__xludf.DUMMYFUNCTION("GOOGLETRANSLATE($A3984,""en"",""ja"")"),"Tyva, Respublika [トゥヴァ]")</f>
        <v>Tyva, Respublika [トゥヴァ]</v>
      </c>
      <c r="I3984" s="9" t="str">
        <f>IFERROR(__xludf.DUMMYFUNCTION("GOOGLETRANSLATE($A3984,""en"",""ko"")"),"티바, Respublika [투바]")</f>
        <v>티바, Respublika [투바]</v>
      </c>
      <c r="J3984" s="9" t="str">
        <f>IFERROR(__xludf.DUMMYFUNCTION("GOOGLETRANSLATE($A3984,""en"",""pt-BR"")"),"Tyva, República [Tuva]")</f>
        <v>Tyva, República [Tuva]</v>
      </c>
    </row>
    <row r="3985">
      <c r="A3985" s="9" t="str">
        <f>IFERROR(__xludf.DUMMYFUNCTION("""COMPUTED_VALUE"""),"Novgorodskaya oblast'")</f>
        <v>Novgorodskaya oblast'</v>
      </c>
      <c r="B3985" s="9" t="str">
        <f>IFERROR(__xludf.DUMMYFUNCTION("""COMPUTED_VALUE"""),"ru-ngr")</f>
        <v>ru-ngr</v>
      </c>
      <c r="C3985" s="9" t="str">
        <f>IFERROR(__xludf.DUMMYFUNCTION("GOOGLETRANSLATE($A3985,""en"",""de"")"),"Oblast Nowgorod")</f>
        <v>Oblast Nowgorod</v>
      </c>
      <c r="D3985" s="9" t="str">
        <f>IFERROR(__xludf.DUMMYFUNCTION("GOOGLETRANSLATE($A3985,""en"",""fr"")"),"Oblast de Novgorod")</f>
        <v>Oblast de Novgorod</v>
      </c>
      <c r="E3985" s="9" t="str">
        <f>IFERROR(__xludf.DUMMYFUNCTION("GOOGLETRANSLATE($A3985,""en"",""es"")"),"Óblast de Nóvgorod")</f>
        <v>Óblast de Nóvgorod</v>
      </c>
      <c r="F3985" s="9" t="str">
        <f>IFERROR(__xludf.DUMMYFUNCTION("GOOGLETRANSLATE($A3985,""en"",""it"")"),"Oblast' di Novgorodskaja")</f>
        <v>Oblast' di Novgorodskaja</v>
      </c>
      <c r="G3985" s="9" t="str">
        <f>IFERROR(__xludf.DUMMYFUNCTION("GOOGLETRANSLATE($A3985,""en"",""zh-cn"")"),"诺夫哥罗德州")</f>
        <v>诺夫哥罗德州</v>
      </c>
      <c r="H3985" s="9" t="str">
        <f>IFERROR(__xludf.DUMMYFUNCTION("GOOGLETRANSLATE($A3985,""en"",""ja"")"),"ノヴゴロツカヤ州」")</f>
        <v>ノヴゴロツカヤ州」</v>
      </c>
      <c r="I3985" s="9" t="str">
        <f>IFERROR(__xludf.DUMMYFUNCTION("GOOGLETRANSLATE($A3985,""en"",""ko"")"),"노브고로드스카야 오블래스트'")</f>
        <v>노브고로드스카야 오블래스트'</v>
      </c>
      <c r="J3985" s="9" t="str">
        <f>IFERROR(__xludf.DUMMYFUNCTION("GOOGLETRANSLATE($A3985,""en"",""pt-BR"")"),"Oblast de Novgorodskaia'")</f>
        <v>Oblast de Novgorodskaia'</v>
      </c>
    </row>
    <row r="3986">
      <c r="A3986" s="9" t="str">
        <f>IFERROR(__xludf.DUMMYFUNCTION("""COMPUTED_VALUE"""),"Sverdlovskaya oblast'")</f>
        <v>Sverdlovskaya oblast'</v>
      </c>
      <c r="B3986" s="9" t="str">
        <f>IFERROR(__xludf.DUMMYFUNCTION("""COMPUTED_VALUE"""),"ru-sve")</f>
        <v>ru-sve</v>
      </c>
      <c r="C3986" s="9" t="str">
        <f>IFERROR(__xludf.DUMMYFUNCTION("GOOGLETRANSLATE($A3986,""en"",""de"")"),"Oblast Swerdlowsk")</f>
        <v>Oblast Swerdlowsk</v>
      </c>
      <c r="D3986" s="9" t="str">
        <f>IFERROR(__xludf.DUMMYFUNCTION("GOOGLETRANSLATE($A3986,""en"",""fr"")"),"Oblast de Sverdlovskaïa")</f>
        <v>Oblast de Sverdlovskaïa</v>
      </c>
      <c r="E3986" s="9" t="str">
        <f>IFERROR(__xludf.DUMMYFUNCTION("GOOGLETRANSLATE($A3986,""en"",""es"")"),"Óblast de Sverdlovskaya")</f>
        <v>Óblast de Sverdlovskaya</v>
      </c>
      <c r="F3986" s="9" t="str">
        <f>IFERROR(__xludf.DUMMYFUNCTION("GOOGLETRANSLATE($A3986,""en"",""it"")"),"Oblast' di Sverdlovskaja'")</f>
        <v>Oblast' di Sverdlovskaja'</v>
      </c>
      <c r="G3986" s="9" t="str">
        <f>IFERROR(__xludf.DUMMYFUNCTION("GOOGLETRANSLATE($A3986,""en"",""zh-cn"")"),"斯维尔德洛夫州")</f>
        <v>斯维尔德洛夫州</v>
      </c>
      <c r="H3986" s="9" t="str">
        <f>IFERROR(__xludf.DUMMYFUNCTION("GOOGLETRANSLATE($A3986,""en"",""ja"")"),"スヴェルドロフスカヤ州」")</f>
        <v>スヴェルドロフスカヤ州」</v>
      </c>
      <c r="I3986" s="9" t="str">
        <f>IFERROR(__xludf.DUMMYFUNCTION("GOOGLETRANSLATE($A3986,""en"",""ko"")"),"스베르들로프스카야 오블래스트'")</f>
        <v>스베르들로프스카야 오블래스트'</v>
      </c>
      <c r="J3986" s="9" t="str">
        <f>IFERROR(__xludf.DUMMYFUNCTION("GOOGLETRANSLATE($A3986,""en"",""pt-BR"")"),"Oblast de Sverdlovskaia'")</f>
        <v>Oblast de Sverdlovskaia'</v>
      </c>
    </row>
    <row r="3987">
      <c r="A3987" s="9" t="str">
        <f>IFERROR(__xludf.DUMMYFUNCTION("""COMPUTED_VALUE"""),"Vologodskaya oblast'")</f>
        <v>Vologodskaya oblast'</v>
      </c>
      <c r="B3987" s="9" t="str">
        <f>IFERROR(__xludf.DUMMYFUNCTION("""COMPUTED_VALUE"""),"ru-vlg")</f>
        <v>ru-vlg</v>
      </c>
      <c r="C3987" s="9" t="str">
        <f>IFERROR(__xludf.DUMMYFUNCTION("GOOGLETRANSLATE($A3987,""en"",""de"")"),"Oblast Wologodskaja")</f>
        <v>Oblast Wologodskaja</v>
      </c>
      <c r="D3987" s="9" t="str">
        <f>IFERROR(__xludf.DUMMYFUNCTION("GOOGLETRANSLATE($A3987,""en"",""fr"")"),"Oblast de Vologodskaïa")</f>
        <v>Oblast de Vologodskaïa</v>
      </c>
      <c r="E3987" s="9" t="str">
        <f>IFERROR(__xludf.DUMMYFUNCTION("GOOGLETRANSLATE($A3987,""en"",""es"")"),"Óblast de Vologodskaya")</f>
        <v>Óblast de Vologodskaya</v>
      </c>
      <c r="F3987" s="9" t="str">
        <f>IFERROR(__xludf.DUMMYFUNCTION("GOOGLETRANSLATE($A3987,""en"",""it"")"),"Oblast' di Vologodskaja")</f>
        <v>Oblast' di Vologodskaja</v>
      </c>
      <c r="G3987" s="9" t="str">
        <f>IFERROR(__xludf.DUMMYFUNCTION("GOOGLETRANSLATE($A3987,""en"",""zh-cn"")"),"沃洛戈德州")</f>
        <v>沃洛戈德州</v>
      </c>
      <c r="H3987" s="9" t="str">
        <f>IFERROR(__xludf.DUMMYFUNCTION("GOOGLETRANSLATE($A3987,""en"",""ja"")"),"ヴォロゴドスカヤ州」")</f>
        <v>ヴォロゴドスカヤ州」</v>
      </c>
      <c r="I3987" s="9" t="str">
        <f>IFERROR(__xludf.DUMMYFUNCTION("GOOGLETRANSLATE($A3987,""en"",""ko"")"),"볼로고드스카야 주'")</f>
        <v>볼로고드스카야 주'</v>
      </c>
      <c r="J3987" s="9" t="str">
        <f>IFERROR(__xludf.DUMMYFUNCTION("GOOGLETRANSLATE($A3987,""en"",""pt-BR"")"),"Oblast de Vologodskaia'")</f>
        <v>Oblast de Vologodskaia'</v>
      </c>
    </row>
    <row r="3988">
      <c r="A3988" s="9" t="str">
        <f>IFERROR(__xludf.DUMMYFUNCTION("""COMPUTED_VALUE"""),"Chukotskiy avtonomnyy okrug")</f>
        <v>Chukotskiy avtonomnyy okrug</v>
      </c>
      <c r="B3988" s="9" t="str">
        <f>IFERROR(__xludf.DUMMYFUNCTION("""COMPUTED_VALUE"""),"ru-chu")</f>
        <v>ru-chu</v>
      </c>
      <c r="C3988" s="9" t="str">
        <f>IFERROR(__xludf.DUMMYFUNCTION("GOOGLETRANSLATE($A3988,""en"",""de"")"),"Chukotskiy avtonomnyy okrug")</f>
        <v>Chukotskiy avtonomnyy okrug</v>
      </c>
      <c r="D3988" s="9" t="str">
        <f>IFERROR(__xludf.DUMMYFUNCTION("GOOGLETRANSLATE($A3988,""en"",""fr"")"),"Okrug avtonomnyy tchoukotski")</f>
        <v>Okrug avtonomnyy tchoukotski</v>
      </c>
      <c r="E3988" s="9" t="str">
        <f>IFERROR(__xludf.DUMMYFUNCTION("GOOGLETRANSLATE($A3988,""en"",""es"")"),"Chukotskiy avtonomnyy okrug")</f>
        <v>Chukotskiy avtonomnyy okrug</v>
      </c>
      <c r="F3988" s="9" t="str">
        <f>IFERROR(__xludf.DUMMYFUNCTION("GOOGLETRANSLATE($A3988,""en"",""it"")"),"Chukotskiy avtonomnyy okrug")</f>
        <v>Chukotskiy avtonomnyy okrug</v>
      </c>
      <c r="G3988" s="9" t="str">
        <f>IFERROR(__xludf.DUMMYFUNCTION("GOOGLETRANSLATE($A3988,""en"",""zh-cn"")"),"楚科奇自治区")</f>
        <v>楚科奇自治区</v>
      </c>
      <c r="H3988" s="9" t="str">
        <f>IFERROR(__xludf.DUMMYFUNCTION("GOOGLETRANSLATE($A3988,""en"",""ja"")"),"チュコトスキー・アフトノムヌイ・オクルグ")</f>
        <v>チュコトスキー・アフトノムヌイ・オクルグ</v>
      </c>
      <c r="I3988" s="9" t="str">
        <f>IFERROR(__xludf.DUMMYFUNCTION("GOOGLETRANSLATE($A3988,""en"",""ko"")"),"Chukotskiy avtonomnyy okrug")</f>
        <v>Chukotskiy avtonomnyy okrug</v>
      </c>
      <c r="J3988" s="9" t="str">
        <f>IFERROR(__xludf.DUMMYFUNCTION("GOOGLETRANSLATE($A3988,""en"",""pt-BR"")"),"Chukotskiy avtonomnyy okrug")</f>
        <v>Chukotskiy avtonomnyy okrug</v>
      </c>
    </row>
    <row r="3989">
      <c r="A3989" s="9" t="str">
        <f>IFERROR(__xludf.DUMMYFUNCTION("""COMPUTED_VALUE"""),"Buryatiya, Respublika")</f>
        <v>Buryatiya, Respublika</v>
      </c>
      <c r="B3989" s="9" t="str">
        <f>IFERROR(__xludf.DUMMYFUNCTION("""COMPUTED_VALUE"""),"ru-bu")</f>
        <v>ru-bu</v>
      </c>
      <c r="C3989" s="9" t="str">
        <f>IFERROR(__xludf.DUMMYFUNCTION("GOOGLETRANSLATE($A3989,""en"",""de"")"),"Burjatien, Republika")</f>
        <v>Burjatien, Republika</v>
      </c>
      <c r="D3989" s="9" t="str">
        <f>IFERROR(__xludf.DUMMYFUNCTION("GOOGLETRANSLATE($A3989,""en"",""fr"")"),"Bouriatie, Respublika")</f>
        <v>Bouriatie, Respublika</v>
      </c>
      <c r="E3989" s="9" t="str">
        <f>IFERROR(__xludf.DUMMYFUNCTION("GOOGLETRANSLATE($A3989,""en"",""es"")"),"Buriatia, República")</f>
        <v>Buriatia, República</v>
      </c>
      <c r="F3989" s="9" t="str">
        <f>IFERROR(__xludf.DUMMYFUNCTION("GOOGLETRANSLATE($A3989,""en"",""it"")"),"Buriazia, Repubblica")</f>
        <v>Buriazia, Repubblica</v>
      </c>
      <c r="G3989" s="9" t="str">
        <f>IFERROR(__xludf.DUMMYFUNCTION("GOOGLETRANSLATE($A3989,""en"",""zh-cn"")"),"布里亚特共和国")</f>
        <v>布里亚特共和国</v>
      </c>
      <c r="H3989" s="9" t="str">
        <f>IFERROR(__xludf.DUMMYFUNCTION("GOOGLETRANSLATE($A3989,""en"",""ja"")"),"ブリヤート共和国、共和国")</f>
        <v>ブリヤート共和国、共和国</v>
      </c>
      <c r="I3989" s="9" t="str">
        <f>IFERROR(__xludf.DUMMYFUNCTION("GOOGLETRANSLATE($A3989,""en"",""ko"")"),"부랴티야, 레스푸블리카")</f>
        <v>부랴티야, 레스푸블리카</v>
      </c>
      <c r="J3989" s="9" t="str">
        <f>IFERROR(__xludf.DUMMYFUNCTION("GOOGLETRANSLATE($A3989,""en"",""pt-BR"")"),"Buriácia, República")</f>
        <v>Buriácia, República</v>
      </c>
    </row>
    <row r="3990">
      <c r="A3990" s="9" t="str">
        <f>IFERROR(__xludf.DUMMYFUNCTION("""COMPUTED_VALUE"""),"Tomskaya oblast'")</f>
        <v>Tomskaya oblast'</v>
      </c>
      <c r="B3990" s="9" t="str">
        <f>IFERROR(__xludf.DUMMYFUNCTION("""COMPUTED_VALUE"""),"ru-tom")</f>
        <v>ru-tom</v>
      </c>
      <c r="C3990" s="9" t="str">
        <f>IFERROR(__xludf.DUMMYFUNCTION("GOOGLETRANSLATE($A3990,""en"",""de"")"),"Oblast Tomskaja")</f>
        <v>Oblast Tomskaja</v>
      </c>
      <c r="D3990" s="9" t="str">
        <f>IFERROR(__xludf.DUMMYFUNCTION("GOOGLETRANSLATE($A3990,""en"",""fr"")"),"Oblast de Tomskaïa")</f>
        <v>Oblast de Tomskaïa</v>
      </c>
      <c r="E3990" s="9" t="str">
        <f>IFERROR(__xludf.DUMMYFUNCTION("GOOGLETRANSLATE($A3990,""en"",""es"")"),"Óblast de Tomskaya")</f>
        <v>Óblast de Tomskaya</v>
      </c>
      <c r="F3990" s="9" t="str">
        <f>IFERROR(__xludf.DUMMYFUNCTION("GOOGLETRANSLATE($A3990,""en"",""it"")"),"Oblast' di Tomskaja")</f>
        <v>Oblast' di Tomskaja</v>
      </c>
      <c r="G3990" s="9" t="str">
        <f>IFERROR(__xludf.DUMMYFUNCTION("GOOGLETRANSLATE($A3990,""en"",""zh-cn"")"),"托木斯克州")</f>
        <v>托木斯克州</v>
      </c>
      <c r="H3990" s="9" t="str">
        <f>IFERROR(__xludf.DUMMYFUNCTION("GOOGLETRANSLATE($A3990,""en"",""ja"")"),"トムスカヤ州」")</f>
        <v>トムスカヤ州」</v>
      </c>
      <c r="I3990" s="9" t="str">
        <f>IFERROR(__xludf.DUMMYFUNCTION("GOOGLETRANSLATE($A3990,""en"",""ko"")"),"톰스카야 오블래스트'")</f>
        <v>톰스카야 오블래스트'</v>
      </c>
      <c r="J3990" s="9" t="str">
        <f>IFERROR(__xludf.DUMMYFUNCTION("GOOGLETRANSLATE($A3990,""en"",""pt-BR"")"),"Oblast de Tomskaia'")</f>
        <v>Oblast de Tomskaia'</v>
      </c>
    </row>
    <row r="3991">
      <c r="A3991" s="9" t="str">
        <f>IFERROR(__xludf.DUMMYFUNCTION("""COMPUTED_VALUE"""),"Mordoviya, Respublika")</f>
        <v>Mordoviya, Respublika</v>
      </c>
      <c r="B3991" s="9" t="str">
        <f>IFERROR(__xludf.DUMMYFUNCTION("""COMPUTED_VALUE"""),"ru-mo")</f>
        <v>ru-mo</v>
      </c>
      <c r="C3991" s="9" t="str">
        <f>IFERROR(__xludf.DUMMYFUNCTION("GOOGLETRANSLATE($A3991,""en"",""de"")"),"Mordwinien, Republika")</f>
        <v>Mordwinien, Republika</v>
      </c>
      <c r="D3991" s="9" t="str">
        <f>IFERROR(__xludf.DUMMYFUNCTION("GOOGLETRANSLATE($A3991,""en"",""fr"")"),"Mordovie, Respublika")</f>
        <v>Mordovie, Respublika</v>
      </c>
      <c r="E3991" s="9" t="str">
        <f>IFERROR(__xludf.DUMMYFUNCTION("GOOGLETRANSLATE($A3991,""en"",""es"")"),"Mordovia, República")</f>
        <v>Mordovia, República</v>
      </c>
      <c r="F3991" s="9" t="str">
        <f>IFERROR(__xludf.DUMMYFUNCTION("GOOGLETRANSLATE($A3991,""en"",""it"")"),"Mordovia, Repubblica")</f>
        <v>Mordovia, Repubblica</v>
      </c>
      <c r="G3991" s="9" t="str">
        <f>IFERROR(__xludf.DUMMYFUNCTION("GOOGLETRANSLATE($A3991,""en"",""zh-cn"")"),"莫尔多维亚共和国")</f>
        <v>莫尔多维亚共和国</v>
      </c>
      <c r="H3991" s="9" t="str">
        <f>IFERROR(__xludf.DUMMYFUNCTION("GOOGLETRANSLATE($A3991,""en"",""ja"")"),"モルドヴィヤ、共和国")</f>
        <v>モルドヴィヤ、共和国</v>
      </c>
      <c r="I3991" s="9" t="str">
        <f>IFERROR(__xludf.DUMMYFUNCTION("GOOGLETRANSLATE($A3991,""en"",""ko"")"),"모르도비야, 레스푸블리카")</f>
        <v>모르도비야, 레스푸블리카</v>
      </c>
      <c r="J3991" s="9" t="str">
        <f>IFERROR(__xludf.DUMMYFUNCTION("GOOGLETRANSLATE($A3991,""en"",""pt-BR"")"),"Mordóvia, República")</f>
        <v>Mordóvia, República</v>
      </c>
    </row>
    <row r="3992">
      <c r="A3992" s="9" t="str">
        <f>IFERROR(__xludf.DUMMYFUNCTION("""COMPUTED_VALUE"""),"Krasnoyarskiy kray")</f>
        <v>Krasnoyarskiy kray</v>
      </c>
      <c r="B3992" s="9" t="str">
        <f>IFERROR(__xludf.DUMMYFUNCTION("""COMPUTED_VALUE"""),"ru-kya")</f>
        <v>ru-kya</v>
      </c>
      <c r="C3992" s="9" t="str">
        <f>IFERROR(__xludf.DUMMYFUNCTION("GOOGLETRANSLATE($A3992,""en"",""de"")"),"Krasnojarskiy Kray")</f>
        <v>Krasnojarskiy Kray</v>
      </c>
      <c r="D3992" s="9" t="str">
        <f>IFERROR(__xludf.DUMMYFUNCTION("GOOGLETRANSLATE($A3992,""en"",""fr"")"),"Kraï de Krasnoïarski")</f>
        <v>Kraï de Krasnoïarski</v>
      </c>
      <c r="E3992" s="9" t="str">
        <f>IFERROR(__xludf.DUMMYFUNCTION("GOOGLETRANSLATE($A3992,""en"",""es"")"),"Krasnoyarskiy Krai")</f>
        <v>Krasnoyarskiy Krai</v>
      </c>
      <c r="F3992" s="9" t="str">
        <f>IFERROR(__xludf.DUMMYFUNCTION("GOOGLETRANSLATE($A3992,""en"",""it"")"),"Krasnoyarskiy kray")</f>
        <v>Krasnoyarskiy kray</v>
      </c>
      <c r="G3992" s="9" t="str">
        <f>IFERROR(__xludf.DUMMYFUNCTION("GOOGLETRANSLATE($A3992,""en"",""zh-cn"")"),"克拉斯诺亚尔斯克边疆区")</f>
        <v>克拉斯诺亚尔斯克边疆区</v>
      </c>
      <c r="H3992" s="9" t="str">
        <f>IFERROR(__xludf.DUMMYFUNCTION("GOOGLETRANSLATE($A3992,""en"",""ja"")"),"クラスノヤルスキー地方")</f>
        <v>クラスノヤルスキー地方</v>
      </c>
      <c r="I3992" s="9" t="str">
        <f>IFERROR(__xludf.DUMMYFUNCTION("GOOGLETRANSLATE($A3992,""en"",""ko"")"),"크라스노야르스키 크레이")</f>
        <v>크라스노야르스키 크레이</v>
      </c>
      <c r="J3992" s="9" t="str">
        <f>IFERROR(__xludf.DUMMYFUNCTION("GOOGLETRANSLATE($A3992,""en"",""pt-BR"")"),"Krasnoyarskiy kray")</f>
        <v>Krasnoyarskiy kray</v>
      </c>
    </row>
    <row r="3993">
      <c r="A3993" s="9" t="str">
        <f>IFERROR(__xludf.DUMMYFUNCTION("""COMPUTED_VALUE"""),"Karachayevo-Cherkesskaya Respublika")</f>
        <v>Karachayevo-Cherkesskaya Respublika</v>
      </c>
      <c r="B3993" s="9" t="str">
        <f>IFERROR(__xludf.DUMMYFUNCTION("""COMPUTED_VALUE"""),"ru-kc")</f>
        <v>ru-kc</v>
      </c>
      <c r="C3993" s="9" t="str">
        <f>IFERROR(__xludf.DUMMYFUNCTION("GOOGLETRANSLATE($A3993,""en"",""de"")"),"Karatschajew-Tscherkesskaja Respublika")</f>
        <v>Karatschajew-Tscherkesskaja Respublika</v>
      </c>
      <c r="D3993" s="9" t="str">
        <f>IFERROR(__xludf.DUMMYFUNCTION("GOOGLETRANSLATE($A3993,""en"",""fr"")"),"Karatchaïevo-Tcherkesskaïa Respublika")</f>
        <v>Karatchaïevo-Tcherkesskaïa Respublika</v>
      </c>
      <c r="E3993" s="9" t="str">
        <f>IFERROR(__xludf.DUMMYFUNCTION("GOOGLETRANSLATE($A3993,""en"",""es"")"),"República de Karacháyevo-Cherkesskaya")</f>
        <v>República de Karacháyevo-Cherkesskaya</v>
      </c>
      <c r="F3993" s="9" t="str">
        <f>IFERROR(__xludf.DUMMYFUNCTION("GOOGLETRANSLATE($A3993,""en"",""it"")"),"Respublika Karaciaevo-Cherkesskaja")</f>
        <v>Respublika Karaciaevo-Cherkesskaja</v>
      </c>
      <c r="G3993" s="9" t="str">
        <f>IFERROR(__xludf.DUMMYFUNCTION("GOOGLETRANSLATE($A3993,""en"",""zh-cn"")"),"卡拉恰耶沃-切尔克斯共和国")</f>
        <v>卡拉恰耶沃-切尔克斯共和国</v>
      </c>
      <c r="H3993" s="9" t="str">
        <f>IFERROR(__xludf.DUMMYFUNCTION("GOOGLETRANSLATE($A3993,""en"",""ja"")"),"カラチャエヴォ・チェルケスカヤ共和国")</f>
        <v>カラチャエヴォ・チェルケスカヤ共和国</v>
      </c>
      <c r="I3993" s="9" t="str">
        <f>IFERROR(__xludf.DUMMYFUNCTION("GOOGLETRANSLATE($A3993,""en"",""ko"")"),"카라차예보-체르케스카야 레스푸블리카")</f>
        <v>카라차예보-체르케스카야 레스푸블리카</v>
      </c>
      <c r="J3993" s="9" t="str">
        <f>IFERROR(__xludf.DUMMYFUNCTION("GOOGLETRANSLATE($A3993,""en"",""pt-BR"")"),"República Karachayevo-Cherkesskaia")</f>
        <v>República Karachayevo-Cherkesskaia</v>
      </c>
    </row>
    <row r="3994">
      <c r="A3994" s="9" t="str">
        <f>IFERROR(__xludf.DUMMYFUNCTION("""COMPUTED_VALUE"""),"Lipetskaya oblast'")</f>
        <v>Lipetskaya oblast'</v>
      </c>
      <c r="B3994" s="9" t="str">
        <f>IFERROR(__xludf.DUMMYFUNCTION("""COMPUTED_VALUE"""),"ru-lip")</f>
        <v>ru-lip</v>
      </c>
      <c r="C3994" s="9" t="str">
        <f>IFERROR(__xludf.DUMMYFUNCTION("GOOGLETRANSLATE($A3994,""en"",""de"")"),"Oblast Lipezkaja")</f>
        <v>Oblast Lipezkaja</v>
      </c>
      <c r="D3994" s="9" t="str">
        <f>IFERROR(__xludf.DUMMYFUNCTION("GOOGLETRANSLATE($A3994,""en"",""fr"")"),"Oblast de Lipetskaya")</f>
        <v>Oblast de Lipetskaya</v>
      </c>
      <c r="E3994" s="9" t="str">
        <f>IFERROR(__xludf.DUMMYFUNCTION("GOOGLETRANSLATE($A3994,""en"",""es"")"),"Óblast de Lípetskaya")</f>
        <v>Óblast de Lípetskaya</v>
      </c>
      <c r="F3994" s="9" t="str">
        <f>IFERROR(__xludf.DUMMYFUNCTION("GOOGLETRANSLATE($A3994,""en"",""it"")"),"Oblast' di Lipetskaya'")</f>
        <v>Oblast' di Lipetskaya'</v>
      </c>
      <c r="G3994" s="9" t="str">
        <f>IFERROR(__xludf.DUMMYFUNCTION("GOOGLETRANSLATE($A3994,""en"",""zh-cn"")"),"利佩茨卡亚州")</f>
        <v>利佩茨卡亚州</v>
      </c>
      <c r="H3994" s="9" t="str">
        <f>IFERROR(__xludf.DUMMYFUNCTION("GOOGLETRANSLATE($A3994,""en"",""ja"")"),"リペツカヤ州」")</f>
        <v>リペツカヤ州」</v>
      </c>
      <c r="I3994" s="9" t="str">
        <f>IFERROR(__xludf.DUMMYFUNCTION("GOOGLETRANSLATE($A3994,""en"",""ko"")"),"리페츠카야 오블래스트'")</f>
        <v>리페츠카야 오블래스트'</v>
      </c>
      <c r="J3994" s="9" t="str">
        <f>IFERROR(__xludf.DUMMYFUNCTION("GOOGLETRANSLATE($A3994,""en"",""pt-BR"")"),"Oblast de Lipetskaia'")</f>
        <v>Oblast de Lipetskaia'</v>
      </c>
    </row>
    <row r="3995">
      <c r="A3995" s="9" t="str">
        <f>IFERROR(__xludf.DUMMYFUNCTION("""COMPUTED_VALUE"""),"Irkutskaya oblast'")</f>
        <v>Irkutskaya oblast'</v>
      </c>
      <c r="B3995" s="9" t="str">
        <f>IFERROR(__xludf.DUMMYFUNCTION("""COMPUTED_VALUE"""),"ru-irk")</f>
        <v>ru-irk</v>
      </c>
      <c r="C3995" s="9" t="str">
        <f>IFERROR(__xludf.DUMMYFUNCTION("GOOGLETRANSLATE($A3995,""en"",""de"")"),"Oblast Irkutskaja")</f>
        <v>Oblast Irkutskaja</v>
      </c>
      <c r="D3995" s="9" t="str">
        <f>IFERROR(__xludf.DUMMYFUNCTION("GOOGLETRANSLATE($A3995,""en"",""fr"")"),"Oblast d'Irkoutskaïa")</f>
        <v>Oblast d'Irkoutskaïa</v>
      </c>
      <c r="E3995" s="9" t="str">
        <f>IFERROR(__xludf.DUMMYFUNCTION("GOOGLETRANSLATE($A3995,""en"",""es"")"),"Óblast de Irkutskaya")</f>
        <v>Óblast de Irkutskaya</v>
      </c>
      <c r="F3995" s="9" t="str">
        <f>IFERROR(__xludf.DUMMYFUNCTION("GOOGLETRANSLATE($A3995,""en"",""it"")"),"Oblast' di Irkutskaja")</f>
        <v>Oblast' di Irkutskaja</v>
      </c>
      <c r="G3995" s="9" t="str">
        <f>IFERROR(__xludf.DUMMYFUNCTION("GOOGLETRANSLATE($A3995,""en"",""zh-cn"")"),"伊尔库茨卡州")</f>
        <v>伊尔库茨卡州</v>
      </c>
      <c r="H3995" s="9" t="str">
        <f>IFERROR(__xludf.DUMMYFUNCTION("GOOGLETRANSLATE($A3995,""en"",""ja"")"),"イルクーツカヤ州」")</f>
        <v>イルクーツカヤ州」</v>
      </c>
      <c r="I3995" s="9" t="str">
        <f>IFERROR(__xludf.DUMMYFUNCTION("GOOGLETRANSLATE($A3995,""en"",""ko"")"),"이르쿠츠카야 오블래스트'")</f>
        <v>이르쿠츠카야 오블래스트'</v>
      </c>
      <c r="J3995" s="9" t="str">
        <f>IFERROR(__xludf.DUMMYFUNCTION("GOOGLETRANSLATE($A3995,""en"",""pt-BR"")"),"Oblast de Irkutskaia'")</f>
        <v>Oblast de Irkutskaia'</v>
      </c>
    </row>
    <row r="3996">
      <c r="A3996" s="9" t="str">
        <f>IFERROR(__xludf.DUMMYFUNCTION("""COMPUTED_VALUE"""),"Magadanskaya oblast'")</f>
        <v>Magadanskaya oblast'</v>
      </c>
      <c r="B3996" s="9" t="str">
        <f>IFERROR(__xludf.DUMMYFUNCTION("""COMPUTED_VALUE"""),"ru-mag")</f>
        <v>ru-mag</v>
      </c>
      <c r="C3996" s="9" t="str">
        <f>IFERROR(__xludf.DUMMYFUNCTION("GOOGLETRANSLATE($A3996,""en"",""de"")"),"Oblast Magadan")</f>
        <v>Oblast Magadan</v>
      </c>
      <c r="D3996" s="9" t="str">
        <f>IFERROR(__xludf.DUMMYFUNCTION("GOOGLETRANSLATE($A3996,""en"",""fr"")"),"Région de Magadanskaya")</f>
        <v>Région de Magadanskaya</v>
      </c>
      <c r="E3996" s="9" t="str">
        <f>IFERROR(__xludf.DUMMYFUNCTION("GOOGLETRANSLATE($A3996,""en"",""es"")"),"Óblast de Magadán")</f>
        <v>Óblast de Magadán</v>
      </c>
      <c r="F3996" s="9" t="str">
        <f>IFERROR(__xludf.DUMMYFUNCTION("GOOGLETRANSLATE($A3996,""en"",""it"")"),"Oblast' di Magadanskaja'")</f>
        <v>Oblast' di Magadanskaja'</v>
      </c>
      <c r="G3996" s="9" t="str">
        <f>IFERROR(__xludf.DUMMYFUNCTION("GOOGLETRANSLATE($A3996,""en"",""zh-cn"")"),"马加丹州")</f>
        <v>马加丹州</v>
      </c>
      <c r="H3996" s="9" t="str">
        <f>IFERROR(__xludf.DUMMYFUNCTION("GOOGLETRANSLATE($A3996,""en"",""ja"")"),"マガダンスカヤ州」")</f>
        <v>マガダンスカヤ州」</v>
      </c>
      <c r="I3996" s="9" t="str">
        <f>IFERROR(__xludf.DUMMYFUNCTION("GOOGLETRANSLATE($A3996,""en"",""ko"")"),"마가단스카야 오블래스트'")</f>
        <v>마가단스카야 오블래스트'</v>
      </c>
      <c r="J3996" s="9" t="str">
        <f>IFERROR(__xludf.DUMMYFUNCTION("GOOGLETRANSLATE($A3996,""en"",""pt-BR"")"),"Oblast de Magadan'")</f>
        <v>Oblast de Magadan'</v>
      </c>
    </row>
    <row r="3997">
      <c r="A3997" s="9" t="str">
        <f>IFERROR(__xludf.DUMMYFUNCTION("""COMPUTED_VALUE"""),"Ryazanskaya oblast'")</f>
        <v>Ryazanskaya oblast'</v>
      </c>
      <c r="B3997" s="9" t="str">
        <f>IFERROR(__xludf.DUMMYFUNCTION("""COMPUTED_VALUE"""),"ru-rya")</f>
        <v>ru-rya</v>
      </c>
      <c r="C3997" s="9" t="str">
        <f>IFERROR(__xludf.DUMMYFUNCTION("GOOGLETRANSLATE($A3997,""en"",""de"")"),"Oblast Rjasan")</f>
        <v>Oblast Rjasan</v>
      </c>
      <c r="D3997" s="9" t="str">
        <f>IFERROR(__xludf.DUMMYFUNCTION("GOOGLETRANSLATE($A3997,""en"",""fr"")"),"Oblast de Riazanskaya")</f>
        <v>Oblast de Riazanskaya</v>
      </c>
      <c r="E3997" s="9" t="str">
        <f>IFERROR(__xludf.DUMMYFUNCTION("GOOGLETRANSLATE($A3997,""en"",""es"")"),"Óblast de Riazán")</f>
        <v>Óblast de Riazán</v>
      </c>
      <c r="F3997" s="9" t="str">
        <f>IFERROR(__xludf.DUMMYFUNCTION("GOOGLETRANSLATE($A3997,""en"",""it"")"),"Oblast' di Rjazan'")</f>
        <v>Oblast' di Rjazan'</v>
      </c>
      <c r="G3997" s="9" t="str">
        <f>IFERROR(__xludf.DUMMYFUNCTION("GOOGLETRANSLATE($A3997,""en"",""zh-cn"")"),"梁赞州")</f>
        <v>梁赞州</v>
      </c>
      <c r="H3997" s="9" t="str">
        <f>IFERROR(__xludf.DUMMYFUNCTION("GOOGLETRANSLATE($A3997,""en"",""ja"")"),"リャザンスカヤ州」")</f>
        <v>リャザンスカヤ州」</v>
      </c>
      <c r="I3997" s="9" t="str">
        <f>IFERROR(__xludf.DUMMYFUNCTION("GOOGLETRANSLATE($A3997,""en"",""ko"")"),"랴잔스카야 오블래스트'")</f>
        <v>랴잔스카야 오블래스트'</v>
      </c>
      <c r="J3997" s="9" t="str">
        <f>IFERROR(__xludf.DUMMYFUNCTION("GOOGLETRANSLATE($A3997,""en"",""pt-BR"")"),"Oblast de Riazan'")</f>
        <v>Oblast de Riazan'</v>
      </c>
    </row>
    <row r="3998">
      <c r="A3998" s="9" t="str">
        <f>IFERROR(__xludf.DUMMYFUNCTION("""COMPUTED_VALUE"""),"Khabarovskiy kray")</f>
        <v>Khabarovskiy kray</v>
      </c>
      <c r="B3998" s="9" t="str">
        <f>IFERROR(__xludf.DUMMYFUNCTION("""COMPUTED_VALUE"""),"ru-kha")</f>
        <v>ru-kha</v>
      </c>
      <c r="C3998" s="9" t="str">
        <f>IFERROR(__xludf.DUMMYFUNCTION("GOOGLETRANSLATE($A3998,""en"",""de"")"),"Chabarowski Kray")</f>
        <v>Chabarowski Kray</v>
      </c>
      <c r="D3998" s="9" t="str">
        <f>IFERROR(__xludf.DUMMYFUNCTION("GOOGLETRANSLATE($A3998,""en"",""fr"")"),"Kraï de Khabarovski")</f>
        <v>Kraï de Khabarovski</v>
      </c>
      <c r="E3998" s="9" t="str">
        <f>IFERROR(__xludf.DUMMYFUNCTION("GOOGLETRANSLATE($A3998,""en"",""es"")"),"Krai de Jabárovsk")</f>
        <v>Krai de Jabárovsk</v>
      </c>
      <c r="F3998" s="9" t="str">
        <f>IFERROR(__xludf.DUMMYFUNCTION("GOOGLETRANSLATE($A3998,""en"",""it"")"),"Khabarovskiy Kray")</f>
        <v>Khabarovskiy Kray</v>
      </c>
      <c r="G3998" s="9" t="str">
        <f>IFERROR(__xludf.DUMMYFUNCTION("GOOGLETRANSLATE($A3998,""en"",""zh-cn"")"),"哈巴罗夫边疆区")</f>
        <v>哈巴罗夫边疆区</v>
      </c>
      <c r="H3998" s="9" t="str">
        <f>IFERROR(__xludf.DUMMYFUNCTION("GOOGLETRANSLATE($A3998,""en"",""ja"")"),"ハバロフスキー地方")</f>
        <v>ハバロフスキー地方</v>
      </c>
      <c r="I3998" s="9" t="str">
        <f>IFERROR(__xludf.DUMMYFUNCTION("GOOGLETRANSLATE($A3998,""en"",""ko"")"),"하바롭스키 크레이")</f>
        <v>하바롭스키 크레이</v>
      </c>
      <c r="J3998" s="9" t="str">
        <f>IFERROR(__xludf.DUMMYFUNCTION("GOOGLETRANSLATE($A3998,""en"",""pt-BR"")"),"Krai Khabarovskiy")</f>
        <v>Krai Khabarovskiy</v>
      </c>
    </row>
    <row r="3999">
      <c r="A3999" s="9" t="str">
        <f>IFERROR(__xludf.DUMMYFUNCTION("""COMPUTED_VALUE"""),"Kurskaya oblast'")</f>
        <v>Kurskaya oblast'</v>
      </c>
      <c r="B3999" s="9" t="str">
        <f>IFERROR(__xludf.DUMMYFUNCTION("""COMPUTED_VALUE"""),"ru-krs")</f>
        <v>ru-krs</v>
      </c>
      <c r="C3999" s="9" t="str">
        <f>IFERROR(__xludf.DUMMYFUNCTION("GOOGLETRANSLATE($A3999,""en"",""de"")"),"Oblast Kurskaja")</f>
        <v>Oblast Kurskaja</v>
      </c>
      <c r="D3999" s="9" t="str">
        <f>IFERROR(__xludf.DUMMYFUNCTION("GOOGLETRANSLATE($A3999,""en"",""fr"")"),"Oblast de Kourskaïa")</f>
        <v>Oblast de Kourskaïa</v>
      </c>
      <c r="E3999" s="9" t="str">
        <f>IFERROR(__xludf.DUMMYFUNCTION("GOOGLETRANSLATE($A3999,""en"",""es"")"),"Óblast de Kurskaya")</f>
        <v>Óblast de Kurskaya</v>
      </c>
      <c r="F3999" s="9" t="str">
        <f>IFERROR(__xludf.DUMMYFUNCTION("GOOGLETRANSLATE($A3999,""en"",""it"")"),"Oblast' di Kurskaya'")</f>
        <v>Oblast' di Kurskaya'</v>
      </c>
      <c r="G3999" s="9" t="str">
        <f>IFERROR(__xludf.DUMMYFUNCTION("GOOGLETRANSLATE($A3999,""en"",""zh-cn"")"),"库尔斯克州'")</f>
        <v>库尔斯克州'</v>
      </c>
      <c r="H3999" s="9" t="str">
        <f>IFERROR(__xludf.DUMMYFUNCTION("GOOGLETRANSLATE($A3999,""en"",""ja"")"),"クルスカヤ州」")</f>
        <v>クルスカヤ州」</v>
      </c>
      <c r="I3999" s="9" t="str">
        <f>IFERROR(__xludf.DUMMYFUNCTION("GOOGLETRANSLATE($A3999,""en"",""ko"")"),"쿠르스카야 오블래스트'")</f>
        <v>쿠르스카야 오블래스트'</v>
      </c>
      <c r="J3999" s="9" t="str">
        <f>IFERROR(__xludf.DUMMYFUNCTION("GOOGLETRANSLATE($A3999,""en"",""pt-BR"")"),"Oblast de Kursk'")</f>
        <v>Oblast de Kursk'</v>
      </c>
    </row>
    <row r="4000">
      <c r="A4000" s="9" t="str">
        <f>IFERROR(__xludf.DUMMYFUNCTION("""COMPUTED_VALUE"""),"Tatarstan, Respublika")</f>
        <v>Tatarstan, Respublika</v>
      </c>
      <c r="B4000" s="9" t="str">
        <f>IFERROR(__xludf.DUMMYFUNCTION("""COMPUTED_VALUE"""),"ru-ta")</f>
        <v>ru-ta</v>
      </c>
      <c r="C4000" s="9" t="str">
        <f>IFERROR(__xludf.DUMMYFUNCTION("GOOGLETRANSLATE($A4000,""en"",""de"")"),"Tatarstan, Republika")</f>
        <v>Tatarstan, Republika</v>
      </c>
      <c r="D4000" s="9" t="str">
        <f>IFERROR(__xludf.DUMMYFUNCTION("GOOGLETRANSLATE($A4000,""en"",""fr"")"),"Tatarstan, République")</f>
        <v>Tatarstan, République</v>
      </c>
      <c r="E4000" s="9" t="str">
        <f>IFERROR(__xludf.DUMMYFUNCTION("GOOGLETRANSLATE($A4000,""en"",""es"")"),"Tartaristán, República")</f>
        <v>Tartaristán, República</v>
      </c>
      <c r="F4000" s="9" t="str">
        <f>IFERROR(__xludf.DUMMYFUNCTION("GOOGLETRANSLATE($A4000,""en"",""it"")"),"Tatarstan, Repubblica")</f>
        <v>Tatarstan, Repubblica</v>
      </c>
      <c r="G4000" s="9" t="str">
        <f>IFERROR(__xludf.DUMMYFUNCTION("GOOGLETRANSLATE($A4000,""en"",""zh-cn"")"),"鞑靼斯坦共和国")</f>
        <v>鞑靼斯坦共和国</v>
      </c>
      <c r="H4000" s="9" t="str">
        <f>IFERROR(__xludf.DUMMYFUNCTION("GOOGLETRANSLATE($A4000,""en"",""ja"")"),"タタールスタン共和国")</f>
        <v>タタールスタン共和国</v>
      </c>
      <c r="I4000" s="9" t="str">
        <f>IFERROR(__xludf.DUMMYFUNCTION("GOOGLETRANSLATE($A4000,""en"",""ko"")"),"타타르스탄, 레스푸블리카")</f>
        <v>타타르스탄, 레스푸블리카</v>
      </c>
      <c r="J4000" s="9" t="str">
        <f>IFERROR(__xludf.DUMMYFUNCTION("GOOGLETRANSLATE($A4000,""en"",""pt-BR"")"),"Tartaristão, República")</f>
        <v>Tartaristão, República</v>
      </c>
    </row>
    <row r="4001">
      <c r="A4001" s="9" t="str">
        <f>IFERROR(__xludf.DUMMYFUNCTION("""COMPUTED_VALUE"""),"Leningradskaya oblast'")</f>
        <v>Leningradskaya oblast'</v>
      </c>
      <c r="B4001" s="9" t="str">
        <f>IFERROR(__xludf.DUMMYFUNCTION("""COMPUTED_VALUE"""),"ru-len")</f>
        <v>ru-len</v>
      </c>
      <c r="C4001" s="9" t="str">
        <f>IFERROR(__xludf.DUMMYFUNCTION("GOOGLETRANSLATE($A4001,""en"",""de"")"),"Oblast Leningrad")</f>
        <v>Oblast Leningrad</v>
      </c>
      <c r="D4001" s="9" t="str">
        <f>IFERROR(__xludf.DUMMYFUNCTION("GOOGLETRANSLATE($A4001,""en"",""fr"")"),"Oblast de Léningrad")</f>
        <v>Oblast de Léningrad</v>
      </c>
      <c r="E4001" s="9" t="str">
        <f>IFERROR(__xludf.DUMMYFUNCTION("GOOGLETRANSLATE($A4001,""en"",""es"")"),"Óblast de Leningrado")</f>
        <v>Óblast de Leningrado</v>
      </c>
      <c r="F4001" s="9" t="str">
        <f>IFERROR(__xludf.DUMMYFUNCTION("GOOGLETRANSLATE($A4001,""en"",""it"")"),"Oblast' di Leningrado'")</f>
        <v>Oblast' di Leningrado'</v>
      </c>
      <c r="G4001" s="9" t="str">
        <f>IFERROR(__xludf.DUMMYFUNCTION("GOOGLETRANSLATE($A4001,""en"",""zh-cn"")"),"列宁格勒州")</f>
        <v>列宁格勒州</v>
      </c>
      <c r="H4001" s="9" t="str">
        <f>IFERROR(__xludf.DUMMYFUNCTION("GOOGLETRANSLATE($A4001,""en"",""ja"")"),"レニングラードスカヤ州」")</f>
        <v>レニングラードスカヤ州」</v>
      </c>
      <c r="I4001" s="9" t="str">
        <f>IFERROR(__xludf.DUMMYFUNCTION("GOOGLETRANSLATE($A4001,""en"",""ko"")"),"레닌그라드스카야 오블래스트'")</f>
        <v>레닌그라드스카야 오블래스트'</v>
      </c>
      <c r="J4001" s="9" t="str">
        <f>IFERROR(__xludf.DUMMYFUNCTION("GOOGLETRANSLATE($A4001,""en"",""pt-BR"")"),"Oblast de Leningrado'")</f>
        <v>Oblast de Leningrado'</v>
      </c>
    </row>
    <row r="4002">
      <c r="A4002" s="9" t="str">
        <f>IFERROR(__xludf.DUMMYFUNCTION("""COMPUTED_VALUE"""),"Moskovskaya oblast'")</f>
        <v>Moskovskaya oblast'</v>
      </c>
      <c r="B4002" s="9" t="str">
        <f>IFERROR(__xludf.DUMMYFUNCTION("""COMPUTED_VALUE"""),"ru-mos")</f>
        <v>ru-mos</v>
      </c>
      <c r="C4002" s="9" t="str">
        <f>IFERROR(__xludf.DUMMYFUNCTION("GOOGLETRANSLATE($A4002,""en"",""de"")"),"Oblast Moskau")</f>
        <v>Oblast Moskau</v>
      </c>
      <c r="D4002" s="9" t="str">
        <f>IFERROR(__xludf.DUMMYFUNCTION("GOOGLETRANSLATE($A4002,""en"",""fr"")"),"Oblast de Moscou")</f>
        <v>Oblast de Moscou</v>
      </c>
      <c r="E4002" s="9" t="str">
        <f>IFERROR(__xludf.DUMMYFUNCTION("GOOGLETRANSLATE($A4002,""en"",""es"")"),"Óblast de Moscú")</f>
        <v>Óblast de Moscú</v>
      </c>
      <c r="F4002" s="9" t="str">
        <f>IFERROR(__xludf.DUMMYFUNCTION("GOOGLETRANSLATE($A4002,""en"",""it"")"),"Oblast' di Moskovskaja")</f>
        <v>Oblast' di Moskovskaja</v>
      </c>
      <c r="G4002" s="9" t="str">
        <f>IFERROR(__xludf.DUMMYFUNCTION("GOOGLETRANSLATE($A4002,""en"",""zh-cn"")"),"莫斯科州")</f>
        <v>莫斯科州</v>
      </c>
      <c r="H4002" s="9" t="str">
        <f>IFERROR(__xludf.DUMMYFUNCTION("GOOGLETRANSLATE($A4002,""en"",""ja"")"),"モスコフスカヤ州」")</f>
        <v>モスコフスカヤ州」</v>
      </c>
      <c r="I4002" s="9" t="str">
        <f>IFERROR(__xludf.DUMMYFUNCTION("GOOGLETRANSLATE($A4002,""en"",""ko"")"),"모스코브스카야 오블래스트'")</f>
        <v>모스코브스카야 오블래스트'</v>
      </c>
      <c r="J4002" s="9" t="str">
        <f>IFERROR(__xludf.DUMMYFUNCTION("GOOGLETRANSLATE($A4002,""en"",""pt-BR"")"),"Oblast de Moscou'")</f>
        <v>Oblast de Moscou'</v>
      </c>
    </row>
    <row r="4003">
      <c r="A4003" s="9" t="str">
        <f>IFERROR(__xludf.DUMMYFUNCTION("""COMPUTED_VALUE"""),"Astrakhanskaya oblast'")</f>
        <v>Astrakhanskaya oblast'</v>
      </c>
      <c r="B4003" s="9" t="str">
        <f>IFERROR(__xludf.DUMMYFUNCTION("""COMPUTED_VALUE"""),"ru-ast")</f>
        <v>ru-ast</v>
      </c>
      <c r="C4003" s="9" t="str">
        <f>IFERROR(__xludf.DUMMYFUNCTION("GOOGLETRANSLATE($A4003,""en"",""de"")"),"Oblast Astrachan")</f>
        <v>Oblast Astrachan</v>
      </c>
      <c r="D4003" s="9" t="str">
        <f>IFERROR(__xludf.DUMMYFUNCTION("GOOGLETRANSLATE($A4003,""en"",""fr"")"),"Oblast d'Astrakhanskaïa")</f>
        <v>Oblast d'Astrakhanskaïa</v>
      </c>
      <c r="E4003" s="9" t="str">
        <f>IFERROR(__xludf.DUMMYFUNCTION("GOOGLETRANSLATE($A4003,""en"",""es"")"),"Óblast de Astracán")</f>
        <v>Óblast de Astracán</v>
      </c>
      <c r="F4003" s="9" t="str">
        <f>IFERROR(__xludf.DUMMYFUNCTION("GOOGLETRANSLATE($A4003,""en"",""it"")"),"Oblast' di Astrachan'")</f>
        <v>Oblast' di Astrachan'</v>
      </c>
      <c r="G4003" s="9" t="str">
        <f>IFERROR(__xludf.DUMMYFUNCTION("GOOGLETRANSLATE($A4003,""en"",""zh-cn"")"),"阿斯特拉罕州")</f>
        <v>阿斯特拉罕州</v>
      </c>
      <c r="H4003" s="9" t="str">
        <f>IFERROR(__xludf.DUMMYFUNCTION("GOOGLETRANSLATE($A4003,""en"",""ja"")"),"アストラハンスカヤ州」")</f>
        <v>アストラハンスカヤ州」</v>
      </c>
      <c r="I4003" s="9" t="str">
        <f>IFERROR(__xludf.DUMMYFUNCTION("GOOGLETRANSLATE($A4003,""en"",""ko"")"),"아스트라한스카야 오블래스트'")</f>
        <v>아스트라한스카야 오블래스트'</v>
      </c>
      <c r="J4003" s="9" t="str">
        <f>IFERROR(__xludf.DUMMYFUNCTION("GOOGLETRANSLATE($A4003,""en"",""pt-BR"")"),"Oblast de Astracã'")</f>
        <v>Oblast de Astracã'</v>
      </c>
    </row>
    <row r="4004">
      <c r="A4004" s="9" t="str">
        <f>IFERROR(__xludf.DUMMYFUNCTION("""COMPUTED_VALUE"""),"Arkhangel'skaya oblast'")</f>
        <v>Arkhangel'skaya oblast'</v>
      </c>
      <c r="B4004" s="9" t="str">
        <f>IFERROR(__xludf.DUMMYFUNCTION("""COMPUTED_VALUE"""),"ru-ark")</f>
        <v>ru-ark</v>
      </c>
      <c r="C4004" s="9" t="str">
        <f>IFERROR(__xludf.DUMMYFUNCTION("GOOGLETRANSLATE($A4004,""en"",""de"")"),"Oblast Archangelsk")</f>
        <v>Oblast Archangelsk</v>
      </c>
      <c r="D4004" s="9" t="str">
        <f>IFERROR(__xludf.DUMMYFUNCTION("GOOGLETRANSLATE($A4004,""en"",""fr"")"),"Région d'Arkhangelskaïa")</f>
        <v>Région d'Arkhangelskaïa</v>
      </c>
      <c r="E4004" s="9" t="str">
        <f>IFERROR(__xludf.DUMMYFUNCTION("GOOGLETRANSLATE($A4004,""en"",""es"")"),"Óblast de Arkhangelskaya")</f>
        <v>Óblast de Arkhangelskaya</v>
      </c>
      <c r="F4004" s="9" t="str">
        <f>IFERROR(__xludf.DUMMYFUNCTION("GOOGLETRANSLATE($A4004,""en"",""it"")"),"Oblast' di Arcangelo")</f>
        <v>Oblast' di Arcangelo</v>
      </c>
      <c r="G4004" s="9" t="str">
        <f>IFERROR(__xludf.DUMMYFUNCTION("GOOGLETRANSLATE($A4004,""en"",""zh-cn"")"),"阿尔汉格尔斯克州")</f>
        <v>阿尔汉格尔斯克州</v>
      </c>
      <c r="H4004" s="9" t="str">
        <f>IFERROR(__xludf.DUMMYFUNCTION("GOOGLETRANSLATE($A4004,""en"",""ja"")"),"アルハンゲル「スカヤ州」")</f>
        <v>アルハンゲル「スカヤ州」</v>
      </c>
      <c r="I4004" s="9" t="str">
        <f>IFERROR(__xludf.DUMMYFUNCTION("GOOGLETRANSLATE($A4004,""en"",""ko"")"),"아르한겔'스카야 오블래스트'")</f>
        <v>아르한겔'스카야 오블래스트'</v>
      </c>
      <c r="J4004" s="9" t="str">
        <f>IFERROR(__xludf.DUMMYFUNCTION("GOOGLETRANSLATE($A4004,""en"",""pt-BR"")"),"Região de Arkhangel'skaya'")</f>
        <v>Região de Arkhangel'skaya'</v>
      </c>
    </row>
    <row r="4005">
      <c r="A4005" s="9" t="str">
        <f>IFERROR(__xludf.DUMMYFUNCTION("""COMPUTED_VALUE"""),"Bashkortostan, Respublika")</f>
        <v>Bashkortostan, Respublika</v>
      </c>
      <c r="B4005" s="9" t="str">
        <f>IFERROR(__xludf.DUMMYFUNCTION("""COMPUTED_VALUE"""),"ru-ba")</f>
        <v>ru-ba</v>
      </c>
      <c r="C4005" s="9" t="str">
        <f>IFERROR(__xludf.DUMMYFUNCTION("GOOGLETRANSLATE($A4005,""en"",""de"")"),"Baschkortostan, Republika")</f>
        <v>Baschkortostan, Republika</v>
      </c>
      <c r="D4005" s="9" t="str">
        <f>IFERROR(__xludf.DUMMYFUNCTION("GOOGLETRANSLATE($A4005,""en"",""fr"")"),"Bachkortostan, Respublika")</f>
        <v>Bachkortostan, Respublika</v>
      </c>
      <c r="E4005" s="9" t="str">
        <f>IFERROR(__xludf.DUMMYFUNCTION("GOOGLETRANSLATE($A4005,""en"",""es"")"),"Bashkortostán, República")</f>
        <v>Bashkortostán, República</v>
      </c>
      <c r="F4005" s="9" t="str">
        <f>IFERROR(__xludf.DUMMYFUNCTION("GOOGLETRANSLATE($A4005,""en"",""it"")"),"Bashkortostan, Repubblica")</f>
        <v>Bashkortostan, Repubblica</v>
      </c>
      <c r="G4005" s="9" t="str">
        <f>IFERROR(__xludf.DUMMYFUNCTION("GOOGLETRANSLATE($A4005,""en"",""zh-cn"")"),"巴什科尔托斯坦共和国")</f>
        <v>巴什科尔托斯坦共和国</v>
      </c>
      <c r="H4005" s="9" t="str">
        <f>IFERROR(__xludf.DUMMYFUNCTION("GOOGLETRANSLATE($A4005,""en"",""ja"")"),"バシコルトスタン、共和国")</f>
        <v>バシコルトスタン、共和国</v>
      </c>
      <c r="I4005" s="9" t="str">
        <f>IFERROR(__xludf.DUMMYFUNCTION("GOOGLETRANSLATE($A4005,""en"",""ko"")"),"바쉬코르토스탄, 공화국")</f>
        <v>바쉬코르토스탄, 공화국</v>
      </c>
      <c r="J4005" s="9" t="str">
        <f>IFERROR(__xludf.DUMMYFUNCTION("GOOGLETRANSLATE($A4005,""en"",""pt-BR"")"),"Bascortostão, República")</f>
        <v>Bascortostão, República</v>
      </c>
    </row>
    <row r="4006">
      <c r="A4006" s="9" t="str">
        <f>IFERROR(__xludf.DUMMYFUNCTION("""COMPUTED_VALUE"""),"Rostovskaya oblast'")</f>
        <v>Rostovskaya oblast'</v>
      </c>
      <c r="B4006" s="9" t="str">
        <f>IFERROR(__xludf.DUMMYFUNCTION("""COMPUTED_VALUE"""),"ru-ros")</f>
        <v>ru-ros</v>
      </c>
      <c r="C4006" s="9" t="str">
        <f>IFERROR(__xludf.DUMMYFUNCTION("GOOGLETRANSLATE($A4006,""en"",""de"")"),"Oblast Rostow")</f>
        <v>Oblast Rostow</v>
      </c>
      <c r="D4006" s="9" t="str">
        <f>IFERROR(__xludf.DUMMYFUNCTION("GOOGLETRANSLATE($A4006,""en"",""fr"")"),"Oblast de Rostovskaïa")</f>
        <v>Oblast de Rostovskaïa</v>
      </c>
      <c r="E4006" s="9" t="str">
        <f>IFERROR(__xludf.DUMMYFUNCTION("GOOGLETRANSLATE($A4006,""en"",""es"")"),"Óblast de Rostovskaya")</f>
        <v>Óblast de Rostovskaya</v>
      </c>
      <c r="F4006" s="9" t="str">
        <f>IFERROR(__xludf.DUMMYFUNCTION("GOOGLETRANSLATE($A4006,""en"",""it"")"),"Oblast' di Rostovskaja")</f>
        <v>Oblast' di Rostovskaja</v>
      </c>
      <c r="G4006" s="9" t="str">
        <f>IFERROR(__xludf.DUMMYFUNCTION("GOOGLETRANSLATE($A4006,""en"",""zh-cn"")"),"罗斯托夫州")</f>
        <v>罗斯托夫州</v>
      </c>
      <c r="H4006" s="9" t="str">
        <f>IFERROR(__xludf.DUMMYFUNCTION("GOOGLETRANSLATE($A4006,""en"",""ja"")"),"ロストフスカヤ州」")</f>
        <v>ロストフスカヤ州」</v>
      </c>
      <c r="I4006" s="9" t="str">
        <f>IFERROR(__xludf.DUMMYFUNCTION("GOOGLETRANSLATE($A4006,""en"",""ko"")"),"로스토프스카야 오블래스트'")</f>
        <v>로스토프스카야 오블래스트'</v>
      </c>
      <c r="J4006" s="9" t="str">
        <f>IFERROR(__xludf.DUMMYFUNCTION("GOOGLETRANSLATE($A4006,""en"",""pt-BR"")"),"Oblast de Rostovskaia")</f>
        <v>Oblast de Rostovskaia</v>
      </c>
    </row>
    <row r="4007">
      <c r="A4007" s="9" t="str">
        <f>IFERROR(__xludf.DUMMYFUNCTION("""COMPUTED_VALUE"""),"Ingushetiya, Respublika")</f>
        <v>Ingushetiya, Respublika</v>
      </c>
      <c r="B4007" s="9" t="str">
        <f>IFERROR(__xludf.DUMMYFUNCTION("""COMPUTED_VALUE"""),"ru-in")</f>
        <v>ru-in</v>
      </c>
      <c r="C4007" s="9" t="str">
        <f>IFERROR(__xludf.DUMMYFUNCTION("GOOGLETRANSLATE($A4007,""en"",""de"")"),"Inguschetien, Republika")</f>
        <v>Inguschetien, Republika</v>
      </c>
      <c r="D4007" s="9" t="str">
        <f>IFERROR(__xludf.DUMMYFUNCTION("GOOGLETRANSLATE($A4007,""en"",""fr"")"),"Ingouchie, Respublika")</f>
        <v>Ingouchie, Respublika</v>
      </c>
      <c r="E4007" s="9" t="str">
        <f>IFERROR(__xludf.DUMMYFUNCTION("GOOGLETRANSLATE($A4007,""en"",""es"")"),"Ingushetia, República")</f>
        <v>Ingushetia, República</v>
      </c>
      <c r="F4007" s="9" t="str">
        <f>IFERROR(__xludf.DUMMYFUNCTION("GOOGLETRANSLATE($A4007,""en"",""it"")"),"Inguscezia, Repubblica")</f>
        <v>Inguscezia, Repubblica</v>
      </c>
      <c r="G4007" s="9" t="str">
        <f>IFERROR(__xludf.DUMMYFUNCTION("GOOGLETRANSLATE($A4007,""en"",""zh-cn"")"),"印古什共和国")</f>
        <v>印古什共和国</v>
      </c>
      <c r="H4007" s="9" t="str">
        <f>IFERROR(__xludf.DUMMYFUNCTION("GOOGLETRANSLATE($A4007,""en"",""ja"")"),"イングーシェティヤ、共和国")</f>
        <v>イングーシェティヤ、共和国</v>
      </c>
      <c r="I4007" s="9" t="str">
        <f>IFERROR(__xludf.DUMMYFUNCTION("GOOGLETRANSLATE($A4007,""en"",""ko"")"),"잉구셰티야, 레스푸블리카")</f>
        <v>잉구셰티야, 레스푸블리카</v>
      </c>
      <c r="J4007" s="9" t="str">
        <f>IFERROR(__xludf.DUMMYFUNCTION("GOOGLETRANSLATE($A4007,""en"",""pt-BR"")"),"Inguchétia, República")</f>
        <v>Inguchétia, República</v>
      </c>
    </row>
    <row r="4008">
      <c r="A4008" s="9" t="str">
        <f>IFERROR(__xludf.DUMMYFUNCTION("""COMPUTED_VALUE"""),"Kamchatskiy kray")</f>
        <v>Kamchatskiy kray</v>
      </c>
      <c r="B4008" s="9" t="str">
        <f>IFERROR(__xludf.DUMMYFUNCTION("""COMPUTED_VALUE"""),"ru-kam")</f>
        <v>ru-kam</v>
      </c>
      <c r="C4008" s="9" t="str">
        <f>IFERROR(__xludf.DUMMYFUNCTION("GOOGLETRANSLATE($A4008,""en"",""de"")"),"Kamtschatskij Kray")</f>
        <v>Kamtschatskij Kray</v>
      </c>
      <c r="D4008" s="9" t="str">
        <f>IFERROR(__xludf.DUMMYFUNCTION("GOOGLETRANSLATE($A4008,""en"",""fr"")"),"Kraï du Kamtchatski")</f>
        <v>Kraï du Kamtchatski</v>
      </c>
      <c r="E4008" s="9" t="str">
        <f>IFERROR(__xludf.DUMMYFUNCTION("GOOGLETRANSLATE($A4008,""en"",""es"")"),"Krai de Kamchatski")</f>
        <v>Krai de Kamchatski</v>
      </c>
      <c r="F4008" s="9" t="str">
        <f>IFERROR(__xludf.DUMMYFUNCTION("GOOGLETRANSLATE($A4008,""en"",""it"")"),"Kraj Kamčatskij")</f>
        <v>Kraj Kamčatskij</v>
      </c>
      <c r="G4008" s="9" t="str">
        <f>IFERROR(__xludf.DUMMYFUNCTION("GOOGLETRANSLATE($A4008,""en"",""zh-cn"")"),"堪察加边疆区")</f>
        <v>堪察加边疆区</v>
      </c>
      <c r="H4008" s="9" t="str">
        <f>IFERROR(__xludf.DUMMYFUNCTION("GOOGLETRANSLATE($A4008,""en"",""ja"")"),"カムチャツキー地方")</f>
        <v>カムチャツキー地方</v>
      </c>
      <c r="I4008" s="9" t="str">
        <f>IFERROR(__xludf.DUMMYFUNCTION("GOOGLETRANSLATE($A4008,""en"",""ko"")"),"캄차츠키 크레이")</f>
        <v>캄차츠키 크레이</v>
      </c>
      <c r="J4008" s="9" t="str">
        <f>IFERROR(__xludf.DUMMYFUNCTION("GOOGLETRANSLATE($A4008,""en"",""pt-BR"")"),"Krai de Kamchatsky")</f>
        <v>Krai de Kamchatsky</v>
      </c>
    </row>
    <row r="4009">
      <c r="A4009" s="9" t="str">
        <f>IFERROR(__xludf.DUMMYFUNCTION("""COMPUTED_VALUE"""),"Voronezhskaya oblast'")</f>
        <v>Voronezhskaya oblast'</v>
      </c>
      <c r="B4009" s="9" t="str">
        <f>IFERROR(__xludf.DUMMYFUNCTION("""COMPUTED_VALUE"""),"ru-vor")</f>
        <v>ru-vor</v>
      </c>
      <c r="C4009" s="9" t="str">
        <f>IFERROR(__xludf.DUMMYFUNCTION("GOOGLETRANSLATE($A4009,""en"",""de"")"),"Oblast Woronesch")</f>
        <v>Oblast Woronesch</v>
      </c>
      <c r="D4009" s="9" t="str">
        <f>IFERROR(__xludf.DUMMYFUNCTION("GOOGLETRANSLATE($A4009,""en"",""fr"")"),"Oblast de Voronej")</f>
        <v>Oblast de Voronej</v>
      </c>
      <c r="E4009" s="9" t="str">
        <f>IFERROR(__xludf.DUMMYFUNCTION("GOOGLETRANSLATE($A4009,""en"",""es"")"),"Óblast de Vorónezhskaya")</f>
        <v>Óblast de Vorónezhskaya</v>
      </c>
      <c r="F4009" s="9" t="str">
        <f>IFERROR(__xludf.DUMMYFUNCTION("GOOGLETRANSLATE($A4009,""en"",""it"")"),"Oblast' di Voronežskaja")</f>
        <v>Oblast' di Voronežskaja</v>
      </c>
      <c r="G4009" s="9" t="str">
        <f>IFERROR(__xludf.DUMMYFUNCTION("GOOGLETRANSLATE($A4009,""en"",""zh-cn"")"),"沃罗涅日州")</f>
        <v>沃罗涅日州</v>
      </c>
      <c r="H4009" s="9" t="str">
        <f>IFERROR(__xludf.DUMMYFUNCTION("GOOGLETRANSLATE($A4009,""en"",""ja"")"),"ヴォロネジスカヤ州」")</f>
        <v>ヴォロネジスカヤ州」</v>
      </c>
      <c r="I4009" s="9" t="str">
        <f>IFERROR(__xludf.DUMMYFUNCTION("GOOGLETRANSLATE($A4009,""en"",""ko"")"),"보로네시스카야 오블래스트'")</f>
        <v>보로네시스카야 오블래스트'</v>
      </c>
      <c r="J4009" s="9" t="str">
        <f>IFERROR(__xludf.DUMMYFUNCTION("GOOGLETRANSLATE($A4009,""en"",""pt-BR"")"),"Oblast de Voronejska'")</f>
        <v>Oblast de Voronejska'</v>
      </c>
    </row>
    <row r="4010">
      <c r="A4010" s="9" t="str">
        <f>IFERROR(__xludf.DUMMYFUNCTION("""COMPUTED_VALUE"""),"Altay, Respublika")</f>
        <v>Altay, Respublika</v>
      </c>
      <c r="B4010" s="9" t="str">
        <f>IFERROR(__xludf.DUMMYFUNCTION("""COMPUTED_VALUE"""),"ru-al")</f>
        <v>ru-al</v>
      </c>
      <c r="C4010" s="9" t="str">
        <f>IFERROR(__xludf.DUMMYFUNCTION("GOOGLETRANSLATE($A4010,""en"",""de"")"),"Altay, Republika")</f>
        <v>Altay, Republika</v>
      </c>
      <c r="D4010" s="9" t="str">
        <f>IFERROR(__xludf.DUMMYFUNCTION("GOOGLETRANSLATE($A4010,""en"",""fr"")"),"Altaï, Respublika")</f>
        <v>Altaï, Respublika</v>
      </c>
      <c r="E4010" s="9" t="str">
        <f>IFERROR(__xludf.DUMMYFUNCTION("GOOGLETRANSLATE($A4010,""en"",""es"")"),"Altay, República")</f>
        <v>Altay, República</v>
      </c>
      <c r="F4010" s="9" t="str">
        <f>IFERROR(__xludf.DUMMYFUNCTION("GOOGLETRANSLATE($A4010,""en"",""it"")"),"Altai, Repubblica")</f>
        <v>Altai, Repubblica</v>
      </c>
      <c r="G4010" s="9" t="str">
        <f>IFERROR(__xludf.DUMMYFUNCTION("GOOGLETRANSLATE($A4010,""en"",""zh-cn"")"),"阿勒泰共和国")</f>
        <v>阿勒泰共和国</v>
      </c>
      <c r="H4010" s="9" t="str">
        <f>IFERROR(__xludf.DUMMYFUNCTION("GOOGLETRANSLATE($A4010,""en"",""ja"")"),"アルタイ、共和国")</f>
        <v>アルタイ、共和国</v>
      </c>
      <c r="I4010" s="9" t="str">
        <f>IFERROR(__xludf.DUMMYFUNCTION("GOOGLETRANSLATE($A4010,""en"",""ko"")"),"알타이, 레스푸블리카")</f>
        <v>알타이, 레스푸블리카</v>
      </c>
      <c r="J4010" s="9" t="str">
        <f>IFERROR(__xludf.DUMMYFUNCTION("GOOGLETRANSLATE($A4010,""en"",""pt-BR"")"),"Altay, República")</f>
        <v>Altay, República</v>
      </c>
    </row>
    <row r="4011">
      <c r="A4011" s="9" t="str">
        <f>IFERROR(__xludf.DUMMYFUNCTION("""COMPUTED_VALUE"""),"Tambovskaya oblast'")</f>
        <v>Tambovskaya oblast'</v>
      </c>
      <c r="B4011" s="9" t="str">
        <f>IFERROR(__xludf.DUMMYFUNCTION("""COMPUTED_VALUE"""),"ru-tam")</f>
        <v>ru-tam</v>
      </c>
      <c r="C4011" s="9" t="str">
        <f>IFERROR(__xludf.DUMMYFUNCTION("GOOGLETRANSLATE($A4011,""en"",""de"")"),"Oblast Tambow")</f>
        <v>Oblast Tambow</v>
      </c>
      <c r="D4011" s="9" t="str">
        <f>IFERROR(__xludf.DUMMYFUNCTION("GOOGLETRANSLATE($A4011,""en"",""fr"")"),"Oblast de Tambovskaïa")</f>
        <v>Oblast de Tambovskaïa</v>
      </c>
      <c r="E4011" s="9" t="str">
        <f>IFERROR(__xludf.DUMMYFUNCTION("GOOGLETRANSLATE($A4011,""en"",""es"")"),"Óblast de Tambovskaya")</f>
        <v>Óblast de Tambovskaya</v>
      </c>
      <c r="F4011" s="9" t="str">
        <f>IFERROR(__xludf.DUMMYFUNCTION("GOOGLETRANSLATE($A4011,""en"",""it"")"),"Oblast' di Tambovskaja")</f>
        <v>Oblast' di Tambovskaja</v>
      </c>
      <c r="G4011" s="9" t="str">
        <f>IFERROR(__xludf.DUMMYFUNCTION("GOOGLETRANSLATE($A4011,""en"",""zh-cn"")"),"坦波夫州")</f>
        <v>坦波夫州</v>
      </c>
      <c r="H4011" s="9" t="str">
        <f>IFERROR(__xludf.DUMMYFUNCTION("GOOGLETRANSLATE($A4011,""en"",""ja"")"),"タンボフスカヤ州」")</f>
        <v>タンボフスカヤ州」</v>
      </c>
      <c r="I4011" s="9" t="str">
        <f>IFERROR(__xludf.DUMMYFUNCTION("GOOGLETRANSLATE($A4011,""en"",""ko"")"),"탐보프스카야 오블래스트'")</f>
        <v>탐보프스카야 오블래스트'</v>
      </c>
      <c r="J4011" s="9" t="str">
        <f>IFERROR(__xludf.DUMMYFUNCTION("GOOGLETRANSLATE($A4011,""en"",""pt-BR"")"),"Oblast de Tambovskaia")</f>
        <v>Oblast de Tambovskaia</v>
      </c>
    </row>
    <row r="4012">
      <c r="A4012" s="9" t="str">
        <f>IFERROR(__xludf.DUMMYFUNCTION("""COMPUTED_VALUE"""),"Komi, Respublika")</f>
        <v>Komi, Respublika</v>
      </c>
      <c r="B4012" s="9" t="str">
        <f>IFERROR(__xludf.DUMMYFUNCTION("""COMPUTED_VALUE"""),"ru-ko")</f>
        <v>ru-ko</v>
      </c>
      <c r="C4012" s="9" t="str">
        <f>IFERROR(__xludf.DUMMYFUNCTION("GOOGLETRANSLATE($A4012,""en"",""de"")"),"Komi, Republika")</f>
        <v>Komi, Republika</v>
      </c>
      <c r="D4012" s="9" t="str">
        <f>IFERROR(__xludf.DUMMYFUNCTION("GOOGLETRANSLATE($A4012,""en"",""fr"")"),"Komis, République")</f>
        <v>Komis, République</v>
      </c>
      <c r="E4012" s="9" t="str">
        <f>IFERROR(__xludf.DUMMYFUNCTION("GOOGLETRANSLATE($A4012,""en"",""es"")"),"Komi, República")</f>
        <v>Komi, República</v>
      </c>
      <c r="F4012" s="9" t="str">
        <f>IFERROR(__xludf.DUMMYFUNCTION("GOOGLETRANSLATE($A4012,""en"",""it"")"),"Komi, Repubblica")</f>
        <v>Komi, Repubblica</v>
      </c>
      <c r="G4012" s="9" t="str">
        <f>IFERROR(__xludf.DUMMYFUNCTION("GOOGLETRANSLATE($A4012,""en"",""zh-cn"")"),"科米共和国")</f>
        <v>科米共和国</v>
      </c>
      <c r="H4012" s="9" t="str">
        <f>IFERROR(__xludf.DUMMYFUNCTION("GOOGLETRANSLATE($A4012,""en"",""ja"")"),"コミ、共和国")</f>
        <v>コミ、共和国</v>
      </c>
      <c r="I4012" s="9" t="str">
        <f>IFERROR(__xludf.DUMMYFUNCTION("GOOGLETRANSLATE($A4012,""en"",""ko"")"),"코미, 레스푸블리카")</f>
        <v>코미, 레스푸블리카</v>
      </c>
      <c r="J4012" s="9" t="str">
        <f>IFERROR(__xludf.DUMMYFUNCTION("GOOGLETRANSLATE($A4012,""en"",""pt-BR"")"),"Komi, República")</f>
        <v>Komi, República</v>
      </c>
    </row>
    <row r="4013">
      <c r="A4013" s="9" t="str">
        <f>IFERROR(__xludf.DUMMYFUNCTION("""COMPUTED_VALUE"""),"Tul'skaya oblast'")</f>
        <v>Tul'skaya oblast'</v>
      </c>
      <c r="B4013" s="9" t="str">
        <f>IFERROR(__xludf.DUMMYFUNCTION("""COMPUTED_VALUE"""),"ru-tul")</f>
        <v>ru-tul</v>
      </c>
      <c r="C4013" s="9" t="str">
        <f>IFERROR(__xludf.DUMMYFUNCTION("GOOGLETRANSLATE($A4013,""en"",""de"")"),"Oblast Tulskaya")</f>
        <v>Oblast Tulskaya</v>
      </c>
      <c r="D4013" s="9" t="str">
        <f>IFERROR(__xludf.DUMMYFUNCTION("GOOGLETRANSLATE($A4013,""en"",""fr"")"),"Oblast de Toul'skaya")</f>
        <v>Oblast de Toul'skaya</v>
      </c>
      <c r="E4013" s="9" t="str">
        <f>IFERROR(__xludf.DUMMYFUNCTION("GOOGLETRANSLATE($A4013,""en"",""es"")"),"Óblast de Tulskaya")</f>
        <v>Óblast de Tulskaya</v>
      </c>
      <c r="F4013" s="9" t="str">
        <f>IFERROR(__xludf.DUMMYFUNCTION("GOOGLETRANSLATE($A4013,""en"",""it"")"),"Tul'skaya oblast'")</f>
        <v>Tul'skaya oblast'</v>
      </c>
      <c r="G4013" s="9" t="str">
        <f>IFERROR(__xludf.DUMMYFUNCTION("GOOGLETRANSLATE($A4013,""en"",""zh-cn"")"),"图尔卡亚州")</f>
        <v>图尔卡亚州</v>
      </c>
      <c r="H4013" s="9" t="str">
        <f>IFERROR(__xludf.DUMMYFUNCTION("GOOGLETRANSLATE($A4013,""en"",""ja"")"),"トゥルスカヤ州")</f>
        <v>トゥルスカヤ州</v>
      </c>
      <c r="I4013" s="9" t="str">
        <f>IFERROR(__xludf.DUMMYFUNCTION("GOOGLETRANSLATE($A4013,""en"",""ko"")"),"툴스카야 오블래스트'")</f>
        <v>툴스카야 오블래스트'</v>
      </c>
      <c r="J4013" s="9" t="str">
        <f>IFERROR(__xludf.DUMMYFUNCTION("GOOGLETRANSLATE($A4013,""en"",""pt-BR"")"),"Oblast de Tul'skaya'")</f>
        <v>Oblast de Tul'skaya'</v>
      </c>
    </row>
    <row r="4014">
      <c r="A4014" s="9" t="str">
        <f>IFERROR(__xludf.DUMMYFUNCTION("""COMPUTED_VALUE"""),"Adygeya, Respublika")</f>
        <v>Adygeya, Respublika</v>
      </c>
      <c r="B4014" s="9" t="str">
        <f>IFERROR(__xludf.DUMMYFUNCTION("""COMPUTED_VALUE"""),"ru-ad")</f>
        <v>ru-ad</v>
      </c>
      <c r="C4014" s="9" t="str">
        <f>IFERROR(__xludf.DUMMYFUNCTION("GOOGLETRANSLATE($A4014,""en"",""de"")"),"Adygeya, Republika")</f>
        <v>Adygeya, Republika</v>
      </c>
      <c r="D4014" s="9" t="str">
        <f>IFERROR(__xludf.DUMMYFUNCTION("GOOGLETRANSLATE($A4014,""en"",""fr"")"),"Adyguée, Respublika")</f>
        <v>Adyguée, Respublika</v>
      </c>
      <c r="E4014" s="9" t="str">
        <f>IFERROR(__xludf.DUMMYFUNCTION("GOOGLETRANSLATE($A4014,""en"",""es"")"),"Adigueya, República")</f>
        <v>Adigueya, República</v>
      </c>
      <c r="F4014" s="9" t="str">
        <f>IFERROR(__xludf.DUMMYFUNCTION("GOOGLETRANSLATE($A4014,""en"",""it"")"),"Adygeya, Repubblica")</f>
        <v>Adygeya, Repubblica</v>
      </c>
      <c r="G4014" s="9" t="str">
        <f>IFERROR(__xludf.DUMMYFUNCTION("GOOGLETRANSLATE($A4014,""en"",""zh-cn"")"),"阿迪格共和国")</f>
        <v>阿迪格共和国</v>
      </c>
      <c r="H4014" s="9" t="str">
        <f>IFERROR(__xludf.DUMMYFUNCTION("GOOGLETRANSLATE($A4014,""en"",""ja"")"),"アディゲヤ、共和国")</f>
        <v>アディゲヤ、共和国</v>
      </c>
      <c r="I4014" s="9" t="str">
        <f>IFERROR(__xludf.DUMMYFUNCTION("GOOGLETRANSLATE($A4014,""en"",""ko"")"),"아디게야, 레스푸블리카")</f>
        <v>아디게야, 레스푸블리카</v>
      </c>
      <c r="J4014" s="9" t="str">
        <f>IFERROR(__xludf.DUMMYFUNCTION("GOOGLETRANSLATE($A4014,""en"",""pt-BR"")"),"Adygeya, República")</f>
        <v>Adygeya, República</v>
      </c>
    </row>
    <row r="4015">
      <c r="A4015" s="9" t="str">
        <f>IFERROR(__xludf.DUMMYFUNCTION("""COMPUTED_VALUE"""),"Sakhalinskaya oblast'")</f>
        <v>Sakhalinskaya oblast'</v>
      </c>
      <c r="B4015" s="9" t="str">
        <f>IFERROR(__xludf.DUMMYFUNCTION("""COMPUTED_VALUE"""),"ru-sak")</f>
        <v>ru-sak</v>
      </c>
      <c r="C4015" s="9" t="str">
        <f>IFERROR(__xludf.DUMMYFUNCTION("GOOGLETRANSLATE($A4015,""en"",""de"")"),"Oblast Sachalin")</f>
        <v>Oblast Sachalin</v>
      </c>
      <c r="D4015" s="9" t="str">
        <f>IFERROR(__xludf.DUMMYFUNCTION("GOOGLETRANSLATE($A4015,""en"",""fr"")"),"Oblast de Sakhalinskaïa")</f>
        <v>Oblast de Sakhalinskaïa</v>
      </c>
      <c r="E4015" s="9" t="str">
        <f>IFERROR(__xludf.DUMMYFUNCTION("GOOGLETRANSLATE($A4015,""en"",""es"")"),"Óblast de Sajalín")</f>
        <v>Óblast de Sajalín</v>
      </c>
      <c r="F4015" s="9" t="str">
        <f>IFERROR(__xludf.DUMMYFUNCTION("GOOGLETRANSLATE($A4015,""en"",""it"")"),"Oblast' di Sakhalinskaja")</f>
        <v>Oblast' di Sakhalinskaja</v>
      </c>
      <c r="G4015" s="9" t="str">
        <f>IFERROR(__xludf.DUMMYFUNCTION("GOOGLETRANSLATE($A4015,""en"",""zh-cn"")"),"萨哈林州")</f>
        <v>萨哈林州</v>
      </c>
      <c r="H4015" s="9" t="str">
        <f>IFERROR(__xludf.DUMMYFUNCTION("GOOGLETRANSLATE($A4015,""en"",""ja"")"),"サハリンスカヤ州」")</f>
        <v>サハリンスカヤ州」</v>
      </c>
      <c r="I4015" s="9" t="str">
        <f>IFERROR(__xludf.DUMMYFUNCTION("GOOGLETRANSLATE($A4015,""en"",""ko"")"),"사할린스카야 주'")</f>
        <v>사할린스카야 주'</v>
      </c>
      <c r="J4015" s="9" t="str">
        <f>IFERROR(__xludf.DUMMYFUNCTION("GOOGLETRANSLATE($A4015,""en"",""pt-BR"")"),"Oblast de Sacalina'")</f>
        <v>Oblast de Sacalina'</v>
      </c>
    </row>
    <row r="4016">
      <c r="A4016" s="9" t="str">
        <f>IFERROR(__xludf.DUMMYFUNCTION("""COMPUTED_VALUE"""),"Orlovskaya oblast'")</f>
        <v>Orlovskaya oblast'</v>
      </c>
      <c r="B4016" s="9" t="str">
        <f>IFERROR(__xludf.DUMMYFUNCTION("""COMPUTED_VALUE"""),"ru-orl")</f>
        <v>ru-orl</v>
      </c>
      <c r="C4016" s="9" t="str">
        <f>IFERROR(__xludf.DUMMYFUNCTION("GOOGLETRANSLATE($A4016,""en"",""de"")"),"Oblast Orlow")</f>
        <v>Oblast Orlow</v>
      </c>
      <c r="D4016" s="9" t="str">
        <f>IFERROR(__xludf.DUMMYFUNCTION("GOOGLETRANSLATE($A4016,""en"",""fr"")"),"Oblast d'Orlovskaïa")</f>
        <v>Oblast d'Orlovskaïa</v>
      </c>
      <c r="E4016" s="9" t="str">
        <f>IFERROR(__xludf.DUMMYFUNCTION("GOOGLETRANSLATE($A4016,""en"",""es"")"),"Óblast de Orlovskaya")</f>
        <v>Óblast de Orlovskaya</v>
      </c>
      <c r="F4016" s="9" t="str">
        <f>IFERROR(__xludf.DUMMYFUNCTION("GOOGLETRANSLATE($A4016,""en"",""it"")"),"Oblast' di Orlovskaja")</f>
        <v>Oblast' di Orlovskaja</v>
      </c>
      <c r="G4016" s="9" t="str">
        <f>IFERROR(__xludf.DUMMYFUNCTION("GOOGLETRANSLATE($A4016,""en"",""zh-cn"")"),"奥尔洛夫州")</f>
        <v>奥尔洛夫州</v>
      </c>
      <c r="H4016" s="9" t="str">
        <f>IFERROR(__xludf.DUMMYFUNCTION("GOOGLETRANSLATE($A4016,""en"",""ja"")"),"オルロフスカヤ州」")</f>
        <v>オルロフスカヤ州」</v>
      </c>
      <c r="I4016" s="9" t="str">
        <f>IFERROR(__xludf.DUMMYFUNCTION("GOOGLETRANSLATE($A4016,""en"",""ko"")"),"오를로브스카야 오블래스트'")</f>
        <v>오를로브스카야 오블래스트'</v>
      </c>
      <c r="J4016" s="9" t="str">
        <f>IFERROR(__xludf.DUMMYFUNCTION("GOOGLETRANSLATE($A4016,""en"",""pt-BR"")"),"Oblast de Orlovskaia'")</f>
        <v>Oblast de Orlovskaia'</v>
      </c>
    </row>
    <row r="4017">
      <c r="A4017" s="9" t="str">
        <f>IFERROR(__xludf.DUMMYFUNCTION("""COMPUTED_VALUE"""),"Kaluzhskaya oblast'")</f>
        <v>Kaluzhskaya oblast'</v>
      </c>
      <c r="B4017" s="9" t="str">
        <f>IFERROR(__xludf.DUMMYFUNCTION("""COMPUTED_VALUE"""),"ru-klu")</f>
        <v>ru-klu</v>
      </c>
      <c r="C4017" s="9" t="str">
        <f>IFERROR(__xludf.DUMMYFUNCTION("GOOGLETRANSLATE($A4017,""en"",""de"")"),"Oblast Kaluschskaja")</f>
        <v>Oblast Kaluschskaja</v>
      </c>
      <c r="D4017" s="9" t="str">
        <f>IFERROR(__xludf.DUMMYFUNCTION("GOOGLETRANSLATE($A4017,""en"",""fr"")"),"Oblast de Kaloujskaïa")</f>
        <v>Oblast de Kaloujskaïa</v>
      </c>
      <c r="E4017" s="9" t="str">
        <f>IFERROR(__xludf.DUMMYFUNCTION("GOOGLETRANSLATE($A4017,""en"",""es"")"),"Óblast de Kaluzhskaya")</f>
        <v>Óblast de Kaluzhskaya</v>
      </c>
      <c r="F4017" s="9" t="str">
        <f>IFERROR(__xludf.DUMMYFUNCTION("GOOGLETRANSLATE($A4017,""en"",""it"")"),"Oblast' di Kalužskaja")</f>
        <v>Oblast' di Kalužskaja</v>
      </c>
      <c r="G4017" s="9" t="str">
        <f>IFERROR(__xludf.DUMMYFUNCTION("GOOGLETRANSLATE($A4017,""en"",""zh-cn"")"),"卡卢日州")</f>
        <v>卡卢日州</v>
      </c>
      <c r="H4017" s="9" t="str">
        <f>IFERROR(__xludf.DUMMYFUNCTION("GOOGLETRANSLATE($A4017,""en"",""ja"")"),"「カルジスカヤ州」")</f>
        <v>「カルジスカヤ州」</v>
      </c>
      <c r="I4017" s="9" t="str">
        <f>IFERROR(__xludf.DUMMYFUNCTION("GOOGLETRANSLATE($A4017,""en"",""ko"")"),"칼루즈스카야 오블래스트'")</f>
        <v>칼루즈스카야 오블래스트'</v>
      </c>
      <c r="J4017" s="9" t="str">
        <f>IFERROR(__xludf.DUMMYFUNCTION("GOOGLETRANSLATE($A4017,""en"",""pt-BR"")"),"Oblast de Kaluzhskaia")</f>
        <v>Oblast de Kaluzhskaia</v>
      </c>
    </row>
    <row r="4018">
      <c r="A4018" s="9" t="str">
        <f>IFERROR(__xludf.DUMMYFUNCTION("""COMPUTED_VALUE"""),"Chechenskaya Respublika")</f>
        <v>Chechenskaya Respublika</v>
      </c>
      <c r="B4018" s="9" t="str">
        <f>IFERROR(__xludf.DUMMYFUNCTION("""COMPUTED_VALUE"""),"ru-ce")</f>
        <v>ru-ce</v>
      </c>
      <c r="C4018" s="9" t="str">
        <f>IFERROR(__xludf.DUMMYFUNCTION("GOOGLETRANSLATE($A4018,""en"",""de"")"),"Tschetschenische Republik")</f>
        <v>Tschetschenische Republik</v>
      </c>
      <c r="D4018" s="9" t="str">
        <f>IFERROR(__xludf.DUMMYFUNCTION("GOOGLETRANSLATE($A4018,""en"",""fr"")"),"Respublika tchétchène")</f>
        <v>Respublika tchétchène</v>
      </c>
      <c r="E4018" s="9" t="str">
        <f>IFERROR(__xludf.DUMMYFUNCTION("GOOGLETRANSLATE($A4018,""en"",""es"")"),"República de Chechenia")</f>
        <v>República de Chechenia</v>
      </c>
      <c r="F4018" s="9" t="str">
        <f>IFERROR(__xludf.DUMMYFUNCTION("GOOGLETRANSLATE($A4018,""en"",""it"")"),"Repubblica cecena")</f>
        <v>Repubblica cecena</v>
      </c>
      <c r="G4018" s="9" t="str">
        <f>IFERROR(__xludf.DUMMYFUNCTION("GOOGLETRANSLATE($A4018,""en"",""zh-cn"")"),"车臣共和国")</f>
        <v>车臣共和国</v>
      </c>
      <c r="H4018" s="9" t="str">
        <f>IFERROR(__xludf.DUMMYFUNCTION("GOOGLETRANSLATE($A4018,""en"",""ja"")"),"チェチェンスカヤ共和国")</f>
        <v>チェチェンスカヤ共和国</v>
      </c>
      <c r="I4018" s="9" t="str">
        <f>IFERROR(__xludf.DUMMYFUNCTION("GOOGLETRANSLATE($A4018,""en"",""ko"")"),"체첸스카야 레스푸블리카")</f>
        <v>체첸스카야 레스푸블리카</v>
      </c>
      <c r="J4018" s="9" t="str">
        <f>IFERROR(__xludf.DUMMYFUNCTION("GOOGLETRANSLATE($A4018,""en"",""pt-BR"")"),"República Chechena")</f>
        <v>República Chechena</v>
      </c>
    </row>
    <row r="4019">
      <c r="A4019" s="9" t="str">
        <f>IFERROR(__xludf.DUMMYFUNCTION("""COMPUTED_VALUE"""),"Nizhegorodskaya oblast'")</f>
        <v>Nizhegorodskaya oblast'</v>
      </c>
      <c r="B4019" s="9" t="str">
        <f>IFERROR(__xludf.DUMMYFUNCTION("""COMPUTED_VALUE"""),"ru-niz")</f>
        <v>ru-niz</v>
      </c>
      <c r="C4019" s="9" t="str">
        <f>IFERROR(__xludf.DUMMYFUNCTION("GOOGLETRANSLATE($A4019,""en"",""de"")"),"Oblast Nischegorod")</f>
        <v>Oblast Nischegorod</v>
      </c>
      <c r="D4019" s="9" t="str">
        <f>IFERROR(__xludf.DUMMYFUNCTION("GOOGLETRANSLATE($A4019,""en"",""fr"")"),"Oblast de Nijegorodskaya")</f>
        <v>Oblast de Nijegorodskaya</v>
      </c>
      <c r="E4019" s="9" t="str">
        <f>IFERROR(__xludf.DUMMYFUNCTION("GOOGLETRANSLATE($A4019,""en"",""es"")"),"Óblast de Nizhegorodskaya")</f>
        <v>Óblast de Nizhegorodskaya</v>
      </c>
      <c r="F4019" s="9" t="str">
        <f>IFERROR(__xludf.DUMMYFUNCTION("GOOGLETRANSLATE($A4019,""en"",""it"")"),"Oblast' di Nizhegorodskaja'")</f>
        <v>Oblast' di Nizhegorodskaja'</v>
      </c>
      <c r="G4019" s="9" t="str">
        <f>IFERROR(__xludf.DUMMYFUNCTION("GOOGLETRANSLATE($A4019,""en"",""zh-cn"")"),"下哥罗德州")</f>
        <v>下哥罗德州</v>
      </c>
      <c r="H4019" s="9" t="str">
        <f>IFERROR(__xludf.DUMMYFUNCTION("GOOGLETRANSLATE($A4019,""en"",""ja"")"),"ニジェゴロツカヤ州」")</f>
        <v>ニジェゴロツカヤ州」</v>
      </c>
      <c r="I4019" s="9" t="str">
        <f>IFERROR(__xludf.DUMMYFUNCTION("GOOGLETRANSLATE($A4019,""en"",""ko"")"),"니제고로드스카야 오블래스트'")</f>
        <v>니제고로드스카야 오블래스트'</v>
      </c>
      <c r="J4019" s="9" t="str">
        <f>IFERROR(__xludf.DUMMYFUNCTION("GOOGLETRANSLATE($A4019,""en"",""pt-BR"")"),"Oblast de Nizhegorodskaia'")</f>
        <v>Oblast de Nizhegorodskaia'</v>
      </c>
    </row>
    <row r="4020">
      <c r="A4020" s="9" t="str">
        <f>IFERROR(__xludf.DUMMYFUNCTION("""COMPUTED_VALUE"""),"Kareliya, Respublika")</f>
        <v>Kareliya, Respublika</v>
      </c>
      <c r="B4020" s="9" t="str">
        <f>IFERROR(__xludf.DUMMYFUNCTION("""COMPUTED_VALUE"""),"ru-kr")</f>
        <v>ru-kr</v>
      </c>
      <c r="C4020" s="9" t="str">
        <f>IFERROR(__xludf.DUMMYFUNCTION("GOOGLETRANSLATE($A4020,""en"",""de"")"),"Karelien, Republika")</f>
        <v>Karelien, Republika</v>
      </c>
      <c r="D4020" s="9" t="str">
        <f>IFERROR(__xludf.DUMMYFUNCTION("GOOGLETRANSLATE($A4020,""en"",""fr"")"),"Kareliya, Respublika")</f>
        <v>Kareliya, Respublika</v>
      </c>
      <c r="E4020" s="9" t="str">
        <f>IFERROR(__xludf.DUMMYFUNCTION("GOOGLETRANSLATE($A4020,""en"",""es"")"),"Kareliya, República")</f>
        <v>Kareliya, República</v>
      </c>
      <c r="F4020" s="9" t="str">
        <f>IFERROR(__xludf.DUMMYFUNCTION("GOOGLETRANSLATE($A4020,""en"",""it"")"),"Carelia, Repubblica")</f>
        <v>Carelia, Repubblica</v>
      </c>
      <c r="G4020" s="9" t="str">
        <f>IFERROR(__xludf.DUMMYFUNCTION("GOOGLETRANSLATE($A4020,""en"",""zh-cn"")"),"卡累利阿共和国")</f>
        <v>卡累利阿共和国</v>
      </c>
      <c r="H4020" s="9" t="str">
        <f>IFERROR(__xludf.DUMMYFUNCTION("GOOGLETRANSLATE($A4020,""en"",""ja"")"),"カレリヤ、共和国")</f>
        <v>カレリヤ、共和国</v>
      </c>
      <c r="I4020" s="9" t="str">
        <f>IFERROR(__xludf.DUMMYFUNCTION("GOOGLETRANSLATE($A4020,""en"",""ko"")"),"카렐리야, 레스푸블리카")</f>
        <v>카렐리야, 레스푸블리카</v>
      </c>
      <c r="J4020" s="9" t="str">
        <f>IFERROR(__xludf.DUMMYFUNCTION("GOOGLETRANSLATE($A4020,""en"",""pt-BR"")"),"Carélia, República")</f>
        <v>Carélia, República</v>
      </c>
    </row>
    <row r="4021">
      <c r="A4021" s="9" t="str">
        <f>IFERROR(__xludf.DUMMYFUNCTION("""COMPUTED_VALUE"""),"Omskaya oblast'")</f>
        <v>Omskaya oblast'</v>
      </c>
      <c r="B4021" s="9" t="str">
        <f>IFERROR(__xludf.DUMMYFUNCTION("""COMPUTED_VALUE"""),"ru-oms")</f>
        <v>ru-oms</v>
      </c>
      <c r="C4021" s="9" t="str">
        <f>IFERROR(__xludf.DUMMYFUNCTION("GOOGLETRANSLATE($A4021,""en"",""de"")"),"Oblast Omskaja")</f>
        <v>Oblast Omskaja</v>
      </c>
      <c r="D4021" s="9" t="str">
        <f>IFERROR(__xludf.DUMMYFUNCTION("GOOGLETRANSLATE($A4021,""en"",""fr"")"),"Oblast d'Omskaïa")</f>
        <v>Oblast d'Omskaïa</v>
      </c>
      <c r="E4021" s="9" t="str">
        <f>IFERROR(__xludf.DUMMYFUNCTION("GOOGLETRANSLATE($A4021,""en"",""es"")"),"Óblast de Omskaya")</f>
        <v>Óblast de Omskaya</v>
      </c>
      <c r="F4021" s="9" t="str">
        <f>IFERROR(__xludf.DUMMYFUNCTION("GOOGLETRANSLATE($A4021,""en"",""it"")"),"Oblast' di Omskaya'")</f>
        <v>Oblast' di Omskaya'</v>
      </c>
      <c r="G4021" s="9" t="str">
        <f>IFERROR(__xludf.DUMMYFUNCTION("GOOGLETRANSLATE($A4021,""en"",""zh-cn"")"),"鄂木斯克州")</f>
        <v>鄂木斯克州</v>
      </c>
      <c r="H4021" s="9" t="str">
        <f>IFERROR(__xludf.DUMMYFUNCTION("GOOGLETRANSLATE($A4021,""en"",""ja"")"),"オムスカヤ州」")</f>
        <v>オムスカヤ州」</v>
      </c>
      <c r="I4021" s="9" t="str">
        <f>IFERROR(__xludf.DUMMYFUNCTION("GOOGLETRANSLATE($A4021,""en"",""ko"")"),"옴스카야 오블래스트'")</f>
        <v>옴스카야 오블래스트'</v>
      </c>
      <c r="J4021" s="9" t="str">
        <f>IFERROR(__xludf.DUMMYFUNCTION("GOOGLETRANSLATE($A4021,""en"",""pt-BR"")"),"Oblast de Omskaya'")</f>
        <v>Oblast de Omskaya'</v>
      </c>
    </row>
    <row r="4022">
      <c r="A4022" s="9" t="str">
        <f>IFERROR(__xludf.DUMMYFUNCTION("""COMPUTED_VALUE"""),"Sankt-Peterburg")</f>
        <v>Sankt-Peterburg</v>
      </c>
      <c r="B4022" s="9" t="str">
        <f>IFERROR(__xludf.DUMMYFUNCTION("""COMPUTED_VALUE"""),"ru-spe")</f>
        <v>ru-spe</v>
      </c>
      <c r="C4022" s="9" t="str">
        <f>IFERROR(__xludf.DUMMYFUNCTION("GOOGLETRANSLATE($A4022,""en"",""de"")"),"Sankt-Peterburg")</f>
        <v>Sankt-Peterburg</v>
      </c>
      <c r="D4022" s="9" t="str">
        <f>IFERROR(__xludf.DUMMYFUNCTION("GOOGLETRANSLATE($A4022,""en"",""fr"")"),"Saint-Pétersbourg")</f>
        <v>Saint-Pétersbourg</v>
      </c>
      <c r="E4022" s="9" t="str">
        <f>IFERROR(__xludf.DUMMYFUNCTION("GOOGLETRANSLATE($A4022,""en"",""es"")"),"San Petersburgo")</f>
        <v>San Petersburgo</v>
      </c>
      <c r="F4022" s="9" t="str">
        <f>IFERROR(__xludf.DUMMYFUNCTION("GOOGLETRANSLATE($A4022,""en"",""it"")"),"San Pietroburgo")</f>
        <v>San Pietroburgo</v>
      </c>
      <c r="G4022" s="9" t="str">
        <f>IFERROR(__xludf.DUMMYFUNCTION("GOOGLETRANSLATE($A4022,""en"",""zh-cn"")"),"圣彼得堡")</f>
        <v>圣彼得堡</v>
      </c>
      <c r="H4022" s="9" t="str">
        <f>IFERROR(__xludf.DUMMYFUNCTION("GOOGLETRANSLATE($A4022,""en"",""ja"")"),"サンクトペテルブルク")</f>
        <v>サンクトペテルブルク</v>
      </c>
      <c r="I4022" s="9" t="str">
        <f>IFERROR(__xludf.DUMMYFUNCTION("GOOGLETRANSLATE($A4022,""en"",""ko"")"),"상트페테르부르크")</f>
        <v>상트페테르부르크</v>
      </c>
      <c r="J4022" s="9" t="str">
        <f>IFERROR(__xludf.DUMMYFUNCTION("GOOGLETRANSLATE($A4022,""en"",""pt-BR"")"),"São Petersburgo")</f>
        <v>São Petersburgo</v>
      </c>
    </row>
    <row r="4023">
      <c r="A4023" s="9" t="str">
        <f>IFERROR(__xludf.DUMMYFUNCTION("""COMPUTED_VALUE"""),"Tyumenskaya oblast'")</f>
        <v>Tyumenskaya oblast'</v>
      </c>
      <c r="B4023" s="9" t="str">
        <f>IFERROR(__xludf.DUMMYFUNCTION("""COMPUTED_VALUE"""),"ru-tyu")</f>
        <v>ru-tyu</v>
      </c>
      <c r="C4023" s="9" t="str">
        <f>IFERROR(__xludf.DUMMYFUNCTION("GOOGLETRANSLATE($A4023,""en"",""de"")"),"Oblast Tjumen")</f>
        <v>Oblast Tjumen</v>
      </c>
      <c r="D4023" s="9" t="str">
        <f>IFERROR(__xludf.DUMMYFUNCTION("GOOGLETRANSLATE($A4023,""en"",""fr"")"),"Oblast de Tioumenskaïa")</f>
        <v>Oblast de Tioumenskaïa</v>
      </c>
      <c r="E4023" s="9" t="str">
        <f>IFERROR(__xludf.DUMMYFUNCTION("GOOGLETRANSLATE($A4023,""en"",""es"")"),"Óblast de Tiuménskaya")</f>
        <v>Óblast de Tiuménskaya</v>
      </c>
      <c r="F4023" s="9" t="str">
        <f>IFERROR(__xludf.DUMMYFUNCTION("GOOGLETRANSLATE($A4023,""en"",""it"")"),"Oblast' di Tjumenskaja")</f>
        <v>Oblast' di Tjumenskaja</v>
      </c>
      <c r="G4023" s="9" t="str">
        <f>IFERROR(__xludf.DUMMYFUNCTION("GOOGLETRANSLATE($A4023,""en"",""zh-cn"")"),"秋明州")</f>
        <v>秋明州</v>
      </c>
      <c r="H4023" s="9" t="str">
        <f>IFERROR(__xludf.DUMMYFUNCTION("GOOGLETRANSLATE($A4023,""en"",""ja"")"),"チュメンスカヤ州」")</f>
        <v>チュメンスカヤ州」</v>
      </c>
      <c r="I4023" s="9" t="str">
        <f>IFERROR(__xludf.DUMMYFUNCTION("GOOGLETRANSLATE($A4023,""en"",""ko"")"),"튜멘스카야 오블래스트'")</f>
        <v>튜멘스카야 오블래스트'</v>
      </c>
      <c r="J4023" s="9" t="str">
        <f>IFERROR(__xludf.DUMMYFUNCTION("GOOGLETRANSLATE($A4023,""en"",""pt-BR"")"),"Oblast de Tiumenska'")</f>
        <v>Oblast de Tiumenska'</v>
      </c>
    </row>
    <row r="4024">
      <c r="A4024" s="9" t="str">
        <f>IFERROR(__xludf.DUMMYFUNCTION("""COMPUTED_VALUE"""),"Kabardino-Balkarskaya Respublika")</f>
        <v>Kabardino-Balkarskaya Respublika</v>
      </c>
      <c r="B4024" s="9" t="str">
        <f>IFERROR(__xludf.DUMMYFUNCTION("""COMPUTED_VALUE"""),"ru-kb")</f>
        <v>ru-kb</v>
      </c>
      <c r="C4024" s="9" t="str">
        <f>IFERROR(__xludf.DUMMYFUNCTION("GOOGLETRANSLATE($A4024,""en"",""de"")"),"Kabardino-Balkarskaja Respublika")</f>
        <v>Kabardino-Balkarskaja Respublika</v>
      </c>
      <c r="D4024" s="9" t="str">
        <f>IFERROR(__xludf.DUMMYFUNCTION("GOOGLETRANSLATE($A4024,""en"",""fr"")"),"Respublika Kabardino-Balkarskaïa")</f>
        <v>Respublika Kabardino-Balkarskaïa</v>
      </c>
      <c r="E4024" s="9" t="str">
        <f>IFERROR(__xludf.DUMMYFUNCTION("GOOGLETRANSLATE($A4024,""en"",""es"")"),"República de Kabardino-Balkarskaya")</f>
        <v>República de Kabardino-Balkarskaya</v>
      </c>
      <c r="F4024" s="9" t="str">
        <f>IFERROR(__xludf.DUMMYFUNCTION("GOOGLETRANSLATE($A4024,""en"",""it"")"),"Repubblica Cabardino-Balcariana")</f>
        <v>Repubblica Cabardino-Balcariana</v>
      </c>
      <c r="G4024" s="9" t="str">
        <f>IFERROR(__xludf.DUMMYFUNCTION("GOOGLETRANSLATE($A4024,""en"",""zh-cn"")"),"卡巴尔达-巴尔卡尔共和国")</f>
        <v>卡巴尔达-巴尔卡尔共和国</v>
      </c>
      <c r="H4024" s="9" t="str">
        <f>IFERROR(__xludf.DUMMYFUNCTION("GOOGLETRANSLATE($A4024,""en"",""ja"")"),"カバルディーノ・バルカルスカヤ共和国")</f>
        <v>カバルディーノ・バルカルスカヤ共和国</v>
      </c>
      <c r="I4024" s="9" t="str">
        <f>IFERROR(__xludf.DUMMYFUNCTION("GOOGLETRANSLATE($A4024,""en"",""ko"")"),"카바르디노-발카르스카야 레스푸블리카")</f>
        <v>카바르디노-발카르스카야 레스푸블리카</v>
      </c>
      <c r="J4024" s="9" t="str">
        <f>IFERROR(__xludf.DUMMYFUNCTION("GOOGLETRANSLATE($A4024,""en"",""pt-BR"")"),"República Kabardino-Balkarskaya")</f>
        <v>República Kabardino-Balkarskaya</v>
      </c>
    </row>
    <row r="4025">
      <c r="A4025" s="9" t="str">
        <f>IFERROR(__xludf.DUMMYFUNCTION("""COMPUTED_VALUE"""),"Krasnodarskiy kray")</f>
        <v>Krasnodarskiy kray</v>
      </c>
      <c r="B4025" s="9" t="str">
        <f>IFERROR(__xludf.DUMMYFUNCTION("""COMPUTED_VALUE"""),"ru-kda")</f>
        <v>ru-kda</v>
      </c>
      <c r="C4025" s="9" t="str">
        <f>IFERROR(__xludf.DUMMYFUNCTION("GOOGLETRANSLATE($A4025,""en"",""de"")"),"Krasnodarskiy Kray")</f>
        <v>Krasnodarskiy Kray</v>
      </c>
      <c r="D4025" s="9" t="str">
        <f>IFERROR(__xludf.DUMMYFUNCTION("GOOGLETRANSLATE($A4025,""en"",""fr"")"),"Kraï de Krasnodarski")</f>
        <v>Kraï de Krasnodarski</v>
      </c>
      <c r="E4025" s="9" t="str">
        <f>IFERROR(__xludf.DUMMYFUNCTION("GOOGLETRANSLATE($A4025,""en"",""es"")"),"Krasnodarskiy kray")</f>
        <v>Krasnodarskiy kray</v>
      </c>
      <c r="F4025" s="9" t="str">
        <f>IFERROR(__xludf.DUMMYFUNCTION("GOOGLETRANSLATE($A4025,""en"",""it"")"),"Krasnodarskij Kray")</f>
        <v>Krasnodarskij Kray</v>
      </c>
      <c r="G4025" s="9" t="str">
        <f>IFERROR(__xludf.DUMMYFUNCTION("GOOGLETRANSLATE($A4025,""en"",""zh-cn"")"),"克拉斯诺达尔边疆区")</f>
        <v>克拉斯诺达尔边疆区</v>
      </c>
      <c r="H4025" s="9" t="str">
        <f>IFERROR(__xludf.DUMMYFUNCTION("GOOGLETRANSLATE($A4025,""en"",""ja"")"),"クラスノダルスキー地方")</f>
        <v>クラスノダルスキー地方</v>
      </c>
      <c r="I4025" s="9" t="str">
        <f>IFERROR(__xludf.DUMMYFUNCTION("GOOGLETRANSLATE($A4025,""en"",""ko"")"),"크라스노다르스키 크레이")</f>
        <v>크라스노다르스키 크레이</v>
      </c>
      <c r="J4025" s="9" t="str">
        <f>IFERROR(__xludf.DUMMYFUNCTION("GOOGLETRANSLATE($A4025,""en"",""pt-BR"")"),"Krasnodarskiy kray")</f>
        <v>Krasnodarskiy kray</v>
      </c>
    </row>
    <row r="4026">
      <c r="A4026" s="9" t="str">
        <f>IFERROR(__xludf.DUMMYFUNCTION("""COMPUTED_VALUE"""),"Murmanskaya oblast'")</f>
        <v>Murmanskaya oblast'</v>
      </c>
      <c r="B4026" s="9" t="str">
        <f>IFERROR(__xludf.DUMMYFUNCTION("""COMPUTED_VALUE"""),"ru-mur")</f>
        <v>ru-mur</v>
      </c>
      <c r="C4026" s="9" t="str">
        <f>IFERROR(__xludf.DUMMYFUNCTION("GOOGLETRANSLATE($A4026,""en"",""de"")"),"Oblast Murman")</f>
        <v>Oblast Murman</v>
      </c>
      <c r="D4026" s="9" t="str">
        <f>IFERROR(__xludf.DUMMYFUNCTION("GOOGLETRANSLATE($A4026,""en"",""fr"")"),"Oblast de Mourmanskaïa")</f>
        <v>Oblast de Mourmanskaïa</v>
      </c>
      <c r="E4026" s="9" t="str">
        <f>IFERROR(__xludf.DUMMYFUNCTION("GOOGLETRANSLATE($A4026,""en"",""es"")"),"Óblast de Múrmanskaya")</f>
        <v>Óblast de Múrmanskaya</v>
      </c>
      <c r="F4026" s="9" t="str">
        <f>IFERROR(__xludf.DUMMYFUNCTION("GOOGLETRANSLATE($A4026,""en"",""it"")"),"Oblast' di Murmanskaja")</f>
        <v>Oblast' di Murmanskaja</v>
      </c>
      <c r="G4026" s="9" t="str">
        <f>IFERROR(__xludf.DUMMYFUNCTION("GOOGLETRANSLATE($A4026,""en"",""zh-cn"")"),"摩尔曼斯克州")</f>
        <v>摩尔曼斯克州</v>
      </c>
      <c r="H4026" s="9" t="str">
        <f>IFERROR(__xludf.DUMMYFUNCTION("GOOGLETRANSLATE($A4026,""en"",""ja"")"),"ムルマンスカヤ州」")</f>
        <v>ムルマンスカヤ州」</v>
      </c>
      <c r="I4026" s="9" t="str">
        <f>IFERROR(__xludf.DUMMYFUNCTION("GOOGLETRANSLATE($A4026,""en"",""ko"")"),"무르만스카야 오블래스트'")</f>
        <v>무르만스카야 오블래스트'</v>
      </c>
      <c r="J4026" s="9" t="str">
        <f>IFERROR(__xludf.DUMMYFUNCTION("GOOGLETRANSLATE($A4026,""en"",""pt-BR"")"),"Oblast de Murmanska'")</f>
        <v>Oblast de Murmanska'</v>
      </c>
    </row>
    <row r="4027">
      <c r="A4027" s="9" t="str">
        <f>IFERROR(__xludf.DUMMYFUNCTION("""COMPUTED_VALUE"""),"Primorskiy kray")</f>
        <v>Primorskiy kray</v>
      </c>
      <c r="B4027" s="9" t="str">
        <f>IFERROR(__xludf.DUMMYFUNCTION("""COMPUTED_VALUE"""),"ru-pri")</f>
        <v>ru-pri</v>
      </c>
      <c r="C4027" s="9" t="str">
        <f>IFERROR(__xludf.DUMMYFUNCTION("GOOGLETRANSLATE($A4027,""en"",""de"")"),"Primorskiy Kray")</f>
        <v>Primorskiy Kray</v>
      </c>
      <c r="D4027" s="9" t="str">
        <f>IFERROR(__xludf.DUMMYFUNCTION("GOOGLETRANSLATE($A4027,""en"",""fr"")"),"Kraï du Primorie")</f>
        <v>Kraï du Primorie</v>
      </c>
      <c r="E4027" s="9" t="str">
        <f>IFERROR(__xludf.DUMMYFUNCTION("GOOGLETRANSLATE($A4027,""en"",""es"")"),"Krai de Primorie")</f>
        <v>Krai de Primorie</v>
      </c>
      <c r="F4027" s="9" t="str">
        <f>IFERROR(__xludf.DUMMYFUNCTION("GOOGLETRANSLATE($A4027,""en"",""it"")"),"Kraj Primorskij")</f>
        <v>Kraj Primorskij</v>
      </c>
      <c r="G4027" s="9" t="str">
        <f>IFERROR(__xludf.DUMMYFUNCTION("GOOGLETRANSLATE($A4027,""en"",""zh-cn"")"),"滨海边疆区")</f>
        <v>滨海边疆区</v>
      </c>
      <c r="H4027" s="9" t="str">
        <f>IFERROR(__xludf.DUMMYFUNCTION("GOOGLETRANSLATE($A4027,""en"",""ja"")"),"沿海地方")</f>
        <v>沿海地方</v>
      </c>
      <c r="I4027" s="9" t="str">
        <f>IFERROR(__xludf.DUMMYFUNCTION("GOOGLETRANSLATE($A4027,""en"",""ko"")"),"프리모르스키 크라이")</f>
        <v>프리모르스키 크라이</v>
      </c>
      <c r="J4027" s="9" t="str">
        <f>IFERROR(__xludf.DUMMYFUNCTION("GOOGLETRANSLATE($A4027,""en"",""pt-BR"")"),"Krai de Primorsky")</f>
        <v>Krai de Primorsky</v>
      </c>
    </row>
    <row r="4028">
      <c r="A4028" s="9" t="str">
        <f>IFERROR(__xludf.DUMMYFUNCTION("""COMPUTED_VALUE"""),"Chuvashskaya Respublika")</f>
        <v>Chuvashskaya Respublika</v>
      </c>
      <c r="B4028" s="9" t="str">
        <f>IFERROR(__xludf.DUMMYFUNCTION("""COMPUTED_VALUE"""),"ru-cu")</f>
        <v>ru-cu</v>
      </c>
      <c r="C4028" s="9" t="str">
        <f>IFERROR(__xludf.DUMMYFUNCTION("GOOGLETRANSLATE($A4028,""en"",""de"")"),"Tschuwaschische Republik")</f>
        <v>Tschuwaschische Republik</v>
      </c>
      <c r="D4028" s="9" t="str">
        <f>IFERROR(__xludf.DUMMYFUNCTION("GOOGLETRANSLATE($A4028,""en"",""fr"")"),"République Tchouvachie")</f>
        <v>République Tchouvachie</v>
      </c>
      <c r="E4028" s="9" t="str">
        <f>IFERROR(__xludf.DUMMYFUNCTION("GOOGLETRANSLATE($A4028,""en"",""es"")"),"República de Chuvasia")</f>
        <v>República de Chuvasia</v>
      </c>
      <c r="F4028" s="9" t="str">
        <f>IFERROR(__xludf.DUMMYFUNCTION("GOOGLETRANSLATE($A4028,""en"",""it"")"),"Chuvashskaya Respublika")</f>
        <v>Chuvashskaya Respublika</v>
      </c>
      <c r="G4028" s="9" t="str">
        <f>IFERROR(__xludf.DUMMYFUNCTION("GOOGLETRANSLATE($A4028,""en"",""zh-cn"")"),"楚瓦什共和国")</f>
        <v>楚瓦什共和国</v>
      </c>
      <c r="H4028" s="9" t="str">
        <f>IFERROR(__xludf.DUMMYFUNCTION("GOOGLETRANSLATE($A4028,""en"",""ja"")"),"チュヴァシスカヤ共和国")</f>
        <v>チュヴァシスカヤ共和国</v>
      </c>
      <c r="I4028" s="9" t="str">
        <f>IFERROR(__xludf.DUMMYFUNCTION("GOOGLETRANSLATE($A4028,""en"",""ko"")"),"추바시스카야 레스푸블리카")</f>
        <v>추바시스카야 레스푸블리카</v>
      </c>
      <c r="J4028" s="9" t="str">
        <f>IFERROR(__xludf.DUMMYFUNCTION("GOOGLETRANSLATE($A4028,""en"",""pt-BR"")"),"República da Chuváchia")</f>
        <v>República da Chuváchia</v>
      </c>
    </row>
    <row r="4029">
      <c r="A4029" s="9" t="str">
        <f>IFERROR(__xludf.DUMMYFUNCTION("""COMPUTED_VALUE"""),"Permskiy kray")</f>
        <v>Permskiy kray</v>
      </c>
      <c r="B4029" s="9" t="str">
        <f>IFERROR(__xludf.DUMMYFUNCTION("""COMPUTED_VALUE"""),"ru-per")</f>
        <v>ru-per</v>
      </c>
      <c r="C4029" s="9" t="str">
        <f>IFERROR(__xludf.DUMMYFUNCTION("GOOGLETRANSLATE($A4029,""en"",""de"")"),"Permskiy Kray")</f>
        <v>Permskiy Kray</v>
      </c>
      <c r="D4029" s="9" t="str">
        <f>IFERROR(__xludf.DUMMYFUNCTION("GOOGLETRANSLATE($A4029,""en"",""fr"")"),"Kraï de Permski")</f>
        <v>Kraï de Permski</v>
      </c>
      <c r="E4029" s="9" t="str">
        <f>IFERROR(__xludf.DUMMYFUNCTION("GOOGLETRANSLATE($A4029,""en"",""es"")"),"Krai de Permski")</f>
        <v>Krai de Permski</v>
      </c>
      <c r="F4029" s="9" t="str">
        <f>IFERROR(__xludf.DUMMYFUNCTION("GOOGLETRANSLATE($A4029,""en"",""it"")"),"Kraj Permskij")</f>
        <v>Kraj Permskij</v>
      </c>
      <c r="G4029" s="9" t="str">
        <f>IFERROR(__xludf.DUMMYFUNCTION("GOOGLETRANSLATE($A4029,""en"",""zh-cn"")"),"彼尔姆边疆区")</f>
        <v>彼尔姆边疆区</v>
      </c>
      <c r="H4029" s="9" t="str">
        <f>IFERROR(__xludf.DUMMYFUNCTION("GOOGLETRANSLATE($A4029,""en"",""ja"")"),"ペルムスキー・クレイ")</f>
        <v>ペルムスキー・クレイ</v>
      </c>
      <c r="I4029" s="9" t="str">
        <f>IFERROR(__xludf.DUMMYFUNCTION("GOOGLETRANSLATE($A4029,""en"",""ko"")"),"페름스키 크레이")</f>
        <v>페름스키 크레이</v>
      </c>
      <c r="J4029" s="9" t="str">
        <f>IFERROR(__xludf.DUMMYFUNCTION("GOOGLETRANSLATE($A4029,""en"",""pt-BR"")"),"Krai de Perm")</f>
        <v>Krai de Perm</v>
      </c>
    </row>
    <row r="4030">
      <c r="A4030" s="9" t="str">
        <f>IFERROR(__xludf.DUMMYFUNCTION("""COMPUTED_VALUE"""),"Volgogradskaya oblast'")</f>
        <v>Volgogradskaya oblast'</v>
      </c>
      <c r="B4030" s="9" t="str">
        <f>IFERROR(__xludf.DUMMYFUNCTION("""COMPUTED_VALUE"""),"ru-vgg")</f>
        <v>ru-vgg</v>
      </c>
      <c r="C4030" s="9" t="str">
        <f>IFERROR(__xludf.DUMMYFUNCTION("GOOGLETRANSLATE($A4030,""en"",""de"")"),"Oblast Wolgograd")</f>
        <v>Oblast Wolgograd</v>
      </c>
      <c r="D4030" s="9" t="str">
        <f>IFERROR(__xludf.DUMMYFUNCTION("GOOGLETRANSLATE($A4030,""en"",""fr"")"),"Oblast de Volgogradskaïa")</f>
        <v>Oblast de Volgogradskaïa</v>
      </c>
      <c r="E4030" s="9" t="str">
        <f>IFERROR(__xludf.DUMMYFUNCTION("GOOGLETRANSLATE($A4030,""en"",""es"")"),"Óblast de Volgogrado")</f>
        <v>Óblast de Volgogrado</v>
      </c>
      <c r="F4030" s="9" t="str">
        <f>IFERROR(__xludf.DUMMYFUNCTION("GOOGLETRANSLATE($A4030,""en"",""it"")"),"Oblast' di Volgogradskaja")</f>
        <v>Oblast' di Volgogradskaja</v>
      </c>
      <c r="G4030" s="9" t="str">
        <f>IFERROR(__xludf.DUMMYFUNCTION("GOOGLETRANSLATE($A4030,""en"",""zh-cn"")"),"伏尔加格勒州")</f>
        <v>伏尔加格勒州</v>
      </c>
      <c r="H4030" s="9" t="str">
        <f>IFERROR(__xludf.DUMMYFUNCTION("GOOGLETRANSLATE($A4030,""en"",""ja"")"),"ヴォルゴグラツカヤ州」")</f>
        <v>ヴォルゴグラツカヤ州」</v>
      </c>
      <c r="I4030" s="9" t="str">
        <f>IFERROR(__xludf.DUMMYFUNCTION("GOOGLETRANSLATE($A4030,""en"",""ko"")"),"볼고그라드스카야 오블래스트'")</f>
        <v>볼고그라드스카야 오블래스트'</v>
      </c>
      <c r="J4030" s="9" t="str">
        <f>IFERROR(__xludf.DUMMYFUNCTION("GOOGLETRANSLATE($A4030,""en"",""pt-BR"")"),"Oblast de Volgogrado'")</f>
        <v>Oblast de Volgogrado'</v>
      </c>
    </row>
    <row r="4031">
      <c r="A4031" s="9" t="str">
        <f>IFERROR(__xludf.DUMMYFUNCTION("""COMPUTED_VALUE"""),"Mariy El, Respublika")</f>
        <v>Mariy El, Respublika</v>
      </c>
      <c r="B4031" s="9" t="str">
        <f>IFERROR(__xludf.DUMMYFUNCTION("""COMPUTED_VALUE"""),"ru-me")</f>
        <v>ru-me</v>
      </c>
      <c r="C4031" s="9" t="str">
        <f>IFERROR(__xludf.DUMMYFUNCTION("GOOGLETRANSLATE($A4031,""en"",""de"")"),"Mariy El, Republika")</f>
        <v>Mariy El, Republika</v>
      </c>
      <c r="D4031" s="9" t="str">
        <f>IFERROR(__xludf.DUMMYFUNCTION("GOOGLETRANSLATE($A4031,""en"",""fr"")"),"Mariy El, Respublika")</f>
        <v>Mariy El, Respublika</v>
      </c>
      <c r="E4031" s="9" t="str">
        <f>IFERROR(__xludf.DUMMYFUNCTION("GOOGLETRANSLATE($A4031,""en"",""es"")"),"Mariy El, República")</f>
        <v>Mariy El, República</v>
      </c>
      <c r="F4031" s="9" t="str">
        <f>IFERROR(__xludf.DUMMYFUNCTION("GOOGLETRANSLATE($A4031,""en"",""it"")"),"Mariy El, Repubblica")</f>
        <v>Mariy El, Repubblica</v>
      </c>
      <c r="G4031" s="9" t="str">
        <f>IFERROR(__xludf.DUMMYFUNCTION("GOOGLETRANSLATE($A4031,""en"",""zh-cn"")"),"玛丽·埃尔，共和国")</f>
        <v>玛丽·埃尔，共和国</v>
      </c>
      <c r="H4031" s="9" t="str">
        <f>IFERROR(__xludf.DUMMYFUNCTION("GOOGLETRANSLATE($A4031,""en"",""ja"")"),"マリー・エル、共和国")</f>
        <v>マリー・エル、共和国</v>
      </c>
      <c r="I4031" s="9" t="str">
        <f>IFERROR(__xludf.DUMMYFUNCTION("GOOGLETRANSLATE($A4031,""en"",""ko"")"),"마리 엘, Respublika")</f>
        <v>마리 엘, Respublika</v>
      </c>
      <c r="J4031" s="9" t="str">
        <f>IFERROR(__xludf.DUMMYFUNCTION("GOOGLETRANSLATE($A4031,""en"",""pt-BR"")"),"Mariy El, República")</f>
        <v>Mariy El, República</v>
      </c>
    </row>
    <row r="4032">
      <c r="A4032" s="9" t="str">
        <f>IFERROR(__xludf.DUMMYFUNCTION("""COMPUTED_VALUE"""),"Samarskaya oblast'")</f>
        <v>Samarskaya oblast'</v>
      </c>
      <c r="B4032" s="9" t="str">
        <f>IFERROR(__xludf.DUMMYFUNCTION("""COMPUTED_VALUE"""),"ru-sam")</f>
        <v>ru-sam</v>
      </c>
      <c r="C4032" s="9" t="str">
        <f>IFERROR(__xludf.DUMMYFUNCTION("GOOGLETRANSLATE($A4032,""en"",""de"")"),"Oblast Samar")</f>
        <v>Oblast Samar</v>
      </c>
      <c r="D4032" s="9" t="str">
        <f>IFERROR(__xludf.DUMMYFUNCTION("GOOGLETRANSLATE($A4032,""en"",""fr"")"),"Oblast de Samarskaïa")</f>
        <v>Oblast de Samarskaïa</v>
      </c>
      <c r="E4032" s="9" t="str">
        <f>IFERROR(__xludf.DUMMYFUNCTION("GOOGLETRANSLATE($A4032,""en"",""es"")"),"Óblast de Samarskaya")</f>
        <v>Óblast de Samarskaya</v>
      </c>
      <c r="F4032" s="9" t="str">
        <f>IFERROR(__xludf.DUMMYFUNCTION("GOOGLETRANSLATE($A4032,""en"",""it"")"),"Oblast' di Samarskaja")</f>
        <v>Oblast' di Samarskaja</v>
      </c>
      <c r="G4032" s="9" t="str">
        <f>IFERROR(__xludf.DUMMYFUNCTION("GOOGLETRANSLATE($A4032,""en"",""zh-cn"")"),"萨马尔州'")</f>
        <v>萨马尔州'</v>
      </c>
      <c r="H4032" s="9" t="str">
        <f>IFERROR(__xludf.DUMMYFUNCTION("GOOGLETRANSLATE($A4032,""en"",""ja"")"),"サマルスカヤ州」")</f>
        <v>サマルスカヤ州」</v>
      </c>
      <c r="I4032" s="9" t="str">
        <f>IFERROR(__xludf.DUMMYFUNCTION("GOOGLETRANSLATE($A4032,""en"",""ko"")"),"사마르스카야 오블래스트'")</f>
        <v>사마르스카야 오블래스트'</v>
      </c>
      <c r="J4032" s="9" t="str">
        <f>IFERROR(__xludf.DUMMYFUNCTION("GOOGLETRANSLATE($A4032,""en"",""pt-BR"")"),"Oblast de Samarskaya'")</f>
        <v>Oblast de Samarskaya'</v>
      </c>
    </row>
    <row r="4033">
      <c r="A4033" s="9" t="str">
        <f>IFERROR(__xludf.DUMMYFUNCTION("""COMPUTED_VALUE"""),"Bryanskaya oblast'")</f>
        <v>Bryanskaya oblast'</v>
      </c>
      <c r="B4033" s="9" t="str">
        <f>IFERROR(__xludf.DUMMYFUNCTION("""COMPUTED_VALUE"""),"ru-bry")</f>
        <v>ru-bry</v>
      </c>
      <c r="C4033" s="9" t="str">
        <f>IFERROR(__xludf.DUMMYFUNCTION("GOOGLETRANSLATE($A4033,""en"",""de"")"),"Oblast Brjanskaja")</f>
        <v>Oblast Brjanskaja</v>
      </c>
      <c r="D4033" s="9" t="str">
        <f>IFERROR(__xludf.DUMMYFUNCTION("GOOGLETRANSLATE($A4033,""en"",""fr"")"),"Oblast de Brianskaïa")</f>
        <v>Oblast de Brianskaïa</v>
      </c>
      <c r="E4033" s="9" t="str">
        <f>IFERROR(__xludf.DUMMYFUNCTION("GOOGLETRANSLATE($A4033,""en"",""es"")"),"Óblast de Brianskaya")</f>
        <v>Óblast de Brianskaya</v>
      </c>
      <c r="F4033" s="9" t="str">
        <f>IFERROR(__xludf.DUMMYFUNCTION("GOOGLETRANSLATE($A4033,""en"",""it"")"),"Oblast' di Bryanskaja")</f>
        <v>Oblast' di Bryanskaja</v>
      </c>
      <c r="G4033" s="9" t="str">
        <f>IFERROR(__xludf.DUMMYFUNCTION("GOOGLETRANSLATE($A4033,""en"",""zh-cn"")"),"布良斯卡州")</f>
        <v>布良斯卡州</v>
      </c>
      <c r="H4033" s="9" t="str">
        <f>IFERROR(__xludf.DUMMYFUNCTION("GOOGLETRANSLATE($A4033,""en"",""ja"")"),"ブリャンスカヤ州」")</f>
        <v>ブリャンスカヤ州」</v>
      </c>
      <c r="I4033" s="9" t="str">
        <f>IFERROR(__xludf.DUMMYFUNCTION("GOOGLETRANSLATE($A4033,""en"",""ko"")"),"브라이언스카야 오블래스트'")</f>
        <v>브라이언스카야 오블래스트'</v>
      </c>
      <c r="J4033" s="9" t="str">
        <f>IFERROR(__xludf.DUMMYFUNCTION("GOOGLETRANSLATE($A4033,""en"",""pt-BR"")"),"Oblast de Bryanska'")</f>
        <v>Oblast de Bryanska'</v>
      </c>
    </row>
    <row r="4034">
      <c r="A4034" s="9" t="str">
        <f>IFERROR(__xludf.DUMMYFUNCTION("""COMPUTED_VALUE"""),"Stavropol'skiy kray")</f>
        <v>Stavropol'skiy kray</v>
      </c>
      <c r="B4034" s="9" t="str">
        <f>IFERROR(__xludf.DUMMYFUNCTION("""COMPUTED_VALUE"""),"ru-sta")</f>
        <v>ru-sta</v>
      </c>
      <c r="C4034" s="9" t="str">
        <f>IFERROR(__xludf.DUMMYFUNCTION("GOOGLETRANSLATE($A4034,""en"",""de"")"),"Stawropol'skiy Kray")</f>
        <v>Stawropol'skiy Kray</v>
      </c>
      <c r="D4034" s="9" t="str">
        <f>IFERROR(__xludf.DUMMYFUNCTION("GOOGLETRANSLATE($A4034,""en"",""fr"")"),"Kraï de Stavropol")</f>
        <v>Kraï de Stavropol</v>
      </c>
      <c r="E4034" s="9" t="str">
        <f>IFERROR(__xludf.DUMMYFUNCTION("GOOGLETRANSLATE($A4034,""en"",""es"")"),"Krai de Stavropol")</f>
        <v>Krai de Stavropol</v>
      </c>
      <c r="F4034" s="9" t="str">
        <f>IFERROR(__xludf.DUMMYFUNCTION("GOOGLETRANSLATE($A4034,""en"",""it"")"),"Stavropol'skiy kray")</f>
        <v>Stavropol'skiy kray</v>
      </c>
      <c r="G4034" s="9" t="str">
        <f>IFERROR(__xludf.DUMMYFUNCTION("GOOGLETRANSLATE($A4034,""en"",""zh-cn"")"),"斯塔夫罗波尔边疆区")</f>
        <v>斯塔夫罗波尔边疆区</v>
      </c>
      <c r="H4034" s="9" t="str">
        <f>IFERROR(__xludf.DUMMYFUNCTION("GOOGLETRANSLATE($A4034,""en"",""ja"")"),"スタヴロポリのスキー・クレイ")</f>
        <v>スタヴロポリのスキー・クレイ</v>
      </c>
      <c r="I4034" s="9" t="str">
        <f>IFERROR(__xludf.DUMMYFUNCTION("GOOGLETRANSLATE($A4034,""en"",""ko"")"),"스타브로폴스키 크레이")</f>
        <v>스타브로폴스키 크레이</v>
      </c>
      <c r="J4034" s="9" t="str">
        <f>IFERROR(__xludf.DUMMYFUNCTION("GOOGLETRANSLATE($A4034,""en"",""pt-BR"")"),"Krai de Stavropol")</f>
        <v>Krai de Stavropol</v>
      </c>
    </row>
    <row r="4035">
      <c r="A4035" s="9" t="str">
        <f>IFERROR(__xludf.DUMMYFUNCTION("""COMPUTED_VALUE"""),"Kurganskaya oblast'")</f>
        <v>Kurganskaya oblast'</v>
      </c>
      <c r="B4035" s="9" t="str">
        <f>IFERROR(__xludf.DUMMYFUNCTION("""COMPUTED_VALUE"""),"ru-kgn")</f>
        <v>ru-kgn</v>
      </c>
      <c r="C4035" s="9" t="str">
        <f>IFERROR(__xludf.DUMMYFUNCTION("GOOGLETRANSLATE($A4035,""en"",""de"")"),"Oblast Kurgan")</f>
        <v>Oblast Kurgan</v>
      </c>
      <c r="D4035" s="9" t="str">
        <f>IFERROR(__xludf.DUMMYFUNCTION("GOOGLETRANSLATE($A4035,""en"",""fr"")"),"Oblast de Kourganskaïa")</f>
        <v>Oblast de Kourganskaïa</v>
      </c>
      <c r="E4035" s="9" t="str">
        <f>IFERROR(__xludf.DUMMYFUNCTION("GOOGLETRANSLATE($A4035,""en"",""es"")"),"Óblast de Kurgán")</f>
        <v>Óblast de Kurgán</v>
      </c>
      <c r="F4035" s="9" t="str">
        <f>IFERROR(__xludf.DUMMYFUNCTION("GOOGLETRANSLATE($A4035,""en"",""it"")"),"Oblast' di Kurganskaja")</f>
        <v>Oblast' di Kurganskaja</v>
      </c>
      <c r="G4035" s="9" t="str">
        <f>IFERROR(__xludf.DUMMYFUNCTION("GOOGLETRANSLATE($A4035,""en"",""zh-cn"")"),"库尔干州'")</f>
        <v>库尔干州'</v>
      </c>
      <c r="H4035" s="9" t="str">
        <f>IFERROR(__xludf.DUMMYFUNCTION("GOOGLETRANSLATE($A4035,""en"",""ja"")"),"クルガンスカヤ州」")</f>
        <v>クルガンスカヤ州」</v>
      </c>
      <c r="I4035" s="9" t="str">
        <f>IFERROR(__xludf.DUMMYFUNCTION("GOOGLETRANSLATE($A4035,""en"",""ko"")"),"쿠르간스카야 오블래스트'")</f>
        <v>쿠르간스카야 오블래스트'</v>
      </c>
      <c r="J4035" s="9" t="str">
        <f>IFERROR(__xludf.DUMMYFUNCTION("GOOGLETRANSLATE($A4035,""en"",""pt-BR"")"),"Oblast de Kurganska'")</f>
        <v>Oblast de Kurganska'</v>
      </c>
    </row>
    <row r="4036">
      <c r="A4036" s="9" t="str">
        <f>IFERROR(__xludf.DUMMYFUNCTION("""COMPUTED_VALUE"""),"Kemerovskaya oblast'")</f>
        <v>Kemerovskaya oblast'</v>
      </c>
      <c r="B4036" s="9" t="str">
        <f>IFERROR(__xludf.DUMMYFUNCTION("""COMPUTED_VALUE"""),"ru-kem")</f>
        <v>ru-kem</v>
      </c>
      <c r="C4036" s="9" t="str">
        <f>IFERROR(__xludf.DUMMYFUNCTION("GOOGLETRANSLATE($A4036,""en"",""de"")"),"Oblast Kemerowo")</f>
        <v>Oblast Kemerowo</v>
      </c>
      <c r="D4036" s="9" t="str">
        <f>IFERROR(__xludf.DUMMYFUNCTION("GOOGLETRANSLATE($A4036,""en"",""fr"")"),"Oblast de Kemerovskaïa")</f>
        <v>Oblast de Kemerovskaïa</v>
      </c>
      <c r="E4036" s="9" t="str">
        <f>IFERROR(__xludf.DUMMYFUNCTION("GOOGLETRANSLATE($A4036,""en"",""es"")"),"Óblast de Kemerovskaya")</f>
        <v>Óblast de Kemerovskaya</v>
      </c>
      <c r="F4036" s="9" t="str">
        <f>IFERROR(__xludf.DUMMYFUNCTION("GOOGLETRANSLATE($A4036,""en"",""it"")"),"Oblast' di Kemerovskaja'")</f>
        <v>Oblast' di Kemerovskaja'</v>
      </c>
      <c r="G4036" s="9" t="str">
        <f>IFERROR(__xludf.DUMMYFUNCTION("GOOGLETRANSLATE($A4036,""en"",""zh-cn"")"),"克麦罗夫州")</f>
        <v>克麦罗夫州</v>
      </c>
      <c r="H4036" s="9" t="str">
        <f>IFERROR(__xludf.DUMMYFUNCTION("GOOGLETRANSLATE($A4036,""en"",""ja"")"),"ケメロフスカヤ州」")</f>
        <v>ケメロフスカヤ州」</v>
      </c>
      <c r="I4036" s="9" t="str">
        <f>IFERROR(__xludf.DUMMYFUNCTION("GOOGLETRANSLATE($A4036,""en"",""ko"")"),"케메로프스카야 오블래스트'")</f>
        <v>케메로프스카야 오블래스트'</v>
      </c>
      <c r="J4036" s="9" t="str">
        <f>IFERROR(__xludf.DUMMYFUNCTION("GOOGLETRANSLATE($A4036,""en"",""pt-BR"")"),"Oblast de Kemerovskaia'")</f>
        <v>Oblast de Kemerovskaia'</v>
      </c>
    </row>
    <row r="4037">
      <c r="A4037" s="9" t="str">
        <f>IFERROR(__xludf.DUMMYFUNCTION("""COMPUTED_VALUE"""),"Kaliningradskaya oblast'")</f>
        <v>Kaliningradskaya oblast'</v>
      </c>
      <c r="B4037" s="9" t="str">
        <f>IFERROR(__xludf.DUMMYFUNCTION("""COMPUTED_VALUE"""),"ru-kgd")</f>
        <v>ru-kgd</v>
      </c>
      <c r="C4037" s="9" t="str">
        <f>IFERROR(__xludf.DUMMYFUNCTION("GOOGLETRANSLATE($A4037,""en"",""de"")"),"Oblast Kaliningrad")</f>
        <v>Oblast Kaliningrad</v>
      </c>
      <c r="D4037" s="9" t="str">
        <f>IFERROR(__xludf.DUMMYFUNCTION("GOOGLETRANSLATE($A4037,""en"",""fr"")"),"Oblast de Kaliningrad")</f>
        <v>Oblast de Kaliningrad</v>
      </c>
      <c r="E4037" s="9" t="str">
        <f>IFERROR(__xludf.DUMMYFUNCTION("GOOGLETRANSLATE($A4037,""en"",""es"")"),"Óblast de Kaliningrado")</f>
        <v>Óblast de Kaliningrado</v>
      </c>
      <c r="F4037" s="9" t="str">
        <f>IFERROR(__xludf.DUMMYFUNCTION("GOOGLETRANSLATE($A4037,""en"",""it"")"),"Oblast' di Kaliningradskaja")</f>
        <v>Oblast' di Kaliningradskaja</v>
      </c>
      <c r="G4037" s="9" t="str">
        <f>IFERROR(__xludf.DUMMYFUNCTION("GOOGLETRANSLATE($A4037,""en"",""zh-cn"")"),"加里宁格勒州")</f>
        <v>加里宁格勒州</v>
      </c>
      <c r="H4037" s="9" t="str">
        <f>IFERROR(__xludf.DUMMYFUNCTION("GOOGLETRANSLATE($A4037,""en"",""ja"")"),"カリーニングラードスカヤ州」")</f>
        <v>カリーニングラードスカヤ州」</v>
      </c>
      <c r="I4037" s="9" t="str">
        <f>IFERROR(__xludf.DUMMYFUNCTION("GOOGLETRANSLATE($A4037,""en"",""ko"")"),"칼리닌그라드스카야주'")</f>
        <v>칼리닌그라드스카야주'</v>
      </c>
      <c r="J4037" s="9" t="str">
        <f>IFERROR(__xludf.DUMMYFUNCTION("GOOGLETRANSLATE($A4037,""en"",""pt-BR"")"),"Oblast de Kaliningrado'")</f>
        <v>Oblast de Kaliningrado'</v>
      </c>
    </row>
    <row r="4038">
      <c r="A4038" s="9" t="str">
        <f>IFERROR(__xludf.DUMMYFUNCTION("""COMPUTED_VALUE"""),"Kostromskaya oblast'")</f>
        <v>Kostromskaya oblast'</v>
      </c>
      <c r="B4038" s="9" t="str">
        <f>IFERROR(__xludf.DUMMYFUNCTION("""COMPUTED_VALUE"""),"ru-kos")</f>
        <v>ru-kos</v>
      </c>
      <c r="C4038" s="9" t="str">
        <f>IFERROR(__xludf.DUMMYFUNCTION("GOOGLETRANSLATE($A4038,""en"",""de"")"),"Oblast Kostromskaja")</f>
        <v>Oblast Kostromskaja</v>
      </c>
      <c r="D4038" s="9" t="str">
        <f>IFERROR(__xludf.DUMMYFUNCTION("GOOGLETRANSLATE($A4038,""en"",""fr"")"),"Oblast de Kostromskaïa")</f>
        <v>Oblast de Kostromskaïa</v>
      </c>
      <c r="E4038" s="9" t="str">
        <f>IFERROR(__xludf.DUMMYFUNCTION("GOOGLETRANSLATE($A4038,""en"",""es"")"),"Óblast de Kostromskaya")</f>
        <v>Óblast de Kostromskaya</v>
      </c>
      <c r="F4038" s="9" t="str">
        <f>IFERROR(__xludf.DUMMYFUNCTION("GOOGLETRANSLATE($A4038,""en"",""it"")"),"Oblast' di Kostromskaja")</f>
        <v>Oblast' di Kostromskaja</v>
      </c>
      <c r="G4038" s="9" t="str">
        <f>IFERROR(__xludf.DUMMYFUNCTION("GOOGLETRANSLATE($A4038,""en"",""zh-cn"")"),"科斯特罗姆州")</f>
        <v>科斯特罗姆州</v>
      </c>
      <c r="H4038" s="9" t="str">
        <f>IFERROR(__xludf.DUMMYFUNCTION("GOOGLETRANSLATE($A4038,""en"",""ja"")"),"コストロムスカヤ州」")</f>
        <v>コストロムスカヤ州」</v>
      </c>
      <c r="I4038" s="9" t="str">
        <f>IFERROR(__xludf.DUMMYFUNCTION("GOOGLETRANSLATE($A4038,""en"",""ko"")"),"코스트롬스카야 오블래스트'")</f>
        <v>코스트롬스카야 오블래스트'</v>
      </c>
      <c r="J4038" s="9" t="str">
        <f>IFERROR(__xludf.DUMMYFUNCTION("GOOGLETRANSLATE($A4038,""en"",""pt-BR"")"),"Oblast de Kostromskaia'")</f>
        <v>Oblast de Kostromskaia'</v>
      </c>
    </row>
    <row r="4039">
      <c r="A4039" s="9" t="str">
        <f>IFERROR(__xludf.DUMMYFUNCTION("""COMPUTED_VALUE"""),"Moskva")</f>
        <v>Moskva</v>
      </c>
      <c r="B4039" s="9" t="str">
        <f>IFERROR(__xludf.DUMMYFUNCTION("""COMPUTED_VALUE"""),"ru-mow")</f>
        <v>ru-mow</v>
      </c>
      <c r="C4039" s="9" t="str">
        <f>IFERROR(__xludf.DUMMYFUNCTION("GOOGLETRANSLATE($A4039,""en"",""de"")"),"Moskau")</f>
        <v>Moskau</v>
      </c>
      <c r="D4039" s="9" t="str">
        <f>IFERROR(__xludf.DUMMYFUNCTION("GOOGLETRANSLATE($A4039,""en"",""fr"")"),"Moskova")</f>
        <v>Moskova</v>
      </c>
      <c r="E4039" s="9" t="str">
        <f>IFERROR(__xludf.DUMMYFUNCTION("GOOGLETRANSLATE($A4039,""en"",""es"")"),"Moscú")</f>
        <v>Moscú</v>
      </c>
      <c r="F4039" s="9" t="str">
        <f>IFERROR(__xludf.DUMMYFUNCTION("GOOGLETRANSLATE($A4039,""en"",""it"")"),"Mosca")</f>
        <v>Mosca</v>
      </c>
      <c r="G4039" s="9" t="str">
        <f>IFERROR(__xludf.DUMMYFUNCTION("GOOGLETRANSLATE($A4039,""en"",""zh-cn"")"),"莫斯科")</f>
        <v>莫斯科</v>
      </c>
      <c r="H4039" s="9" t="str">
        <f>IFERROR(__xludf.DUMMYFUNCTION("GOOGLETRANSLATE($A4039,""en"",""ja"")"),"モスクワ")</f>
        <v>モスクワ</v>
      </c>
      <c r="I4039" s="9" t="str">
        <f>IFERROR(__xludf.DUMMYFUNCTION("GOOGLETRANSLATE($A4039,""en"",""ko"")"),"모스크바")</f>
        <v>모스크바</v>
      </c>
      <c r="J4039" s="9" t="str">
        <f>IFERROR(__xludf.DUMMYFUNCTION("GOOGLETRANSLATE($A4039,""en"",""pt-BR"")"),"Moscou")</f>
        <v>Moscou</v>
      </c>
    </row>
    <row r="4040">
      <c r="A4040" s="9" t="str">
        <f>IFERROR(__xludf.DUMMYFUNCTION("""COMPUTED_VALUE"""),"Tverskaya oblast'")</f>
        <v>Tverskaya oblast'</v>
      </c>
      <c r="B4040" s="9" t="str">
        <f>IFERROR(__xludf.DUMMYFUNCTION("""COMPUTED_VALUE"""),"ru-tve")</f>
        <v>ru-tve</v>
      </c>
      <c r="C4040" s="9" t="str">
        <f>IFERROR(__xludf.DUMMYFUNCTION("GOOGLETRANSLATE($A4040,""en"",""de"")"),"Oblast Twerskaja")</f>
        <v>Oblast Twerskaja</v>
      </c>
      <c r="D4040" s="9" t="str">
        <f>IFERROR(__xludf.DUMMYFUNCTION("GOOGLETRANSLATE($A4040,""en"",""fr"")"),"Oblast de Tverskaïa")</f>
        <v>Oblast de Tverskaïa</v>
      </c>
      <c r="E4040" s="9" t="str">
        <f>IFERROR(__xludf.DUMMYFUNCTION("GOOGLETRANSLATE($A4040,""en"",""es"")"),"Óblast de Tverskaya")</f>
        <v>Óblast de Tverskaya</v>
      </c>
      <c r="F4040" s="9" t="str">
        <f>IFERROR(__xludf.DUMMYFUNCTION("GOOGLETRANSLATE($A4040,""en"",""it"")"),"Oblast' di Tverskaya'")</f>
        <v>Oblast' di Tverskaya'</v>
      </c>
      <c r="G4040" s="9" t="str">
        <f>IFERROR(__xludf.DUMMYFUNCTION("GOOGLETRANSLATE($A4040,""en"",""zh-cn"")"),"特维尔州")</f>
        <v>特维尔州</v>
      </c>
      <c r="H4040" s="9" t="str">
        <f>IFERROR(__xludf.DUMMYFUNCTION("GOOGLETRANSLATE($A4040,""en"",""ja"")"),"トヴェルスカヤ州」")</f>
        <v>トヴェルスカヤ州」</v>
      </c>
      <c r="I4040" s="9" t="str">
        <f>IFERROR(__xludf.DUMMYFUNCTION("GOOGLETRANSLATE($A4040,""en"",""ko"")"),"트베르스카야 오블래스트'")</f>
        <v>트베르스카야 오블래스트'</v>
      </c>
      <c r="J4040" s="9" t="str">
        <f>IFERROR(__xludf.DUMMYFUNCTION("GOOGLETRANSLATE($A4040,""en"",""pt-BR"")"),"Oblast de Tverskaya'")</f>
        <v>Oblast de Tverskaya'</v>
      </c>
    </row>
    <row r="4041">
      <c r="A4041" s="9" t="str">
        <f>IFERROR(__xludf.DUMMYFUNCTION("""COMPUTED_VALUE"""),"Dagestan, Respublika")</f>
        <v>Dagestan, Respublika</v>
      </c>
      <c r="B4041" s="9" t="str">
        <f>IFERROR(__xludf.DUMMYFUNCTION("""COMPUTED_VALUE"""),"ru-da")</f>
        <v>ru-da</v>
      </c>
      <c r="C4041" s="9" t="str">
        <f>IFERROR(__xludf.DUMMYFUNCTION("GOOGLETRANSLATE($A4041,""en"",""de"")"),"Dagestan, Republika")</f>
        <v>Dagestan, Republika</v>
      </c>
      <c r="D4041" s="9" t="str">
        <f>IFERROR(__xludf.DUMMYFUNCTION("GOOGLETRANSLATE($A4041,""en"",""fr"")"),"Daghestan, Respublika")</f>
        <v>Daghestan, Respublika</v>
      </c>
      <c r="E4041" s="9" t="str">
        <f>IFERROR(__xludf.DUMMYFUNCTION("GOOGLETRANSLATE($A4041,""en"",""es"")"),"Daguestán, República")</f>
        <v>Daguestán, República</v>
      </c>
      <c r="F4041" s="9" t="str">
        <f>IFERROR(__xludf.DUMMYFUNCTION("GOOGLETRANSLATE($A4041,""en"",""it"")"),"Daghestan, Repubblica")</f>
        <v>Daghestan, Repubblica</v>
      </c>
      <c r="G4041" s="9" t="str">
        <f>IFERROR(__xludf.DUMMYFUNCTION("GOOGLETRANSLATE($A4041,""en"",""zh-cn"")"),"达吉斯坦共和国")</f>
        <v>达吉斯坦共和国</v>
      </c>
      <c r="H4041" s="9" t="str">
        <f>IFERROR(__xludf.DUMMYFUNCTION("GOOGLETRANSLATE($A4041,""en"",""ja"")"),"ダゲスタン共和国")</f>
        <v>ダゲスタン共和国</v>
      </c>
      <c r="I4041" s="9" t="str">
        <f>IFERROR(__xludf.DUMMYFUNCTION("GOOGLETRANSLATE($A4041,""en"",""ko"")"),"다게스탄, 레스푸블리카")</f>
        <v>다게스탄, 레스푸블리카</v>
      </c>
      <c r="J4041" s="9" t="str">
        <f>IFERROR(__xludf.DUMMYFUNCTION("GOOGLETRANSLATE($A4041,""en"",""pt-BR"")"),"Daguestão, República")</f>
        <v>Daguestão, República</v>
      </c>
    </row>
    <row r="4042">
      <c r="A4042" s="9" t="str">
        <f>IFERROR(__xludf.DUMMYFUNCTION("""COMPUTED_VALUE"""),"Zabaykal'skiy kray")</f>
        <v>Zabaykal'skiy kray</v>
      </c>
      <c r="B4042" s="9" t="str">
        <f>IFERROR(__xludf.DUMMYFUNCTION("""COMPUTED_VALUE"""),"ru-zab")</f>
        <v>ru-zab</v>
      </c>
      <c r="C4042" s="9" t="str">
        <f>IFERROR(__xludf.DUMMYFUNCTION("GOOGLETRANSLATE($A4042,""en"",""de"")"),"Zabaykal'skiy Kray")</f>
        <v>Zabaykal'skiy Kray</v>
      </c>
      <c r="D4042" s="9" t="str">
        <f>IFERROR(__xludf.DUMMYFUNCTION("GOOGLETRANSLATE($A4042,""en"",""fr"")"),"Kraï de Transbaïkalie")</f>
        <v>Kraï de Transbaïkalie</v>
      </c>
      <c r="E4042" s="9" t="str">
        <f>IFERROR(__xludf.DUMMYFUNCTION("GOOGLETRANSLATE($A4042,""en"",""es"")"),"Kray de Zabaikal")</f>
        <v>Kray de Zabaikal</v>
      </c>
      <c r="F4042" s="9" t="str">
        <f>IFERROR(__xludf.DUMMYFUNCTION("GOOGLETRANSLATE($A4042,""en"",""it"")"),"Zabaykal'skiy kray")</f>
        <v>Zabaykal'skiy kray</v>
      </c>
      <c r="G4042" s="9" t="str">
        <f>IFERROR(__xludf.DUMMYFUNCTION("GOOGLETRANSLATE($A4042,""en"",""zh-cn"")"),"后贝加尔边疆区")</f>
        <v>后贝加尔边疆区</v>
      </c>
      <c r="H4042" s="9" t="str">
        <f>IFERROR(__xludf.DUMMYFUNCTION("GOOGLETRANSLATE($A4042,""en"",""ja"")"),"ザバイカルスキー・クレイ")</f>
        <v>ザバイカルスキー・クレイ</v>
      </c>
      <c r="I4042" s="9" t="str">
        <f>IFERROR(__xludf.DUMMYFUNCTION("GOOGLETRANSLATE($A4042,""en"",""ko"")"),"자바이칼스키 크레이")</f>
        <v>자바이칼스키 크레이</v>
      </c>
      <c r="J4042" s="9" t="str">
        <f>IFERROR(__xludf.DUMMYFUNCTION("GOOGLETRANSLATE($A4042,""en"",""pt-BR"")"),"Krai de Zabaykal'skiy")</f>
        <v>Krai de Zabaykal'skiy</v>
      </c>
    </row>
    <row r="4043">
      <c r="A4043" s="9" t="str">
        <f>IFERROR(__xludf.DUMMYFUNCTION("""COMPUTED_VALUE"""),"Belgorodskaya oblast'")</f>
        <v>Belgorodskaya oblast'</v>
      </c>
      <c r="B4043" s="9" t="str">
        <f>IFERROR(__xludf.DUMMYFUNCTION("""COMPUTED_VALUE"""),"ru-bel")</f>
        <v>ru-bel</v>
      </c>
      <c r="C4043" s="9" t="str">
        <f>IFERROR(__xludf.DUMMYFUNCTION("GOOGLETRANSLATE($A4043,""en"",""de"")"),"Oblast Belgorod")</f>
        <v>Oblast Belgorod</v>
      </c>
      <c r="D4043" s="9" t="str">
        <f>IFERROR(__xludf.DUMMYFUNCTION("GOOGLETRANSLATE($A4043,""en"",""fr"")"),"Oblast de Belgorodskaya")</f>
        <v>Oblast de Belgorodskaya</v>
      </c>
      <c r="E4043" s="9" t="str">
        <f>IFERROR(__xludf.DUMMYFUNCTION("GOOGLETRANSLATE($A4043,""en"",""es"")"),"Óblast de Bélgorodskaya")</f>
        <v>Óblast de Bélgorodskaya</v>
      </c>
      <c r="F4043" s="9" t="str">
        <f>IFERROR(__xludf.DUMMYFUNCTION("GOOGLETRANSLATE($A4043,""en"",""it"")"),"Oblast' di Belgorodskaja")</f>
        <v>Oblast' di Belgorodskaja</v>
      </c>
      <c r="G4043" s="9" t="str">
        <f>IFERROR(__xludf.DUMMYFUNCTION("GOOGLETRANSLATE($A4043,""en"",""zh-cn"")"),"别尔哥罗德州")</f>
        <v>别尔哥罗德州</v>
      </c>
      <c r="H4043" s="9" t="str">
        <f>IFERROR(__xludf.DUMMYFUNCTION("GOOGLETRANSLATE($A4043,""en"",""ja"")"),"ベルゴロツカヤ州」")</f>
        <v>ベルゴロツカヤ州」</v>
      </c>
      <c r="I4043" s="9" t="str">
        <f>IFERROR(__xludf.DUMMYFUNCTION("GOOGLETRANSLATE($A4043,""en"",""ko"")"),"벨고로드스카야 오블래스트'")</f>
        <v>벨고로드스카야 오블래스트'</v>
      </c>
      <c r="J4043" s="9" t="str">
        <f>IFERROR(__xludf.DUMMYFUNCTION("GOOGLETRANSLATE($A4043,""en"",""pt-BR"")"),"Oblast de Belgorodskaia'")</f>
        <v>Oblast de Belgorodskaia'</v>
      </c>
    </row>
    <row r="4044">
      <c r="A4044" s="9" t="str">
        <f>IFERROR(__xludf.DUMMYFUNCTION("""COMPUTED_VALUE"""),"Nenetskiy avtonomnyy okrug")</f>
        <v>Nenetskiy avtonomnyy okrug</v>
      </c>
      <c r="B4044" s="9" t="str">
        <f>IFERROR(__xludf.DUMMYFUNCTION("""COMPUTED_VALUE"""),"ru-nen")</f>
        <v>ru-nen</v>
      </c>
      <c r="C4044" s="9" t="str">
        <f>IFERROR(__xludf.DUMMYFUNCTION("GOOGLETRANSLATE($A4044,""en"",""de"")"),"Nenetskiy avtonomnyy okrug")</f>
        <v>Nenetskiy avtonomnyy okrug</v>
      </c>
      <c r="D4044" s="9" t="str">
        <f>IFERROR(__xludf.DUMMYFUNCTION("GOOGLETRANSLATE($A4044,""en"",""fr"")"),"Nenetskiy avtonomnyy okrug")</f>
        <v>Nenetskiy avtonomnyy okrug</v>
      </c>
      <c r="E4044" s="9" t="str">
        <f>IFERROR(__xludf.DUMMYFUNCTION("GOOGLETRANSLATE($A4044,""en"",""es"")"),"Nenetskiy avtonomnyy okrug")</f>
        <v>Nenetskiy avtonomnyy okrug</v>
      </c>
      <c r="F4044" s="9" t="str">
        <f>IFERROR(__xludf.DUMMYFUNCTION("GOOGLETRANSLATE($A4044,""en"",""it"")"),"Nenetskiy avtonomnyy okrug")</f>
        <v>Nenetskiy avtonomnyy okrug</v>
      </c>
      <c r="G4044" s="9" t="str">
        <f>IFERROR(__xludf.DUMMYFUNCTION("GOOGLETRANSLATE($A4044,""en"",""zh-cn"")"),"涅涅茨自治区")</f>
        <v>涅涅茨自治区</v>
      </c>
      <c r="H4044" s="9" t="str">
        <f>IFERROR(__xludf.DUMMYFUNCTION("GOOGLETRANSLATE($A4044,""en"",""ja"")"),"ネネツキー・アフトノムヌイ・オクルグ")</f>
        <v>ネネツキー・アフトノムヌイ・オクルグ</v>
      </c>
      <c r="I4044" s="9" t="str">
        <f>IFERROR(__xludf.DUMMYFUNCTION("GOOGLETRANSLATE($A4044,""en"",""ko"")"),"Nenetskiy avtonomnyy okrug")</f>
        <v>Nenetskiy avtonomnyy okrug</v>
      </c>
      <c r="J4044" s="9" t="str">
        <f>IFERROR(__xludf.DUMMYFUNCTION("GOOGLETRANSLATE($A4044,""en"",""pt-BR"")"),"Nenetskiy avtonomnyy okrug")</f>
        <v>Nenetskiy avtonomnyy okrug</v>
      </c>
    </row>
    <row r="4045">
      <c r="A4045" s="9" t="str">
        <f>IFERROR(__xludf.DUMMYFUNCTION("""COMPUTED_VALUE"""),"Ivanovskaya oblast'")</f>
        <v>Ivanovskaya oblast'</v>
      </c>
      <c r="B4045" s="9" t="str">
        <f>IFERROR(__xludf.DUMMYFUNCTION("""COMPUTED_VALUE"""),"ru-iva")</f>
        <v>ru-iva</v>
      </c>
      <c r="C4045" s="9" t="str">
        <f>IFERROR(__xludf.DUMMYFUNCTION("GOOGLETRANSLATE($A4045,""en"",""de"")"),"Oblast Iwanowskaja")</f>
        <v>Oblast Iwanowskaja</v>
      </c>
      <c r="D4045" s="9" t="str">
        <f>IFERROR(__xludf.DUMMYFUNCTION("GOOGLETRANSLATE($A4045,""en"",""fr"")"),"Oblast d'Ivanovskaïa")</f>
        <v>Oblast d'Ivanovskaïa</v>
      </c>
      <c r="E4045" s="9" t="str">
        <f>IFERROR(__xludf.DUMMYFUNCTION("GOOGLETRANSLATE($A4045,""en"",""es"")"),"Óblast de Ivanovskaya")</f>
        <v>Óblast de Ivanovskaya</v>
      </c>
      <c r="F4045" s="9" t="str">
        <f>IFERROR(__xludf.DUMMYFUNCTION("GOOGLETRANSLATE($A4045,""en"",""it"")"),"Oblast' di Ivanovskaja")</f>
        <v>Oblast' di Ivanovskaja</v>
      </c>
      <c r="G4045" s="9" t="str">
        <f>IFERROR(__xludf.DUMMYFUNCTION("GOOGLETRANSLATE($A4045,""en"",""zh-cn"")"),"伊万诺夫州")</f>
        <v>伊万诺夫州</v>
      </c>
      <c r="H4045" s="9" t="str">
        <f>IFERROR(__xludf.DUMMYFUNCTION("GOOGLETRANSLATE($A4045,""en"",""ja"")"),"イワノフスカヤ州」")</f>
        <v>イワノフスカヤ州」</v>
      </c>
      <c r="I4045" s="9" t="str">
        <f>IFERROR(__xludf.DUMMYFUNCTION("GOOGLETRANSLATE($A4045,""en"",""ko"")"),"이바노프스카야 오블래스트'")</f>
        <v>이바노프스카야 오블래스트'</v>
      </c>
      <c r="J4045" s="9" t="str">
        <f>IFERROR(__xludf.DUMMYFUNCTION("GOOGLETRANSLATE($A4045,""en"",""pt-BR"")"),"Oblast de Ivanovskaia'")</f>
        <v>Oblast de Ivanovskaia'</v>
      </c>
    </row>
    <row r="4046">
      <c r="A4046" s="9" t="str">
        <f>IFERROR(__xludf.DUMMYFUNCTION("""COMPUTED_VALUE"""),"Kalmykiya, Respublika")</f>
        <v>Kalmykiya, Respublika</v>
      </c>
      <c r="B4046" s="9" t="str">
        <f>IFERROR(__xludf.DUMMYFUNCTION("""COMPUTED_VALUE"""),"ru-kl")</f>
        <v>ru-kl</v>
      </c>
      <c r="C4046" s="9" t="str">
        <f>IFERROR(__xludf.DUMMYFUNCTION("GOOGLETRANSLATE($A4046,""en"",""de"")"),"Kalmückien, Republika")</f>
        <v>Kalmückien, Republika</v>
      </c>
      <c r="D4046" s="9" t="str">
        <f>IFERROR(__xludf.DUMMYFUNCTION("GOOGLETRANSLATE($A4046,""en"",""fr"")"),"Kalmoukie, Respublika")</f>
        <v>Kalmoukie, Respublika</v>
      </c>
      <c r="E4046" s="9" t="str">
        <f>IFERROR(__xludf.DUMMYFUNCTION("GOOGLETRANSLATE($A4046,""en"",""es"")"),"Kalmukiya, República")</f>
        <v>Kalmukiya, República</v>
      </c>
      <c r="F4046" s="9" t="str">
        <f>IFERROR(__xludf.DUMMYFUNCTION("GOOGLETRANSLATE($A4046,""en"",""it"")"),"Calmucchia, Repubblica")</f>
        <v>Calmucchia, Repubblica</v>
      </c>
      <c r="G4046" s="9" t="str">
        <f>IFERROR(__xludf.DUMMYFUNCTION("GOOGLETRANSLATE($A4046,""en"",""zh-cn"")"),"卡尔梅克共和国")</f>
        <v>卡尔梅克共和国</v>
      </c>
      <c r="H4046" s="9" t="str">
        <f>IFERROR(__xludf.DUMMYFUNCTION("GOOGLETRANSLATE($A4046,""en"",""ja"")"),"カルムイクヤ、共和国")</f>
        <v>カルムイクヤ、共和国</v>
      </c>
      <c r="I4046" s="9" t="str">
        <f>IFERROR(__xludf.DUMMYFUNCTION("GOOGLETRANSLATE($A4046,""en"",""ko"")"),"칼미키야, 레스푸블리카")</f>
        <v>칼미키야, 레스푸블리카</v>
      </c>
      <c r="J4046" s="9" t="str">
        <f>IFERROR(__xludf.DUMMYFUNCTION("GOOGLETRANSLATE($A4046,""en"",""pt-BR"")"),"Calmúquia, República")</f>
        <v>Calmúquia, República</v>
      </c>
    </row>
    <row r="4047">
      <c r="A4047" s="9" t="str">
        <f>IFERROR(__xludf.DUMMYFUNCTION("""COMPUTED_VALUE"""),"Severnaya Osetiya-Alaniya, Respublika")</f>
        <v>Severnaya Osetiya-Alaniya, Respublika</v>
      </c>
      <c r="B4047" s="9" t="str">
        <f>IFERROR(__xludf.DUMMYFUNCTION("""COMPUTED_VALUE"""),"ru-se")</f>
        <v>ru-se</v>
      </c>
      <c r="C4047" s="9" t="str">
        <f>IFERROR(__xludf.DUMMYFUNCTION("GOOGLETRANSLATE($A4047,""en"",""de"")"),"Severnaya Osetiya-Alaniya, Respublika")</f>
        <v>Severnaya Osetiya-Alaniya, Respublika</v>
      </c>
      <c r="D4047" s="9" t="str">
        <f>IFERROR(__xludf.DUMMYFUNCTION("GOOGLETRANSLATE($A4047,""en"",""fr"")"),"Severnaya Osetiya-Alaniya, Respublika")</f>
        <v>Severnaya Osetiya-Alaniya, Respublika</v>
      </c>
      <c r="E4047" s="9" t="str">
        <f>IFERROR(__xludf.DUMMYFUNCTION("GOOGLETRANSLATE($A4047,""en"",""es"")"),"Severnaya Osetiya-Alaniya, República")</f>
        <v>Severnaya Osetiya-Alaniya, República</v>
      </c>
      <c r="F4047" s="9" t="str">
        <f>IFERROR(__xludf.DUMMYFUNCTION("GOOGLETRANSLATE($A4047,""en"",""it"")"),"Severnaya Osetiya-Alaniya, Repubblica")</f>
        <v>Severnaya Osetiya-Alaniya, Repubblica</v>
      </c>
      <c r="G4047" s="9" t="str">
        <f>IFERROR(__xludf.DUMMYFUNCTION("GOOGLETRANSLATE($A4047,""en"",""zh-cn"")"),"北奥塞蒂亚-阿拉尼亚共和国")</f>
        <v>北奥塞蒂亚-阿拉尼亚共和国</v>
      </c>
      <c r="H4047" s="9" t="str">
        <f>IFERROR(__xludf.DUMMYFUNCTION("GOOGLETRANSLATE($A4047,""en"",""ja"")"),"セヴェルナヤ オセティヤ アラニヤ、レスプブリカ")</f>
        <v>セヴェルナヤ オセティヤ アラニヤ、レスプブリカ</v>
      </c>
      <c r="I4047" s="9" t="str">
        <f>IFERROR(__xludf.DUMMYFUNCTION("GOOGLETRANSLATE($A4047,""en"",""ko"")"),"Severnaya Osetiya-Alaniya, 레스푸블리카")</f>
        <v>Severnaya Osetiya-Alaniya, 레스푸블리카</v>
      </c>
      <c r="J4047" s="9" t="str">
        <f>IFERROR(__xludf.DUMMYFUNCTION("GOOGLETRANSLATE($A4047,""en"",""pt-BR"")"),"Severnaya Osetiya-Alaniya, República")</f>
        <v>Severnaya Osetiya-Alaniya, República</v>
      </c>
    </row>
    <row r="4048">
      <c r="A4048" s="9" t="str">
        <f>IFERROR(__xludf.DUMMYFUNCTION("""COMPUTED_VALUE"""),"Smolenskaya oblast'")</f>
        <v>Smolenskaya oblast'</v>
      </c>
      <c r="B4048" s="9" t="str">
        <f>IFERROR(__xludf.DUMMYFUNCTION("""COMPUTED_VALUE"""),"ru-smo")</f>
        <v>ru-smo</v>
      </c>
      <c r="C4048" s="9" t="str">
        <f>IFERROR(__xludf.DUMMYFUNCTION("GOOGLETRANSLATE($A4048,""en"",""de"")"),"Oblast Smolenskaja")</f>
        <v>Oblast Smolenskaja</v>
      </c>
      <c r="D4048" s="9" t="str">
        <f>IFERROR(__xludf.DUMMYFUNCTION("GOOGLETRANSLATE($A4048,""en"",""fr"")"),"Oblast de Smolenskaïa")</f>
        <v>Oblast de Smolenskaïa</v>
      </c>
      <c r="E4048" s="9" t="str">
        <f>IFERROR(__xludf.DUMMYFUNCTION("GOOGLETRANSLATE($A4048,""en"",""es"")"),"Óblast de Smolenskaya")</f>
        <v>Óblast de Smolenskaya</v>
      </c>
      <c r="F4048" s="9" t="str">
        <f>IFERROR(__xludf.DUMMYFUNCTION("GOOGLETRANSLATE($A4048,""en"",""it"")"),"Oblast' di Smolenskaya'")</f>
        <v>Oblast' di Smolenskaya'</v>
      </c>
      <c r="G4048" s="9" t="str">
        <f>IFERROR(__xludf.DUMMYFUNCTION("GOOGLETRANSLATE($A4048,""en"",""zh-cn"")"),"斯摩棱斯克州")</f>
        <v>斯摩棱斯克州</v>
      </c>
      <c r="H4048" s="9" t="str">
        <f>IFERROR(__xludf.DUMMYFUNCTION("GOOGLETRANSLATE($A4048,""en"",""ja"")"),"スモレンスカヤ州」")</f>
        <v>スモレンスカヤ州」</v>
      </c>
      <c r="I4048" s="9" t="str">
        <f>IFERROR(__xludf.DUMMYFUNCTION("GOOGLETRANSLATE($A4048,""en"",""ko"")"),"스몰렌스카야 오블래스트'")</f>
        <v>스몰렌스카야 오블래스트'</v>
      </c>
      <c r="J4048" s="9" t="str">
        <f>IFERROR(__xludf.DUMMYFUNCTION("GOOGLETRANSLATE($A4048,""en"",""pt-BR"")"),"Oblast de Smolenska'")</f>
        <v>Oblast de Smolenska'</v>
      </c>
    </row>
    <row r="4049">
      <c r="A4049" s="9" t="str">
        <f>IFERROR(__xludf.DUMMYFUNCTION("""COMPUTED_VALUE"""),"Vladimirskaya oblast'")</f>
        <v>Vladimirskaya oblast'</v>
      </c>
      <c r="B4049" s="9" t="str">
        <f>IFERROR(__xludf.DUMMYFUNCTION("""COMPUTED_VALUE"""),"ru-vla")</f>
        <v>ru-vla</v>
      </c>
      <c r="C4049" s="9" t="str">
        <f>IFERROR(__xludf.DUMMYFUNCTION("GOOGLETRANSLATE($A4049,""en"",""de"")"),"Oblast Wladimir")</f>
        <v>Oblast Wladimir</v>
      </c>
      <c r="D4049" s="9" t="str">
        <f>IFERROR(__xludf.DUMMYFUNCTION("GOOGLETRANSLATE($A4049,""en"",""fr"")"),"Oblast de Vladimir")</f>
        <v>Oblast de Vladimir</v>
      </c>
      <c r="E4049" s="9" t="str">
        <f>IFERROR(__xludf.DUMMYFUNCTION("GOOGLETRANSLATE($A4049,""en"",""es"")"),"Óblast de Vladímirskaya")</f>
        <v>Óblast de Vladímirskaya</v>
      </c>
      <c r="F4049" s="9" t="str">
        <f>IFERROR(__xludf.DUMMYFUNCTION("GOOGLETRANSLATE($A4049,""en"",""it"")"),"Oblast' di Vladimirskaja")</f>
        <v>Oblast' di Vladimirskaja</v>
      </c>
      <c r="G4049" s="9" t="str">
        <f>IFERROR(__xludf.DUMMYFUNCTION("GOOGLETRANSLATE($A4049,""en"",""zh-cn"")"),"弗拉基米尔州")</f>
        <v>弗拉基米尔州</v>
      </c>
      <c r="H4049" s="9" t="str">
        <f>IFERROR(__xludf.DUMMYFUNCTION("GOOGLETRANSLATE($A4049,""en"",""ja"")"),"ウラジミールスカヤ州」")</f>
        <v>ウラジミールスカヤ州」</v>
      </c>
      <c r="I4049" s="9" t="str">
        <f>IFERROR(__xludf.DUMMYFUNCTION("GOOGLETRANSLATE($A4049,""en"",""ko"")"),"블라디미르스카야 오블래스트'")</f>
        <v>블라디미르스카야 오블래스트'</v>
      </c>
      <c r="J4049" s="9" t="str">
        <f>IFERROR(__xludf.DUMMYFUNCTION("GOOGLETRANSLATE($A4049,""en"",""pt-BR"")"),"Oblast de Vladimirskaya'")</f>
        <v>Oblast de Vladimirskaya'</v>
      </c>
    </row>
    <row r="4050">
      <c r="A4050" s="9" t="str">
        <f>IFERROR(__xludf.DUMMYFUNCTION("""COMPUTED_VALUE"""),"Ville de Kigali")</f>
        <v>Ville de Kigali</v>
      </c>
      <c r="B4050" s="9" t="str">
        <f>IFERROR(__xludf.DUMMYFUNCTION("""COMPUTED_VALUE"""),"rw-01")</f>
        <v>rw-01</v>
      </c>
      <c r="C4050" s="9" t="str">
        <f>IFERROR(__xludf.DUMMYFUNCTION("GOOGLETRANSLATE($A4050,""en"",""de"")"),"Stadt Kigali")</f>
        <v>Stadt Kigali</v>
      </c>
      <c r="D4050" s="9" t="str">
        <f>IFERROR(__xludf.DUMMYFUNCTION("GOOGLETRANSLATE($A4050,""en"",""fr"")"),"Ville de Kigali")</f>
        <v>Ville de Kigali</v>
      </c>
      <c r="E4050" s="9" t="str">
        <f>IFERROR(__xludf.DUMMYFUNCTION("GOOGLETRANSLATE($A4050,""en"",""es"")"),"Ciudad de Kigali")</f>
        <v>Ciudad de Kigali</v>
      </c>
      <c r="F4050" s="9" t="str">
        <f>IFERROR(__xludf.DUMMYFUNCTION("GOOGLETRANSLATE($A4050,""en"",""it"")"),"Ville di Kigali")</f>
        <v>Ville di Kigali</v>
      </c>
      <c r="G4050" s="9" t="str">
        <f>IFERROR(__xludf.DUMMYFUNCTION("GOOGLETRANSLATE($A4050,""en"",""zh-cn"")"),"基加利城")</f>
        <v>基加利城</v>
      </c>
      <c r="H4050" s="9" t="str">
        <f>IFERROR(__xludf.DUMMYFUNCTION("GOOGLETRANSLATE($A4050,""en"",""ja"")"),"ヴィル・デ・キガリ")</f>
        <v>ヴィル・デ・キガリ</v>
      </c>
      <c r="I4050" s="9" t="str">
        <f>IFERROR(__xludf.DUMMYFUNCTION("GOOGLETRANSLATE($A4050,""en"",""ko"")"),"빌 드 키갈리")</f>
        <v>빌 드 키갈리</v>
      </c>
      <c r="J4050" s="9" t="str">
        <f>IFERROR(__xludf.DUMMYFUNCTION("GOOGLETRANSLATE($A4050,""en"",""pt-BR"")"),"Cidade de Kigali")</f>
        <v>Cidade de Kigali</v>
      </c>
    </row>
    <row r="4051">
      <c r="A4051" s="9" t="str">
        <f>IFERROR(__xludf.DUMMYFUNCTION("""COMPUTED_VALUE"""),"Sud (RW)")</f>
        <v>Sud (RW)</v>
      </c>
      <c r="B4051" s="9" t="str">
        <f>IFERROR(__xludf.DUMMYFUNCTION("""COMPUTED_VALUE"""),"rw-05")</f>
        <v>rw-05</v>
      </c>
      <c r="C4051" s="9" t="str">
        <f>IFERROR(__xludf.DUMMYFUNCTION("GOOGLETRANSLATE($A4051,""en"",""de"")"),"Sud (RW)")</f>
        <v>Sud (RW)</v>
      </c>
      <c r="D4051" s="9" t="str">
        <f>IFERROR(__xludf.DUMMYFUNCTION("GOOGLETRANSLATE($A4051,""en"",""fr"")"),"Sud (RW)")</f>
        <v>Sud (RW)</v>
      </c>
      <c r="E4051" s="9" t="str">
        <f>IFERROR(__xludf.DUMMYFUNCTION("GOOGLETRANSLATE($A4051,""en"",""es"")"),"Sur (RW)")</f>
        <v>Sur (RW)</v>
      </c>
      <c r="F4051" s="9" t="str">
        <f>IFERROR(__xludf.DUMMYFUNCTION("GOOGLETRANSLATE($A4051,""en"",""it"")"),"Sud (RW)")</f>
        <v>Sud (RW)</v>
      </c>
      <c r="G4051" s="9" t="str">
        <f>IFERROR(__xludf.DUMMYFUNCTION("GOOGLETRANSLATE($A4051,""en"",""zh-cn"")"),"南 (RW)")</f>
        <v>南 (RW)</v>
      </c>
      <c r="H4051" s="9" t="str">
        <f>IFERROR(__xludf.DUMMYFUNCTION("GOOGLETRANSLATE($A4051,""en"",""ja"")"),"シュッド(RW)")</f>
        <v>シュッド(RW)</v>
      </c>
      <c r="I4051" s="9" t="str">
        <f>IFERROR(__xludf.DUMMYFUNCTION("GOOGLETRANSLATE($A4051,""en"",""ko"")"),"수드(RW)")</f>
        <v>수드(RW)</v>
      </c>
      <c r="J4051" s="9" t="str">
        <f>IFERROR(__xludf.DUMMYFUNCTION("GOOGLETRANSLATE($A4051,""en"",""pt-BR"")"),"Sul (RW)")</f>
        <v>Sul (RW)</v>
      </c>
    </row>
    <row r="4052">
      <c r="A4052" s="9" t="str">
        <f>IFERROR(__xludf.DUMMYFUNCTION("""COMPUTED_VALUE"""),"Est (RW)")</f>
        <v>Est (RW)</v>
      </c>
      <c r="B4052" s="9" t="str">
        <f>IFERROR(__xludf.DUMMYFUNCTION("""COMPUTED_VALUE"""),"rw-02")</f>
        <v>rw-02</v>
      </c>
      <c r="C4052" s="9" t="str">
        <f>IFERROR(__xludf.DUMMYFUNCTION("GOOGLETRANSLATE($A4052,""en"",""de"")"),"Schätzung (RW)")</f>
        <v>Schätzung (RW)</v>
      </c>
      <c r="D4052" s="9" t="str">
        <f>IFERROR(__xludf.DUMMYFUNCTION("GOOGLETRANSLATE($A4052,""en"",""fr"")"),"Est (RW)")</f>
        <v>Est (RW)</v>
      </c>
      <c r="E4052" s="9" t="str">
        <f>IFERROR(__xludf.DUMMYFUNCTION("GOOGLETRANSLATE($A4052,""en"",""es"")"),"Est (RW)")</f>
        <v>Est (RW)</v>
      </c>
      <c r="F4052" s="9" t="str">
        <f>IFERROR(__xludf.DUMMYFUNCTION("GOOGLETRANSLATE($A4052,""en"",""it"")"),"Est (RW)")</f>
        <v>Est (RW)</v>
      </c>
      <c r="G4052" s="9" t="str">
        <f>IFERROR(__xludf.DUMMYFUNCTION("GOOGLETRANSLATE($A4052,""en"",""zh-cn"")"),"东部 (RW)")</f>
        <v>东部 (RW)</v>
      </c>
      <c r="H4052" s="9" t="str">
        <f>IFERROR(__xludf.DUMMYFUNCTION("GOOGLETRANSLATE($A4052,""en"",""ja"")"),"エスト(RW)")</f>
        <v>エスト(RW)</v>
      </c>
      <c r="I4052" s="9" t="str">
        <f>IFERROR(__xludf.DUMMYFUNCTION("GOOGLETRANSLATE($A4052,""en"",""ko"")"),"예상(RW)")</f>
        <v>예상(RW)</v>
      </c>
      <c r="J4052" s="9" t="str">
        <f>IFERROR(__xludf.DUMMYFUNCTION("GOOGLETRANSLATE($A4052,""en"",""pt-BR"")"),"Estimativa (RW)")</f>
        <v>Estimativa (RW)</v>
      </c>
    </row>
    <row r="4053">
      <c r="A4053" s="9" t="str">
        <f>IFERROR(__xludf.DUMMYFUNCTION("""COMPUTED_VALUE"""),"Nord (RW)")</f>
        <v>Nord (RW)</v>
      </c>
      <c r="B4053" s="9" t="str">
        <f>IFERROR(__xludf.DUMMYFUNCTION("""COMPUTED_VALUE"""),"rw-03")</f>
        <v>rw-03</v>
      </c>
      <c r="C4053" s="9" t="str">
        <f>IFERROR(__xludf.DUMMYFUNCTION("GOOGLETRANSLATE($A4053,""en"",""de"")"),"Nord (RW)")</f>
        <v>Nord (RW)</v>
      </c>
      <c r="D4053" s="9" t="str">
        <f>IFERROR(__xludf.DUMMYFUNCTION("GOOGLETRANSLATE($A4053,""en"",""fr"")"),"Nord (RW)")</f>
        <v>Nord (RW)</v>
      </c>
      <c r="E4053" s="9" t="str">
        <f>IFERROR(__xludf.DUMMYFUNCTION("GOOGLETRANSLATE($A4053,""en"",""es"")"),"Norte (RW)")</f>
        <v>Norte (RW)</v>
      </c>
      <c r="F4053" s="9" t="str">
        <f>IFERROR(__xludf.DUMMYFUNCTION("GOOGLETRANSLATE($A4053,""en"",""it"")"),"Nord (RW)")</f>
        <v>Nord (RW)</v>
      </c>
      <c r="G4053" s="9" t="str">
        <f>IFERROR(__xludf.DUMMYFUNCTION("GOOGLETRANSLATE($A4053,""en"",""zh-cn"")"),"北 (RW)")</f>
        <v>北 (RW)</v>
      </c>
      <c r="H4053" s="9" t="str">
        <f>IFERROR(__xludf.DUMMYFUNCTION("GOOGLETRANSLATE($A4053,""en"",""ja"")"),"ノルド(RW)")</f>
        <v>ノルド(RW)</v>
      </c>
      <c r="I4053" s="9" t="str">
        <f>IFERROR(__xludf.DUMMYFUNCTION("GOOGLETRANSLATE($A4053,""en"",""ko"")"),"노르드(RW)")</f>
        <v>노르드(RW)</v>
      </c>
      <c r="J4053" s="9" t="str">
        <f>IFERROR(__xludf.DUMMYFUNCTION("GOOGLETRANSLATE($A4053,""en"",""pt-BR"")"),"Norte (RW)")</f>
        <v>Norte (RW)</v>
      </c>
    </row>
    <row r="4054">
      <c r="A4054" s="9" t="str">
        <f>IFERROR(__xludf.DUMMYFUNCTION("""COMPUTED_VALUE"""),"Ouest (RW)")</f>
        <v>Ouest (RW)</v>
      </c>
      <c r="B4054" s="9" t="str">
        <f>IFERROR(__xludf.DUMMYFUNCTION("""COMPUTED_VALUE"""),"rw-04")</f>
        <v>rw-04</v>
      </c>
      <c r="C4054" s="9" t="str">
        <f>IFERROR(__xludf.DUMMYFUNCTION("GOOGLETRANSLATE($A4054,""en"",""de"")"),"Ouest (RW)")</f>
        <v>Ouest (RW)</v>
      </c>
      <c r="D4054" s="9" t="str">
        <f>IFERROR(__xludf.DUMMYFUNCTION("GOOGLETRANSLATE($A4054,""en"",""fr"")"),"Ouest (RW)")</f>
        <v>Ouest (RW)</v>
      </c>
      <c r="E4054" s="9" t="str">
        <f>IFERROR(__xludf.DUMMYFUNCTION("GOOGLETRANSLATE($A4054,""en"",""es"")"),"Oeste (RW)")</f>
        <v>Oeste (RW)</v>
      </c>
      <c r="F4054" s="9" t="str">
        <f>IFERROR(__xludf.DUMMYFUNCTION("GOOGLETRANSLATE($A4054,""en"",""it"")"),"Est (RW)")</f>
        <v>Est (RW)</v>
      </c>
      <c r="G4054" s="9" t="str">
        <f>IFERROR(__xludf.DUMMYFUNCTION("GOOGLETRANSLATE($A4054,""en"",""zh-cn"")"),"西部 (RW)")</f>
        <v>西部 (RW)</v>
      </c>
      <c r="H4054" s="9" t="str">
        <f>IFERROR(__xludf.DUMMYFUNCTION("GOOGLETRANSLATE($A4054,""en"",""ja"")"),"西（RW）")</f>
        <v>西（RW）</v>
      </c>
      <c r="I4054" s="9" t="str">
        <f>IFERROR(__xludf.DUMMYFUNCTION("GOOGLETRANSLATE($A4054,""en"",""ko"")"),"서부(RW)")</f>
        <v>서부(RW)</v>
      </c>
      <c r="J4054" s="9" t="str">
        <f>IFERROR(__xludf.DUMMYFUNCTION("GOOGLETRANSLATE($A4054,""en"",""pt-BR"")"),"Oeste (RW)")</f>
        <v>Oeste (RW)</v>
      </c>
    </row>
    <row r="4055">
      <c r="A4055" s="9" t="str">
        <f>IFERROR(__xludf.DUMMYFUNCTION("""COMPUTED_VALUE"""),"Tristan da Cunha")</f>
        <v>Tristan da Cunha</v>
      </c>
      <c r="B4055" s="9" t="str">
        <f>IFERROR(__xludf.DUMMYFUNCTION("""COMPUTED_VALUE"""),"sh-ta")</f>
        <v>sh-ta</v>
      </c>
      <c r="C4055" s="9" t="str">
        <f>IFERROR(__xludf.DUMMYFUNCTION("GOOGLETRANSLATE($A4055,""en"",""de"")"),"Tristan da Cunha")</f>
        <v>Tristan da Cunha</v>
      </c>
      <c r="D4055" s="9" t="str">
        <f>IFERROR(__xludf.DUMMYFUNCTION("GOOGLETRANSLATE($A4055,""en"",""fr"")"),"Tristan de Cunha")</f>
        <v>Tristan de Cunha</v>
      </c>
      <c r="E4055" s="9" t="str">
        <f>IFERROR(__xludf.DUMMYFUNCTION("GOOGLETRANSLATE($A4055,""en"",""es"")"),"Tristán da Cunha")</f>
        <v>Tristán da Cunha</v>
      </c>
      <c r="F4055" s="9" t="str">
        <f>IFERROR(__xludf.DUMMYFUNCTION("GOOGLETRANSLATE($A4055,""en"",""it"")"),"Tristan da Cunha")</f>
        <v>Tristan da Cunha</v>
      </c>
      <c r="G4055" s="9" t="str">
        <f>IFERROR(__xludf.DUMMYFUNCTION("GOOGLETRANSLATE($A4055,""en"",""zh-cn"")"),"特里斯坦·达库尼亚")</f>
        <v>特里斯坦·达库尼亚</v>
      </c>
      <c r="H4055" s="9" t="str">
        <f>IFERROR(__xludf.DUMMYFUNCTION("GOOGLETRANSLATE($A4055,""en"",""ja"")"),"トリスタン ダ クーニャ")</f>
        <v>トリスタン ダ クーニャ</v>
      </c>
      <c r="I4055" s="9" t="str">
        <f>IFERROR(__xludf.DUMMYFUNCTION("GOOGLETRANSLATE($A4055,""en"",""ko"")"),"트리스탄 다 쿠냐")</f>
        <v>트리스탄 다 쿠냐</v>
      </c>
      <c r="J4055" s="9" t="str">
        <f>IFERROR(__xludf.DUMMYFUNCTION("GOOGLETRANSLATE($A4055,""en"",""pt-BR"")"),"Tristão da Cunha")</f>
        <v>Tristão da Cunha</v>
      </c>
    </row>
    <row r="4056">
      <c r="A4056" s="9" t="str">
        <f>IFERROR(__xludf.DUMMYFUNCTION("""COMPUTED_VALUE"""),"Ascension")</f>
        <v>Ascension</v>
      </c>
      <c r="B4056" s="9" t="str">
        <f>IFERROR(__xludf.DUMMYFUNCTION("""COMPUTED_VALUE"""),"sh-ac")</f>
        <v>sh-ac</v>
      </c>
      <c r="C4056" s="9" t="str">
        <f>IFERROR(__xludf.DUMMYFUNCTION("GOOGLETRANSLATE($A4056,""en"",""de"")"),"Aufstieg")</f>
        <v>Aufstieg</v>
      </c>
      <c r="D4056" s="9" t="str">
        <f>IFERROR(__xludf.DUMMYFUNCTION("GOOGLETRANSLATE($A4056,""en"",""fr"")"),"Ascension")</f>
        <v>Ascension</v>
      </c>
      <c r="E4056" s="9" t="str">
        <f>IFERROR(__xludf.DUMMYFUNCTION("GOOGLETRANSLATE($A4056,""en"",""es"")"),"Ascensión")</f>
        <v>Ascensión</v>
      </c>
      <c r="F4056" s="9" t="str">
        <f>IFERROR(__xludf.DUMMYFUNCTION("GOOGLETRANSLATE($A4056,""en"",""it"")"),"Ascensione")</f>
        <v>Ascensione</v>
      </c>
      <c r="G4056" s="9" t="str">
        <f>IFERROR(__xludf.DUMMYFUNCTION("GOOGLETRANSLATE($A4056,""en"",""zh-cn"")"),"扬升")</f>
        <v>扬升</v>
      </c>
      <c r="H4056" s="9" t="str">
        <f>IFERROR(__xludf.DUMMYFUNCTION("GOOGLETRANSLATE($A4056,""en"",""ja"")"),"上昇")</f>
        <v>上昇</v>
      </c>
      <c r="I4056" s="9" t="str">
        <f>IFERROR(__xludf.DUMMYFUNCTION("GOOGLETRANSLATE($A4056,""en"",""ko"")"),"승천")</f>
        <v>승천</v>
      </c>
      <c r="J4056" s="9" t="str">
        <f>IFERROR(__xludf.DUMMYFUNCTION("GOOGLETRANSLATE($A4056,""en"",""pt-BR"")"),"Ascensão")</f>
        <v>Ascensão</v>
      </c>
    </row>
    <row r="4057">
      <c r="A4057" s="9" t="str">
        <f>IFERROR(__xludf.DUMMYFUNCTION("""COMPUTED_VALUE"""),"Saint Helena")</f>
        <v>Saint Helena</v>
      </c>
      <c r="B4057" s="9" t="str">
        <f>IFERROR(__xludf.DUMMYFUNCTION("""COMPUTED_VALUE"""),"sh-hl")</f>
        <v>sh-hl</v>
      </c>
      <c r="C4057" s="9" t="str">
        <f>IFERROR(__xludf.DUMMYFUNCTION("GOOGLETRANSLATE($A4057,""en"",""de"")"),"St. Helena")</f>
        <v>St. Helena</v>
      </c>
      <c r="D4057" s="9" t="str">
        <f>IFERROR(__xludf.DUMMYFUNCTION("GOOGLETRANSLATE($A4057,""en"",""fr"")"),"Sainte-Hélène")</f>
        <v>Sainte-Hélène</v>
      </c>
      <c r="E4057" s="9" t="str">
        <f>IFERROR(__xludf.DUMMYFUNCTION("GOOGLETRANSLATE($A4057,""en"",""es"")"),"santa elena")</f>
        <v>santa elena</v>
      </c>
      <c r="F4057" s="9" t="str">
        <f>IFERROR(__xludf.DUMMYFUNCTION("GOOGLETRANSLATE($A4057,""en"",""it"")"),"Sant'Elena")</f>
        <v>Sant'Elena</v>
      </c>
      <c r="G4057" s="9" t="str">
        <f>IFERROR(__xludf.DUMMYFUNCTION("GOOGLETRANSLATE($A4057,""en"",""zh-cn"")"),"圣赫勒拿岛")</f>
        <v>圣赫勒拿岛</v>
      </c>
      <c r="H4057" s="9" t="str">
        <f>IFERROR(__xludf.DUMMYFUNCTION("GOOGLETRANSLATE($A4057,""en"",""ja"")"),"セントヘレナ")</f>
        <v>セントヘレナ</v>
      </c>
      <c r="I4057" s="9" t="str">
        <f>IFERROR(__xludf.DUMMYFUNCTION("GOOGLETRANSLATE($A4057,""en"",""ko"")"),"세인트 헬레나")</f>
        <v>세인트 헬레나</v>
      </c>
      <c r="J4057" s="9" t="str">
        <f>IFERROR(__xludf.DUMMYFUNCTION("GOOGLETRANSLATE($A4057,""en"",""pt-BR"")"),"Santa Helena")</f>
        <v>Santa Helena</v>
      </c>
    </row>
    <row r="4058">
      <c r="A4058" s="9" t="str">
        <f>IFERROR(__xludf.DUMMYFUNCTION("""COMPUTED_VALUE"""),"Saint Kitts")</f>
        <v>Saint Kitts</v>
      </c>
      <c r="B4058" s="9" t="str">
        <f>IFERROR(__xludf.DUMMYFUNCTION("""COMPUTED_VALUE"""),"kn-k")</f>
        <v>kn-k</v>
      </c>
      <c r="C4058" s="9" t="str">
        <f>IFERROR(__xludf.DUMMYFUNCTION("GOOGLETRANSLATE($A4058,""en"",""de"")"),"St. Kitts")</f>
        <v>St. Kitts</v>
      </c>
      <c r="D4058" s="9" t="str">
        <f>IFERROR(__xludf.DUMMYFUNCTION("GOOGLETRANSLATE($A4058,""en"",""fr"")"),"Saint-Kitts")</f>
        <v>Saint-Kitts</v>
      </c>
      <c r="E4058" s="9" t="str">
        <f>IFERROR(__xludf.DUMMYFUNCTION("GOOGLETRANSLATE($A4058,""en"",""es"")"),"San Cristóbal")</f>
        <v>San Cristóbal</v>
      </c>
      <c r="F4058" s="9" t="str">
        <f>IFERROR(__xludf.DUMMYFUNCTION("GOOGLETRANSLATE($A4058,""en"",""it"")"),"Saint Kitts")</f>
        <v>Saint Kitts</v>
      </c>
      <c r="G4058" s="9" t="str">
        <f>IFERROR(__xludf.DUMMYFUNCTION("GOOGLETRANSLATE($A4058,""en"",""zh-cn"")"),"圣基茨")</f>
        <v>圣基茨</v>
      </c>
      <c r="H4058" s="9" t="str">
        <f>IFERROR(__xludf.DUMMYFUNCTION("GOOGLETRANSLATE($A4058,""en"",""ja"")"),"セントクリストファー島")</f>
        <v>セントクリストファー島</v>
      </c>
      <c r="I4058" s="9" t="str">
        <f>IFERROR(__xludf.DUMMYFUNCTION("GOOGLETRANSLATE($A4058,""en"",""ko"")"),"세인트 키츠")</f>
        <v>세인트 키츠</v>
      </c>
      <c r="J4058" s="9" t="str">
        <f>IFERROR(__xludf.DUMMYFUNCTION("GOOGLETRANSLATE($A4058,""en"",""pt-BR"")"),"São Cristóvão")</f>
        <v>São Cristóvão</v>
      </c>
    </row>
    <row r="4059">
      <c r="A4059" s="9" t="str">
        <f>IFERROR(__xludf.DUMMYFUNCTION("""COMPUTED_VALUE"""),"Saint Thomas Lowland")</f>
        <v>Saint Thomas Lowland</v>
      </c>
      <c r="B4059" s="9" t="str">
        <f>IFERROR(__xludf.DUMMYFUNCTION("""COMPUTED_VALUE"""),"kn-12")</f>
        <v>kn-12</v>
      </c>
      <c r="C4059" s="9" t="str">
        <f>IFERROR(__xludf.DUMMYFUNCTION("GOOGLETRANSLATE($A4059,""en"",""de"")"),"Saint Thomas Lowland")</f>
        <v>Saint Thomas Lowland</v>
      </c>
      <c r="D4059" s="9" t="str">
        <f>IFERROR(__xludf.DUMMYFUNCTION("GOOGLETRANSLATE($A4059,""en"",""fr"")"),"Basses Terres de Saint Thomas")</f>
        <v>Basses Terres de Saint Thomas</v>
      </c>
      <c r="E4059" s="9" t="str">
        <f>IFERROR(__xludf.DUMMYFUNCTION("GOOGLETRANSLATE($A4059,""en"",""es"")"),"Tierras bajas de Santo Tomás")</f>
        <v>Tierras bajas de Santo Tomás</v>
      </c>
      <c r="F4059" s="9" t="str">
        <f>IFERROR(__xludf.DUMMYFUNCTION("GOOGLETRANSLATE($A4059,""en"",""it"")"),"San Tommaso pianura")</f>
        <v>San Tommaso pianura</v>
      </c>
      <c r="G4059" s="9" t="str">
        <f>IFERROR(__xludf.DUMMYFUNCTION("GOOGLETRANSLATE($A4059,""en"",""zh-cn"")"),"圣托马斯低地")</f>
        <v>圣托马斯低地</v>
      </c>
      <c r="H4059" s="9" t="str">
        <f>IFERROR(__xludf.DUMMYFUNCTION("GOOGLETRANSLATE($A4059,""en"",""ja"")"),"セント トーマス ローランド")</f>
        <v>セント トーマス ローランド</v>
      </c>
      <c r="I4059" s="9" t="str">
        <f>IFERROR(__xludf.DUMMYFUNCTION("GOOGLETRANSLATE($A4059,""en"",""ko"")"),"세인트 토마스 로랜드")</f>
        <v>세인트 토마스 로랜드</v>
      </c>
      <c r="J4059" s="9" t="str">
        <f>IFERROR(__xludf.DUMMYFUNCTION("GOOGLETRANSLATE($A4059,""en"",""pt-BR"")"),"Planície de São Tomás")</f>
        <v>Planície de São Tomás</v>
      </c>
    </row>
    <row r="4060">
      <c r="A4060" s="9" t="str">
        <f>IFERROR(__xludf.DUMMYFUNCTION("""COMPUTED_VALUE"""),"Nevis")</f>
        <v>Nevis</v>
      </c>
      <c r="B4060" s="9" t="str">
        <f>IFERROR(__xludf.DUMMYFUNCTION("""COMPUTED_VALUE"""),"kn-n")</f>
        <v>kn-n</v>
      </c>
      <c r="C4060" s="9" t="str">
        <f>IFERROR(__xludf.DUMMYFUNCTION("GOOGLETRANSLATE($A4060,""en"",""de"")"),"Nevis")</f>
        <v>Nevis</v>
      </c>
      <c r="D4060" s="9" t="str">
        <f>IFERROR(__xludf.DUMMYFUNCTION("GOOGLETRANSLATE($A4060,""en"",""fr"")"),"Névis")</f>
        <v>Névis</v>
      </c>
      <c r="E4060" s="9" t="str">
        <f>IFERROR(__xludf.DUMMYFUNCTION("GOOGLETRANSLATE($A4060,""en"",""es"")"),"Nieves")</f>
        <v>Nieves</v>
      </c>
      <c r="F4060" s="9" t="str">
        <f>IFERROR(__xludf.DUMMYFUNCTION("GOOGLETRANSLATE($A4060,""en"",""it"")"),"Nevis")</f>
        <v>Nevis</v>
      </c>
      <c r="G4060" s="9" t="str">
        <f>IFERROR(__xludf.DUMMYFUNCTION("GOOGLETRANSLATE($A4060,""en"",""zh-cn"")"),"尼维斯岛")</f>
        <v>尼维斯岛</v>
      </c>
      <c r="H4060" s="9" t="str">
        <f>IFERROR(__xludf.DUMMYFUNCTION("GOOGLETRANSLATE($A4060,""en"",""ja"")"),"ネイビス")</f>
        <v>ネイビス</v>
      </c>
      <c r="I4060" s="9" t="str">
        <f>IFERROR(__xludf.DUMMYFUNCTION("GOOGLETRANSLATE($A4060,""en"",""ko"")"),"네비스")</f>
        <v>네비스</v>
      </c>
      <c r="J4060" s="9" t="str">
        <f>IFERROR(__xludf.DUMMYFUNCTION("GOOGLETRANSLATE($A4060,""en"",""pt-BR"")"),"Neves")</f>
        <v>Neves</v>
      </c>
    </row>
    <row r="4061">
      <c r="A4061" s="9" t="str">
        <f>IFERROR(__xludf.DUMMYFUNCTION("""COMPUTED_VALUE"""),"Saint Paul Capisterre")</f>
        <v>Saint Paul Capisterre</v>
      </c>
      <c r="B4061" s="9" t="str">
        <f>IFERROR(__xludf.DUMMYFUNCTION("""COMPUTED_VALUE"""),"kn-09")</f>
        <v>kn-09</v>
      </c>
      <c r="C4061" s="9" t="str">
        <f>IFERROR(__xludf.DUMMYFUNCTION("GOOGLETRANSLATE($A4061,""en"",""de"")"),"Saint Paul Capisterre")</f>
        <v>Saint Paul Capisterre</v>
      </c>
      <c r="D4061" s="9" t="str">
        <f>IFERROR(__xludf.DUMMYFUNCTION("GOOGLETRANSLATE($A4061,""en"",""fr"")"),"Saint Paul Capisterre")</f>
        <v>Saint Paul Capisterre</v>
      </c>
      <c r="E4061" s="9" t="str">
        <f>IFERROR(__xludf.DUMMYFUNCTION("GOOGLETRANSLATE($A4061,""en"",""es"")"),"San Pablo Capisterre")</f>
        <v>San Pablo Capisterre</v>
      </c>
      <c r="F4061" s="9" t="str">
        <f>IFERROR(__xludf.DUMMYFUNCTION("GOOGLETRANSLATE($A4061,""en"",""it"")"),"San Paolo Capisterre")</f>
        <v>San Paolo Capisterre</v>
      </c>
      <c r="G4061" s="9" t="str">
        <f>IFERROR(__xludf.DUMMYFUNCTION("GOOGLETRANSLATE($A4061,""en"",""zh-cn"")"),"圣保罗·卡皮斯特雷")</f>
        <v>圣保罗·卡皮斯特雷</v>
      </c>
      <c r="H4061" s="9" t="str">
        <f>IFERROR(__xludf.DUMMYFUNCTION("GOOGLETRANSLATE($A4061,""en"",""ja"")"),"サン・ポール・カピステーレ")</f>
        <v>サン・ポール・カピステーレ</v>
      </c>
      <c r="I4061" s="9" t="str">
        <f>IFERROR(__xludf.DUMMYFUNCTION("GOOGLETRANSLATE($A4061,""en"",""ko"")"),"세인트 폴 카피스테레")</f>
        <v>세인트 폴 카피스테레</v>
      </c>
      <c r="J4061" s="9" t="str">
        <f>IFERROR(__xludf.DUMMYFUNCTION("GOOGLETRANSLATE($A4061,""en"",""pt-BR"")"),"São Paulo Capisterre")</f>
        <v>São Paulo Capisterre</v>
      </c>
    </row>
    <row r="4062">
      <c r="A4062" s="9" t="str">
        <f>IFERROR(__xludf.DUMMYFUNCTION("""COMPUTED_VALUE"""),"Saint John Capisterre")</f>
        <v>Saint John Capisterre</v>
      </c>
      <c r="B4062" s="9" t="str">
        <f>IFERROR(__xludf.DUMMYFUNCTION("""COMPUTED_VALUE"""),"kn-06")</f>
        <v>kn-06</v>
      </c>
      <c r="C4062" s="9" t="str">
        <f>IFERROR(__xludf.DUMMYFUNCTION("GOOGLETRANSLATE($A4062,""en"",""de"")"),"Saint John Capisterre")</f>
        <v>Saint John Capisterre</v>
      </c>
      <c r="D4062" s="9" t="str">
        <f>IFERROR(__xludf.DUMMYFUNCTION("GOOGLETRANSLATE($A4062,""en"",""fr"")"),"Saint Jean Capisterre")</f>
        <v>Saint Jean Capisterre</v>
      </c>
      <c r="E4062" s="9" t="str">
        <f>IFERROR(__xludf.DUMMYFUNCTION("GOOGLETRANSLATE($A4062,""en"",""es"")"),"San Juan Capisterre")</f>
        <v>San Juan Capisterre</v>
      </c>
      <c r="F4062" s="9" t="str">
        <f>IFERROR(__xludf.DUMMYFUNCTION("GOOGLETRANSLATE($A4062,""en"",""it"")"),"San Giovanni Capisterre")</f>
        <v>San Giovanni Capisterre</v>
      </c>
      <c r="G4062" s="9" t="str">
        <f>IFERROR(__xludf.DUMMYFUNCTION("GOOGLETRANSLATE($A4062,""en"",""zh-cn"")"),"圣约翰卡皮斯特雷")</f>
        <v>圣约翰卡皮斯特雷</v>
      </c>
      <c r="H4062" s="9" t="str">
        <f>IFERROR(__xludf.DUMMYFUNCTION("GOOGLETRANSLATE($A4062,""en"",""ja"")"),"聖ヨハネ・カピステーレ")</f>
        <v>聖ヨハネ・カピステーレ</v>
      </c>
      <c r="I4062" s="9" t="str">
        <f>IFERROR(__xludf.DUMMYFUNCTION("GOOGLETRANSLATE($A4062,""en"",""ko"")"),"세인트 존 카피스테레")</f>
        <v>세인트 존 카피스테레</v>
      </c>
      <c r="J4062" s="9" t="str">
        <f>IFERROR(__xludf.DUMMYFUNCTION("GOOGLETRANSLATE($A4062,""en"",""pt-BR"")"),"São João Capisterra")</f>
        <v>São João Capisterra</v>
      </c>
    </row>
    <row r="4063">
      <c r="A4063" s="9" t="str">
        <f>IFERROR(__xludf.DUMMYFUNCTION("""COMPUTED_VALUE"""),"Saint James Windward")</f>
        <v>Saint James Windward</v>
      </c>
      <c r="B4063" s="9" t="str">
        <f>IFERROR(__xludf.DUMMYFUNCTION("""COMPUTED_VALUE"""),"kn-05")</f>
        <v>kn-05</v>
      </c>
      <c r="C4063" s="9" t="str">
        <f>IFERROR(__xludf.DUMMYFUNCTION("GOOGLETRANSLATE($A4063,""en"",""de"")"),"Saint James Windward")</f>
        <v>Saint James Windward</v>
      </c>
      <c r="D4063" s="9" t="str">
        <f>IFERROR(__xludf.DUMMYFUNCTION("GOOGLETRANSLATE($A4063,""en"",""fr"")"),"Saint James Au Vent")</f>
        <v>Saint James Au Vent</v>
      </c>
      <c r="E4063" s="9" t="str">
        <f>IFERROR(__xludf.DUMMYFUNCTION("GOOGLETRANSLATE($A4063,""en"",""es"")"),"San James Barlovento")</f>
        <v>San James Barlovento</v>
      </c>
      <c r="F4063" s="9" t="str">
        <f>IFERROR(__xludf.DUMMYFUNCTION("GOOGLETRANSLATE($A4063,""en"",""it"")"),"San Giacomo sopravvento")</f>
        <v>San Giacomo sopravvento</v>
      </c>
      <c r="G4063" s="9" t="str">
        <f>IFERROR(__xludf.DUMMYFUNCTION("GOOGLETRANSLATE($A4063,""en"",""zh-cn"")"),"圣詹姆斯迎风区")</f>
        <v>圣詹姆斯迎风区</v>
      </c>
      <c r="H4063" s="9" t="str">
        <f>IFERROR(__xludf.DUMMYFUNCTION("GOOGLETRANSLATE($A4063,""en"",""ja"")"),"セントジェームス・ウィンドワード")</f>
        <v>セントジェームス・ウィンドワード</v>
      </c>
      <c r="I4063" s="9" t="str">
        <f>IFERROR(__xludf.DUMMYFUNCTION("GOOGLETRANSLATE($A4063,""en"",""ko"")"),"세인트 제임스 윈드워드")</f>
        <v>세인트 제임스 윈드워드</v>
      </c>
      <c r="J4063" s="9" t="str">
        <f>IFERROR(__xludf.DUMMYFUNCTION("GOOGLETRANSLATE($A4063,""en"",""pt-BR"")"),"São Tiago Barlavento")</f>
        <v>São Tiago Barlavento</v>
      </c>
    </row>
    <row r="4064">
      <c r="A4064" s="9" t="str">
        <f>IFERROR(__xludf.DUMMYFUNCTION("""COMPUTED_VALUE"""),"Trinity Palmetto Point")</f>
        <v>Trinity Palmetto Point</v>
      </c>
      <c r="B4064" s="9" t="str">
        <f>IFERROR(__xludf.DUMMYFUNCTION("""COMPUTED_VALUE"""),"kn-15")</f>
        <v>kn-15</v>
      </c>
      <c r="C4064" s="9" t="str">
        <f>IFERROR(__xludf.DUMMYFUNCTION("GOOGLETRANSLATE($A4064,""en"",""de"")"),"Trinity Palmetto Point")</f>
        <v>Trinity Palmetto Point</v>
      </c>
      <c r="D4064" s="9" t="str">
        <f>IFERROR(__xludf.DUMMYFUNCTION("GOOGLETRANSLATE($A4064,""en"",""fr"")"),"Pointe Trinité-Palmetto")</f>
        <v>Pointe Trinité-Palmetto</v>
      </c>
      <c r="E4064" s="9" t="str">
        <f>IFERROR(__xludf.DUMMYFUNCTION("GOOGLETRANSLATE($A4064,""en"",""es"")"),"Punta Trinity Palmetto")</f>
        <v>Punta Trinity Palmetto</v>
      </c>
      <c r="F4064" s="9" t="str">
        <f>IFERROR(__xludf.DUMMYFUNCTION("GOOGLETRANSLATE($A4064,""en"",""it"")"),"Trinità Palmetto Point")</f>
        <v>Trinità Palmetto Point</v>
      </c>
      <c r="G4064" s="9" t="str">
        <f>IFERROR(__xludf.DUMMYFUNCTION("GOOGLETRANSLATE($A4064,""en"",""zh-cn"")"),"三位一体棕榈点")</f>
        <v>三位一体棕榈点</v>
      </c>
      <c r="H4064" s="9" t="str">
        <f>IFERROR(__xludf.DUMMYFUNCTION("GOOGLETRANSLATE($A4064,""en"",""ja"")"),"トリニティ パルメット ポイント")</f>
        <v>トリニティ パルメット ポイント</v>
      </c>
      <c r="I4064" s="9" t="str">
        <f>IFERROR(__xludf.DUMMYFUNCTION("GOOGLETRANSLATE($A4064,""en"",""ko"")"),"트리니티 팔메토 포인트")</f>
        <v>트리니티 팔메토 포인트</v>
      </c>
      <c r="J4064" s="9" t="str">
        <f>IFERROR(__xludf.DUMMYFUNCTION("GOOGLETRANSLATE($A4064,""en"",""pt-BR"")"),"Trinity Palmetto Point")</f>
        <v>Trinity Palmetto Point</v>
      </c>
    </row>
    <row r="4065">
      <c r="A4065" s="9" t="str">
        <f>IFERROR(__xludf.DUMMYFUNCTION("""COMPUTED_VALUE"""),"Saint Anne Sandy Point")</f>
        <v>Saint Anne Sandy Point</v>
      </c>
      <c r="B4065" s="9" t="str">
        <f>IFERROR(__xludf.DUMMYFUNCTION("""COMPUTED_VALUE"""),"kn-02")</f>
        <v>kn-02</v>
      </c>
      <c r="C4065" s="9" t="str">
        <f>IFERROR(__xludf.DUMMYFUNCTION("GOOGLETRANSLATE($A4065,""en"",""de"")"),"Saint Anne Sandy Point")</f>
        <v>Saint Anne Sandy Point</v>
      </c>
      <c r="D4065" s="9" t="str">
        <f>IFERROR(__xludf.DUMMYFUNCTION("GOOGLETRANSLATE($A4065,""en"",""fr"")"),"Sainte-Anne Sandy Point")</f>
        <v>Sainte-Anne Sandy Point</v>
      </c>
      <c r="E4065" s="9" t="str">
        <f>IFERROR(__xludf.DUMMYFUNCTION("GOOGLETRANSLATE($A4065,""en"",""es"")"),"Santa Ana Sandy Point")</f>
        <v>Santa Ana Sandy Point</v>
      </c>
      <c r="F4065" s="9" t="str">
        <f>IFERROR(__xludf.DUMMYFUNCTION("GOOGLETRANSLATE($A4065,""en"",""it"")"),"Sant'Anna Sandy Point")</f>
        <v>Sant'Anna Sandy Point</v>
      </c>
      <c r="G4065" s="9" t="str">
        <f>IFERROR(__xludf.DUMMYFUNCTION("GOOGLETRANSLATE($A4065,""en"",""zh-cn"")"),"圣安妮桑迪角")</f>
        <v>圣安妮桑迪角</v>
      </c>
      <c r="H4065" s="9" t="str">
        <f>IFERROR(__xludf.DUMMYFUNCTION("GOOGLETRANSLATE($A4065,""en"",""ja"")"),"セント・アン・サンディ・ポイント")</f>
        <v>セント・アン・サンディ・ポイント</v>
      </c>
      <c r="I4065" s="9" t="str">
        <f>IFERROR(__xludf.DUMMYFUNCTION("GOOGLETRANSLATE($A4065,""en"",""ko"")"),"세인트 앤 샌디 포인트")</f>
        <v>세인트 앤 샌디 포인트</v>
      </c>
      <c r="J4065" s="9" t="str">
        <f>IFERROR(__xludf.DUMMYFUNCTION("GOOGLETRANSLATE($A4065,""en"",""pt-BR"")"),"Santa Ana Sandy Point")</f>
        <v>Santa Ana Sandy Point</v>
      </c>
    </row>
    <row r="4066">
      <c r="A4066" s="9" t="str">
        <f>IFERROR(__xludf.DUMMYFUNCTION("""COMPUTED_VALUE"""),"Saint Mary Cayon")</f>
        <v>Saint Mary Cayon</v>
      </c>
      <c r="B4066" s="9" t="str">
        <f>IFERROR(__xludf.DUMMYFUNCTION("""COMPUTED_VALUE"""),"kn-08")</f>
        <v>kn-08</v>
      </c>
      <c r="C4066" s="9" t="str">
        <f>IFERROR(__xludf.DUMMYFUNCTION("GOOGLETRANSLATE($A4066,""en"",""de"")"),"Saint Mary Cayon")</f>
        <v>Saint Mary Cayon</v>
      </c>
      <c r="D4066" s="9" t="str">
        <f>IFERROR(__xludf.DUMMYFUNCTION("GOOGLETRANSLATE($A4066,""en"",""fr"")"),"Sainte Marie Cayon")</f>
        <v>Sainte Marie Cayon</v>
      </c>
      <c r="E4066" s="9" t="str">
        <f>IFERROR(__xludf.DUMMYFUNCTION("GOOGLETRANSLATE($A4066,""en"",""es"")"),"Santa María Cayón")</f>
        <v>Santa María Cayón</v>
      </c>
      <c r="F4066" s="9" t="str">
        <f>IFERROR(__xludf.DUMMYFUNCTION("GOOGLETRANSLATE($A4066,""en"",""it"")"),"Santa Maria Cayon")</f>
        <v>Santa Maria Cayon</v>
      </c>
      <c r="G4066" s="9" t="str">
        <f>IFERROR(__xludf.DUMMYFUNCTION("GOOGLETRANSLATE($A4066,""en"",""zh-cn"")"),"圣玛丽卡永")</f>
        <v>圣玛丽卡永</v>
      </c>
      <c r="H4066" s="9" t="str">
        <f>IFERROR(__xludf.DUMMYFUNCTION("GOOGLETRANSLATE($A4066,""en"",""ja"")"),"セント・メアリー・ケイヨン")</f>
        <v>セント・メアリー・ケイヨン</v>
      </c>
      <c r="I4066" s="9" t="str">
        <f>IFERROR(__xludf.DUMMYFUNCTION("GOOGLETRANSLATE($A4066,""en"",""ko"")"),"세인트 메리 캐욘")</f>
        <v>세인트 메리 캐욘</v>
      </c>
      <c r="J4066" s="9" t="str">
        <f>IFERROR(__xludf.DUMMYFUNCTION("GOOGLETRANSLATE($A4066,""en"",""pt-BR"")"),"Santa Maria Cayon")</f>
        <v>Santa Maria Cayon</v>
      </c>
    </row>
    <row r="4067">
      <c r="A4067" s="9" t="str">
        <f>IFERROR(__xludf.DUMMYFUNCTION("""COMPUTED_VALUE"""),"Saint Peter Basseterre")</f>
        <v>Saint Peter Basseterre</v>
      </c>
      <c r="B4067" s="9" t="str">
        <f>IFERROR(__xludf.DUMMYFUNCTION("""COMPUTED_VALUE"""),"kn-11")</f>
        <v>kn-11</v>
      </c>
      <c r="C4067" s="9" t="str">
        <f>IFERROR(__xludf.DUMMYFUNCTION("GOOGLETRANSLATE($A4067,""en"",""de"")"),"Sankt Peter Basseterre")</f>
        <v>Sankt Peter Basseterre</v>
      </c>
      <c r="D4067" s="9" t="str">
        <f>IFERROR(__xludf.DUMMYFUNCTION("GOOGLETRANSLATE($A4067,""en"",""fr"")"),"Saint Pierre Basseterre")</f>
        <v>Saint Pierre Basseterre</v>
      </c>
      <c r="E4067" s="9" t="str">
        <f>IFERROR(__xludf.DUMMYFUNCTION("GOOGLETRANSLATE($A4067,""en"",""es"")"),"San Pedro Basseterre")</f>
        <v>San Pedro Basseterre</v>
      </c>
      <c r="F4067" s="9" t="str">
        <f>IFERROR(__xludf.DUMMYFUNCTION("GOOGLETRANSLATE($A4067,""en"",""it"")"),"San Pietro Basseterre")</f>
        <v>San Pietro Basseterre</v>
      </c>
      <c r="G4067" s="9" t="str">
        <f>IFERROR(__xludf.DUMMYFUNCTION("GOOGLETRANSLATE($A4067,""en"",""zh-cn"")"),"圣彼得巴斯特尔")</f>
        <v>圣彼得巴斯特尔</v>
      </c>
      <c r="H4067" s="9" t="str">
        <f>IFERROR(__xludf.DUMMYFUNCTION("GOOGLETRANSLATE($A4067,""en"",""ja"")"),"サン・ピエトロ・バセテール")</f>
        <v>サン・ピエトロ・バセテール</v>
      </c>
      <c r="I4067" s="9" t="str">
        <f>IFERROR(__xludf.DUMMYFUNCTION("GOOGLETRANSLATE($A4067,""en"",""ko"")"),"성 베드로 바스테르")</f>
        <v>성 베드로 바스테르</v>
      </c>
      <c r="J4067" s="9" t="str">
        <f>IFERROR(__xludf.DUMMYFUNCTION("GOOGLETRANSLATE($A4067,""en"",""pt-BR"")"),"São Pedro Basseterre")</f>
        <v>São Pedro Basseterre</v>
      </c>
    </row>
    <row r="4068">
      <c r="A4068" s="9" t="str">
        <f>IFERROR(__xludf.DUMMYFUNCTION("""COMPUTED_VALUE"""),"Saint George Basseterre")</f>
        <v>Saint George Basseterre</v>
      </c>
      <c r="B4068" s="9" t="str">
        <f>IFERROR(__xludf.DUMMYFUNCTION("""COMPUTED_VALUE"""),"kn-03")</f>
        <v>kn-03</v>
      </c>
      <c r="C4068" s="9" t="str">
        <f>IFERROR(__xludf.DUMMYFUNCTION("GOOGLETRANSLATE($A4068,""en"",""de"")"),"Saint George Basseterre")</f>
        <v>Saint George Basseterre</v>
      </c>
      <c r="D4068" s="9" t="str">
        <f>IFERROR(__xludf.DUMMYFUNCTION("GOOGLETRANSLATE($A4068,""en"",""fr"")"),"Saint-Georges Basseterre")</f>
        <v>Saint-Georges Basseterre</v>
      </c>
      <c r="E4068" s="9" t="str">
        <f>IFERROR(__xludf.DUMMYFUNCTION("GOOGLETRANSLATE($A4068,""en"",""es"")"),"San Jorge Basseterre")</f>
        <v>San Jorge Basseterre</v>
      </c>
      <c r="F4068" s="9" t="str">
        <f>IFERROR(__xludf.DUMMYFUNCTION("GOOGLETRANSLATE($A4068,""en"",""it"")"),"San Giorgio Basseterre")</f>
        <v>San Giorgio Basseterre</v>
      </c>
      <c r="G4068" s="9" t="str">
        <f>IFERROR(__xludf.DUMMYFUNCTION("GOOGLETRANSLATE($A4068,""en"",""zh-cn"")"),"圣乔治巴斯特尔")</f>
        <v>圣乔治巴斯特尔</v>
      </c>
      <c r="H4068" s="9" t="str">
        <f>IFERROR(__xludf.DUMMYFUNCTION("GOOGLETRANSLATE($A4068,""en"",""ja"")"),"サン・ジョルジュ・バセテール")</f>
        <v>サン・ジョルジュ・バセテール</v>
      </c>
      <c r="I4068" s="9" t="str">
        <f>IFERROR(__xludf.DUMMYFUNCTION("GOOGLETRANSLATE($A4068,""en"",""ko"")"),"세인트 조지 바스테르")</f>
        <v>세인트 조지 바스테르</v>
      </c>
      <c r="J4068" s="9" t="str">
        <f>IFERROR(__xludf.DUMMYFUNCTION("GOOGLETRANSLATE($A4068,""en"",""pt-BR"")"),"São Jorge Basseterre")</f>
        <v>São Jorge Basseterre</v>
      </c>
    </row>
    <row r="4069">
      <c r="A4069" s="9" t="str">
        <f>IFERROR(__xludf.DUMMYFUNCTION("""COMPUTED_VALUE"""),"Saint Thomas Middle Island")</f>
        <v>Saint Thomas Middle Island</v>
      </c>
      <c r="B4069" s="9" t="str">
        <f>IFERROR(__xludf.DUMMYFUNCTION("""COMPUTED_VALUE"""),"kn-13")</f>
        <v>kn-13</v>
      </c>
      <c r="C4069" s="9" t="str">
        <f>IFERROR(__xludf.DUMMYFUNCTION("GOOGLETRANSLATE($A4069,""en"",""de"")"),"Saint Thomas Mittelinsel")</f>
        <v>Saint Thomas Mittelinsel</v>
      </c>
      <c r="D4069" s="9" t="str">
        <f>IFERROR(__xludf.DUMMYFUNCTION("GOOGLETRANSLATE($A4069,""en"",""fr"")"),"Île du Milieu de Saint Thomas")</f>
        <v>Île du Milieu de Saint Thomas</v>
      </c>
      <c r="E4069" s="9" t="str">
        <f>IFERROR(__xludf.DUMMYFUNCTION("GOOGLETRANSLATE($A4069,""en"",""es"")"),"Isla Media de Santo Tomás")</f>
        <v>Isla Media de Santo Tomás</v>
      </c>
      <c r="F4069" s="9" t="str">
        <f>IFERROR(__xludf.DUMMYFUNCTION("GOOGLETRANSLATE($A4069,""en"",""it"")"),"San Tommaso Isola Centrale")</f>
        <v>San Tommaso Isola Centrale</v>
      </c>
      <c r="G4069" s="9" t="str">
        <f>IFERROR(__xludf.DUMMYFUNCTION("GOOGLETRANSLATE($A4069,""en"",""zh-cn"")"),"圣托马斯中岛")</f>
        <v>圣托马斯中岛</v>
      </c>
      <c r="H4069" s="9" t="str">
        <f>IFERROR(__xludf.DUMMYFUNCTION("GOOGLETRANSLATE($A4069,""en"",""ja"")"),"セント・トーマス・ミドルアイランド")</f>
        <v>セント・トーマス・ミドルアイランド</v>
      </c>
      <c r="I4069" s="9" t="str">
        <f>IFERROR(__xludf.DUMMYFUNCTION("GOOGLETRANSLATE($A4069,""en"",""ko"")"),"세인트 토마스 미들 아일랜드")</f>
        <v>세인트 토마스 미들 아일랜드</v>
      </c>
      <c r="J4069" s="9" t="str">
        <f>IFERROR(__xludf.DUMMYFUNCTION("GOOGLETRANSLATE($A4069,""en"",""pt-BR"")"),"Ilha Média de São Tomás")</f>
        <v>Ilha Média de São Tomás</v>
      </c>
    </row>
    <row r="4070">
      <c r="A4070" s="9" t="str">
        <f>IFERROR(__xludf.DUMMYFUNCTION("""COMPUTED_VALUE"""),"Saint George Gingerland")</f>
        <v>Saint George Gingerland</v>
      </c>
      <c r="B4070" s="9" t="str">
        <f>IFERROR(__xludf.DUMMYFUNCTION("""COMPUTED_VALUE"""),"kn-04")</f>
        <v>kn-04</v>
      </c>
      <c r="C4070" s="9" t="str">
        <f>IFERROR(__xludf.DUMMYFUNCTION("GOOGLETRANSLATE($A4070,""en"",""de"")"),"Saint George Gingerland")</f>
        <v>Saint George Gingerland</v>
      </c>
      <c r="D4070" s="9" t="str">
        <f>IFERROR(__xludf.DUMMYFUNCTION("GOOGLETRANSLATE($A4070,""en"",""fr"")"),"Saint George Gingerland")</f>
        <v>Saint George Gingerland</v>
      </c>
      <c r="E4070" s="9" t="str">
        <f>IFERROR(__xludf.DUMMYFUNCTION("GOOGLETRANSLATE($A4070,""en"",""es"")"),"San Jorge Gingerland")</f>
        <v>San Jorge Gingerland</v>
      </c>
      <c r="F4070" s="9" t="str">
        <f>IFERROR(__xludf.DUMMYFUNCTION("GOOGLETRANSLATE($A4070,""en"",""it"")"),"San Giorgio Gingerland")</f>
        <v>San Giorgio Gingerland</v>
      </c>
      <c r="G4070" s="9" t="str">
        <f>IFERROR(__xludf.DUMMYFUNCTION("GOOGLETRANSLATE($A4070,""en"",""zh-cn"")"),"圣乔治金格兰德")</f>
        <v>圣乔治金格兰德</v>
      </c>
      <c r="H4070" s="9" t="str">
        <f>IFERROR(__xludf.DUMMYFUNCTION("GOOGLETRANSLATE($A4070,""en"",""ja"")"),"セント ジョージ ジンジャーランド")</f>
        <v>セント ジョージ ジンジャーランド</v>
      </c>
      <c r="I4070" s="9" t="str">
        <f>IFERROR(__xludf.DUMMYFUNCTION("GOOGLETRANSLATE($A4070,""en"",""ko"")"),"세인트 조지 진저랜드")</f>
        <v>세인트 조지 진저랜드</v>
      </c>
      <c r="J4070" s="9" t="str">
        <f>IFERROR(__xludf.DUMMYFUNCTION("GOOGLETRANSLATE($A4070,""en"",""pt-BR"")"),"São Jorge Gingerland")</f>
        <v>São Jorge Gingerland</v>
      </c>
    </row>
    <row r="4071">
      <c r="A4071" s="9" t="str">
        <f>IFERROR(__xludf.DUMMYFUNCTION("""COMPUTED_VALUE"""),"Saint John Figtree")</f>
        <v>Saint John Figtree</v>
      </c>
      <c r="B4071" s="9" t="str">
        <f>IFERROR(__xludf.DUMMYFUNCTION("""COMPUTED_VALUE"""),"kn-07")</f>
        <v>kn-07</v>
      </c>
      <c r="C4071" s="9" t="str">
        <f>IFERROR(__xludf.DUMMYFUNCTION("GOOGLETRANSLATE($A4071,""en"",""de"")"),"Saint John Figtree")</f>
        <v>Saint John Figtree</v>
      </c>
      <c r="D4071" s="9" t="str">
        <f>IFERROR(__xludf.DUMMYFUNCTION("GOOGLETRANSLATE($A4071,""en"",""fr"")"),"Figuier de Saint-Jean")</f>
        <v>Figuier de Saint-Jean</v>
      </c>
      <c r="E4071" s="9" t="str">
        <f>IFERROR(__xludf.DUMMYFUNCTION("GOOGLETRANSLATE($A4071,""en"",""es"")"),"San Juan Higuera")</f>
        <v>San Juan Higuera</v>
      </c>
      <c r="F4071" s="9" t="str">
        <f>IFERROR(__xludf.DUMMYFUNCTION("GOOGLETRANSLATE($A4071,""en"",""it"")"),"San Giovanni Fico")</f>
        <v>San Giovanni Fico</v>
      </c>
      <c r="G4071" s="9" t="str">
        <f>IFERROR(__xludf.DUMMYFUNCTION("GOOGLETRANSLATE($A4071,""en"",""zh-cn"")"),"圣约翰无花果树")</f>
        <v>圣约翰无花果树</v>
      </c>
      <c r="H4071" s="9" t="str">
        <f>IFERROR(__xludf.DUMMYFUNCTION("GOOGLETRANSLATE($A4071,""en"",""ja"")"),"セントジョン・フィグツリー")</f>
        <v>セントジョン・フィグツリー</v>
      </c>
      <c r="I4071" s="9" t="str">
        <f>IFERROR(__xludf.DUMMYFUNCTION("GOOGLETRANSLATE($A4071,""en"",""ko"")"),"세인트 존 피그트리")</f>
        <v>세인트 존 피그트리</v>
      </c>
      <c r="J4071" s="9" t="str">
        <f>IFERROR(__xludf.DUMMYFUNCTION("GOOGLETRANSLATE($A4071,""en"",""pt-BR"")"),"São João Figueira")</f>
        <v>São João Figueira</v>
      </c>
    </row>
    <row r="4072">
      <c r="A4072" s="9" t="str">
        <f>IFERROR(__xludf.DUMMYFUNCTION("""COMPUTED_VALUE"""),"Saint Paul Charlestown")</f>
        <v>Saint Paul Charlestown</v>
      </c>
      <c r="B4072" s="9" t="str">
        <f>IFERROR(__xludf.DUMMYFUNCTION("""COMPUTED_VALUE"""),"kn-10")</f>
        <v>kn-10</v>
      </c>
      <c r="C4072" s="9" t="str">
        <f>IFERROR(__xludf.DUMMYFUNCTION("GOOGLETRANSLATE($A4072,""en"",""de"")"),"Saint Paul Charlestown")</f>
        <v>Saint Paul Charlestown</v>
      </c>
      <c r="D4072" s="9" t="str">
        <f>IFERROR(__xludf.DUMMYFUNCTION("GOOGLETRANSLATE($A4072,""en"",""fr"")"),"Saint-Paul Charlestown")</f>
        <v>Saint-Paul Charlestown</v>
      </c>
      <c r="E4072" s="9" t="str">
        <f>IFERROR(__xludf.DUMMYFUNCTION("GOOGLETRANSLATE($A4072,""en"",""es"")"),"San Pablo Charlestown")</f>
        <v>San Pablo Charlestown</v>
      </c>
      <c r="F4072" s="9" t="str">
        <f>IFERROR(__xludf.DUMMYFUNCTION("GOOGLETRANSLATE($A4072,""en"",""it"")"),"San Paolo Charlestown")</f>
        <v>San Paolo Charlestown</v>
      </c>
      <c r="G4072" s="9" t="str">
        <f>IFERROR(__xludf.DUMMYFUNCTION("GOOGLETRANSLATE($A4072,""en"",""zh-cn"")"),"圣保罗查尔斯敦")</f>
        <v>圣保罗查尔斯敦</v>
      </c>
      <c r="H4072" s="9" t="str">
        <f>IFERROR(__xludf.DUMMYFUNCTION("GOOGLETRANSLATE($A4072,""en"",""ja"")"),"セントポール・チャールズタウン")</f>
        <v>セントポール・チャールズタウン</v>
      </c>
      <c r="I4072" s="9" t="str">
        <f>IFERROR(__xludf.DUMMYFUNCTION("GOOGLETRANSLATE($A4072,""en"",""ko"")"),"세인트 폴 찰스타운")</f>
        <v>세인트 폴 찰스타운</v>
      </c>
      <c r="J4072" s="9" t="str">
        <f>IFERROR(__xludf.DUMMYFUNCTION("GOOGLETRANSLATE($A4072,""en"",""pt-BR"")"),"São Paulo Charlestown")</f>
        <v>São Paulo Charlestown</v>
      </c>
    </row>
    <row r="4073">
      <c r="A4073" s="9" t="str">
        <f>IFERROR(__xludf.DUMMYFUNCTION("""COMPUTED_VALUE"""),"Christ Church Nichola Town")</f>
        <v>Christ Church Nichola Town</v>
      </c>
      <c r="B4073" s="9" t="str">
        <f>IFERROR(__xludf.DUMMYFUNCTION("""COMPUTED_VALUE"""),"kn-01")</f>
        <v>kn-01</v>
      </c>
      <c r="C4073" s="9" t="str">
        <f>IFERROR(__xludf.DUMMYFUNCTION("GOOGLETRANSLATE($A4073,""en"",""de"")"),"Christuskirche Nicholas Town")</f>
        <v>Christuskirche Nicholas Town</v>
      </c>
      <c r="D4073" s="9" t="str">
        <f>IFERROR(__xludf.DUMMYFUNCTION("GOOGLETRANSLATE($A4073,""en"",""fr"")"),"Christ Church Nicholas Town")</f>
        <v>Christ Church Nicholas Town</v>
      </c>
      <c r="E4073" s="9" t="str">
        <f>IFERROR(__xludf.DUMMYFUNCTION("GOOGLETRANSLATE($A4073,""en"",""es"")"),"Iglesia de Cristo Nichola Town")</f>
        <v>Iglesia de Cristo Nichola Town</v>
      </c>
      <c r="F4073" s="9" t="str">
        <f>IFERROR(__xludf.DUMMYFUNCTION("GOOGLETRANSLATE($A4073,""en"",""it"")"),"Chiesa di Cristo Nicholas Town")</f>
        <v>Chiesa di Cristo Nicholas Town</v>
      </c>
      <c r="G4073" s="9" t="str">
        <f>IFERROR(__xludf.DUMMYFUNCTION("GOOGLETRANSLATE($A4073,""en"",""zh-cn"")"),"尼古拉镇基督教会")</f>
        <v>尼古拉镇基督教会</v>
      </c>
      <c r="H4073" s="9" t="str">
        <f>IFERROR(__xludf.DUMMYFUNCTION("GOOGLETRANSLATE($A4073,""en"",""ja"")"),"クライスト チャーチ ニコラ タウン")</f>
        <v>クライスト チャーチ ニコラ タウン</v>
      </c>
      <c r="I4073" s="9" t="str">
        <f>IFERROR(__xludf.DUMMYFUNCTION("GOOGLETRANSLATE($A4073,""en"",""ko"")"),"크라이스트 처치 니콜라 타운")</f>
        <v>크라이스트 처치 니콜라 타운</v>
      </c>
      <c r="J4073" s="9" t="str">
        <f>IFERROR(__xludf.DUMMYFUNCTION("GOOGLETRANSLATE($A4073,""en"",""pt-BR"")"),"Igreja de Cristo Nichola Town")</f>
        <v>Igreja de Cristo Nichola Town</v>
      </c>
    </row>
    <row r="4074">
      <c r="A4074" s="9" t="str">
        <f>IFERROR(__xludf.DUMMYFUNCTION("""COMPUTED_VALUE"""),"Gros Islet")</f>
        <v>Gros Islet</v>
      </c>
      <c r="B4074" s="9" t="str">
        <f>IFERROR(__xludf.DUMMYFUNCTION("""COMPUTED_VALUE"""),"lc-06")</f>
        <v>lc-06</v>
      </c>
      <c r="C4074" s="9" t="str">
        <f>IFERROR(__xludf.DUMMYFUNCTION("GOOGLETRANSLATE($A4074,""en"",""de"")"),"Gros Islet")</f>
        <v>Gros Islet</v>
      </c>
      <c r="D4074" s="9" t="str">
        <f>IFERROR(__xludf.DUMMYFUNCTION("GOOGLETRANSLATE($A4074,""en"",""fr"")"),"Gros-Islet")</f>
        <v>Gros-Islet</v>
      </c>
      <c r="E4074" s="9" t="str">
        <f>IFERROR(__xludf.DUMMYFUNCTION("GOOGLETRANSLATE($A4074,""en"",""es"")"),"Islote de Gros")</f>
        <v>Islote de Gros</v>
      </c>
      <c r="F4074" s="9" t="str">
        <f>IFERROR(__xludf.DUMMYFUNCTION("GOOGLETRANSLATE($A4074,""en"",""it"")"),"Isolotto Gros")</f>
        <v>Isolotto Gros</v>
      </c>
      <c r="G4074" s="9" t="str">
        <f>IFERROR(__xludf.DUMMYFUNCTION("GOOGLETRANSLATE($A4074,""en"",""zh-cn"")"),"格罗斯岛")</f>
        <v>格罗斯岛</v>
      </c>
      <c r="H4074" s="9" t="str">
        <f>IFERROR(__xludf.DUMMYFUNCTION("GOOGLETRANSLATE($A4074,""en"",""ja"")"),"グロス・アイレット")</f>
        <v>グロス・アイレット</v>
      </c>
      <c r="I4074" s="9" t="str">
        <f>IFERROR(__xludf.DUMMYFUNCTION("GOOGLETRANSLATE($A4074,""en"",""ko"")"),"그로스 아일릿")</f>
        <v>그로스 아일릿</v>
      </c>
      <c r="J4074" s="9" t="str">
        <f>IFERROR(__xludf.DUMMYFUNCTION("GOOGLETRANSLATE($A4074,""en"",""pt-BR"")"),"Ilhota Gros")</f>
        <v>Ilhota Gros</v>
      </c>
    </row>
    <row r="4075">
      <c r="A4075" s="9" t="str">
        <f>IFERROR(__xludf.DUMMYFUNCTION("""COMPUTED_VALUE"""),"Dauphin")</f>
        <v>Dauphin</v>
      </c>
      <c r="B4075" s="9" t="str">
        <f>IFERROR(__xludf.DUMMYFUNCTION("""COMPUTED_VALUE"""),"lc-04")</f>
        <v>lc-04</v>
      </c>
      <c r="C4075" s="9" t="str">
        <f>IFERROR(__xludf.DUMMYFUNCTION("GOOGLETRANSLATE($A4075,""en"",""de"")"),"Dauphin")</f>
        <v>Dauphin</v>
      </c>
      <c r="D4075" s="9" t="str">
        <f>IFERROR(__xludf.DUMMYFUNCTION("GOOGLETRANSLATE($A4075,""en"",""fr"")"),"Dauphin")</f>
        <v>Dauphin</v>
      </c>
      <c r="E4075" s="9" t="str">
        <f>IFERROR(__xludf.DUMMYFUNCTION("GOOGLETRANSLATE($A4075,""en"",""es"")"),"Delfín")</f>
        <v>Delfín</v>
      </c>
      <c r="F4075" s="9" t="str">
        <f>IFERROR(__xludf.DUMMYFUNCTION("GOOGLETRANSLATE($A4075,""en"",""it"")"),"Delfino")</f>
        <v>Delfino</v>
      </c>
      <c r="G4075" s="9" t="str">
        <f>IFERROR(__xludf.DUMMYFUNCTION("GOOGLETRANSLATE($A4075,""en"",""zh-cn"")"),"王太子")</f>
        <v>王太子</v>
      </c>
      <c r="H4075" s="9" t="str">
        <f>IFERROR(__xludf.DUMMYFUNCTION("GOOGLETRANSLATE($A4075,""en"",""ja"")"),"ドーフィン")</f>
        <v>ドーフィン</v>
      </c>
      <c r="I4075" s="9" t="str">
        <f>IFERROR(__xludf.DUMMYFUNCTION("GOOGLETRANSLATE($A4075,""en"",""ko"")"),"황태자")</f>
        <v>황태자</v>
      </c>
      <c r="J4075" s="9" t="str">
        <f>IFERROR(__xludf.DUMMYFUNCTION("GOOGLETRANSLATE($A4075,""en"",""pt-BR"")"),"Delfim")</f>
        <v>Delfim</v>
      </c>
    </row>
    <row r="4076">
      <c r="A4076" s="9" t="str">
        <f>IFERROR(__xludf.DUMMYFUNCTION("""COMPUTED_VALUE"""),"Anse la Raye")</f>
        <v>Anse la Raye</v>
      </c>
      <c r="B4076" s="9" t="str">
        <f>IFERROR(__xludf.DUMMYFUNCTION("""COMPUTED_VALUE"""),"lc-01")</f>
        <v>lc-01</v>
      </c>
      <c r="C4076" s="9" t="str">
        <f>IFERROR(__xludf.DUMMYFUNCTION("GOOGLETRANSLATE($A4076,""en"",""de"")"),"Anse la Raye")</f>
        <v>Anse la Raye</v>
      </c>
      <c r="D4076" s="9" t="str">
        <f>IFERROR(__xludf.DUMMYFUNCTION("GOOGLETRANSLATE($A4076,""en"",""fr"")"),"Anse-la-Raye")</f>
        <v>Anse-la-Raye</v>
      </c>
      <c r="E4076" s="9" t="str">
        <f>IFERROR(__xludf.DUMMYFUNCTION("GOOGLETRANSLATE($A4076,""en"",""es"")"),"Anse la Raye")</f>
        <v>Anse la Raye</v>
      </c>
      <c r="F4076" s="9" t="str">
        <f>IFERROR(__xludf.DUMMYFUNCTION("GOOGLETRANSLATE($A4076,""en"",""it"")"),"Anse la Raye")</f>
        <v>Anse la Raye</v>
      </c>
      <c r="G4076" s="9" t="str">
        <f>IFERROR(__xludf.DUMMYFUNCTION("GOOGLETRANSLATE($A4076,""en"",""zh-cn"")"),"安塞拉雷")</f>
        <v>安塞拉雷</v>
      </c>
      <c r="H4076" s="9" t="str">
        <f>IFERROR(__xludf.DUMMYFUNCTION("GOOGLETRANSLATE($A4076,""en"",""ja"")"),"アンス・ラ・レイ")</f>
        <v>アンス・ラ・レイ</v>
      </c>
      <c r="I4076" s="9" t="str">
        <f>IFERROR(__xludf.DUMMYFUNCTION("GOOGLETRANSLATE($A4076,""en"",""ko"")"),"안세 라 레이")</f>
        <v>안세 라 레이</v>
      </c>
      <c r="J4076" s="9" t="str">
        <f>IFERROR(__xludf.DUMMYFUNCTION("GOOGLETRANSLATE($A4076,""en"",""pt-BR"")"),"Anse la Raye")</f>
        <v>Anse la Raye</v>
      </c>
    </row>
    <row r="4077">
      <c r="A4077" s="9" t="str">
        <f>IFERROR(__xludf.DUMMYFUNCTION("""COMPUTED_VALUE"""),"Choiseul (LC)")</f>
        <v>Choiseul (LC)</v>
      </c>
      <c r="B4077" s="9" t="str">
        <f>IFERROR(__xludf.DUMMYFUNCTION("""COMPUTED_VALUE"""),"lc-03")</f>
        <v>lc-03</v>
      </c>
      <c r="C4077" s="9" t="str">
        <f>IFERROR(__xludf.DUMMYFUNCTION("GOOGLETRANSLATE($A4077,""en"",""de"")"),"Choiseul (LC)")</f>
        <v>Choiseul (LC)</v>
      </c>
      <c r="D4077" s="9" t="str">
        <f>IFERROR(__xludf.DUMMYFUNCTION("GOOGLETRANSLATE($A4077,""en"",""fr"")"),"Choiseul (LC)")</f>
        <v>Choiseul (LC)</v>
      </c>
      <c r="E4077" s="9" t="str">
        <f>IFERROR(__xludf.DUMMYFUNCTION("GOOGLETRANSLATE($A4077,""en"",""es"")"),"Choiseul (LC)")</f>
        <v>Choiseul (LC)</v>
      </c>
      <c r="F4077" s="9" t="str">
        <f>IFERROR(__xludf.DUMMYFUNCTION("GOOGLETRANSLATE($A4077,""en"",""it"")"),"Choiseul (LC)")</f>
        <v>Choiseul (LC)</v>
      </c>
      <c r="G4077" s="9" t="str">
        <f>IFERROR(__xludf.DUMMYFUNCTION("GOOGLETRANSLATE($A4077,""en"",""zh-cn"")"),"舒瓦瑟尔 (LC)")</f>
        <v>舒瓦瑟尔 (LC)</v>
      </c>
      <c r="H4077" s="9" t="str">
        <f>IFERROR(__xludf.DUMMYFUNCTION("GOOGLETRANSLATE($A4077,""en"",""ja"")"),"ショワズル (LC)")</f>
        <v>ショワズル (LC)</v>
      </c>
      <c r="I4077" s="9" t="str">
        <f>IFERROR(__xludf.DUMMYFUNCTION("GOOGLETRANSLATE($A4077,""en"",""ko"")"),"초이슬(LC)")</f>
        <v>초이슬(LC)</v>
      </c>
      <c r="J4077" s="9" t="str">
        <f>IFERROR(__xludf.DUMMYFUNCTION("GOOGLETRANSLATE($A4077,""en"",""pt-BR"")"),"Choiseul (LC)")</f>
        <v>Choiseul (LC)</v>
      </c>
    </row>
    <row r="4078">
      <c r="A4078" s="9" t="str">
        <f>IFERROR(__xludf.DUMMYFUNCTION("""COMPUTED_VALUE"""),"Vieux Fort")</f>
        <v>Vieux Fort</v>
      </c>
      <c r="B4078" s="9" t="str">
        <f>IFERROR(__xludf.DUMMYFUNCTION("""COMPUTED_VALUE"""),"lc-11")</f>
        <v>lc-11</v>
      </c>
      <c r="C4078" s="9" t="str">
        <f>IFERROR(__xludf.DUMMYFUNCTION("GOOGLETRANSLATE($A4078,""en"",""de"")"),"Vieux Fort")</f>
        <v>Vieux Fort</v>
      </c>
      <c r="D4078" s="9" t="str">
        <f>IFERROR(__xludf.DUMMYFUNCTION("GOOGLETRANSLATE($A4078,""en"",""fr"")"),"Vieux-Fort")</f>
        <v>Vieux-Fort</v>
      </c>
      <c r="E4078" s="9" t="str">
        <f>IFERROR(__xludf.DUMMYFUNCTION("GOOGLETRANSLATE($A4078,""en"",""es"")"),"Viejo Fuerte")</f>
        <v>Viejo Fuerte</v>
      </c>
      <c r="F4078" s="9" t="str">
        <f>IFERROR(__xludf.DUMMYFUNCTION("GOOGLETRANSLATE($A4078,""en"",""it"")"),"Vecchio Forte")</f>
        <v>Vecchio Forte</v>
      </c>
      <c r="G4078" s="9" t="str">
        <f>IFERROR(__xludf.DUMMYFUNCTION("GOOGLETRANSLATE($A4078,""en"",""zh-cn"")"),"维约堡")</f>
        <v>维约堡</v>
      </c>
      <c r="H4078" s="9" t="str">
        <f>IFERROR(__xludf.DUMMYFUNCTION("GOOGLETRANSLATE($A4078,""en"",""ja"")"),"ヴュー・フォール")</f>
        <v>ヴュー・フォール</v>
      </c>
      <c r="I4078" s="9" t="str">
        <f>IFERROR(__xludf.DUMMYFUNCTION("GOOGLETRANSLATE($A4078,""en"",""ko"")"),"비유 요새")</f>
        <v>비유 요새</v>
      </c>
      <c r="J4078" s="9" t="str">
        <f>IFERROR(__xludf.DUMMYFUNCTION("GOOGLETRANSLATE($A4078,""en"",""pt-BR"")"),"Velho Forte")</f>
        <v>Velho Forte</v>
      </c>
    </row>
    <row r="4079">
      <c r="A4079" s="9" t="str">
        <f>IFERROR(__xludf.DUMMYFUNCTION("""COMPUTED_VALUE"""),"Castries")</f>
        <v>Castries</v>
      </c>
      <c r="B4079" s="9" t="str">
        <f>IFERROR(__xludf.DUMMYFUNCTION("""COMPUTED_VALUE"""),"lc-02")</f>
        <v>lc-02</v>
      </c>
      <c r="C4079" s="9" t="str">
        <f>IFERROR(__xludf.DUMMYFUNCTION("GOOGLETRANSLATE($A4079,""en"",""de"")"),"Castries")</f>
        <v>Castries</v>
      </c>
      <c r="D4079" s="9" t="str">
        <f>IFERROR(__xludf.DUMMYFUNCTION("GOOGLETRANSLATE($A4079,""en"",""fr"")"),"Castries")</f>
        <v>Castries</v>
      </c>
      <c r="E4079" s="9" t="str">
        <f>IFERROR(__xludf.DUMMYFUNCTION("GOOGLETRANSLATE($A4079,""en"",""es"")"),"Castries")</f>
        <v>Castries</v>
      </c>
      <c r="F4079" s="9" t="str">
        <f>IFERROR(__xludf.DUMMYFUNCTION("GOOGLETRANSLATE($A4079,""en"",""it"")"),"Castries")</f>
        <v>Castries</v>
      </c>
      <c r="G4079" s="9" t="str">
        <f>IFERROR(__xludf.DUMMYFUNCTION("GOOGLETRANSLATE($A4079,""en"",""zh-cn"")"),"卡斯特里")</f>
        <v>卡斯特里</v>
      </c>
      <c r="H4079" s="9" t="str">
        <f>IFERROR(__xludf.DUMMYFUNCTION("GOOGLETRANSLATE($A4079,""en"",""ja"")"),"カストリーズ")</f>
        <v>カストリーズ</v>
      </c>
      <c r="I4079" s="9" t="str">
        <f>IFERROR(__xludf.DUMMYFUNCTION("GOOGLETRANSLATE($A4079,""en"",""ko"")"),"캐스트리스")</f>
        <v>캐스트리스</v>
      </c>
      <c r="J4079" s="9" t="str">
        <f>IFERROR(__xludf.DUMMYFUNCTION("GOOGLETRANSLATE($A4079,""en"",""pt-BR"")"),"Castries")</f>
        <v>Castries</v>
      </c>
    </row>
    <row r="4080">
      <c r="A4080" s="9" t="str">
        <f>IFERROR(__xludf.DUMMYFUNCTION("""COMPUTED_VALUE"""),"Soufrière")</f>
        <v>Soufrière</v>
      </c>
      <c r="B4080" s="9" t="str">
        <f>IFERROR(__xludf.DUMMYFUNCTION("""COMPUTED_VALUE"""),"lc-10")</f>
        <v>lc-10</v>
      </c>
      <c r="C4080" s="9" t="str">
        <f>IFERROR(__xludf.DUMMYFUNCTION("GOOGLETRANSLATE($A4080,""en"",""de"")"),"Soufriere")</f>
        <v>Soufriere</v>
      </c>
      <c r="D4080" s="9" t="str">
        <f>IFERROR(__xludf.DUMMYFUNCTION("GOOGLETRANSLATE($A4080,""en"",""fr"")"),"Soufrière")</f>
        <v>Soufrière</v>
      </c>
      <c r="E4080" s="9" t="str">
        <f>IFERROR(__xludf.DUMMYFUNCTION("GOOGLETRANSLATE($A4080,""en"",""es"")"),"Soufriere")</f>
        <v>Soufriere</v>
      </c>
      <c r="F4080" s="9" t="str">
        <f>IFERROR(__xludf.DUMMYFUNCTION("GOOGLETRANSLATE($A4080,""en"",""it"")"),"Soufriere")</f>
        <v>Soufriere</v>
      </c>
      <c r="G4080" s="9" t="str">
        <f>IFERROR(__xludf.DUMMYFUNCTION("GOOGLETRANSLATE($A4080,""en"",""zh-cn"")"),"苏弗里耶尔")</f>
        <v>苏弗里耶尔</v>
      </c>
      <c r="H4080" s="9" t="str">
        <f>IFERROR(__xludf.DUMMYFUNCTION("GOOGLETRANSLATE($A4080,""en"",""ja"")"),"スフリエール")</f>
        <v>スフリエール</v>
      </c>
      <c r="I4080" s="9" t="str">
        <f>IFERROR(__xludf.DUMMYFUNCTION("GOOGLETRANSLATE($A4080,""en"",""ko"")"),"수프리에르")</f>
        <v>수프리에르</v>
      </c>
      <c r="J4080" s="9" t="str">
        <f>IFERROR(__xludf.DUMMYFUNCTION("GOOGLETRANSLATE($A4080,""en"",""pt-BR"")"),"Soufrière")</f>
        <v>Soufrière</v>
      </c>
    </row>
    <row r="4081">
      <c r="A4081" s="9" t="str">
        <f>IFERROR(__xludf.DUMMYFUNCTION("""COMPUTED_VALUE"""),"Micoud")</f>
        <v>Micoud</v>
      </c>
      <c r="B4081" s="9" t="str">
        <f>IFERROR(__xludf.DUMMYFUNCTION("""COMPUTED_VALUE"""),"lc-08")</f>
        <v>lc-08</v>
      </c>
      <c r="C4081" s="9" t="str">
        <f>IFERROR(__xludf.DUMMYFUNCTION("GOOGLETRANSLATE($A4081,""en"",""de"")"),"Micoud")</f>
        <v>Micoud</v>
      </c>
      <c r="D4081" s="9" t="str">
        <f>IFERROR(__xludf.DUMMYFUNCTION("GOOGLETRANSLATE($A4081,""en"",""fr"")"),"Micoud")</f>
        <v>Micoud</v>
      </c>
      <c r="E4081" s="9" t="str">
        <f>IFERROR(__xludf.DUMMYFUNCTION("GOOGLETRANSLATE($A4081,""en"",""es"")"),"Micoud")</f>
        <v>Micoud</v>
      </c>
      <c r="F4081" s="9" t="str">
        <f>IFERROR(__xludf.DUMMYFUNCTION("GOOGLETRANSLATE($A4081,""en"",""it"")"),"Micoud")</f>
        <v>Micoud</v>
      </c>
      <c r="G4081" s="9" t="str">
        <f>IFERROR(__xludf.DUMMYFUNCTION("GOOGLETRANSLATE($A4081,""en"",""zh-cn"")"),"米库")</f>
        <v>米库</v>
      </c>
      <c r="H4081" s="9" t="str">
        <f>IFERROR(__xludf.DUMMYFUNCTION("GOOGLETRANSLATE($A4081,""en"",""ja"")"),"ミクード")</f>
        <v>ミクード</v>
      </c>
      <c r="I4081" s="9" t="str">
        <f>IFERROR(__xludf.DUMMYFUNCTION("GOOGLETRANSLATE($A4081,""en"",""ko"")"),"미쿠")</f>
        <v>미쿠</v>
      </c>
      <c r="J4081" s="9" t="str">
        <f>IFERROR(__xludf.DUMMYFUNCTION("GOOGLETRANSLATE($A4081,""en"",""pt-BR"")"),"Micoud")</f>
        <v>Micoud</v>
      </c>
    </row>
    <row r="4082">
      <c r="A4082" s="9" t="str">
        <f>IFERROR(__xludf.DUMMYFUNCTION("""COMPUTED_VALUE"""),"Dennery")</f>
        <v>Dennery</v>
      </c>
      <c r="B4082" s="9" t="str">
        <f>IFERROR(__xludf.DUMMYFUNCTION("""COMPUTED_VALUE"""),"lc-05")</f>
        <v>lc-05</v>
      </c>
      <c r="C4082" s="9" t="str">
        <f>IFERROR(__xludf.DUMMYFUNCTION("GOOGLETRANSLATE($A4082,""en"",""de"")"),"Dennery")</f>
        <v>Dennery</v>
      </c>
      <c r="D4082" s="9" t="str">
        <f>IFERROR(__xludf.DUMMYFUNCTION("GOOGLETRANSLATE($A4082,""en"",""fr"")"),"Dennery")</f>
        <v>Dennery</v>
      </c>
      <c r="E4082" s="9" t="str">
        <f>IFERROR(__xludf.DUMMYFUNCTION("GOOGLETRANSLATE($A4082,""en"",""es"")"),"Dennery")</f>
        <v>Dennery</v>
      </c>
      <c r="F4082" s="9" t="str">
        <f>IFERROR(__xludf.DUMMYFUNCTION("GOOGLETRANSLATE($A4082,""en"",""it"")"),"Dennery")</f>
        <v>Dennery</v>
      </c>
      <c r="G4082" s="9" t="str">
        <f>IFERROR(__xludf.DUMMYFUNCTION("GOOGLETRANSLATE($A4082,""en"",""zh-cn"")"),"丹纳里")</f>
        <v>丹纳里</v>
      </c>
      <c r="H4082" s="9" t="str">
        <f>IFERROR(__xludf.DUMMYFUNCTION("GOOGLETRANSLATE($A4082,""en"",""ja"")"),"デンリー")</f>
        <v>デンリー</v>
      </c>
      <c r="I4082" s="9" t="str">
        <f>IFERROR(__xludf.DUMMYFUNCTION("GOOGLETRANSLATE($A4082,""en"",""ko"")"),"데너리")</f>
        <v>데너리</v>
      </c>
      <c r="J4082" s="9" t="str">
        <f>IFERROR(__xludf.DUMMYFUNCTION("GOOGLETRANSLATE($A4082,""en"",""pt-BR"")"),"Dennery")</f>
        <v>Dennery</v>
      </c>
    </row>
    <row r="4083">
      <c r="A4083" s="9" t="str">
        <f>IFERROR(__xludf.DUMMYFUNCTION("""COMPUTED_VALUE"""),"Praslin")</f>
        <v>Praslin</v>
      </c>
      <c r="B4083" s="9" t="str">
        <f>IFERROR(__xludf.DUMMYFUNCTION("""COMPUTED_VALUE"""),"lc-09")</f>
        <v>lc-09</v>
      </c>
      <c r="C4083" s="9" t="str">
        <f>IFERROR(__xludf.DUMMYFUNCTION("GOOGLETRANSLATE($A4083,""en"",""de"")"),"Praslin")</f>
        <v>Praslin</v>
      </c>
      <c r="D4083" s="9" t="str">
        <f>IFERROR(__xludf.DUMMYFUNCTION("GOOGLETRANSLATE($A4083,""en"",""fr"")"),"Praslin")</f>
        <v>Praslin</v>
      </c>
      <c r="E4083" s="9" t="str">
        <f>IFERROR(__xludf.DUMMYFUNCTION("GOOGLETRANSLATE($A4083,""en"",""es"")"),"praslin")</f>
        <v>praslin</v>
      </c>
      <c r="F4083" s="9" t="str">
        <f>IFERROR(__xludf.DUMMYFUNCTION("GOOGLETRANSLATE($A4083,""en"",""it"")"),"Praslin")</f>
        <v>Praslin</v>
      </c>
      <c r="G4083" s="9" t="str">
        <f>IFERROR(__xludf.DUMMYFUNCTION("GOOGLETRANSLATE($A4083,""en"",""zh-cn"")"),"普拉兰岛")</f>
        <v>普拉兰岛</v>
      </c>
      <c r="H4083" s="9" t="str">
        <f>IFERROR(__xludf.DUMMYFUNCTION("GOOGLETRANSLATE($A4083,""en"",""ja"")"),"プララン")</f>
        <v>プララン</v>
      </c>
      <c r="I4083" s="9" t="str">
        <f>IFERROR(__xludf.DUMMYFUNCTION("GOOGLETRANSLATE($A4083,""en"",""ko"")"),"프랄린")</f>
        <v>프랄린</v>
      </c>
      <c r="J4083" s="9" t="str">
        <f>IFERROR(__xludf.DUMMYFUNCTION("GOOGLETRANSLATE($A4083,""en"",""pt-BR"")"),"Praslin")</f>
        <v>Praslin</v>
      </c>
    </row>
    <row r="4084">
      <c r="A4084" s="9" t="str">
        <f>IFERROR(__xludf.DUMMYFUNCTION("""COMPUTED_VALUE"""),"Laborie")</f>
        <v>Laborie</v>
      </c>
      <c r="B4084" s="9" t="str">
        <f>IFERROR(__xludf.DUMMYFUNCTION("""COMPUTED_VALUE"""),"lc-07")</f>
        <v>lc-07</v>
      </c>
      <c r="C4084" s="9" t="str">
        <f>IFERROR(__xludf.DUMMYFUNCTION("GOOGLETRANSLATE($A4084,""en"",""de"")"),"Laborie")</f>
        <v>Laborie</v>
      </c>
      <c r="D4084" s="9" t="str">
        <f>IFERROR(__xludf.DUMMYFUNCTION("GOOGLETRANSLATE($A4084,""en"",""fr"")"),"Laborie")</f>
        <v>Laborie</v>
      </c>
      <c r="E4084" s="9" t="str">
        <f>IFERROR(__xludf.DUMMYFUNCTION("GOOGLETRANSLATE($A4084,""en"",""es"")"),"laborie")</f>
        <v>laborie</v>
      </c>
      <c r="F4084" s="9" t="str">
        <f>IFERROR(__xludf.DUMMYFUNCTION("GOOGLETRANSLATE($A4084,""en"",""it"")"),"Laborie")</f>
        <v>Laborie</v>
      </c>
      <c r="G4084" s="9" t="str">
        <f>IFERROR(__xludf.DUMMYFUNCTION("GOOGLETRANSLATE($A4084,""en"",""zh-cn"")"),"拉博里")</f>
        <v>拉博里</v>
      </c>
      <c r="H4084" s="9" t="str">
        <f>IFERROR(__xludf.DUMMYFUNCTION("GOOGLETRANSLATE($A4084,""en"",""ja"")"),"ラボリー")</f>
        <v>ラボリー</v>
      </c>
      <c r="I4084" s="9" t="str">
        <f>IFERROR(__xludf.DUMMYFUNCTION("GOOGLETRANSLATE($A4084,""en"",""ko"")"),"라보리")</f>
        <v>라보리</v>
      </c>
      <c r="J4084" s="9" t="str">
        <f>IFERROR(__xludf.DUMMYFUNCTION("GOOGLETRANSLATE($A4084,""en"",""pt-BR"")"),"Laborie")</f>
        <v>Laborie</v>
      </c>
    </row>
    <row r="4085">
      <c r="A4085" s="9" t="str">
        <f>IFERROR(__xludf.DUMMYFUNCTION("""COMPUTED_VALUE"""),"Saint George (VC)")</f>
        <v>Saint George (VC)</v>
      </c>
      <c r="B4085" s="9" t="str">
        <f>IFERROR(__xludf.DUMMYFUNCTION("""COMPUTED_VALUE"""),"vc-04")</f>
        <v>vc-04</v>
      </c>
      <c r="C4085" s="9" t="str">
        <f>IFERROR(__xludf.DUMMYFUNCTION("GOOGLETRANSLATE($A4085,""en"",""de"")"),"Saint George (VC)")</f>
        <v>Saint George (VC)</v>
      </c>
      <c r="D4085" s="9" t="str">
        <f>IFERROR(__xludf.DUMMYFUNCTION("GOOGLETRANSLATE($A4085,""en"",""fr"")"),"Saint-Georges (VC)")</f>
        <v>Saint-Georges (VC)</v>
      </c>
      <c r="E4085" s="9" t="str">
        <f>IFERROR(__xludf.DUMMYFUNCTION("GOOGLETRANSLATE($A4085,""en"",""es"")"),"San Jorge (VC)")</f>
        <v>San Jorge (VC)</v>
      </c>
      <c r="F4085" s="9" t="str">
        <f>IFERROR(__xludf.DUMMYFUNCTION("GOOGLETRANSLATE($A4085,""en"",""it"")"),"San Giorgio (VC)")</f>
        <v>San Giorgio (VC)</v>
      </c>
      <c r="G4085" s="9" t="str">
        <f>IFERROR(__xludf.DUMMYFUNCTION("GOOGLETRANSLATE($A4085,""en"",""zh-cn"")"),"圣乔治 (VC)")</f>
        <v>圣乔治 (VC)</v>
      </c>
      <c r="H4085" s="9" t="str">
        <f>IFERROR(__xludf.DUMMYFUNCTION("GOOGLETRANSLATE($A4085,""en"",""ja"")"),"セントジョージ (VC)")</f>
        <v>セントジョージ (VC)</v>
      </c>
      <c r="I4085" s="9" t="str">
        <f>IFERROR(__xludf.DUMMYFUNCTION("GOOGLETRANSLATE($A4085,""en"",""ko"")"),"세인트 조지(VC)")</f>
        <v>세인트 조지(VC)</v>
      </c>
      <c r="J4085" s="9" t="str">
        <f>IFERROR(__xludf.DUMMYFUNCTION("GOOGLETRANSLATE($A4085,""en"",""pt-BR"")"),"São Jorge (VC)")</f>
        <v>São Jorge (VC)</v>
      </c>
    </row>
    <row r="4086">
      <c r="A4086" s="9" t="str">
        <f>IFERROR(__xludf.DUMMYFUNCTION("""COMPUTED_VALUE"""),"Charlotte")</f>
        <v>Charlotte</v>
      </c>
      <c r="B4086" s="9" t="str">
        <f>IFERROR(__xludf.DUMMYFUNCTION("""COMPUTED_VALUE"""),"vc-01")</f>
        <v>vc-01</v>
      </c>
      <c r="C4086" s="9" t="str">
        <f>IFERROR(__xludf.DUMMYFUNCTION("GOOGLETRANSLATE($A4086,""en"",""de"")"),"Charlotte")</f>
        <v>Charlotte</v>
      </c>
      <c r="D4086" s="9" t="str">
        <f>IFERROR(__xludf.DUMMYFUNCTION("GOOGLETRANSLATE($A4086,""en"",""fr"")"),"Charlotte")</f>
        <v>Charlotte</v>
      </c>
      <c r="E4086" s="9" t="str">
        <f>IFERROR(__xludf.DUMMYFUNCTION("GOOGLETRANSLATE($A4086,""en"",""es"")"),"charlotte")</f>
        <v>charlotte</v>
      </c>
      <c r="F4086" s="9" t="str">
        <f>IFERROR(__xludf.DUMMYFUNCTION("GOOGLETRANSLATE($A4086,""en"",""it"")"),"Carlotta")</f>
        <v>Carlotta</v>
      </c>
      <c r="G4086" s="9" t="str">
        <f>IFERROR(__xludf.DUMMYFUNCTION("GOOGLETRANSLATE($A4086,""en"",""zh-cn"")"),"夏洛特")</f>
        <v>夏洛特</v>
      </c>
      <c r="H4086" s="9" t="str">
        <f>IFERROR(__xludf.DUMMYFUNCTION("GOOGLETRANSLATE($A4086,""en"",""ja"")"),"シャーロット")</f>
        <v>シャーロット</v>
      </c>
      <c r="I4086" s="9" t="str">
        <f>IFERROR(__xludf.DUMMYFUNCTION("GOOGLETRANSLATE($A4086,""en"",""ko"")"),"샬럿")</f>
        <v>샬럿</v>
      </c>
      <c r="J4086" s="9" t="str">
        <f>IFERROR(__xludf.DUMMYFUNCTION("GOOGLETRANSLATE($A4086,""en"",""pt-BR"")"),"Charlotte")</f>
        <v>Charlotte</v>
      </c>
    </row>
    <row r="4087">
      <c r="A4087" s="9" t="str">
        <f>IFERROR(__xludf.DUMMYFUNCTION("""COMPUTED_VALUE"""),"Saint Andrew (VC)")</f>
        <v>Saint Andrew (VC)</v>
      </c>
      <c r="B4087" s="9" t="str">
        <f>IFERROR(__xludf.DUMMYFUNCTION("""COMPUTED_VALUE"""),"vc-02")</f>
        <v>vc-02</v>
      </c>
      <c r="C4087" s="9" t="str">
        <f>IFERROR(__xludf.DUMMYFUNCTION("GOOGLETRANSLATE($A4087,""en"",""de"")"),"Heiliger Andreas (VC)")</f>
        <v>Heiliger Andreas (VC)</v>
      </c>
      <c r="D4087" s="9" t="str">
        <f>IFERROR(__xludf.DUMMYFUNCTION("GOOGLETRANSLATE($A4087,""en"",""fr"")"),"Saint-André (VC)")</f>
        <v>Saint-André (VC)</v>
      </c>
      <c r="E4087" s="9" t="str">
        <f>IFERROR(__xludf.DUMMYFUNCTION("GOOGLETRANSLATE($A4087,""en"",""es"")"),"San Andrés (VC)")</f>
        <v>San Andrés (VC)</v>
      </c>
      <c r="F4087" s="9" t="str">
        <f>IFERROR(__xludf.DUMMYFUNCTION("GOOGLETRANSLATE($A4087,""en"",""it"")"),"Sant'Andrea (VC)")</f>
        <v>Sant'Andrea (VC)</v>
      </c>
      <c r="G4087" s="9" t="str">
        <f>IFERROR(__xludf.DUMMYFUNCTION("GOOGLETRANSLATE($A4087,""en"",""zh-cn"")"),"圣安德鲁 (VC)")</f>
        <v>圣安德鲁 (VC)</v>
      </c>
      <c r="H4087" s="9" t="str">
        <f>IFERROR(__xludf.DUMMYFUNCTION("GOOGLETRANSLATE($A4087,""en"",""ja"")"),"セント・アンドリュー (VC)")</f>
        <v>セント・アンドリュー (VC)</v>
      </c>
      <c r="I4087" s="9" t="str">
        <f>IFERROR(__xludf.DUMMYFUNCTION("GOOGLETRANSLATE($A4087,""en"",""ko"")"),"세인트 앤드류 (VC)")</f>
        <v>세인트 앤드류 (VC)</v>
      </c>
      <c r="J4087" s="9" t="str">
        <f>IFERROR(__xludf.DUMMYFUNCTION("GOOGLETRANSLATE($A4087,""en"",""pt-BR"")"),"Santo André (VC)")</f>
        <v>Santo André (VC)</v>
      </c>
    </row>
    <row r="4088">
      <c r="A4088" s="9" t="str">
        <f>IFERROR(__xludf.DUMMYFUNCTION("""COMPUTED_VALUE"""),"Grenadines")</f>
        <v>Grenadines</v>
      </c>
      <c r="B4088" s="9" t="str">
        <f>IFERROR(__xludf.DUMMYFUNCTION("""COMPUTED_VALUE"""),"vc-06")</f>
        <v>vc-06</v>
      </c>
      <c r="C4088" s="9" t="str">
        <f>IFERROR(__xludf.DUMMYFUNCTION("GOOGLETRANSLATE($A4088,""en"",""de"")"),"Grenadinen")</f>
        <v>Grenadinen</v>
      </c>
      <c r="D4088" s="9" t="str">
        <f>IFERROR(__xludf.DUMMYFUNCTION("GOOGLETRANSLATE($A4088,""en"",""fr"")"),"Grenadines")</f>
        <v>Grenadines</v>
      </c>
      <c r="E4088" s="9" t="str">
        <f>IFERROR(__xludf.DUMMYFUNCTION("GOOGLETRANSLATE($A4088,""en"",""es"")"),"Granadinas")</f>
        <v>Granadinas</v>
      </c>
      <c r="F4088" s="9" t="str">
        <f>IFERROR(__xludf.DUMMYFUNCTION("GOOGLETRANSLATE($A4088,""en"",""it"")"),"Grenadine")</f>
        <v>Grenadine</v>
      </c>
      <c r="G4088" s="9" t="str">
        <f>IFERROR(__xludf.DUMMYFUNCTION("GOOGLETRANSLATE($A4088,""en"",""zh-cn"")"),"格林纳丁斯")</f>
        <v>格林纳丁斯</v>
      </c>
      <c r="H4088" s="9" t="str">
        <f>IFERROR(__xludf.DUMMYFUNCTION("GOOGLETRANSLATE($A4088,""en"",""ja"")"),"グレナディーン諸島")</f>
        <v>グレナディーン諸島</v>
      </c>
      <c r="I4088" s="9" t="str">
        <f>IFERROR(__xludf.DUMMYFUNCTION("GOOGLETRANSLATE($A4088,""en"",""ko"")"),"그레나딘")</f>
        <v>그레나딘</v>
      </c>
      <c r="J4088" s="9" t="str">
        <f>IFERROR(__xludf.DUMMYFUNCTION("GOOGLETRANSLATE($A4088,""en"",""pt-BR"")"),"Granadinas")</f>
        <v>Granadinas</v>
      </c>
    </row>
    <row r="4089">
      <c r="A4089" s="9" t="str">
        <f>IFERROR(__xludf.DUMMYFUNCTION("""COMPUTED_VALUE"""),"Saint David (VC)")</f>
        <v>Saint David (VC)</v>
      </c>
      <c r="B4089" s="9" t="str">
        <f>IFERROR(__xludf.DUMMYFUNCTION("""COMPUTED_VALUE"""),"vc-03")</f>
        <v>vc-03</v>
      </c>
      <c r="C4089" s="9" t="str">
        <f>IFERROR(__xludf.DUMMYFUNCTION("GOOGLETRANSLATE($A4089,""en"",""de"")"),"Heiliger David (VC)")</f>
        <v>Heiliger David (VC)</v>
      </c>
      <c r="D4089" s="9" t="str">
        <f>IFERROR(__xludf.DUMMYFUNCTION("GOOGLETRANSLATE($A4089,""en"",""fr"")"),"Saint-David (VC)")</f>
        <v>Saint-David (VC)</v>
      </c>
      <c r="E4089" s="9" t="str">
        <f>IFERROR(__xludf.DUMMYFUNCTION("GOOGLETRANSLATE($A4089,""en"",""es"")"),"San David (VC)")</f>
        <v>San David (VC)</v>
      </c>
      <c r="F4089" s="9" t="str">
        <f>IFERROR(__xludf.DUMMYFUNCTION("GOOGLETRANSLATE($A4089,""en"",""it"")"),"San Davide (VC)")</f>
        <v>San Davide (VC)</v>
      </c>
      <c r="G4089" s="9" t="str">
        <f>IFERROR(__xludf.DUMMYFUNCTION("GOOGLETRANSLATE($A4089,""en"",""zh-cn"")"),"圣大卫 (VC)")</f>
        <v>圣大卫 (VC)</v>
      </c>
      <c r="H4089" s="9" t="str">
        <f>IFERROR(__xludf.DUMMYFUNCTION("GOOGLETRANSLATE($A4089,""en"",""ja"")"),"セントデイビッド (VC)")</f>
        <v>セントデイビッド (VC)</v>
      </c>
      <c r="I4089" s="9" t="str">
        <f>IFERROR(__xludf.DUMMYFUNCTION("GOOGLETRANSLATE($A4089,""en"",""ko"")"),"세인트 데이비드(VC)")</f>
        <v>세인트 데이비드(VC)</v>
      </c>
      <c r="J4089" s="9" t="str">
        <f>IFERROR(__xludf.DUMMYFUNCTION("GOOGLETRANSLATE($A4089,""en"",""pt-BR"")"),"São David (VC)")</f>
        <v>São David (VC)</v>
      </c>
    </row>
    <row r="4090">
      <c r="A4090" s="9" t="str">
        <f>IFERROR(__xludf.DUMMYFUNCTION("""COMPUTED_VALUE"""),"Saint Patrick (VC)")</f>
        <v>Saint Patrick (VC)</v>
      </c>
      <c r="B4090" s="9" t="str">
        <f>IFERROR(__xludf.DUMMYFUNCTION("""COMPUTED_VALUE"""),"vc-05")</f>
        <v>vc-05</v>
      </c>
      <c r="C4090" s="9" t="str">
        <f>IFERROR(__xludf.DUMMYFUNCTION("GOOGLETRANSLATE($A4090,""en"",""de"")"),"St. Patrick (VC)")</f>
        <v>St. Patrick (VC)</v>
      </c>
      <c r="D4090" s="9" t="str">
        <f>IFERROR(__xludf.DUMMYFUNCTION("GOOGLETRANSLATE($A4090,""en"",""fr"")"),"Saint Patrick (VC)")</f>
        <v>Saint Patrick (VC)</v>
      </c>
      <c r="E4090" s="9" t="str">
        <f>IFERROR(__xludf.DUMMYFUNCTION("GOOGLETRANSLATE($A4090,""en"",""es"")"),"San Patricio (VC)")</f>
        <v>San Patricio (VC)</v>
      </c>
      <c r="F4090" s="9" t="str">
        <f>IFERROR(__xludf.DUMMYFUNCTION("GOOGLETRANSLATE($A4090,""en"",""it"")"),"San Patrizio (VC)")</f>
        <v>San Patrizio (VC)</v>
      </c>
      <c r="G4090" s="9" t="str">
        <f>IFERROR(__xludf.DUMMYFUNCTION("GOOGLETRANSLATE($A4090,""en"",""zh-cn"")"),"圣帕特里克 (VC)")</f>
        <v>圣帕特里克 (VC)</v>
      </c>
      <c r="H4090" s="9" t="str">
        <f>IFERROR(__xludf.DUMMYFUNCTION("GOOGLETRANSLATE($A4090,""en"",""ja"")"),"セント・パトリック (VC)")</f>
        <v>セント・パトリック (VC)</v>
      </c>
      <c r="I4090" s="9" t="str">
        <f>IFERROR(__xludf.DUMMYFUNCTION("GOOGLETRANSLATE($A4090,""en"",""ko"")"),"세인트 패트릭(VC)")</f>
        <v>세인트 패트릭(VC)</v>
      </c>
      <c r="J4090" s="9" t="str">
        <f>IFERROR(__xludf.DUMMYFUNCTION("GOOGLETRANSLATE($A4090,""en"",""pt-BR"")"),"São Patrício (VC)")</f>
        <v>São Patrício (VC)</v>
      </c>
    </row>
    <row r="4091">
      <c r="A4091" s="9" t="str">
        <f>IFERROR(__xludf.DUMMYFUNCTION("""COMPUTED_VALUE"""),"Va'a-o-Fonoti")</f>
        <v>Va'a-o-Fonoti</v>
      </c>
      <c r="B4091" s="9" t="str">
        <f>IFERROR(__xludf.DUMMYFUNCTION("""COMPUTED_VALUE"""),"ws-vf")</f>
        <v>ws-vf</v>
      </c>
      <c r="C4091" s="9" t="str">
        <f>IFERROR(__xludf.DUMMYFUNCTION("GOOGLETRANSLATE($A4091,""en"",""de"")"),"Va'a-o-Fonoti")</f>
        <v>Va'a-o-Fonoti</v>
      </c>
      <c r="D4091" s="9" t="str">
        <f>IFERROR(__xludf.DUMMYFUNCTION("GOOGLETRANSLATE($A4091,""en"",""fr"")"),"Va'a-o-Fonoti")</f>
        <v>Va'a-o-Fonoti</v>
      </c>
      <c r="E4091" s="9" t="str">
        <f>IFERROR(__xludf.DUMMYFUNCTION("GOOGLETRANSLATE($A4091,""en"",""es"")"),"Va'a-o-Fonoti")</f>
        <v>Va'a-o-Fonoti</v>
      </c>
      <c r="F4091" s="9" t="str">
        <f>IFERROR(__xludf.DUMMYFUNCTION("GOOGLETRANSLATE($A4091,""en"",""it"")"),"Va'a-o-Fonoti")</f>
        <v>Va'a-o-Fonoti</v>
      </c>
      <c r="G4091" s="9" t="str">
        <f>IFERROR(__xludf.DUMMYFUNCTION("GOOGLETRANSLATE($A4091,""en"",""zh-cn"")"),"瓦奥福诺蒂")</f>
        <v>瓦奥福诺蒂</v>
      </c>
      <c r="H4091" s="9" t="str">
        <f>IFERROR(__xludf.DUMMYFUNCTION("GOOGLETRANSLATE($A4091,""en"",""ja"")"),"ヴァアオフォノティ")</f>
        <v>ヴァアオフォノティ</v>
      </c>
      <c r="I4091" s="9" t="str">
        <f>IFERROR(__xludf.DUMMYFUNCTION("GOOGLETRANSLATE($A4091,""en"",""ko"")"),"Va'a-o-Fonoti")</f>
        <v>Va'a-o-Fonoti</v>
      </c>
      <c r="J4091" s="9" t="str">
        <f>IFERROR(__xludf.DUMMYFUNCTION("GOOGLETRANSLATE($A4091,""en"",""pt-BR"")"),"Va'a-o-Fonoti")</f>
        <v>Va'a-o-Fonoti</v>
      </c>
    </row>
    <row r="4092">
      <c r="A4092" s="9" t="str">
        <f>IFERROR(__xludf.DUMMYFUNCTION("""COMPUTED_VALUE"""),"Satupa'itea")</f>
        <v>Satupa'itea</v>
      </c>
      <c r="B4092" s="9" t="str">
        <f>IFERROR(__xludf.DUMMYFUNCTION("""COMPUTED_VALUE"""),"ws-sa")</f>
        <v>ws-sa</v>
      </c>
      <c r="C4092" s="9" t="str">
        <f>IFERROR(__xludf.DUMMYFUNCTION("GOOGLETRANSLATE($A4092,""en"",""de"")"),"Satupa'itea")</f>
        <v>Satupa'itea</v>
      </c>
      <c r="D4092" s="9" t="str">
        <f>IFERROR(__xludf.DUMMYFUNCTION("GOOGLETRANSLATE($A4092,""en"",""fr"")"),"Satupa'itea")</f>
        <v>Satupa'itea</v>
      </c>
      <c r="E4092" s="9" t="str">
        <f>IFERROR(__xludf.DUMMYFUNCTION("GOOGLETRANSLATE($A4092,""en"",""es"")"),"satupa'itea")</f>
        <v>satupa'itea</v>
      </c>
      <c r="F4092" s="9" t="str">
        <f>IFERROR(__xludf.DUMMYFUNCTION("GOOGLETRANSLATE($A4092,""en"",""it"")"),"Satupa'itea")</f>
        <v>Satupa'itea</v>
      </c>
      <c r="G4092" s="9" t="str">
        <f>IFERROR(__xludf.DUMMYFUNCTION("GOOGLETRANSLATE($A4092,""en"",""zh-cn"")"),"萨图帕伊泰亚")</f>
        <v>萨图帕伊泰亚</v>
      </c>
      <c r="H4092" s="9" t="str">
        <f>IFERROR(__xludf.DUMMYFUNCTION("GOOGLETRANSLATE($A4092,""en"",""ja"")"),"サトゥパイテア")</f>
        <v>サトゥパイテア</v>
      </c>
      <c r="I4092" s="9" t="str">
        <f>IFERROR(__xludf.DUMMYFUNCTION("GOOGLETRANSLATE($A4092,""en"",""ko"")"),"사투파이테아")</f>
        <v>사투파이테아</v>
      </c>
      <c r="J4092" s="9" t="str">
        <f>IFERROR(__xludf.DUMMYFUNCTION("GOOGLETRANSLATE($A4092,""en"",""pt-BR"")"),"Satupa'itea")</f>
        <v>Satupa'itea</v>
      </c>
    </row>
    <row r="4093">
      <c r="A4093" s="9" t="str">
        <f>IFERROR(__xludf.DUMMYFUNCTION("""COMPUTED_VALUE"""),"Vaisigano")</f>
        <v>Vaisigano</v>
      </c>
      <c r="B4093" s="9" t="str">
        <f>IFERROR(__xludf.DUMMYFUNCTION("""COMPUTED_VALUE"""),"ws-vs")</f>
        <v>ws-vs</v>
      </c>
      <c r="C4093" s="9" t="str">
        <f>IFERROR(__xludf.DUMMYFUNCTION("GOOGLETRANSLATE($A4093,""en"",""de"")"),"Vaisigano")</f>
        <v>Vaisigano</v>
      </c>
      <c r="D4093" s="9" t="str">
        <f>IFERROR(__xludf.DUMMYFUNCTION("GOOGLETRANSLATE($A4093,""en"",""fr"")"),"Vaisigano")</f>
        <v>Vaisigano</v>
      </c>
      <c r="E4093" s="9" t="str">
        <f>IFERROR(__xludf.DUMMYFUNCTION("GOOGLETRANSLATE($A4093,""en"",""es"")"),"Vaisigano")</f>
        <v>Vaisigano</v>
      </c>
      <c r="F4093" s="9" t="str">
        <f>IFERROR(__xludf.DUMMYFUNCTION("GOOGLETRANSLATE($A4093,""en"",""it"")"),"Vaisigano")</f>
        <v>Vaisigano</v>
      </c>
      <c r="G4093" s="9" t="str">
        <f>IFERROR(__xludf.DUMMYFUNCTION("GOOGLETRANSLATE($A4093,""en"",""zh-cn"")"),"瓦西加诺")</f>
        <v>瓦西加诺</v>
      </c>
      <c r="H4093" s="9" t="str">
        <f>IFERROR(__xludf.DUMMYFUNCTION("GOOGLETRANSLATE($A4093,""en"",""ja"")"),"ヴァイシガノ")</f>
        <v>ヴァイシガノ</v>
      </c>
      <c r="I4093" s="9" t="str">
        <f>IFERROR(__xludf.DUMMYFUNCTION("GOOGLETRANSLATE($A4093,""en"",""ko"")"),"바이시가노")</f>
        <v>바이시가노</v>
      </c>
      <c r="J4093" s="9" t="str">
        <f>IFERROR(__xludf.DUMMYFUNCTION("GOOGLETRANSLATE($A4093,""en"",""pt-BR"")"),"Vaisigano")</f>
        <v>Vaisigano</v>
      </c>
    </row>
    <row r="4094">
      <c r="A4094" s="9" t="str">
        <f>IFERROR(__xludf.DUMMYFUNCTION("""COMPUTED_VALUE"""),"Gaga'emauga")</f>
        <v>Gaga'emauga</v>
      </c>
      <c r="B4094" s="9" t="str">
        <f>IFERROR(__xludf.DUMMYFUNCTION("""COMPUTED_VALUE"""),"ws-ge")</f>
        <v>ws-ge</v>
      </c>
      <c r="C4094" s="9" t="str">
        <f>IFERROR(__xludf.DUMMYFUNCTION("GOOGLETRANSLATE($A4094,""en"",""de"")"),"Gaga'emauga")</f>
        <v>Gaga'emauga</v>
      </c>
      <c r="D4094" s="9" t="str">
        <f>IFERROR(__xludf.DUMMYFUNCTION("GOOGLETRANSLATE($A4094,""en"",""fr"")"),"Gaga'emauga")</f>
        <v>Gaga'emauga</v>
      </c>
      <c r="E4094" s="9" t="str">
        <f>IFERROR(__xludf.DUMMYFUNCTION("GOOGLETRANSLATE($A4094,""en"",""es"")"),"gaga'emauga")</f>
        <v>gaga'emauga</v>
      </c>
      <c r="F4094" s="9" t="str">
        <f>IFERROR(__xludf.DUMMYFUNCTION("GOOGLETRANSLATE($A4094,""en"",""it"")"),"Gaga'emauga")</f>
        <v>Gaga'emauga</v>
      </c>
      <c r="G4094" s="9" t="str">
        <f>IFERROR(__xludf.DUMMYFUNCTION("GOOGLETRANSLATE($A4094,""en"",""zh-cn"")"),"加加埃莫加")</f>
        <v>加加埃莫加</v>
      </c>
      <c r="H4094" s="9" t="str">
        <f>IFERROR(__xludf.DUMMYFUNCTION("GOOGLETRANSLATE($A4094,""en"",""ja"")"),"ガガエマウガ")</f>
        <v>ガガエマウガ</v>
      </c>
      <c r="I4094" s="9" t="str">
        <f>IFERROR(__xludf.DUMMYFUNCTION("GOOGLETRANSLATE($A4094,""en"",""ko"")"),"가가에마우가")</f>
        <v>가가에마우가</v>
      </c>
      <c r="J4094" s="9" t="str">
        <f>IFERROR(__xludf.DUMMYFUNCTION("GOOGLETRANSLATE($A4094,""en"",""pt-BR"")"),"Gaga'emauga")</f>
        <v>Gaga'emauga</v>
      </c>
    </row>
    <row r="4095">
      <c r="A4095" s="9" t="str">
        <f>IFERROR(__xludf.DUMMYFUNCTION("""COMPUTED_VALUE"""),"Gagaifomauga")</f>
        <v>Gagaifomauga</v>
      </c>
      <c r="B4095" s="9" t="str">
        <f>IFERROR(__xludf.DUMMYFUNCTION("""COMPUTED_VALUE"""),"ws-gi")</f>
        <v>ws-gi</v>
      </c>
      <c r="C4095" s="9" t="str">
        <f>IFERROR(__xludf.DUMMYFUNCTION("GOOGLETRANSLATE($A4095,""en"",""de"")"),"Gagaifomauga")</f>
        <v>Gagaifomauga</v>
      </c>
      <c r="D4095" s="9" t="str">
        <f>IFERROR(__xludf.DUMMYFUNCTION("GOOGLETRANSLATE($A4095,""en"",""fr"")"),"Gagaïfomauga")</f>
        <v>Gagaïfomauga</v>
      </c>
      <c r="E4095" s="9" t="str">
        <f>IFERROR(__xludf.DUMMYFUNCTION("GOOGLETRANSLATE($A4095,""en"",""es"")"),"gagaifomauga")</f>
        <v>gagaifomauga</v>
      </c>
      <c r="F4095" s="9" t="str">
        <f>IFERROR(__xludf.DUMMYFUNCTION("GOOGLETRANSLATE($A4095,""en"",""it"")"),"Gagaifomauga")</f>
        <v>Gagaifomauga</v>
      </c>
      <c r="G4095" s="9" t="str">
        <f>IFERROR(__xludf.DUMMYFUNCTION("GOOGLETRANSLATE($A4095,""en"",""zh-cn"")"),"加盖福莫加")</f>
        <v>加盖福莫加</v>
      </c>
      <c r="H4095" s="9" t="str">
        <f>IFERROR(__xludf.DUMMYFUNCTION("GOOGLETRANSLATE($A4095,""en"",""ja"")"),"ガガイフォマウガ")</f>
        <v>ガガイフォマウガ</v>
      </c>
      <c r="I4095" s="9" t="str">
        <f>IFERROR(__xludf.DUMMYFUNCTION("GOOGLETRANSLATE($A4095,""en"",""ko"")"),"가가이포마가")</f>
        <v>가가이포마가</v>
      </c>
      <c r="J4095" s="9" t="str">
        <f>IFERROR(__xludf.DUMMYFUNCTION("GOOGLETRANSLATE($A4095,""en"",""pt-BR"")"),"Gagaifomauga")</f>
        <v>Gagaifomauga</v>
      </c>
    </row>
    <row r="4096">
      <c r="A4096" s="9" t="str">
        <f>IFERROR(__xludf.DUMMYFUNCTION("""COMPUTED_VALUE"""),"Atua")</f>
        <v>Atua</v>
      </c>
      <c r="B4096" s="9" t="str">
        <f>IFERROR(__xludf.DUMMYFUNCTION("""COMPUTED_VALUE"""),"ws-at")</f>
        <v>ws-at</v>
      </c>
      <c r="C4096" s="9" t="str">
        <f>IFERROR(__xludf.DUMMYFUNCTION("GOOGLETRANSLATE($A4096,""en"",""de"")"),"Atua")</f>
        <v>Atua</v>
      </c>
      <c r="D4096" s="9" t="str">
        <f>IFERROR(__xludf.DUMMYFUNCTION("GOOGLETRANSLATE($A4096,""en"",""fr"")"),"Atua")</f>
        <v>Atua</v>
      </c>
      <c r="E4096" s="9" t="str">
        <f>IFERROR(__xludf.DUMMYFUNCTION("GOOGLETRANSLATE($A4096,""en"",""es"")"),"Atúa")</f>
        <v>Atúa</v>
      </c>
      <c r="F4096" s="9" t="str">
        <f>IFERROR(__xludf.DUMMYFUNCTION("GOOGLETRANSLATE($A4096,""en"",""it"")"),"Atua")</f>
        <v>Atua</v>
      </c>
      <c r="G4096" s="9" t="str">
        <f>IFERROR(__xludf.DUMMYFUNCTION("GOOGLETRANSLATE($A4096,""en"",""zh-cn"")"),"阿图阿")</f>
        <v>阿图阿</v>
      </c>
      <c r="H4096" s="9" t="str">
        <f>IFERROR(__xludf.DUMMYFUNCTION("GOOGLETRANSLATE($A4096,""en"",""ja"")"),"アトゥア")</f>
        <v>アトゥア</v>
      </c>
      <c r="I4096" s="9" t="str">
        <f>IFERROR(__xludf.DUMMYFUNCTION("GOOGLETRANSLATE($A4096,""en"",""ko"")"),"아투아")</f>
        <v>아투아</v>
      </c>
      <c r="J4096" s="9" t="str">
        <f>IFERROR(__xludf.DUMMYFUNCTION("GOOGLETRANSLATE($A4096,""en"",""pt-BR"")"),"Atua")</f>
        <v>Atua</v>
      </c>
    </row>
    <row r="4097">
      <c r="A4097" s="9" t="str">
        <f>IFERROR(__xludf.DUMMYFUNCTION("""COMPUTED_VALUE"""),"Aiga-i-le-Tai")</f>
        <v>Aiga-i-le-Tai</v>
      </c>
      <c r="B4097" s="9" t="str">
        <f>IFERROR(__xludf.DUMMYFUNCTION("""COMPUTED_VALUE"""),"ws-al")</f>
        <v>ws-al</v>
      </c>
      <c r="C4097" s="9" t="str">
        <f>IFERROR(__xludf.DUMMYFUNCTION("GOOGLETRANSLATE($A4097,""en"",""de"")"),"Aiga-i-le-Tai")</f>
        <v>Aiga-i-le-Tai</v>
      </c>
      <c r="D4097" s="9" t="str">
        <f>IFERROR(__xludf.DUMMYFUNCTION("GOOGLETRANSLATE($A4097,""en"",""fr"")"),"Aiga-i-le-Tai")</f>
        <v>Aiga-i-le-Tai</v>
      </c>
      <c r="E4097" s="9" t="str">
        <f>IFERROR(__xludf.DUMMYFUNCTION("GOOGLETRANSLATE($A4097,""en"",""es"")"),"Aiga-i-le-Tai")</f>
        <v>Aiga-i-le-Tai</v>
      </c>
      <c r="F4097" s="9" t="str">
        <f>IFERROR(__xludf.DUMMYFUNCTION("GOOGLETRANSLATE($A4097,""en"",""it"")"),"Aiga-i-le-Tai")</f>
        <v>Aiga-i-le-Tai</v>
      </c>
      <c r="G4097" s="9" t="str">
        <f>IFERROR(__xludf.DUMMYFUNCTION("GOOGLETRANSLATE($A4097,""en"",""zh-cn"")"),"艾加伊勒泰")</f>
        <v>艾加伊勒泰</v>
      </c>
      <c r="H4097" s="9" t="str">
        <f>IFERROR(__xludf.DUMMYFUNCTION("GOOGLETRANSLATE($A4097,""en"",""ja"")"),"アイガ・イ・レ・タイ")</f>
        <v>アイガ・イ・レ・タイ</v>
      </c>
      <c r="I4097" s="9" t="str">
        <f>IFERROR(__xludf.DUMMYFUNCTION("GOOGLETRANSLATE($A4097,""en"",""ko"")"),"아이가이르타이")</f>
        <v>아이가이르타이</v>
      </c>
      <c r="J4097" s="9" t="str">
        <f>IFERROR(__xludf.DUMMYFUNCTION("GOOGLETRANSLATE($A4097,""en"",""pt-BR"")"),"Aiga-i-le-Tai")</f>
        <v>Aiga-i-le-Tai</v>
      </c>
    </row>
    <row r="4098">
      <c r="A4098" s="9" t="str">
        <f>IFERROR(__xludf.DUMMYFUNCTION("""COMPUTED_VALUE"""),"Fa'asaleleaga")</f>
        <v>Fa'asaleleaga</v>
      </c>
      <c r="B4098" s="9" t="str">
        <f>IFERROR(__xludf.DUMMYFUNCTION("""COMPUTED_VALUE"""),"ws-fa")</f>
        <v>ws-fa</v>
      </c>
      <c r="C4098" s="9" t="str">
        <f>IFERROR(__xludf.DUMMYFUNCTION("GOOGLETRANSLATE($A4098,""en"",""de"")"),"Fa'asaleleaga")</f>
        <v>Fa'asaleleaga</v>
      </c>
      <c r="D4098" s="9" t="str">
        <f>IFERROR(__xludf.DUMMYFUNCTION("GOOGLETRANSLATE($A4098,""en"",""fr"")"),"Fa'asaleleaga")</f>
        <v>Fa'asaleleaga</v>
      </c>
      <c r="E4098" s="9" t="str">
        <f>IFERROR(__xludf.DUMMYFUNCTION("GOOGLETRANSLATE($A4098,""en"",""es"")"),"Fa'asaleleaga")</f>
        <v>Fa'asaleleaga</v>
      </c>
      <c r="F4098" s="9" t="str">
        <f>IFERROR(__xludf.DUMMYFUNCTION("GOOGLETRANSLATE($A4098,""en"",""it"")"),"Fa'asalelega")</f>
        <v>Fa'asalelega</v>
      </c>
      <c r="G4098" s="9" t="str">
        <f>IFERROR(__xludf.DUMMYFUNCTION("GOOGLETRANSLATE($A4098,""en"",""zh-cn"")"),"法阿萨莱加")</f>
        <v>法阿萨莱加</v>
      </c>
      <c r="H4098" s="9" t="str">
        <f>IFERROR(__xludf.DUMMYFUNCTION("GOOGLETRANSLATE($A4098,""en"",""ja"")"),"ファアサレレガ")</f>
        <v>ファアサレレガ</v>
      </c>
      <c r="I4098" s="9" t="str">
        <f>IFERROR(__xludf.DUMMYFUNCTION("GOOGLETRANSLATE($A4098,""en"",""ko"")"),"파아살레아가")</f>
        <v>파아살레아가</v>
      </c>
      <c r="J4098" s="9" t="str">
        <f>IFERROR(__xludf.DUMMYFUNCTION("GOOGLETRANSLATE($A4098,""en"",""pt-BR"")"),"Fa'asaleleaga")</f>
        <v>Fa'asaleleaga</v>
      </c>
    </row>
    <row r="4099">
      <c r="A4099" s="9" t="str">
        <f>IFERROR(__xludf.DUMMYFUNCTION("""COMPUTED_VALUE"""),"Palauli")</f>
        <v>Palauli</v>
      </c>
      <c r="B4099" s="9" t="str">
        <f>IFERROR(__xludf.DUMMYFUNCTION("""COMPUTED_VALUE"""),"ws-pa")</f>
        <v>ws-pa</v>
      </c>
      <c r="C4099" s="9" t="str">
        <f>IFERROR(__xludf.DUMMYFUNCTION("GOOGLETRANSLATE($A4099,""en"",""de"")"),"Palauli")</f>
        <v>Palauli</v>
      </c>
      <c r="D4099" s="9" t="str">
        <f>IFERROR(__xludf.DUMMYFUNCTION("GOOGLETRANSLATE($A4099,""en"",""fr"")"),"Palauli")</f>
        <v>Palauli</v>
      </c>
      <c r="E4099" s="9" t="str">
        <f>IFERROR(__xludf.DUMMYFUNCTION("GOOGLETRANSLATE($A4099,""en"",""es"")"),"Palauli")</f>
        <v>Palauli</v>
      </c>
      <c r="F4099" s="9" t="str">
        <f>IFERROR(__xludf.DUMMYFUNCTION("GOOGLETRANSLATE($A4099,""en"",""it"")"),"Palauli")</f>
        <v>Palauli</v>
      </c>
      <c r="G4099" s="9" t="str">
        <f>IFERROR(__xludf.DUMMYFUNCTION("GOOGLETRANSLATE($A4099,""en"",""zh-cn"")"),"帕劳利")</f>
        <v>帕劳利</v>
      </c>
      <c r="H4099" s="9" t="str">
        <f>IFERROR(__xludf.DUMMYFUNCTION("GOOGLETRANSLATE($A4099,""en"",""ja"")"),"パラウリ")</f>
        <v>パラウリ</v>
      </c>
      <c r="I4099" s="9" t="str">
        <f>IFERROR(__xludf.DUMMYFUNCTION("GOOGLETRANSLATE($A4099,""en"",""ko"")"),"팔라울리")</f>
        <v>팔라울리</v>
      </c>
      <c r="J4099" s="9" t="str">
        <f>IFERROR(__xludf.DUMMYFUNCTION("GOOGLETRANSLATE($A4099,""en"",""pt-BR"")"),"Palauli")</f>
        <v>Palauli</v>
      </c>
    </row>
    <row r="4100">
      <c r="A4100" s="9" t="str">
        <f>IFERROR(__xludf.DUMMYFUNCTION("""COMPUTED_VALUE"""),"A'ana")</f>
        <v>A'ana</v>
      </c>
      <c r="B4100" s="9" t="str">
        <f>IFERROR(__xludf.DUMMYFUNCTION("""COMPUTED_VALUE"""),"ws-aa")</f>
        <v>ws-aa</v>
      </c>
      <c r="C4100" s="9" t="str">
        <f>IFERROR(__xludf.DUMMYFUNCTION("GOOGLETRANSLATE($A4100,""en"",""de"")"),"A'ana")</f>
        <v>A'ana</v>
      </c>
      <c r="D4100" s="9" t="str">
        <f>IFERROR(__xludf.DUMMYFUNCTION("GOOGLETRANSLATE($A4100,""en"",""fr"")"),"A'ana")</f>
        <v>A'ana</v>
      </c>
      <c r="E4100" s="9" t="str">
        <f>IFERROR(__xludf.DUMMYFUNCTION("GOOGLETRANSLATE($A4100,""en"",""es"")"),"a'ana")</f>
        <v>a'ana</v>
      </c>
      <c r="F4100" s="9" t="str">
        <f>IFERROR(__xludf.DUMMYFUNCTION("GOOGLETRANSLATE($A4100,""en"",""it"")"),"A'ana")</f>
        <v>A'ana</v>
      </c>
      <c r="G4100" s="9" t="str">
        <f>IFERROR(__xludf.DUMMYFUNCTION("GOOGLETRANSLATE($A4100,""en"",""zh-cn"")"),"阿安娜")</f>
        <v>阿安娜</v>
      </c>
      <c r="H4100" s="9" t="str">
        <f>IFERROR(__xludf.DUMMYFUNCTION("GOOGLETRANSLATE($A4100,""en"",""ja"")"),"アアナ")</f>
        <v>アアナ</v>
      </c>
      <c r="I4100" s="9" t="str">
        <f>IFERROR(__xludf.DUMMYFUNCTION("GOOGLETRANSLATE($A4100,""en"",""ko"")"),"아나")</f>
        <v>아나</v>
      </c>
      <c r="J4100" s="9" t="str">
        <f>IFERROR(__xludf.DUMMYFUNCTION("GOOGLETRANSLATE($A4100,""en"",""pt-BR"")"),"A'ana")</f>
        <v>A'ana</v>
      </c>
    </row>
    <row r="4101">
      <c r="A4101" s="9" t="str">
        <f>IFERROR(__xludf.DUMMYFUNCTION("""COMPUTED_VALUE"""),"Tuamasaga")</f>
        <v>Tuamasaga</v>
      </c>
      <c r="B4101" s="9" t="str">
        <f>IFERROR(__xludf.DUMMYFUNCTION("""COMPUTED_VALUE"""),"ws-tu")</f>
        <v>ws-tu</v>
      </c>
      <c r="C4101" s="9" t="str">
        <f>IFERROR(__xludf.DUMMYFUNCTION("GOOGLETRANSLATE($A4101,""en"",""de"")"),"Tuamasaga")</f>
        <v>Tuamasaga</v>
      </c>
      <c r="D4101" s="9" t="str">
        <f>IFERROR(__xludf.DUMMYFUNCTION("GOOGLETRANSLATE($A4101,""en"",""fr"")"),"Tuamasaga")</f>
        <v>Tuamasaga</v>
      </c>
      <c r="E4101" s="9" t="str">
        <f>IFERROR(__xludf.DUMMYFUNCTION("GOOGLETRANSLATE($A4101,""en"",""es"")"),"Tuamasaga")</f>
        <v>Tuamasaga</v>
      </c>
      <c r="F4101" s="9" t="str">
        <f>IFERROR(__xludf.DUMMYFUNCTION("GOOGLETRANSLATE($A4101,""en"",""it"")"),"Tuamasaga")</f>
        <v>Tuamasaga</v>
      </c>
      <c r="G4101" s="9" t="str">
        <f>IFERROR(__xludf.DUMMYFUNCTION("GOOGLETRANSLATE($A4101,""en"",""zh-cn"")"),"图阿马萨加")</f>
        <v>图阿马萨加</v>
      </c>
      <c r="H4101" s="9" t="str">
        <f>IFERROR(__xludf.DUMMYFUNCTION("GOOGLETRANSLATE($A4101,""en"",""ja"")"),"トゥアマサガ")</f>
        <v>トゥアマサガ</v>
      </c>
      <c r="I4101" s="9" t="str">
        <f>IFERROR(__xludf.DUMMYFUNCTION("GOOGLETRANSLATE($A4101,""en"",""ko"")"),"투아마사가")</f>
        <v>투아마사가</v>
      </c>
      <c r="J4101" s="9" t="str">
        <f>IFERROR(__xludf.DUMMYFUNCTION("GOOGLETRANSLATE($A4101,""en"",""pt-BR"")"),"Tuamasaga")</f>
        <v>Tuamasaga</v>
      </c>
    </row>
    <row r="4102">
      <c r="A4102" s="9" t="str">
        <f>IFERROR(__xludf.DUMMYFUNCTION("""COMPUTED_VALUE"""),"Borgo Maggiore")</f>
        <v>Borgo Maggiore</v>
      </c>
      <c r="B4102" s="9" t="str">
        <f>IFERROR(__xludf.DUMMYFUNCTION("""COMPUTED_VALUE"""),"sm-06")</f>
        <v>sm-06</v>
      </c>
      <c r="C4102" s="9" t="str">
        <f>IFERROR(__xludf.DUMMYFUNCTION("GOOGLETRANSLATE($A4102,""en"",""de"")"),"Borgo Maggiore")</f>
        <v>Borgo Maggiore</v>
      </c>
      <c r="D4102" s="9" t="str">
        <f>IFERROR(__xludf.DUMMYFUNCTION("GOOGLETRANSLATE($A4102,""en"",""fr"")"),"Borgo Majeur")</f>
        <v>Borgo Majeur</v>
      </c>
      <c r="E4102" s="9" t="str">
        <f>IFERROR(__xludf.DUMMYFUNCTION("GOOGLETRANSLATE($A4102,""en"",""es"")"),"Borgo Mayor")</f>
        <v>Borgo Mayor</v>
      </c>
      <c r="F4102" s="9" t="str">
        <f>IFERROR(__xludf.DUMMYFUNCTION("GOOGLETRANSLATE($A4102,""en"",""it"")"),"Borgo Maggiore")</f>
        <v>Borgo Maggiore</v>
      </c>
      <c r="G4102" s="9" t="str">
        <f>IFERROR(__xludf.DUMMYFUNCTION("GOOGLETRANSLATE($A4102,""en"",""zh-cn"")"),"马焦雷堡")</f>
        <v>马焦雷堡</v>
      </c>
      <c r="H4102" s="9" t="str">
        <f>IFERROR(__xludf.DUMMYFUNCTION("GOOGLETRANSLATE($A4102,""en"",""ja"")"),"ボルゴ・マッジョーレ")</f>
        <v>ボルゴ・マッジョーレ</v>
      </c>
      <c r="I4102" s="9" t="str">
        <f>IFERROR(__xludf.DUMMYFUNCTION("GOOGLETRANSLATE($A4102,""en"",""ko"")"),"보르고 마조레")</f>
        <v>보르고 마조레</v>
      </c>
      <c r="J4102" s="9" t="str">
        <f>IFERROR(__xludf.DUMMYFUNCTION("GOOGLETRANSLATE($A4102,""en"",""pt-BR"")"),"Borgo Maggiore")</f>
        <v>Borgo Maggiore</v>
      </c>
    </row>
    <row r="4103">
      <c r="A4103" s="9" t="str">
        <f>IFERROR(__xludf.DUMMYFUNCTION("""COMPUTED_VALUE"""),"Fiorentino")</f>
        <v>Fiorentino</v>
      </c>
      <c r="B4103" s="9" t="str">
        <f>IFERROR(__xludf.DUMMYFUNCTION("""COMPUTED_VALUE"""),"sm-05")</f>
        <v>sm-05</v>
      </c>
      <c r="C4103" s="9" t="str">
        <f>IFERROR(__xludf.DUMMYFUNCTION("GOOGLETRANSLATE($A4103,""en"",""de"")"),"Fiorentino")</f>
        <v>Fiorentino</v>
      </c>
      <c r="D4103" s="9" t="str">
        <f>IFERROR(__xludf.DUMMYFUNCTION("GOOGLETRANSLATE($A4103,""en"",""fr"")"),"Florence")</f>
        <v>Florence</v>
      </c>
      <c r="E4103" s="9" t="str">
        <f>IFERROR(__xludf.DUMMYFUNCTION("GOOGLETRANSLATE($A4103,""en"",""es"")"),"florentino")</f>
        <v>florentino</v>
      </c>
      <c r="F4103" s="9" t="str">
        <f>IFERROR(__xludf.DUMMYFUNCTION("GOOGLETRANSLATE($A4103,""en"",""it"")"),"Fiorentino")</f>
        <v>Fiorentino</v>
      </c>
      <c r="G4103" s="9" t="str">
        <f>IFERROR(__xludf.DUMMYFUNCTION("GOOGLETRANSLATE($A4103,""en"",""zh-cn"")"),"佛罗伦萨")</f>
        <v>佛罗伦萨</v>
      </c>
      <c r="H4103" s="9" t="str">
        <f>IFERROR(__xludf.DUMMYFUNCTION("GOOGLETRANSLATE($A4103,""en"",""ja"")"),"フィオレンティーノ")</f>
        <v>フィオレンティーノ</v>
      </c>
      <c r="I4103" s="9" t="str">
        <f>IFERROR(__xludf.DUMMYFUNCTION("GOOGLETRANSLATE($A4103,""en"",""ko"")"),"피오렌티노")</f>
        <v>피오렌티노</v>
      </c>
      <c r="J4103" s="9" t="str">
        <f>IFERROR(__xludf.DUMMYFUNCTION("GOOGLETRANSLATE($A4103,""en"",""pt-BR"")"),"Fiorentino")</f>
        <v>Fiorentino</v>
      </c>
    </row>
    <row r="4104">
      <c r="A4104" s="9" t="str">
        <f>IFERROR(__xludf.DUMMYFUNCTION("""COMPUTED_VALUE"""),"Serravalle")</f>
        <v>Serravalle</v>
      </c>
      <c r="B4104" s="9" t="str">
        <f>IFERROR(__xludf.DUMMYFUNCTION("""COMPUTED_VALUE"""),"sm-09")</f>
        <v>sm-09</v>
      </c>
      <c r="C4104" s="9" t="str">
        <f>IFERROR(__xludf.DUMMYFUNCTION("GOOGLETRANSLATE($A4104,""en"",""de"")"),"Serravalle")</f>
        <v>Serravalle</v>
      </c>
      <c r="D4104" s="9" t="str">
        <f>IFERROR(__xludf.DUMMYFUNCTION("GOOGLETRANSLATE($A4104,""en"",""fr"")"),"Serravalle")</f>
        <v>Serravalle</v>
      </c>
      <c r="E4104" s="9" t="str">
        <f>IFERROR(__xludf.DUMMYFUNCTION("GOOGLETRANSLATE($A4104,""en"",""es"")"),"servalle")</f>
        <v>servalle</v>
      </c>
      <c r="F4104" s="9" t="str">
        <f>IFERROR(__xludf.DUMMYFUNCTION("GOOGLETRANSLATE($A4104,""en"",""it"")"),"Serravalle")</f>
        <v>Serravalle</v>
      </c>
      <c r="G4104" s="9" t="str">
        <f>IFERROR(__xludf.DUMMYFUNCTION("GOOGLETRANSLATE($A4104,""en"",""zh-cn"")"),"塞拉瓦莱")</f>
        <v>塞拉瓦莱</v>
      </c>
      <c r="H4104" s="9" t="str">
        <f>IFERROR(__xludf.DUMMYFUNCTION("GOOGLETRANSLATE($A4104,""en"",""ja"")"),"セッラヴァッレ")</f>
        <v>セッラヴァッレ</v>
      </c>
      <c r="I4104" s="9" t="str">
        <f>IFERROR(__xludf.DUMMYFUNCTION("GOOGLETRANSLATE($A4104,""en"",""ko"")"),"세라발레")</f>
        <v>세라발레</v>
      </c>
      <c r="J4104" s="9" t="str">
        <f>IFERROR(__xludf.DUMMYFUNCTION("GOOGLETRANSLATE($A4104,""en"",""pt-BR"")"),"Serravalle")</f>
        <v>Serravalle</v>
      </c>
    </row>
    <row r="4105">
      <c r="A4105" s="9" t="str">
        <f>IFERROR(__xludf.DUMMYFUNCTION("""COMPUTED_VALUE"""),"Acquaviva")</f>
        <v>Acquaviva</v>
      </c>
      <c r="B4105" s="9" t="str">
        <f>IFERROR(__xludf.DUMMYFUNCTION("""COMPUTED_VALUE"""),"sm-01")</f>
        <v>sm-01</v>
      </c>
      <c r="C4105" s="9" t="str">
        <f>IFERROR(__xludf.DUMMYFUNCTION("GOOGLETRANSLATE($A4105,""en"",""de"")"),"Acquaviva")</f>
        <v>Acquaviva</v>
      </c>
      <c r="D4105" s="9" t="str">
        <f>IFERROR(__xludf.DUMMYFUNCTION("GOOGLETRANSLATE($A4105,""en"",""fr"")"),"Aquaviva")</f>
        <v>Aquaviva</v>
      </c>
      <c r="E4105" s="9" t="str">
        <f>IFERROR(__xludf.DUMMYFUNCTION("GOOGLETRANSLATE($A4105,""en"",""es"")"),"Acquaviva")</f>
        <v>Acquaviva</v>
      </c>
      <c r="F4105" s="9" t="str">
        <f>IFERROR(__xludf.DUMMYFUNCTION("GOOGLETRANSLATE($A4105,""en"",""it"")"),"Acquaviva")</f>
        <v>Acquaviva</v>
      </c>
      <c r="G4105" s="9" t="str">
        <f>IFERROR(__xludf.DUMMYFUNCTION("GOOGLETRANSLATE($A4105,""en"",""zh-cn"")"),"阿夸维瓦")</f>
        <v>阿夸维瓦</v>
      </c>
      <c r="H4105" s="9" t="str">
        <f>IFERROR(__xludf.DUMMYFUNCTION("GOOGLETRANSLATE($A4105,""en"",""ja"")"),"アクアヴィバ")</f>
        <v>アクアヴィバ</v>
      </c>
      <c r="I4105" s="9" t="str">
        <f>IFERROR(__xludf.DUMMYFUNCTION("GOOGLETRANSLATE($A4105,""en"",""ko"")"),"아쿠아비바")</f>
        <v>아쿠아비바</v>
      </c>
      <c r="J4105" s="9" t="str">
        <f>IFERROR(__xludf.DUMMYFUNCTION("GOOGLETRANSLATE($A4105,""en"",""pt-BR"")"),"Aquaviva")</f>
        <v>Aquaviva</v>
      </c>
    </row>
    <row r="4106">
      <c r="A4106" s="9" t="str">
        <f>IFERROR(__xludf.DUMMYFUNCTION("""COMPUTED_VALUE"""),"Domagnano")</f>
        <v>Domagnano</v>
      </c>
      <c r="B4106" s="9" t="str">
        <f>IFERROR(__xludf.DUMMYFUNCTION("""COMPUTED_VALUE"""),"sm-03")</f>
        <v>sm-03</v>
      </c>
      <c r="C4106" s="9" t="str">
        <f>IFERROR(__xludf.DUMMYFUNCTION("GOOGLETRANSLATE($A4106,""en"",""de"")"),"Domagnano")</f>
        <v>Domagnano</v>
      </c>
      <c r="D4106" s="9" t="str">
        <f>IFERROR(__xludf.DUMMYFUNCTION("GOOGLETRANSLATE($A4106,""en"",""fr"")"),"Domagnano")</f>
        <v>Domagnano</v>
      </c>
      <c r="E4106" s="9" t="str">
        <f>IFERROR(__xludf.DUMMYFUNCTION("GOOGLETRANSLATE($A4106,""en"",""es"")"),"Domagnano")</f>
        <v>Domagnano</v>
      </c>
      <c r="F4106" s="9" t="str">
        <f>IFERROR(__xludf.DUMMYFUNCTION("GOOGLETRANSLATE($A4106,""en"",""it"")"),"Domagnano")</f>
        <v>Domagnano</v>
      </c>
      <c r="G4106" s="9" t="str">
        <f>IFERROR(__xludf.DUMMYFUNCTION("GOOGLETRANSLATE($A4106,""en"",""zh-cn"")"),"多马尼亚诺")</f>
        <v>多马尼亚诺</v>
      </c>
      <c r="H4106" s="9" t="str">
        <f>IFERROR(__xludf.DUMMYFUNCTION("GOOGLETRANSLATE($A4106,""en"",""ja"")"),"ドマニャーノ")</f>
        <v>ドマニャーノ</v>
      </c>
      <c r="I4106" s="9" t="str">
        <f>IFERROR(__xludf.DUMMYFUNCTION("GOOGLETRANSLATE($A4106,""en"",""ko"")"),"도마냐노")</f>
        <v>도마냐노</v>
      </c>
      <c r="J4106" s="9" t="str">
        <f>IFERROR(__xludf.DUMMYFUNCTION("GOOGLETRANSLATE($A4106,""en"",""pt-BR"")"),"Domagnano")</f>
        <v>Domagnano</v>
      </c>
    </row>
    <row r="4107">
      <c r="A4107" s="9" t="str">
        <f>IFERROR(__xludf.DUMMYFUNCTION("""COMPUTED_VALUE"""),"Chiesanuova")</f>
        <v>Chiesanuova</v>
      </c>
      <c r="B4107" s="9" t="str">
        <f>IFERROR(__xludf.DUMMYFUNCTION("""COMPUTED_VALUE"""),"sm-02")</f>
        <v>sm-02</v>
      </c>
      <c r="C4107" s="9" t="str">
        <f>IFERROR(__xludf.DUMMYFUNCTION("GOOGLETRANSLATE($A4107,""en"",""de"")"),"Chiesanuova")</f>
        <v>Chiesanuova</v>
      </c>
      <c r="D4107" s="9" t="str">
        <f>IFERROR(__xludf.DUMMYFUNCTION("GOOGLETRANSLATE($A4107,""en"",""fr"")"),"Chiesanuova")</f>
        <v>Chiesanuova</v>
      </c>
      <c r="E4107" s="9" t="str">
        <f>IFERROR(__xludf.DUMMYFUNCTION("GOOGLETRANSLATE($A4107,""en"",""es"")"),"Chiesanuova")</f>
        <v>Chiesanuova</v>
      </c>
      <c r="F4107" s="9" t="str">
        <f>IFERROR(__xludf.DUMMYFUNCTION("GOOGLETRANSLATE($A4107,""en"",""it"")"),"Chiesanuova")</f>
        <v>Chiesanuova</v>
      </c>
      <c r="G4107" s="9" t="str">
        <f>IFERROR(__xludf.DUMMYFUNCTION("GOOGLETRANSLATE($A4107,""en"",""zh-cn"")"),"基耶萨诺娃")</f>
        <v>基耶萨诺娃</v>
      </c>
      <c r="H4107" s="9" t="str">
        <f>IFERROR(__xludf.DUMMYFUNCTION("GOOGLETRANSLATE($A4107,""en"",""ja"")"),"キエザヌオーヴァ")</f>
        <v>キエザヌオーヴァ</v>
      </c>
      <c r="I4107" s="9" t="str">
        <f>IFERROR(__xludf.DUMMYFUNCTION("GOOGLETRANSLATE($A4107,""en"",""ko"")"),"키에사누오바")</f>
        <v>키에사누오바</v>
      </c>
      <c r="J4107" s="9" t="str">
        <f>IFERROR(__xludf.DUMMYFUNCTION("GOOGLETRANSLATE($A4107,""en"",""pt-BR"")"),"Chiesanuova")</f>
        <v>Chiesanuova</v>
      </c>
    </row>
    <row r="4108">
      <c r="A4108" s="9" t="str">
        <f>IFERROR(__xludf.DUMMYFUNCTION("""COMPUTED_VALUE"""),"Faetano")</f>
        <v>Faetano</v>
      </c>
      <c r="B4108" s="9" t="str">
        <f>IFERROR(__xludf.DUMMYFUNCTION("""COMPUTED_VALUE"""),"sm-04")</f>
        <v>sm-04</v>
      </c>
      <c r="C4108" s="9" t="str">
        <f>IFERROR(__xludf.DUMMYFUNCTION("GOOGLETRANSLATE($A4108,""en"",""de"")"),"Faetano")</f>
        <v>Faetano</v>
      </c>
      <c r="D4108" s="9" t="str">
        <f>IFERROR(__xludf.DUMMYFUNCTION("GOOGLETRANSLATE($A4108,""en"",""fr"")"),"Faetano")</f>
        <v>Faetano</v>
      </c>
      <c r="E4108" s="9" t="str">
        <f>IFERROR(__xludf.DUMMYFUNCTION("GOOGLETRANSLATE($A4108,""en"",""es"")"),"Faetano")</f>
        <v>Faetano</v>
      </c>
      <c r="F4108" s="9" t="str">
        <f>IFERROR(__xludf.DUMMYFUNCTION("GOOGLETRANSLATE($A4108,""en"",""it"")"),"Faetano")</f>
        <v>Faetano</v>
      </c>
      <c r="G4108" s="9" t="str">
        <f>IFERROR(__xludf.DUMMYFUNCTION("GOOGLETRANSLATE($A4108,""en"",""zh-cn"")"),"法埃塔诺")</f>
        <v>法埃塔诺</v>
      </c>
      <c r="H4108" s="9" t="str">
        <f>IFERROR(__xludf.DUMMYFUNCTION("GOOGLETRANSLATE($A4108,""en"",""ja"")"),"ファエタノ")</f>
        <v>ファエタノ</v>
      </c>
      <c r="I4108" s="9" t="str">
        <f>IFERROR(__xludf.DUMMYFUNCTION("GOOGLETRANSLATE($A4108,""en"",""ko"")"),"파에타노")</f>
        <v>파에타노</v>
      </c>
      <c r="J4108" s="9" t="str">
        <f>IFERROR(__xludf.DUMMYFUNCTION("GOOGLETRANSLATE($A4108,""en"",""pt-BR"")"),"Faetano")</f>
        <v>Faetano</v>
      </c>
    </row>
    <row r="4109">
      <c r="A4109" s="9" t="str">
        <f>IFERROR(__xludf.DUMMYFUNCTION("""COMPUTED_VALUE"""),"San Marino")</f>
        <v>San Marino</v>
      </c>
      <c r="B4109" s="9" t="str">
        <f>IFERROR(__xludf.DUMMYFUNCTION("""COMPUTED_VALUE"""),"sm-07")</f>
        <v>sm-07</v>
      </c>
      <c r="C4109" s="9" t="str">
        <f>IFERROR(__xludf.DUMMYFUNCTION("GOOGLETRANSLATE($A4109,""en"",""de"")"),"San Marino")</f>
        <v>San Marino</v>
      </c>
      <c r="D4109" s="9" t="str">
        <f>IFERROR(__xludf.DUMMYFUNCTION("GOOGLETRANSLATE($A4109,""en"",""fr"")"),"Saint-Marin")</f>
        <v>Saint-Marin</v>
      </c>
      <c r="E4109" s="9" t="str">
        <f>IFERROR(__xludf.DUMMYFUNCTION("GOOGLETRANSLATE($A4109,""en"",""es"")"),"San Marino")</f>
        <v>San Marino</v>
      </c>
      <c r="F4109" s="9" t="str">
        <f>IFERROR(__xludf.DUMMYFUNCTION("GOOGLETRANSLATE($A4109,""en"",""it"")"),"San Marino")</f>
        <v>San Marino</v>
      </c>
      <c r="G4109" s="9" t="str">
        <f>IFERROR(__xludf.DUMMYFUNCTION("GOOGLETRANSLATE($A4109,""en"",""zh-cn"")"),"圣马力诺")</f>
        <v>圣马力诺</v>
      </c>
      <c r="H4109" s="9" t="str">
        <f>IFERROR(__xludf.DUMMYFUNCTION("GOOGLETRANSLATE($A4109,""en"",""ja"")"),"サンマリノ")</f>
        <v>サンマリノ</v>
      </c>
      <c r="I4109" s="9" t="str">
        <f>IFERROR(__xludf.DUMMYFUNCTION("GOOGLETRANSLATE($A4109,""en"",""ko"")"),"산마리노")</f>
        <v>산마리노</v>
      </c>
      <c r="J4109" s="9" t="str">
        <f>IFERROR(__xludf.DUMMYFUNCTION("GOOGLETRANSLATE($A4109,""en"",""pt-BR"")"),"São Marino")</f>
        <v>São Marino</v>
      </c>
    </row>
    <row r="4110">
      <c r="A4110" s="9" t="str">
        <f>IFERROR(__xludf.DUMMYFUNCTION("""COMPUTED_VALUE"""),"Montegiardino")</f>
        <v>Montegiardino</v>
      </c>
      <c r="B4110" s="9" t="str">
        <f>IFERROR(__xludf.DUMMYFUNCTION("""COMPUTED_VALUE"""),"sm-08")</f>
        <v>sm-08</v>
      </c>
      <c r="C4110" s="9" t="str">
        <f>IFERROR(__xludf.DUMMYFUNCTION("GOOGLETRANSLATE($A4110,""en"",""de"")"),"Montegiardino")</f>
        <v>Montegiardino</v>
      </c>
      <c r="D4110" s="9" t="str">
        <f>IFERROR(__xludf.DUMMYFUNCTION("GOOGLETRANSLATE($A4110,""en"",""fr"")"),"Montégiardino")</f>
        <v>Montégiardino</v>
      </c>
      <c r="E4110" s="9" t="str">
        <f>IFERROR(__xludf.DUMMYFUNCTION("GOOGLETRANSLATE($A4110,""en"",""es"")"),"Montegiardino")</f>
        <v>Montegiardino</v>
      </c>
      <c r="F4110" s="9" t="str">
        <f>IFERROR(__xludf.DUMMYFUNCTION("GOOGLETRANSLATE($A4110,""en"",""it"")"),"Montegiardino")</f>
        <v>Montegiardino</v>
      </c>
      <c r="G4110" s="9" t="str">
        <f>IFERROR(__xludf.DUMMYFUNCTION("GOOGLETRANSLATE($A4110,""en"",""zh-cn"")"),"蒙泰贾尔迪诺")</f>
        <v>蒙泰贾尔迪诺</v>
      </c>
      <c r="H4110" s="9" t="str">
        <f>IFERROR(__xludf.DUMMYFUNCTION("GOOGLETRANSLATE($A4110,""en"",""ja"")"),"モンテジャルディーノ")</f>
        <v>モンテジャルディーノ</v>
      </c>
      <c r="I4110" s="9" t="str">
        <f>IFERROR(__xludf.DUMMYFUNCTION("GOOGLETRANSLATE($A4110,""en"",""ko"")"),"몬테지아르디노")</f>
        <v>몬테지아르디노</v>
      </c>
      <c r="J4110" s="9" t="str">
        <f>IFERROR(__xludf.DUMMYFUNCTION("GOOGLETRANSLATE($A4110,""en"",""pt-BR"")"),"Montegiardino")</f>
        <v>Montegiardino</v>
      </c>
    </row>
    <row r="4111">
      <c r="A4111" s="9" t="str">
        <f>IFERROR(__xludf.DUMMYFUNCTION("""COMPUTED_VALUE"""),"Príncipe")</f>
        <v>Príncipe</v>
      </c>
      <c r="B4111" s="9" t="str">
        <f>IFERROR(__xludf.DUMMYFUNCTION("""COMPUTED_VALUE"""),"st-p")</f>
        <v>st-p</v>
      </c>
      <c r="C4111" s="9" t="str">
        <f>IFERROR(__xludf.DUMMYFUNCTION("GOOGLETRANSLATE($A4111,""en"",""de"")"),"Prinz")</f>
        <v>Prinz</v>
      </c>
      <c r="D4111" s="9" t="str">
        <f>IFERROR(__xludf.DUMMYFUNCTION("GOOGLETRANSLATE($A4111,""en"",""fr"")"),"Prince")</f>
        <v>Prince</v>
      </c>
      <c r="E4111" s="9" t="str">
        <f>IFERROR(__xludf.DUMMYFUNCTION("GOOGLETRANSLATE($A4111,""en"",""es"")"),"príncipe")</f>
        <v>príncipe</v>
      </c>
      <c r="F4111" s="9" t="str">
        <f>IFERROR(__xludf.DUMMYFUNCTION("GOOGLETRANSLATE($A4111,""en"",""it"")"),"Principe")</f>
        <v>Principe</v>
      </c>
      <c r="G4111" s="9" t="str">
        <f>IFERROR(__xludf.DUMMYFUNCTION("GOOGLETRANSLATE($A4111,""en"",""zh-cn"")"),"普林西比")</f>
        <v>普林西比</v>
      </c>
      <c r="H4111" s="9" t="str">
        <f>IFERROR(__xludf.DUMMYFUNCTION("GOOGLETRANSLATE($A4111,""en"",""ja"")"),"プリンシペ")</f>
        <v>プリンシペ</v>
      </c>
      <c r="I4111" s="9" t="str">
        <f>IFERROR(__xludf.DUMMYFUNCTION("GOOGLETRANSLATE($A4111,""en"",""ko"")"),"프린시페")</f>
        <v>프린시페</v>
      </c>
      <c r="J4111" s="9" t="str">
        <f>IFERROR(__xludf.DUMMYFUNCTION("GOOGLETRANSLATE($A4111,""en"",""pt-BR"")"),"Príncipe")</f>
        <v>Príncipe</v>
      </c>
    </row>
    <row r="4112">
      <c r="A4112" s="9" t="str">
        <f>IFERROR(__xludf.DUMMYFUNCTION("""COMPUTED_VALUE"""),"São Tomé")</f>
        <v>São Tomé</v>
      </c>
      <c r="B4112" s="9" t="str">
        <f>IFERROR(__xludf.DUMMYFUNCTION("""COMPUTED_VALUE"""),"st-s")</f>
        <v>st-s</v>
      </c>
      <c r="C4112" s="9" t="str">
        <f>IFERROR(__xludf.DUMMYFUNCTION("GOOGLETRANSLATE($A4112,""en"",""de"")"),"São Tomé")</f>
        <v>São Tomé</v>
      </c>
      <c r="D4112" s="9" t="str">
        <f>IFERROR(__xludf.DUMMYFUNCTION("GOOGLETRANSLATE($A4112,""en"",""fr"")"),"São Tomé")</f>
        <v>São Tomé</v>
      </c>
      <c r="E4112" s="9" t="str">
        <f>IFERROR(__xludf.DUMMYFUNCTION("GOOGLETRANSLATE($A4112,""en"",""es"")"),"Santo Tomé")</f>
        <v>Santo Tomé</v>
      </c>
      <c r="F4112" s="9" t="str">
        <f>IFERROR(__xludf.DUMMYFUNCTION("GOOGLETRANSLATE($A4112,""en"",""it"")"),"São Tomè")</f>
        <v>São Tomè</v>
      </c>
      <c r="G4112" s="9" t="str">
        <f>IFERROR(__xludf.DUMMYFUNCTION("GOOGLETRANSLATE($A4112,""en"",""zh-cn"")"),"圣多美")</f>
        <v>圣多美</v>
      </c>
      <c r="H4112" s="9" t="str">
        <f>IFERROR(__xludf.DUMMYFUNCTION("GOOGLETRANSLATE($A4112,""en"",""ja"")"),"サントメ")</f>
        <v>サントメ</v>
      </c>
      <c r="I4112" s="9" t="str">
        <f>IFERROR(__xludf.DUMMYFUNCTION("GOOGLETRANSLATE($A4112,""en"",""ko"")"),"상투메")</f>
        <v>상투메</v>
      </c>
      <c r="J4112" s="9" t="str">
        <f>IFERROR(__xludf.DUMMYFUNCTION("GOOGLETRANSLATE($A4112,""en"",""pt-BR"")"),"São Tomé")</f>
        <v>São Tomé</v>
      </c>
    </row>
    <row r="4113">
      <c r="A4113" s="9" t="str">
        <f>IFERROR(__xludf.DUMMYFUNCTION("""COMPUTED_VALUE"""),"Al Ḩudūd ash Shamālīyah")</f>
        <v>Al Ḩudūd ash Shamālīyah</v>
      </c>
      <c r="B4113" s="9" t="str">
        <f>IFERROR(__xludf.DUMMYFUNCTION("""COMPUTED_VALUE"""),"sa-08")</f>
        <v>sa-08</v>
      </c>
      <c r="C4113" s="9" t="str">
        <f>IFERROR(__xludf.DUMMYFUNCTION("GOOGLETRANSLATE($A4113,""en"",""de"")"),"Al Ḩudūd ash Shamālīyah")</f>
        <v>Al Ḩudūd ash Shamālīyah</v>
      </c>
      <c r="D4113" s="9" t="str">
        <f>IFERROR(__xludf.DUMMYFUNCTION("GOOGLETRANSLATE($A4113,""en"",""fr"")"),"Al Hudûd ash Shamālīyah")</f>
        <v>Al Hudûd ash Shamālīyah</v>
      </c>
      <c r="E4113" s="9" t="str">
        <f>IFERROR(__xludf.DUMMYFUNCTION("GOOGLETRANSLATE($A4113,""en"",""es"")"),"Al Ḩudūd ash Shamālīyah")</f>
        <v>Al Ḩudūd ash Shamālīyah</v>
      </c>
      <c r="F4113" s="9" t="str">
        <f>IFERROR(__xludf.DUMMYFUNCTION("GOOGLETRANSLATE($A4113,""en"",""it"")"),"Al Ḩudūd ash Shamālīyah")</f>
        <v>Al Ḩudūd ash Shamālīyah</v>
      </c>
      <c r="G4113" s="9" t="str">
        <f>IFERROR(__xludf.DUMMYFUNCTION("GOOGLETRANSLATE($A4113,""en"",""zh-cn"")"),"Al Ḩudūd ash Shamālīyah")</f>
        <v>Al Ḩudūd ash Shamālīyah</v>
      </c>
      <c r="H4113" s="9" t="str">
        <f>IFERROR(__xludf.DUMMYFUNCTION("GOOGLETRANSLATE($A4113,""en"",""ja"")"),"アル・ハドゥード・アッシュ・シャマーリーヤ")</f>
        <v>アル・ハドゥード・アッシュ・シャマーリーヤ</v>
      </c>
      <c r="I4113" s="9" t="str">
        <f>IFERROR(__xludf.DUMMYFUNCTION("GOOGLETRANSLATE($A4113,""en"",""ko"")"),"알 후두드 아시 샤말리야")</f>
        <v>알 후두드 아시 샤말리야</v>
      </c>
      <c r="J4113" s="9" t="str">
        <f>IFERROR(__xludf.DUMMYFUNCTION("GOOGLETRANSLATE($A4113,""en"",""pt-BR"")"),"Al Hudūd ash Shamālīyah")</f>
        <v>Al Hudūd ash Shamālīyah</v>
      </c>
    </row>
    <row r="4114">
      <c r="A4114" s="9" t="str">
        <f>IFERROR(__xludf.DUMMYFUNCTION("""COMPUTED_VALUE"""),"Jīzān")</f>
        <v>Jīzān</v>
      </c>
      <c r="B4114" s="9" t="str">
        <f>IFERROR(__xludf.DUMMYFUNCTION("""COMPUTED_VALUE"""),"sa-09")</f>
        <v>sa-09</v>
      </c>
      <c r="C4114" s="9" t="str">
        <f>IFERROR(__xludf.DUMMYFUNCTION("GOOGLETRANSLATE($A4114,""en"",""de"")"),"Jīzān")</f>
        <v>Jīzān</v>
      </c>
      <c r="D4114" s="9" t="str">
        <f>IFERROR(__xludf.DUMMYFUNCTION("GOOGLETRANSLATE($A4114,""en"",""fr"")"),"Jizan")</f>
        <v>Jizan</v>
      </c>
      <c r="E4114" s="9" t="str">
        <f>IFERROR(__xludf.DUMMYFUNCTION("GOOGLETRANSLATE($A4114,""en"",""es"")"),"Jizán")</f>
        <v>Jizán</v>
      </c>
      <c r="F4114" s="9" t="str">
        <f>IFERROR(__xludf.DUMMYFUNCTION("GOOGLETRANSLATE($A4114,""en"",""it"")"),"Jizan")</f>
        <v>Jizan</v>
      </c>
      <c r="G4114" s="9" t="str">
        <f>IFERROR(__xludf.DUMMYFUNCTION("GOOGLETRANSLATE($A4114,""en"",""zh-cn"")"),"吉赞")</f>
        <v>吉赞</v>
      </c>
      <c r="H4114" s="9" t="str">
        <f>IFERROR(__xludf.DUMMYFUNCTION("GOOGLETRANSLATE($A4114,""en"",""ja"")"),"ジザン")</f>
        <v>ジザン</v>
      </c>
      <c r="I4114" s="9" t="str">
        <f>IFERROR(__xludf.DUMMYFUNCTION("GOOGLETRANSLATE($A4114,""en"",""ko"")"),"지잔")</f>
        <v>지잔</v>
      </c>
      <c r="J4114" s="9" t="str">
        <f>IFERROR(__xludf.DUMMYFUNCTION("GOOGLETRANSLATE($A4114,""en"",""pt-BR"")"),"Jizan")</f>
        <v>Jizan</v>
      </c>
    </row>
    <row r="4115">
      <c r="A4115" s="9" t="str">
        <f>IFERROR(__xludf.DUMMYFUNCTION("""COMPUTED_VALUE"""),"Al Bāḩah")</f>
        <v>Al Bāḩah</v>
      </c>
      <c r="B4115" s="9" t="str">
        <f>IFERROR(__xludf.DUMMYFUNCTION("""COMPUTED_VALUE"""),"sa-11")</f>
        <v>sa-11</v>
      </c>
      <c r="C4115" s="9" t="str">
        <f>IFERROR(__xludf.DUMMYFUNCTION("GOOGLETRANSLATE($A4115,""en"",""de"")"),"Al Bāḩah")</f>
        <v>Al Bāḩah</v>
      </c>
      <c r="D4115" s="9" t="str">
        <f>IFERROR(__xludf.DUMMYFUNCTION("GOOGLETRANSLATE($A4115,""en"",""fr"")"),"Al Bahah")</f>
        <v>Al Bahah</v>
      </c>
      <c r="E4115" s="9" t="str">
        <f>IFERROR(__xludf.DUMMYFUNCTION("GOOGLETRANSLATE($A4115,""en"",""es"")"),"Al Bāḩah")</f>
        <v>Al Bāḩah</v>
      </c>
      <c r="F4115" s="9" t="str">
        <f>IFERROR(__xludf.DUMMYFUNCTION("GOOGLETRANSLATE($A4115,""en"",""it"")"),"Al Bāḩah")</f>
        <v>Al Bāḩah</v>
      </c>
      <c r="G4115" s="9" t="str">
        <f>IFERROR(__xludf.DUMMYFUNCTION("GOOGLETRANSLATE($A4115,""en"",""zh-cn"")"),"巴哈")</f>
        <v>巴哈</v>
      </c>
      <c r="H4115" s="9" t="str">
        <f>IFERROR(__xludf.DUMMYFUNCTION("GOOGLETRANSLATE($A4115,""en"",""ja"")"),"アル・バハ")</f>
        <v>アル・バハ</v>
      </c>
      <c r="I4115" s="9" t="str">
        <f>IFERROR(__xludf.DUMMYFUNCTION("GOOGLETRANSLATE($A4115,""en"",""ko"")"),"알바하")</f>
        <v>알바하</v>
      </c>
      <c r="J4115" s="9" t="str">
        <f>IFERROR(__xludf.DUMMYFUNCTION("GOOGLETRANSLATE($A4115,""en"",""pt-BR"")"),"Al Bahah")</f>
        <v>Al Bahah</v>
      </c>
    </row>
    <row r="4116">
      <c r="A4116" s="9" t="str">
        <f>IFERROR(__xludf.DUMMYFUNCTION("""COMPUTED_VALUE"""),"Al Qaşīm")</f>
        <v>Al Qaşīm</v>
      </c>
      <c r="B4116" s="9" t="str">
        <f>IFERROR(__xludf.DUMMYFUNCTION("""COMPUTED_VALUE"""),"sa-05")</f>
        <v>sa-05</v>
      </c>
      <c r="C4116" s="9" t="str">
        <f>IFERROR(__xludf.DUMMYFUNCTION("GOOGLETRANSLATE($A4116,""en"",""de"")"),"Al Qaşīm")</f>
        <v>Al Qaşīm</v>
      </c>
      <c r="D4116" s="9" t="str">
        <f>IFERROR(__xludf.DUMMYFUNCTION("GOOGLETRANSLATE($A4116,""en"",""fr"")"),"Al Qasim")</f>
        <v>Al Qasim</v>
      </c>
      <c r="E4116" s="9" t="str">
        <f>IFERROR(__xludf.DUMMYFUNCTION("GOOGLETRANSLATE($A4116,""en"",""es"")"),"Al Qaşim")</f>
        <v>Al Qaşim</v>
      </c>
      <c r="F4116" s="9" t="str">
        <f>IFERROR(__xludf.DUMMYFUNCTION("GOOGLETRANSLATE($A4116,""en"",""it"")"),"Al Qasim")</f>
        <v>Al Qasim</v>
      </c>
      <c r="G4116" s="9" t="str">
        <f>IFERROR(__xludf.DUMMYFUNCTION("GOOGLETRANSLATE($A4116,""en"",""zh-cn"")"),"卡西姆")</f>
        <v>卡西姆</v>
      </c>
      <c r="H4116" s="9" t="str">
        <f>IFERROR(__xludf.DUMMYFUNCTION("GOOGLETRANSLATE($A4116,""en"",""ja"")"),"アル・カシム")</f>
        <v>アル・カシム</v>
      </c>
      <c r="I4116" s="9" t="str">
        <f>IFERROR(__xludf.DUMMYFUNCTION("GOOGLETRANSLATE($A4116,""en"",""ko"")"),"알 카심")</f>
        <v>알 카심</v>
      </c>
      <c r="J4116" s="9" t="str">
        <f>IFERROR(__xludf.DUMMYFUNCTION("GOOGLETRANSLATE($A4116,""en"",""pt-BR"")"),"Al Qassim")</f>
        <v>Al Qassim</v>
      </c>
    </row>
    <row r="4117">
      <c r="A4117" s="9" t="str">
        <f>IFERROR(__xludf.DUMMYFUNCTION("""COMPUTED_VALUE"""),"Āsīr")</f>
        <v>Āsīr</v>
      </c>
      <c r="B4117" s="9" t="str">
        <f>IFERROR(__xludf.DUMMYFUNCTION("""COMPUTED_VALUE"""),"sa-14")</f>
        <v>sa-14</v>
      </c>
      <c r="C4117" s="9" t="str">
        <f>IFERROR(__xludf.DUMMYFUNCTION("GOOGLETRANSLATE($A4117,""en"",""de"")"),"Āsīr")</f>
        <v>Āsīr</v>
      </c>
      <c r="D4117" s="9" t="str">
        <f>IFERROR(__xludf.DUMMYFUNCTION("GOOGLETRANSLATE($A4117,""en"",""fr"")"),"Asir")</f>
        <v>Asir</v>
      </c>
      <c r="E4117" s="9" t="str">
        <f>IFERROR(__xludf.DUMMYFUNCTION("GOOGLETRANSLATE($A4117,""en"",""es"")"),"Asir")</f>
        <v>Asir</v>
      </c>
      <c r="F4117" s="9" t="str">
        <f>IFERROR(__xludf.DUMMYFUNCTION("GOOGLETRANSLATE($A4117,""en"",""it"")"),"Signore")</f>
        <v>Signore</v>
      </c>
      <c r="G4117" s="9" t="str">
        <f>IFERROR(__xludf.DUMMYFUNCTION("GOOGLETRANSLATE($A4117,""en"",""zh-cn"")"),"阿西尔")</f>
        <v>阿西尔</v>
      </c>
      <c r="H4117" s="9" t="str">
        <f>IFERROR(__xludf.DUMMYFUNCTION("GOOGLETRANSLATE($A4117,""en"",""ja"")"),"アールシール")</f>
        <v>アールシール</v>
      </c>
      <c r="I4117" s="9" t="str">
        <f>IFERROR(__xludf.DUMMYFUNCTION("GOOGLETRANSLATE($A4117,""en"",""ko"")"),"아시르")</f>
        <v>아시르</v>
      </c>
      <c r="J4117" s="9" t="str">
        <f>IFERROR(__xludf.DUMMYFUNCTION("GOOGLETRANSLATE($A4117,""en"",""pt-BR"")"),"Asir")</f>
        <v>Asir</v>
      </c>
    </row>
    <row r="4118">
      <c r="A4118" s="9" t="str">
        <f>IFERROR(__xludf.DUMMYFUNCTION("""COMPUTED_VALUE"""),"Ash Sharqīyah (SA)")</f>
        <v>Ash Sharqīyah (SA)</v>
      </c>
      <c r="B4118" s="9" t="str">
        <f>IFERROR(__xludf.DUMMYFUNCTION("""COMPUTED_VALUE"""),"sa-04")</f>
        <v>sa-04</v>
      </c>
      <c r="C4118" s="9" t="str">
        <f>IFERROR(__xludf.DUMMYFUNCTION("GOOGLETRANSLATE($A4118,""en"",""de"")"),"Ash Sharqīyah (SA)")</f>
        <v>Ash Sharqīyah (SA)</v>
      </c>
      <c r="D4118" s="9" t="str">
        <f>IFERROR(__xludf.DUMMYFUNCTION("GOOGLETRANSLATE($A4118,""en"",""fr"")"),"Ash Sharqiyah (SA)")</f>
        <v>Ash Sharqiyah (SA)</v>
      </c>
      <c r="E4118" s="9" t="str">
        <f>IFERROR(__xludf.DUMMYFUNCTION("GOOGLETRANSLATE($A4118,""en"",""es"")"),"Ash Sharqīyah (SA)")</f>
        <v>Ash Sharqīyah (SA)</v>
      </c>
      <c r="F4118" s="9" t="str">
        <f>IFERROR(__xludf.DUMMYFUNCTION("GOOGLETRANSLATE($A4118,""en"",""it"")"),"Ash Sharqīyah (SA)")</f>
        <v>Ash Sharqīyah (SA)</v>
      </c>
      <c r="G4118" s="9" t="str">
        <f>IFERROR(__xludf.DUMMYFUNCTION("GOOGLETRANSLATE($A4118,""en"",""zh-cn"")"),"阿什·沙尔基亚 (SA)")</f>
        <v>阿什·沙尔基亚 (SA)</v>
      </c>
      <c r="H4118" s="9" t="str">
        <f>IFERROR(__xludf.DUMMYFUNCTION("GOOGLETRANSLATE($A4118,""en"",""ja"")"),"アッシュ・シャルキーヤ（SA）")</f>
        <v>アッシュ・シャルキーヤ（SA）</v>
      </c>
      <c r="I4118" s="9" t="str">
        <f>IFERROR(__xludf.DUMMYFUNCTION("GOOGLETRANSLATE($A4118,""en"",""ko"")"),"애쉬 샤르키야(SA)")</f>
        <v>애쉬 샤르키야(SA)</v>
      </c>
      <c r="J4118" s="9" t="str">
        <f>IFERROR(__xludf.DUMMYFUNCTION("GOOGLETRANSLATE($A4118,""en"",""pt-BR"")"),"Ash Sharqīyah (SA)")</f>
        <v>Ash Sharqīyah (SA)</v>
      </c>
    </row>
    <row r="4119">
      <c r="A4119" s="9" t="str">
        <f>IFERROR(__xludf.DUMMYFUNCTION("""COMPUTED_VALUE"""),"Ar Riyāḑ")</f>
        <v>Ar Riyāḑ</v>
      </c>
      <c r="B4119" s="9" t="str">
        <f>IFERROR(__xludf.DUMMYFUNCTION("""COMPUTED_VALUE"""),"sa-01")</f>
        <v>sa-01</v>
      </c>
      <c r="C4119" s="9" t="str">
        <f>IFERROR(__xludf.DUMMYFUNCTION("GOOGLETRANSLATE($A4119,""en"",""de"")"),"Ar Riyāḑ")</f>
        <v>Ar Riyāḑ</v>
      </c>
      <c r="D4119" s="9" t="str">
        <f>IFERROR(__xludf.DUMMYFUNCTION("GOOGLETRANSLATE($A4119,""en"",""fr"")"),"Ar Riyad")</f>
        <v>Ar Riyad</v>
      </c>
      <c r="E4119" s="9" t="str">
        <f>IFERROR(__xludf.DUMMYFUNCTION("GOOGLETRANSLATE($A4119,""en"",""es"")"),"Ar Riyāḑ")</f>
        <v>Ar Riyāḑ</v>
      </c>
      <c r="F4119" s="9" t="str">
        <f>IFERROR(__xludf.DUMMYFUNCTION("GOOGLETRANSLATE($A4119,""en"",""it"")"),"Ar Riyāḑ")</f>
        <v>Ar Riyāḑ</v>
      </c>
      <c r="G4119" s="9" t="str">
        <f>IFERROR(__xludf.DUMMYFUNCTION("GOOGLETRANSLATE($A4119,""en"",""zh-cn"")"),"阿尔里亚德")</f>
        <v>阿尔里亚德</v>
      </c>
      <c r="H4119" s="9" t="str">
        <f>IFERROR(__xludf.DUMMYFUNCTION("GOOGLETRANSLATE($A4119,""en"",""ja"")"),"アルリヤド")</f>
        <v>アルリヤド</v>
      </c>
      <c r="I4119" s="9" t="str">
        <f>IFERROR(__xludf.DUMMYFUNCTION("GOOGLETRANSLATE($A4119,""en"",""ko"")"),"아르 리야하")</f>
        <v>아르 리야하</v>
      </c>
      <c r="J4119" s="9" t="str">
        <f>IFERROR(__xludf.DUMMYFUNCTION("GOOGLETRANSLATE($A4119,""en"",""pt-BR"")"),"Ar Riyād")</f>
        <v>Ar Riyād</v>
      </c>
    </row>
    <row r="4120">
      <c r="A4120" s="9" t="str">
        <f>IFERROR(__xludf.DUMMYFUNCTION("""COMPUTED_VALUE"""),"Tabūk")</f>
        <v>Tabūk</v>
      </c>
      <c r="B4120" s="9" t="str">
        <f>IFERROR(__xludf.DUMMYFUNCTION("""COMPUTED_VALUE"""),"sa-07")</f>
        <v>sa-07</v>
      </c>
      <c r="C4120" s="9" t="str">
        <f>IFERROR(__xludf.DUMMYFUNCTION("GOOGLETRANSLATE($A4120,""en"",""de"")"),"Tabuk")</f>
        <v>Tabuk</v>
      </c>
      <c r="D4120" s="9" t="str">
        <f>IFERROR(__xludf.DUMMYFUNCTION("GOOGLETRANSLATE($A4120,""en"",""fr"")"),"Tabuk")</f>
        <v>Tabuk</v>
      </c>
      <c r="E4120" s="9" t="str">
        <f>IFERROR(__xludf.DUMMYFUNCTION("GOOGLETRANSLATE($A4120,""en"",""es"")"),"tabuk")</f>
        <v>tabuk</v>
      </c>
      <c r="F4120" s="9" t="str">
        <f>IFERROR(__xludf.DUMMYFUNCTION("GOOGLETRANSLATE($A4120,""en"",""it"")"),"Tabūk")</f>
        <v>Tabūk</v>
      </c>
      <c r="G4120" s="9" t="str">
        <f>IFERROR(__xludf.DUMMYFUNCTION("GOOGLETRANSLATE($A4120,""en"",""zh-cn"")"),"塔布克")</f>
        <v>塔布克</v>
      </c>
      <c r="H4120" s="9" t="str">
        <f>IFERROR(__xludf.DUMMYFUNCTION("GOOGLETRANSLATE($A4120,""en"",""ja"")"),"タブーク")</f>
        <v>タブーク</v>
      </c>
      <c r="I4120" s="9" t="str">
        <f>IFERROR(__xludf.DUMMYFUNCTION("GOOGLETRANSLATE($A4120,""en"",""ko"")"),"타부크")</f>
        <v>타부크</v>
      </c>
      <c r="J4120" s="9" t="str">
        <f>IFERROR(__xludf.DUMMYFUNCTION("GOOGLETRANSLATE($A4120,""en"",""pt-BR"")"),"Tabuk")</f>
        <v>Tabuk</v>
      </c>
    </row>
    <row r="4121">
      <c r="A4121" s="9" t="str">
        <f>IFERROR(__xludf.DUMMYFUNCTION("""COMPUTED_VALUE"""),"Ḩā'il")</f>
        <v>Ḩā'il</v>
      </c>
      <c r="B4121" s="9" t="str">
        <f>IFERROR(__xludf.DUMMYFUNCTION("""COMPUTED_VALUE"""),"sa-06")</f>
        <v>sa-06</v>
      </c>
      <c r="C4121" s="9" t="str">
        <f>IFERROR(__xludf.DUMMYFUNCTION("GOOGLETRANSLATE($A4121,""en"",""de"")"),"Hagel")</f>
        <v>Hagel</v>
      </c>
      <c r="D4121" s="9" t="str">
        <f>IFERROR(__xludf.DUMMYFUNCTION("GOOGLETRANSLATE($A4121,""en"",""fr"")"),"Grêle")</f>
        <v>Grêle</v>
      </c>
      <c r="E4121" s="9" t="str">
        <f>IFERROR(__xludf.DUMMYFUNCTION("GOOGLETRANSLATE($A4121,""en"",""es"")"),"Granizo")</f>
        <v>Granizo</v>
      </c>
      <c r="F4121" s="9" t="str">
        <f>IFERROR(__xludf.DUMMYFUNCTION("GOOGLETRANSLATE($A4121,""en"",""it"")"),"Salve")</f>
        <v>Salve</v>
      </c>
      <c r="G4121" s="9" t="str">
        <f>IFERROR(__xludf.DUMMYFUNCTION("GOOGLETRANSLATE($A4121,""en"",""zh-cn"")"),"冰雹")</f>
        <v>冰雹</v>
      </c>
      <c r="H4121" s="9" t="str">
        <f>IFERROR(__xludf.DUMMYFUNCTION("GOOGLETRANSLATE($A4121,""en"",""ja"")"),"雹")</f>
        <v>雹</v>
      </c>
      <c r="I4121" s="9" t="str">
        <f>IFERROR(__xludf.DUMMYFUNCTION("GOOGLETRANSLATE($A4121,""en"",""ko"")"),"빗발")</f>
        <v>빗발</v>
      </c>
      <c r="J4121" s="9" t="str">
        <f>IFERROR(__xludf.DUMMYFUNCTION("GOOGLETRANSLATE($A4121,""en"",""pt-BR"")"),"Saudação")</f>
        <v>Saudação</v>
      </c>
    </row>
    <row r="4122">
      <c r="A4122" s="9" t="str">
        <f>IFERROR(__xludf.DUMMYFUNCTION("""COMPUTED_VALUE"""),"Al Jawf (SA)")</f>
        <v>Al Jawf (SA)</v>
      </c>
      <c r="B4122" s="9" t="str">
        <f>IFERROR(__xludf.DUMMYFUNCTION("""COMPUTED_VALUE"""),"sa-12")</f>
        <v>sa-12</v>
      </c>
      <c r="C4122" s="9" t="str">
        <f>IFERROR(__xludf.DUMMYFUNCTION("GOOGLETRANSLATE($A4122,""en"",""de"")"),"Al Jawf (SA)")</f>
        <v>Al Jawf (SA)</v>
      </c>
      <c r="D4122" s="9" t="str">
        <f>IFERROR(__xludf.DUMMYFUNCTION("GOOGLETRANSLATE($A4122,""en"",""fr"")"),"Al Jawf (SA)")</f>
        <v>Al Jawf (SA)</v>
      </c>
      <c r="E4122" s="9" t="str">
        <f>IFERROR(__xludf.DUMMYFUNCTION("GOOGLETRANSLATE($A4122,""en"",""es"")"),"Al Jawf (SA)")</f>
        <v>Al Jawf (SA)</v>
      </c>
      <c r="F4122" s="9" t="str">
        <f>IFERROR(__xludf.DUMMYFUNCTION("GOOGLETRANSLATE($A4122,""en"",""it"")"),"Al Jawf (SA)")</f>
        <v>Al Jawf (SA)</v>
      </c>
      <c r="G4122" s="9" t="str">
        <f>IFERROR(__xludf.DUMMYFUNCTION("GOOGLETRANSLATE($A4122,""en"",""zh-cn"")"),"焦夫 (SA)")</f>
        <v>焦夫 (SA)</v>
      </c>
      <c r="H4122" s="9" t="str">
        <f>IFERROR(__xludf.DUMMYFUNCTION("GOOGLETRANSLATE($A4122,""en"",""ja"")"),"アル ジャウフ (SA)")</f>
        <v>アル ジャウフ (SA)</v>
      </c>
      <c r="I4122" s="9" t="str">
        <f>IFERROR(__xludf.DUMMYFUNCTION("GOOGLETRANSLATE($A4122,""en"",""ko"")"),"알 자와프(SA)")</f>
        <v>알 자와프(SA)</v>
      </c>
      <c r="J4122" s="9" t="str">
        <f>IFERROR(__xludf.DUMMYFUNCTION("GOOGLETRANSLATE($A4122,""en"",""pt-BR"")"),"Al-Jawf (SA)")</f>
        <v>Al-Jawf (SA)</v>
      </c>
    </row>
    <row r="4123">
      <c r="A4123" s="9" t="str">
        <f>IFERROR(__xludf.DUMMYFUNCTION("""COMPUTED_VALUE"""),"Al Madīnah")</f>
        <v>Al Madīnah</v>
      </c>
      <c r="B4123" s="9" t="str">
        <f>IFERROR(__xludf.DUMMYFUNCTION("""COMPUTED_VALUE"""),"sa-03")</f>
        <v>sa-03</v>
      </c>
      <c r="C4123" s="9" t="str">
        <f>IFERROR(__xludf.DUMMYFUNCTION("GOOGLETRANSLATE($A4123,""en"",""de"")"),"Al Medinah")</f>
        <v>Al Medinah</v>
      </c>
      <c r="D4123" s="9" t="str">
        <f>IFERROR(__xludf.DUMMYFUNCTION("GOOGLETRANSLATE($A4123,""en"",""fr"")"),"Médine")</f>
        <v>Médine</v>
      </c>
      <c r="E4123" s="9" t="str">
        <f>IFERROR(__xludf.DUMMYFUNCTION("GOOGLETRANSLATE($A4123,""en"",""es"")"),"Medina")</f>
        <v>Medina</v>
      </c>
      <c r="F4123" s="9" t="str">
        <f>IFERROR(__xludf.DUMMYFUNCTION("GOOGLETRANSLATE($A4123,""en"",""it"")"),"Al Madīnah")</f>
        <v>Al Madīnah</v>
      </c>
      <c r="G4123" s="9" t="str">
        <f>IFERROR(__xludf.DUMMYFUNCTION("GOOGLETRANSLATE($A4123,""en"",""zh-cn"")"),"麦地那")</f>
        <v>麦地那</v>
      </c>
      <c r="H4123" s="9" t="str">
        <f>IFERROR(__xludf.DUMMYFUNCTION("GOOGLETRANSLATE($A4123,""en"",""ja"")"),"アル・マディーナ")</f>
        <v>アル・マディーナ</v>
      </c>
      <c r="I4123" s="9" t="str">
        <f>IFERROR(__xludf.DUMMYFUNCTION("GOOGLETRANSLATE($A4123,""en"",""ko"")"),"알 메디나")</f>
        <v>알 메디나</v>
      </c>
      <c r="J4123" s="9" t="str">
        <f>IFERROR(__xludf.DUMMYFUNCTION("GOOGLETRANSLATE($A4123,""en"",""pt-BR"")"),"Al Madīnah")</f>
        <v>Al Madīnah</v>
      </c>
    </row>
    <row r="4124">
      <c r="A4124" s="9" t="str">
        <f>IFERROR(__xludf.DUMMYFUNCTION("""COMPUTED_VALUE"""),"Makkah")</f>
        <v>Makkah</v>
      </c>
      <c r="B4124" s="9" t="str">
        <f>IFERROR(__xludf.DUMMYFUNCTION("""COMPUTED_VALUE"""),"sa-02")</f>
        <v>sa-02</v>
      </c>
      <c r="C4124" s="9" t="str">
        <f>IFERROR(__xludf.DUMMYFUNCTION("GOOGLETRANSLATE($A4124,""en"",""de"")"),"Mekka")</f>
        <v>Mekka</v>
      </c>
      <c r="D4124" s="9" t="str">
        <f>IFERROR(__xludf.DUMMYFUNCTION("GOOGLETRANSLATE($A4124,""en"",""fr"")"),"La Mecque")</f>
        <v>La Mecque</v>
      </c>
      <c r="E4124" s="9" t="str">
        <f>IFERROR(__xludf.DUMMYFUNCTION("GOOGLETRANSLATE($A4124,""en"",""es"")"),"La Meca")</f>
        <v>La Meca</v>
      </c>
      <c r="F4124" s="9" t="str">
        <f>IFERROR(__xludf.DUMMYFUNCTION("GOOGLETRANSLATE($A4124,""en"",""it"")"),"La Mecca")</f>
        <v>La Mecca</v>
      </c>
      <c r="G4124" s="9" t="str">
        <f>IFERROR(__xludf.DUMMYFUNCTION("GOOGLETRANSLATE($A4124,""en"",""zh-cn"")"),"麦加")</f>
        <v>麦加</v>
      </c>
      <c r="H4124" s="9" t="str">
        <f>IFERROR(__xludf.DUMMYFUNCTION("GOOGLETRANSLATE($A4124,""en"",""ja"")"),"メッカ")</f>
        <v>メッカ</v>
      </c>
      <c r="I4124" s="9" t="str">
        <f>IFERROR(__xludf.DUMMYFUNCTION("GOOGLETRANSLATE($A4124,""en"",""ko"")"),"메카")</f>
        <v>메카</v>
      </c>
      <c r="J4124" s="9" t="str">
        <f>IFERROR(__xludf.DUMMYFUNCTION("GOOGLETRANSLATE($A4124,""en"",""pt-BR"")"),"Meca")</f>
        <v>Meca</v>
      </c>
    </row>
    <row r="4125">
      <c r="A4125" s="9" t="str">
        <f>IFERROR(__xludf.DUMMYFUNCTION("""COMPUTED_VALUE"""),"Najrān")</f>
        <v>Najrān</v>
      </c>
      <c r="B4125" s="9" t="str">
        <f>IFERROR(__xludf.DUMMYFUNCTION("""COMPUTED_VALUE"""),"sa-10")</f>
        <v>sa-10</v>
      </c>
      <c r="C4125" s="9" t="str">
        <f>IFERROR(__xludf.DUMMYFUNCTION("GOOGLETRANSLATE($A4125,""en"",""de"")"),"Nadschran")</f>
        <v>Nadschran</v>
      </c>
      <c r="D4125" s="9" t="str">
        <f>IFERROR(__xludf.DUMMYFUNCTION("GOOGLETRANSLATE($A4125,""en"",""fr"")"),"Najran")</f>
        <v>Najran</v>
      </c>
      <c r="E4125" s="9" t="str">
        <f>IFERROR(__xludf.DUMMYFUNCTION("GOOGLETRANSLATE($A4125,""en"",""es"")"),"Najrán")</f>
        <v>Najrán</v>
      </c>
      <c r="F4125" s="9" t="str">
        <f>IFERROR(__xludf.DUMMYFUNCTION("GOOGLETRANSLATE($A4125,""en"",""it"")"),"Najran")</f>
        <v>Najran</v>
      </c>
      <c r="G4125" s="9" t="str">
        <f>IFERROR(__xludf.DUMMYFUNCTION("GOOGLETRANSLATE($A4125,""en"",""zh-cn"")"),"纳季兰")</f>
        <v>纳季兰</v>
      </c>
      <c r="H4125" s="9" t="str">
        <f>IFERROR(__xludf.DUMMYFUNCTION("GOOGLETRANSLATE($A4125,""en"",""ja"")"),"ナジュラーン")</f>
        <v>ナジュラーン</v>
      </c>
      <c r="I4125" s="9" t="str">
        <f>IFERROR(__xludf.DUMMYFUNCTION("GOOGLETRANSLATE($A4125,""en"",""ko"")"),"나즈란")</f>
        <v>나즈란</v>
      </c>
      <c r="J4125" s="9" t="str">
        <f>IFERROR(__xludf.DUMMYFUNCTION("GOOGLETRANSLATE($A4125,""en"",""pt-BR"")"),"Najrã")</f>
        <v>Najrã</v>
      </c>
    </row>
    <row r="4126">
      <c r="A4126" s="9" t="str">
        <f>IFERROR(__xludf.DUMMYFUNCTION("""COMPUTED_VALUE"""),"Tambacounda")</f>
        <v>Tambacounda</v>
      </c>
      <c r="B4126" s="9" t="str">
        <f>IFERROR(__xludf.DUMMYFUNCTION("""COMPUTED_VALUE"""),"sn-tc")</f>
        <v>sn-tc</v>
      </c>
      <c r="C4126" s="9" t="str">
        <f>IFERROR(__xludf.DUMMYFUNCTION("GOOGLETRANSLATE($A4126,""en"",""de"")"),"Tambacounda")</f>
        <v>Tambacounda</v>
      </c>
      <c r="D4126" s="9" t="str">
        <f>IFERROR(__xludf.DUMMYFUNCTION("GOOGLETRANSLATE($A4126,""en"",""fr"")"),"Tambacounda")</f>
        <v>Tambacounda</v>
      </c>
      <c r="E4126" s="9" t="str">
        <f>IFERROR(__xludf.DUMMYFUNCTION("GOOGLETRANSLATE($A4126,""en"",""es"")"),"Tambacounda")</f>
        <v>Tambacounda</v>
      </c>
      <c r="F4126" s="9" t="str">
        <f>IFERROR(__xludf.DUMMYFUNCTION("GOOGLETRANSLATE($A4126,""en"",""it"")"),"Tambacounda")</f>
        <v>Tambacounda</v>
      </c>
      <c r="G4126" s="9" t="str">
        <f>IFERROR(__xludf.DUMMYFUNCTION("GOOGLETRANSLATE($A4126,""en"",""zh-cn"")"),"坦巴昆达")</f>
        <v>坦巴昆达</v>
      </c>
      <c r="H4126" s="9" t="str">
        <f>IFERROR(__xludf.DUMMYFUNCTION("GOOGLETRANSLATE($A4126,""en"",""ja"")"),"タンバクンダ")</f>
        <v>タンバクンダ</v>
      </c>
      <c r="I4126" s="9" t="str">
        <f>IFERROR(__xludf.DUMMYFUNCTION("GOOGLETRANSLATE($A4126,""en"",""ko"")"),"탐바콘다")</f>
        <v>탐바콘다</v>
      </c>
      <c r="J4126" s="9" t="str">
        <f>IFERROR(__xludf.DUMMYFUNCTION("GOOGLETRANSLATE($A4126,""en"",""pt-BR"")"),"Tambacounda")</f>
        <v>Tambacounda</v>
      </c>
    </row>
    <row r="4127">
      <c r="A4127" s="9" t="str">
        <f>IFERROR(__xludf.DUMMYFUNCTION("""COMPUTED_VALUE"""),"Sédhiou")</f>
        <v>Sédhiou</v>
      </c>
      <c r="B4127" s="9" t="str">
        <f>IFERROR(__xludf.DUMMYFUNCTION("""COMPUTED_VALUE"""),"sn-se")</f>
        <v>sn-se</v>
      </c>
      <c r="C4127" s="9" t="str">
        <f>IFERROR(__xludf.DUMMYFUNCTION("GOOGLETRANSLATE($A4127,""en"",""de"")"),"Sédhiou")</f>
        <v>Sédhiou</v>
      </c>
      <c r="D4127" s="9" t="str">
        <f>IFERROR(__xludf.DUMMYFUNCTION("GOOGLETRANSLATE($A4127,""en"",""fr"")"),"Sédhiou")</f>
        <v>Sédhiou</v>
      </c>
      <c r="E4127" s="9" t="str">
        <f>IFERROR(__xludf.DUMMYFUNCTION("GOOGLETRANSLATE($A4127,""en"",""es"")"),"Sédhiou")</f>
        <v>Sédhiou</v>
      </c>
      <c r="F4127" s="9" t="str">
        <f>IFERROR(__xludf.DUMMYFUNCTION("GOOGLETRANSLATE($A4127,""en"",""it"")"),"Sédhiou")</f>
        <v>Sédhiou</v>
      </c>
      <c r="G4127" s="9" t="str">
        <f>IFERROR(__xludf.DUMMYFUNCTION("GOOGLETRANSLATE($A4127,""en"",""zh-cn"")"),"塞迪乌")</f>
        <v>塞迪乌</v>
      </c>
      <c r="H4127" s="9" t="str">
        <f>IFERROR(__xludf.DUMMYFUNCTION("GOOGLETRANSLATE($A4127,""en"",""ja"")"),"セディウ")</f>
        <v>セディウ</v>
      </c>
      <c r="I4127" s="9" t="str">
        <f>IFERROR(__xludf.DUMMYFUNCTION("GOOGLETRANSLATE($A4127,""en"",""ko"")"),"세디우")</f>
        <v>세디우</v>
      </c>
      <c r="J4127" s="9" t="str">
        <f>IFERROR(__xludf.DUMMYFUNCTION("GOOGLETRANSLATE($A4127,""en"",""pt-BR"")"),"Sédhiou")</f>
        <v>Sédhiou</v>
      </c>
    </row>
    <row r="4128">
      <c r="A4128" s="9" t="str">
        <f>IFERROR(__xludf.DUMMYFUNCTION("""COMPUTED_VALUE"""),"Dakar")</f>
        <v>Dakar</v>
      </c>
      <c r="B4128" s="9" t="str">
        <f>IFERROR(__xludf.DUMMYFUNCTION("""COMPUTED_VALUE"""),"sn-dk")</f>
        <v>sn-dk</v>
      </c>
      <c r="C4128" s="9" t="str">
        <f>IFERROR(__xludf.DUMMYFUNCTION("GOOGLETRANSLATE($A4128,""en"",""de"")"),"Dakar")</f>
        <v>Dakar</v>
      </c>
      <c r="D4128" s="9" t="str">
        <f>IFERROR(__xludf.DUMMYFUNCTION("GOOGLETRANSLATE($A4128,""en"",""fr"")"),"Dakar")</f>
        <v>Dakar</v>
      </c>
      <c r="E4128" s="9" t="str">
        <f>IFERROR(__xludf.DUMMYFUNCTION("GOOGLETRANSLATE($A4128,""en"",""es"")"),"dakar")</f>
        <v>dakar</v>
      </c>
      <c r="F4128" s="9" t="str">
        <f>IFERROR(__xludf.DUMMYFUNCTION("GOOGLETRANSLATE($A4128,""en"",""it"")"),"Dakar")</f>
        <v>Dakar</v>
      </c>
      <c r="G4128" s="9" t="str">
        <f>IFERROR(__xludf.DUMMYFUNCTION("GOOGLETRANSLATE($A4128,""en"",""zh-cn"")"),"达喀尔")</f>
        <v>达喀尔</v>
      </c>
      <c r="H4128" s="9" t="str">
        <f>IFERROR(__xludf.DUMMYFUNCTION("GOOGLETRANSLATE($A4128,""en"",""ja"")"),"ダカール")</f>
        <v>ダカール</v>
      </c>
      <c r="I4128" s="9" t="str">
        <f>IFERROR(__xludf.DUMMYFUNCTION("GOOGLETRANSLATE($A4128,""en"",""ko"")"),"다카르")</f>
        <v>다카르</v>
      </c>
      <c r="J4128" s="9" t="str">
        <f>IFERROR(__xludf.DUMMYFUNCTION("GOOGLETRANSLATE($A4128,""en"",""pt-BR"")"),"Dacar")</f>
        <v>Dacar</v>
      </c>
    </row>
    <row r="4129">
      <c r="A4129" s="9" t="str">
        <f>IFERROR(__xludf.DUMMYFUNCTION("""COMPUTED_VALUE"""),"Kaolack")</f>
        <v>Kaolack</v>
      </c>
      <c r="B4129" s="9" t="str">
        <f>IFERROR(__xludf.DUMMYFUNCTION("""COMPUTED_VALUE"""),"sn-kl")</f>
        <v>sn-kl</v>
      </c>
      <c r="C4129" s="9" t="str">
        <f>IFERROR(__xludf.DUMMYFUNCTION("GOOGLETRANSLATE($A4129,""en"",""de"")"),"Kaolack")</f>
        <v>Kaolack</v>
      </c>
      <c r="D4129" s="9" t="str">
        <f>IFERROR(__xludf.DUMMYFUNCTION("GOOGLETRANSLATE($A4129,""en"",""fr"")"),"Kaolack")</f>
        <v>Kaolack</v>
      </c>
      <c r="E4129" s="9" t="str">
        <f>IFERROR(__xludf.DUMMYFUNCTION("GOOGLETRANSLATE($A4129,""en"",""es"")"),"Kaolack")</f>
        <v>Kaolack</v>
      </c>
      <c r="F4129" s="9" t="str">
        <f>IFERROR(__xludf.DUMMYFUNCTION("GOOGLETRANSLATE($A4129,""en"",""it"")"),"Kaolack")</f>
        <v>Kaolack</v>
      </c>
      <c r="G4129" s="9" t="str">
        <f>IFERROR(__xludf.DUMMYFUNCTION("GOOGLETRANSLATE($A4129,""en"",""zh-cn"")"),"考拉克")</f>
        <v>考拉克</v>
      </c>
      <c r="H4129" s="9" t="str">
        <f>IFERROR(__xludf.DUMMYFUNCTION("GOOGLETRANSLATE($A4129,""en"",""ja"")"),"カオラック")</f>
        <v>カオラック</v>
      </c>
      <c r="I4129" s="9" t="str">
        <f>IFERROR(__xludf.DUMMYFUNCTION("GOOGLETRANSLATE($A4129,""en"",""ko"")"),"카오락")</f>
        <v>카오락</v>
      </c>
      <c r="J4129" s="9" t="str">
        <f>IFERROR(__xludf.DUMMYFUNCTION("GOOGLETRANSLATE($A4129,""en"",""pt-BR"")"),"Kaolack")</f>
        <v>Kaolack</v>
      </c>
    </row>
    <row r="4130">
      <c r="A4130" s="9" t="str">
        <f>IFERROR(__xludf.DUMMYFUNCTION("""COMPUTED_VALUE"""),"Kaffrine")</f>
        <v>Kaffrine</v>
      </c>
      <c r="B4130" s="9" t="str">
        <f>IFERROR(__xludf.DUMMYFUNCTION("""COMPUTED_VALUE"""),"sn-ka")</f>
        <v>sn-ka</v>
      </c>
      <c r="C4130" s="9" t="str">
        <f>IFERROR(__xludf.DUMMYFUNCTION("GOOGLETRANSLATE($A4130,""en"",""de"")"),"Kaffrine")</f>
        <v>Kaffrine</v>
      </c>
      <c r="D4130" s="9" t="str">
        <f>IFERROR(__xludf.DUMMYFUNCTION("GOOGLETRANSLATE($A4130,""en"",""fr"")"),"Kaffrine")</f>
        <v>Kaffrine</v>
      </c>
      <c r="E4130" s="9" t="str">
        <f>IFERROR(__xludf.DUMMYFUNCTION("GOOGLETRANSLATE($A4130,""en"",""es"")"),"kaffrine")</f>
        <v>kaffrine</v>
      </c>
      <c r="F4130" s="9" t="str">
        <f>IFERROR(__xludf.DUMMYFUNCTION("GOOGLETRANSLATE($A4130,""en"",""it"")"),"Kaffrine")</f>
        <v>Kaffrine</v>
      </c>
      <c r="G4130" s="9" t="str">
        <f>IFERROR(__xludf.DUMMYFUNCTION("GOOGLETRANSLATE($A4130,""en"",""zh-cn"")"),"咖啡碱")</f>
        <v>咖啡碱</v>
      </c>
      <c r="H4130" s="9" t="str">
        <f>IFERROR(__xludf.DUMMYFUNCTION("GOOGLETRANSLATE($A4130,""en"",""ja"")"),"カフリン")</f>
        <v>カフリン</v>
      </c>
      <c r="I4130" s="9" t="str">
        <f>IFERROR(__xludf.DUMMYFUNCTION("GOOGLETRANSLATE($A4130,""en"",""ko"")"),"카프린")</f>
        <v>카프린</v>
      </c>
      <c r="J4130" s="9" t="str">
        <f>IFERROR(__xludf.DUMMYFUNCTION("GOOGLETRANSLATE($A4130,""en"",""pt-BR"")"),"Kaffrine")</f>
        <v>Kaffrine</v>
      </c>
    </row>
    <row r="4131">
      <c r="A4131" s="9" t="str">
        <f>IFERROR(__xludf.DUMMYFUNCTION("""COMPUTED_VALUE"""),"Diourbel")</f>
        <v>Diourbel</v>
      </c>
      <c r="B4131" s="9" t="str">
        <f>IFERROR(__xludf.DUMMYFUNCTION("""COMPUTED_VALUE"""),"sn-db")</f>
        <v>sn-db</v>
      </c>
      <c r="C4131" s="9" t="str">
        <f>IFERROR(__xludf.DUMMYFUNCTION("GOOGLETRANSLATE($A4131,""en"",""de"")"),"Diourbel")</f>
        <v>Diourbel</v>
      </c>
      <c r="D4131" s="9" t="str">
        <f>IFERROR(__xludf.DUMMYFUNCTION("GOOGLETRANSLATE($A4131,""en"",""fr"")"),"Diourbel")</f>
        <v>Diourbel</v>
      </c>
      <c r="E4131" s="9" t="str">
        <f>IFERROR(__xludf.DUMMYFUNCTION("GOOGLETRANSLATE($A4131,""en"",""es"")"),"Diourbel")</f>
        <v>Diourbel</v>
      </c>
      <c r="F4131" s="9" t="str">
        <f>IFERROR(__xludf.DUMMYFUNCTION("GOOGLETRANSLATE($A4131,""en"",""it"")"),"Diourbel")</f>
        <v>Diourbel</v>
      </c>
      <c r="G4131" s="9" t="str">
        <f>IFERROR(__xludf.DUMMYFUNCTION("GOOGLETRANSLATE($A4131,""en"",""zh-cn"")"),"迪乌贝尔")</f>
        <v>迪乌贝尔</v>
      </c>
      <c r="H4131" s="9" t="str">
        <f>IFERROR(__xludf.DUMMYFUNCTION("GOOGLETRANSLATE($A4131,""en"",""ja"")"),"ディウルベル")</f>
        <v>ディウルベル</v>
      </c>
      <c r="I4131" s="9" t="str">
        <f>IFERROR(__xludf.DUMMYFUNCTION("GOOGLETRANSLATE($A4131,""en"",""ko"")"),"디올벨")</f>
        <v>디올벨</v>
      </c>
      <c r="J4131" s="9" t="str">
        <f>IFERROR(__xludf.DUMMYFUNCTION("GOOGLETRANSLATE($A4131,""en"",""pt-BR"")"),"Diourbel")</f>
        <v>Diourbel</v>
      </c>
    </row>
    <row r="4132">
      <c r="A4132" s="9" t="str">
        <f>IFERROR(__xludf.DUMMYFUNCTION("""COMPUTED_VALUE"""),"Louga")</f>
        <v>Louga</v>
      </c>
      <c r="B4132" s="9" t="str">
        <f>IFERROR(__xludf.DUMMYFUNCTION("""COMPUTED_VALUE"""),"sn-lg")</f>
        <v>sn-lg</v>
      </c>
      <c r="C4132" s="9" t="str">
        <f>IFERROR(__xludf.DUMMYFUNCTION("GOOGLETRANSLATE($A4132,""en"",""de"")"),"Louga")</f>
        <v>Louga</v>
      </c>
      <c r="D4132" s="9" t="str">
        <f>IFERROR(__xludf.DUMMYFUNCTION("GOOGLETRANSLATE($A4132,""en"",""fr"")"),"Louga")</f>
        <v>Louga</v>
      </c>
      <c r="E4132" s="9" t="str">
        <f>IFERROR(__xludf.DUMMYFUNCTION("GOOGLETRANSLATE($A4132,""en"",""es"")"),"Louga")</f>
        <v>Louga</v>
      </c>
      <c r="F4132" s="9" t="str">
        <f>IFERROR(__xludf.DUMMYFUNCTION("GOOGLETRANSLATE($A4132,""en"",""it"")"),"Louga")</f>
        <v>Louga</v>
      </c>
      <c r="G4132" s="9" t="str">
        <f>IFERROR(__xludf.DUMMYFUNCTION("GOOGLETRANSLATE($A4132,""en"",""zh-cn"")"),"卢加")</f>
        <v>卢加</v>
      </c>
      <c r="H4132" s="9" t="str">
        <f>IFERROR(__xludf.DUMMYFUNCTION("GOOGLETRANSLATE($A4132,""en"",""ja"")"),"ルーガ")</f>
        <v>ルーガ</v>
      </c>
      <c r="I4132" s="9" t="str">
        <f>IFERROR(__xludf.DUMMYFUNCTION("GOOGLETRANSLATE($A4132,""en"",""ko"")"),"루가")</f>
        <v>루가</v>
      </c>
      <c r="J4132" s="9" t="str">
        <f>IFERROR(__xludf.DUMMYFUNCTION("GOOGLETRANSLATE($A4132,""en"",""pt-BR"")"),"Louga")</f>
        <v>Louga</v>
      </c>
    </row>
    <row r="4133">
      <c r="A4133" s="9" t="str">
        <f>IFERROR(__xludf.DUMMYFUNCTION("""COMPUTED_VALUE"""),"Thiès")</f>
        <v>Thiès</v>
      </c>
      <c r="B4133" s="9" t="str">
        <f>IFERROR(__xludf.DUMMYFUNCTION("""COMPUTED_VALUE"""),"sn-th")</f>
        <v>sn-th</v>
      </c>
      <c r="C4133" s="9" t="str">
        <f>IFERROR(__xludf.DUMMYFUNCTION("GOOGLETRANSLATE($A4133,""en"",""de"")"),"Thiès")</f>
        <v>Thiès</v>
      </c>
      <c r="D4133" s="9" t="str">
        <f>IFERROR(__xludf.DUMMYFUNCTION("GOOGLETRANSLATE($A4133,""en"",""fr"")"),"Thiès")</f>
        <v>Thiès</v>
      </c>
      <c r="E4133" s="9" t="str">
        <f>IFERROR(__xludf.DUMMYFUNCTION("GOOGLETRANSLATE($A4133,""en"",""es"")"),"Thiès")</f>
        <v>Thiès</v>
      </c>
      <c r="F4133" s="9" t="str">
        <f>IFERROR(__xludf.DUMMYFUNCTION("GOOGLETRANSLATE($A4133,""en"",""it"")"),"Thiès")</f>
        <v>Thiès</v>
      </c>
      <c r="G4133" s="9" t="str">
        <f>IFERROR(__xludf.DUMMYFUNCTION("GOOGLETRANSLATE($A4133,""en"",""zh-cn"")"),"蒂耶斯")</f>
        <v>蒂耶斯</v>
      </c>
      <c r="H4133" s="9" t="str">
        <f>IFERROR(__xludf.DUMMYFUNCTION("GOOGLETRANSLATE($A4133,""en"",""ja"")"),"ティエス")</f>
        <v>ティエス</v>
      </c>
      <c r="I4133" s="9" t="str">
        <f>IFERROR(__xludf.DUMMYFUNCTION("GOOGLETRANSLATE($A4133,""en"",""ko"")"),"티에스")</f>
        <v>티에스</v>
      </c>
      <c r="J4133" s="9" t="str">
        <f>IFERROR(__xludf.DUMMYFUNCTION("GOOGLETRANSLATE($A4133,""en"",""pt-BR"")"),"Thiès")</f>
        <v>Thiès</v>
      </c>
    </row>
    <row r="4134">
      <c r="A4134" s="9" t="str">
        <f>IFERROR(__xludf.DUMMYFUNCTION("""COMPUTED_VALUE"""),"Kolda")</f>
        <v>Kolda</v>
      </c>
      <c r="B4134" s="9" t="str">
        <f>IFERROR(__xludf.DUMMYFUNCTION("""COMPUTED_VALUE"""),"sn-kd")</f>
        <v>sn-kd</v>
      </c>
      <c r="C4134" s="9" t="str">
        <f>IFERROR(__xludf.DUMMYFUNCTION("GOOGLETRANSLATE($A4134,""en"",""de"")"),"Kolda")</f>
        <v>Kolda</v>
      </c>
      <c r="D4134" s="9" t="str">
        <f>IFERROR(__xludf.DUMMYFUNCTION("GOOGLETRANSLATE($A4134,""en"",""fr"")"),"Kolda")</f>
        <v>Kolda</v>
      </c>
      <c r="E4134" s="9" t="str">
        <f>IFERROR(__xludf.DUMMYFUNCTION("GOOGLETRANSLATE($A4134,""en"",""es"")"),"Kolda")</f>
        <v>Kolda</v>
      </c>
      <c r="F4134" s="9" t="str">
        <f>IFERROR(__xludf.DUMMYFUNCTION("GOOGLETRANSLATE($A4134,""en"",""it"")"),"Kolda")</f>
        <v>Kolda</v>
      </c>
      <c r="G4134" s="9" t="str">
        <f>IFERROR(__xludf.DUMMYFUNCTION("GOOGLETRANSLATE($A4134,""en"",""zh-cn"")"),"科尔达")</f>
        <v>科尔达</v>
      </c>
      <c r="H4134" s="9" t="str">
        <f>IFERROR(__xludf.DUMMYFUNCTION("GOOGLETRANSLATE($A4134,""en"",""ja"")"),"コルダ")</f>
        <v>コルダ</v>
      </c>
      <c r="I4134" s="9" t="str">
        <f>IFERROR(__xludf.DUMMYFUNCTION("GOOGLETRANSLATE($A4134,""en"",""ko"")"),"콜다")</f>
        <v>콜다</v>
      </c>
      <c r="J4134" s="9" t="str">
        <f>IFERROR(__xludf.DUMMYFUNCTION("GOOGLETRANSLATE($A4134,""en"",""pt-BR"")"),"Kolda")</f>
        <v>Kolda</v>
      </c>
    </row>
    <row r="4135">
      <c r="A4135" s="9" t="str">
        <f>IFERROR(__xludf.DUMMYFUNCTION("""COMPUTED_VALUE"""),"Kédougou")</f>
        <v>Kédougou</v>
      </c>
      <c r="B4135" s="9" t="str">
        <f>IFERROR(__xludf.DUMMYFUNCTION("""COMPUTED_VALUE"""),"sn-ke")</f>
        <v>sn-ke</v>
      </c>
      <c r="C4135" s="9" t="str">
        <f>IFERROR(__xludf.DUMMYFUNCTION("GOOGLETRANSLATE($A4135,""en"",""de"")"),"Kédougou")</f>
        <v>Kédougou</v>
      </c>
      <c r="D4135" s="9" t="str">
        <f>IFERROR(__xludf.DUMMYFUNCTION("GOOGLETRANSLATE($A4135,""en"",""fr"")"),"Kédougou")</f>
        <v>Kédougou</v>
      </c>
      <c r="E4135" s="9" t="str">
        <f>IFERROR(__xludf.DUMMYFUNCTION("GOOGLETRANSLATE($A4135,""en"",""es"")"),"Kédougou")</f>
        <v>Kédougou</v>
      </c>
      <c r="F4135" s="9" t="str">
        <f>IFERROR(__xludf.DUMMYFUNCTION("GOOGLETRANSLATE($A4135,""en"",""it"")"),"Kédougou")</f>
        <v>Kédougou</v>
      </c>
      <c r="G4135" s="9" t="str">
        <f>IFERROR(__xludf.DUMMYFUNCTION("GOOGLETRANSLATE($A4135,""en"",""zh-cn"")"),"凯杜古")</f>
        <v>凯杜古</v>
      </c>
      <c r="H4135" s="9" t="str">
        <f>IFERROR(__xludf.DUMMYFUNCTION("GOOGLETRANSLATE($A4135,""en"",""ja"")"),"ケドゥグー")</f>
        <v>ケドゥグー</v>
      </c>
      <c r="I4135" s="9" t="str">
        <f>IFERROR(__xludf.DUMMYFUNCTION("GOOGLETRANSLATE($A4135,""en"",""ko"")"),"케두구")</f>
        <v>케두구</v>
      </c>
      <c r="J4135" s="9" t="str">
        <f>IFERROR(__xludf.DUMMYFUNCTION("GOOGLETRANSLATE($A4135,""en"",""pt-BR"")"),"Kédougou")</f>
        <v>Kédougou</v>
      </c>
    </row>
    <row r="4136">
      <c r="A4136" s="9" t="str">
        <f>IFERROR(__xludf.DUMMYFUNCTION("""COMPUTED_VALUE"""),"Fatick")</f>
        <v>Fatick</v>
      </c>
      <c r="B4136" s="9" t="str">
        <f>IFERROR(__xludf.DUMMYFUNCTION("""COMPUTED_VALUE"""),"sn-fk")</f>
        <v>sn-fk</v>
      </c>
      <c r="C4136" s="9" t="str">
        <f>IFERROR(__xludf.DUMMYFUNCTION("GOOGLETRANSLATE($A4136,""en"",""de"")"),"Fatick")</f>
        <v>Fatick</v>
      </c>
      <c r="D4136" s="9" t="str">
        <f>IFERROR(__xludf.DUMMYFUNCTION("GOOGLETRANSLATE($A4136,""en"",""fr"")"),"Fatick")</f>
        <v>Fatick</v>
      </c>
      <c r="E4136" s="9" t="str">
        <f>IFERROR(__xludf.DUMMYFUNCTION("GOOGLETRANSLATE($A4136,""en"",""es"")"),"fatick")</f>
        <v>fatick</v>
      </c>
      <c r="F4136" s="9" t="str">
        <f>IFERROR(__xludf.DUMMYFUNCTION("GOOGLETRANSLATE($A4136,""en"",""it"")"),"Faticoso")</f>
        <v>Faticoso</v>
      </c>
      <c r="G4136" s="9" t="str">
        <f>IFERROR(__xludf.DUMMYFUNCTION("GOOGLETRANSLATE($A4136,""en"",""zh-cn"")"),"法蒂克")</f>
        <v>法蒂克</v>
      </c>
      <c r="H4136" s="9" t="str">
        <f>IFERROR(__xludf.DUMMYFUNCTION("GOOGLETRANSLATE($A4136,""en"",""ja"")"),"ファティック")</f>
        <v>ファティック</v>
      </c>
      <c r="I4136" s="9" t="str">
        <f>IFERROR(__xludf.DUMMYFUNCTION("GOOGLETRANSLATE($A4136,""en"",""ko"")"),"패틱")</f>
        <v>패틱</v>
      </c>
      <c r="J4136" s="9" t="str">
        <f>IFERROR(__xludf.DUMMYFUNCTION("GOOGLETRANSLATE($A4136,""en"",""pt-BR"")"),"Fatick")</f>
        <v>Fatick</v>
      </c>
    </row>
    <row r="4137">
      <c r="A4137" s="9" t="str">
        <f>IFERROR(__xludf.DUMMYFUNCTION("""COMPUTED_VALUE"""),"Saint-Louis")</f>
        <v>Saint-Louis</v>
      </c>
      <c r="B4137" s="9" t="str">
        <f>IFERROR(__xludf.DUMMYFUNCTION("""COMPUTED_VALUE"""),"sn-sl")</f>
        <v>sn-sl</v>
      </c>
      <c r="C4137" s="9" t="str">
        <f>IFERROR(__xludf.DUMMYFUNCTION("GOOGLETRANSLATE($A4137,""en"",""de"")"),"Saint-Louis")</f>
        <v>Saint-Louis</v>
      </c>
      <c r="D4137" s="9" t="str">
        <f>IFERROR(__xludf.DUMMYFUNCTION("GOOGLETRANSLATE($A4137,""en"",""fr"")"),"Saint Louis")</f>
        <v>Saint Louis</v>
      </c>
      <c r="E4137" s="9" t="str">
        <f>IFERROR(__xludf.DUMMYFUNCTION("GOOGLETRANSLATE($A4137,""en"",""es"")"),"San Luis")</f>
        <v>San Luis</v>
      </c>
      <c r="F4137" s="9" t="str">
        <f>IFERROR(__xludf.DUMMYFUNCTION("GOOGLETRANSLATE($A4137,""en"",""it"")"),"Saint-Louis")</f>
        <v>Saint-Louis</v>
      </c>
      <c r="G4137" s="9" t="str">
        <f>IFERROR(__xludf.DUMMYFUNCTION("GOOGLETRANSLATE($A4137,""en"",""zh-cn"")"),"圣路易斯")</f>
        <v>圣路易斯</v>
      </c>
      <c r="H4137" s="9" t="str">
        <f>IFERROR(__xludf.DUMMYFUNCTION("GOOGLETRANSLATE($A4137,""en"",""ja"")"),"セントルイス")</f>
        <v>セントルイス</v>
      </c>
      <c r="I4137" s="9" t="str">
        <f>IFERROR(__xludf.DUMMYFUNCTION("GOOGLETRANSLATE($A4137,""en"",""ko"")"),"생루이")</f>
        <v>생루이</v>
      </c>
      <c r="J4137" s="9" t="str">
        <f>IFERROR(__xludf.DUMMYFUNCTION("GOOGLETRANSLATE($A4137,""en"",""pt-BR"")"),"São Luís")</f>
        <v>São Luís</v>
      </c>
    </row>
    <row r="4138">
      <c r="A4138" s="9" t="str">
        <f>IFERROR(__xludf.DUMMYFUNCTION("""COMPUTED_VALUE"""),"Ziguinchor")</f>
        <v>Ziguinchor</v>
      </c>
      <c r="B4138" s="9" t="str">
        <f>IFERROR(__xludf.DUMMYFUNCTION("""COMPUTED_VALUE"""),"sn-zg")</f>
        <v>sn-zg</v>
      </c>
      <c r="C4138" s="9" t="str">
        <f>IFERROR(__xludf.DUMMYFUNCTION("GOOGLETRANSLATE($A4138,""en"",""de"")"),"Ziguinchor")</f>
        <v>Ziguinchor</v>
      </c>
      <c r="D4138" s="9" t="str">
        <f>IFERROR(__xludf.DUMMYFUNCTION("GOOGLETRANSLATE($A4138,""en"",""fr"")"),"Ziguinchor")</f>
        <v>Ziguinchor</v>
      </c>
      <c r="E4138" s="9" t="str">
        <f>IFERROR(__xludf.DUMMYFUNCTION("GOOGLETRANSLATE($A4138,""en"",""es"")"),"Ziguinchor")</f>
        <v>Ziguinchor</v>
      </c>
      <c r="F4138" s="9" t="str">
        <f>IFERROR(__xludf.DUMMYFUNCTION("GOOGLETRANSLATE($A4138,""en"",""it"")"),"Ziguinchor")</f>
        <v>Ziguinchor</v>
      </c>
      <c r="G4138" s="9" t="str">
        <f>IFERROR(__xludf.DUMMYFUNCTION("GOOGLETRANSLATE($A4138,""en"",""zh-cn"")"),"济金绍尔")</f>
        <v>济金绍尔</v>
      </c>
      <c r="H4138" s="9" t="str">
        <f>IFERROR(__xludf.DUMMYFUNCTION("GOOGLETRANSLATE($A4138,""en"",""ja"")"),"ジガンショール")</f>
        <v>ジガンショール</v>
      </c>
      <c r="I4138" s="9" t="str">
        <f>IFERROR(__xludf.DUMMYFUNCTION("GOOGLETRANSLATE($A4138,""en"",""ko"")"),"지긴쇼르")</f>
        <v>지긴쇼르</v>
      </c>
      <c r="J4138" s="9" t="str">
        <f>IFERROR(__xludf.DUMMYFUNCTION("GOOGLETRANSLATE($A4138,""en"",""pt-BR"")"),"Ziguinchor")</f>
        <v>Ziguinchor</v>
      </c>
    </row>
    <row r="4139">
      <c r="A4139" s="9" t="str">
        <f>IFERROR(__xludf.DUMMYFUNCTION("""COMPUTED_VALUE"""),"Matam")</f>
        <v>Matam</v>
      </c>
      <c r="B4139" s="9" t="str">
        <f>IFERROR(__xludf.DUMMYFUNCTION("""COMPUTED_VALUE"""),"sn-mt")</f>
        <v>sn-mt</v>
      </c>
      <c r="C4139" s="9" t="str">
        <f>IFERROR(__xludf.DUMMYFUNCTION("GOOGLETRANSLATE($A4139,""en"",""de"")"),"Matam")</f>
        <v>Matam</v>
      </c>
      <c r="D4139" s="9" t="str">
        <f>IFERROR(__xludf.DUMMYFUNCTION("GOOGLETRANSLATE($A4139,""en"",""fr"")"),"Matam")</f>
        <v>Matam</v>
      </c>
      <c r="E4139" s="9" t="str">
        <f>IFERROR(__xludf.DUMMYFUNCTION("GOOGLETRANSLATE($A4139,""en"",""es"")"),"matem")</f>
        <v>matem</v>
      </c>
      <c r="F4139" s="9" t="str">
        <f>IFERROR(__xludf.DUMMYFUNCTION("GOOGLETRANSLATE($A4139,""en"",""it"")"),"Matam")</f>
        <v>Matam</v>
      </c>
      <c r="G4139" s="9" t="str">
        <f>IFERROR(__xludf.DUMMYFUNCTION("GOOGLETRANSLATE($A4139,""en"",""zh-cn"")"),"马塔姆")</f>
        <v>马塔姆</v>
      </c>
      <c r="H4139" s="9" t="str">
        <f>IFERROR(__xludf.DUMMYFUNCTION("GOOGLETRANSLATE($A4139,""en"",""ja"")"),"マタム")</f>
        <v>マタム</v>
      </c>
      <c r="I4139" s="9" t="str">
        <f>IFERROR(__xludf.DUMMYFUNCTION("GOOGLETRANSLATE($A4139,""en"",""ko"")"),"마탐")</f>
        <v>마탐</v>
      </c>
      <c r="J4139" s="9" t="str">
        <f>IFERROR(__xludf.DUMMYFUNCTION("GOOGLETRANSLATE($A4139,""en"",""pt-BR"")"),"Matam")</f>
        <v>Matam</v>
      </c>
    </row>
    <row r="4140">
      <c r="A4140" s="9" t="str">
        <f>IFERROR(__xludf.DUMMYFUNCTION("""COMPUTED_VALUE"""),"Zlatiborski okrug")</f>
        <v>Zlatiborski okrug</v>
      </c>
      <c r="B4140" s="9" t="str">
        <f>IFERROR(__xludf.DUMMYFUNCTION("""COMPUTED_VALUE"""),"rs-16")</f>
        <v>rs-16</v>
      </c>
      <c r="C4140" s="9" t="str">
        <f>IFERROR(__xludf.DUMMYFUNCTION("GOOGLETRANSLATE($A4140,""en"",""de"")"),"Zlatiborski okrug")</f>
        <v>Zlatiborski okrug</v>
      </c>
      <c r="D4140" s="9" t="str">
        <f>IFERROR(__xludf.DUMMYFUNCTION("GOOGLETRANSLATE($A4140,""en"",""fr"")"),"District de Zlatiborski")</f>
        <v>District de Zlatiborski</v>
      </c>
      <c r="E4140" s="9" t="str">
        <f>IFERROR(__xludf.DUMMYFUNCTION("GOOGLETRANSLATE($A4140,""en"",""es"")"),"Distrito de Zlatiborski")</f>
        <v>Distrito de Zlatiborski</v>
      </c>
      <c r="F4140" s="9" t="str">
        <f>IFERROR(__xludf.DUMMYFUNCTION("GOOGLETRANSLATE($A4140,""en"",""it"")"),"Zona Zlatiborski")</f>
        <v>Zona Zlatiborski</v>
      </c>
      <c r="G4140" s="9" t="str">
        <f>IFERROR(__xludf.DUMMYFUNCTION("GOOGLETRANSLATE($A4140,""en"",""zh-cn"")"),"兹拉蒂博尔州")</f>
        <v>兹拉蒂博尔州</v>
      </c>
      <c r="H4140" s="9" t="str">
        <f>IFERROR(__xludf.DUMMYFUNCTION("GOOGLETRANSLATE($A4140,""en"",""ja"")"),"ズラティボルスキ オクルグ")</f>
        <v>ズラティボルスキ オクルグ</v>
      </c>
      <c r="I4140" s="9" t="str">
        <f>IFERROR(__xludf.DUMMYFUNCTION("GOOGLETRANSLATE($A4140,""en"",""ko"")"),"즐라티보르스키 오크루그")</f>
        <v>즐라티보르스키 오크루그</v>
      </c>
      <c r="J4140" s="9" t="str">
        <f>IFERROR(__xludf.DUMMYFUNCTION("GOOGLETRANSLATE($A4140,""en"",""pt-BR"")"),"Distrito de Zlatiborski")</f>
        <v>Distrito de Zlatiborski</v>
      </c>
    </row>
    <row r="4141">
      <c r="A4141" s="9" t="str">
        <f>IFERROR(__xludf.DUMMYFUNCTION("""COMPUTED_VALUE"""),"Srednjebanatski okrug")</f>
        <v>Srednjebanatski okrug</v>
      </c>
      <c r="B4141" s="9" t="str">
        <f>IFERROR(__xludf.DUMMYFUNCTION("""COMPUTED_VALUE"""),"rs-02")</f>
        <v>rs-02</v>
      </c>
      <c r="C4141" s="9" t="str">
        <f>IFERROR(__xludf.DUMMYFUNCTION("GOOGLETRANSLATE($A4141,""en"",""de"")"),"Srednjebanatski okrug")</f>
        <v>Srednjebanatski okrug</v>
      </c>
      <c r="D4141" s="9" t="str">
        <f>IFERROR(__xludf.DUMMYFUNCTION("GOOGLETRANSLATE($A4141,""en"",""fr"")"),"Okrug de Srednjebanatski")</f>
        <v>Okrug de Srednjebanatski</v>
      </c>
      <c r="E4141" s="9" t="str">
        <f>IFERROR(__xludf.DUMMYFUNCTION("GOOGLETRANSLATE($A4141,""en"",""es"")"),"Distrito de Srednjebanatski")</f>
        <v>Distrito de Srednjebanatski</v>
      </c>
      <c r="F4141" s="9" t="str">
        <f>IFERROR(__xludf.DUMMYFUNCTION("GOOGLETRANSLATE($A4141,""en"",""it"")"),"Srednjebanatski okrug")</f>
        <v>Srednjebanatski okrug</v>
      </c>
      <c r="G4141" s="9" t="str">
        <f>IFERROR(__xludf.DUMMYFUNCTION("GOOGLETRANSLATE($A4141,""en"",""zh-cn"")"),"中涅巴纳茨基州")</f>
        <v>中涅巴纳茨基州</v>
      </c>
      <c r="H4141" s="9" t="str">
        <f>IFERROR(__xludf.DUMMYFUNCTION("GOOGLETRANSLATE($A4141,""en"",""ja"")"),"スレドニェバナツキ・オクルグ")</f>
        <v>スレドニェバナツキ・オクルグ</v>
      </c>
      <c r="I4141" s="9" t="str">
        <f>IFERROR(__xludf.DUMMYFUNCTION("GOOGLETRANSLATE($A4141,""en"",""ko"")"),"스레드네바나츠키 오크루그")</f>
        <v>스레드네바나츠키 오크루그</v>
      </c>
      <c r="J4141" s="9" t="str">
        <f>IFERROR(__xludf.DUMMYFUNCTION("GOOGLETRANSLATE($A4141,""en"",""pt-BR"")"),"Distrito de Srednjebanatski")</f>
        <v>Distrito de Srednjebanatski</v>
      </c>
    </row>
    <row r="4142">
      <c r="A4142" s="9" t="str">
        <f>IFERROR(__xludf.DUMMYFUNCTION("""COMPUTED_VALUE"""),"Borski okrug")</f>
        <v>Borski okrug</v>
      </c>
      <c r="B4142" s="9" t="str">
        <f>IFERROR(__xludf.DUMMYFUNCTION("""COMPUTED_VALUE"""),"rs-14")</f>
        <v>rs-14</v>
      </c>
      <c r="C4142" s="9" t="str">
        <f>IFERROR(__xludf.DUMMYFUNCTION("GOOGLETRANSLATE($A4142,""en"",""de"")"),"Borski okrug")</f>
        <v>Borski okrug</v>
      </c>
      <c r="D4142" s="9" t="str">
        <f>IFERROR(__xludf.DUMMYFUNCTION("GOOGLETRANSLATE($A4142,""en"",""fr"")"),"District de Borski")</f>
        <v>District de Borski</v>
      </c>
      <c r="E4142" s="9" t="str">
        <f>IFERROR(__xludf.DUMMYFUNCTION("GOOGLETRANSLATE($A4142,""en"",""es"")"),"Distrito de Borski")</f>
        <v>Distrito de Borski</v>
      </c>
      <c r="F4142" s="9" t="str">
        <f>IFERROR(__xludf.DUMMYFUNCTION("GOOGLETRANSLATE($A4142,""en"",""it"")"),"Borski okrug")</f>
        <v>Borski okrug</v>
      </c>
      <c r="G4142" s="9" t="str">
        <f>IFERROR(__xludf.DUMMYFUNCTION("GOOGLETRANSLATE($A4142,""en"",""zh-cn"")"),"博尔斯基州")</f>
        <v>博尔斯基州</v>
      </c>
      <c r="H4142" s="9" t="str">
        <f>IFERROR(__xludf.DUMMYFUNCTION("GOOGLETRANSLATE($A4142,""en"",""ja"")"),"ボルスキ・オクルグ")</f>
        <v>ボルスキ・オクルグ</v>
      </c>
      <c r="I4142" s="9" t="str">
        <f>IFERROR(__xludf.DUMMYFUNCTION("GOOGLETRANSLATE($A4142,""en"",""ko"")"),"보르스키 오크루그")</f>
        <v>보르스키 오크루그</v>
      </c>
      <c r="J4142" s="9" t="str">
        <f>IFERROR(__xludf.DUMMYFUNCTION("GOOGLETRANSLATE($A4142,""en"",""pt-BR"")"),"Distrito de Borski")</f>
        <v>Distrito de Borski</v>
      </c>
    </row>
    <row r="4143">
      <c r="A4143" s="9" t="str">
        <f>IFERROR(__xludf.DUMMYFUNCTION("""COMPUTED_VALUE"""),"Južnobački okrug")</f>
        <v>Južnobački okrug</v>
      </c>
      <c r="B4143" s="9" t="str">
        <f>IFERROR(__xludf.DUMMYFUNCTION("""COMPUTED_VALUE"""),"rs-06")</f>
        <v>rs-06</v>
      </c>
      <c r="C4143" s="9" t="str">
        <f>IFERROR(__xludf.DUMMYFUNCTION("GOOGLETRANSLATE($A4143,""en"",""de"")"),"Južnobački okrug")</f>
        <v>Južnobački okrug</v>
      </c>
      <c r="D4143" s="9" t="str">
        <f>IFERROR(__xludf.DUMMYFUNCTION("GOOGLETRANSLATE($A4143,""en"",""fr"")"),"Južnobački okrug")</f>
        <v>Južnobački okrug</v>
      </c>
      <c r="E4143" s="9" t="str">
        <f>IFERROR(__xludf.DUMMYFUNCTION("GOOGLETRANSLATE($A4143,""en"",""es"")"),"Distrito de Južnobački")</f>
        <v>Distrito de Južnobački</v>
      </c>
      <c r="F4143" s="9" t="str">
        <f>IFERROR(__xludf.DUMMYFUNCTION("GOOGLETRANSLATE($A4143,""en"",""it"")"),"Južnobački okrug")</f>
        <v>Južnobački okrug</v>
      </c>
      <c r="G4143" s="9" t="str">
        <f>IFERROR(__xludf.DUMMYFUNCTION("GOOGLETRANSLATE($A4143,""en"",""zh-cn"")"),"尤兹诺巴克州")</f>
        <v>尤兹诺巴克州</v>
      </c>
      <c r="H4143" s="9" t="str">
        <f>IFERROR(__xludf.DUMMYFUNCTION("GOOGLETRANSLATE($A4143,""en"",""ja"")"),"ジュジュノバチキ オクルグ")</f>
        <v>ジュジュノバチキ オクルグ</v>
      </c>
      <c r="I4143" s="9" t="str">
        <f>IFERROR(__xludf.DUMMYFUNCTION("GOOGLETRANSLATE($A4143,""en"",""ko"")"),"Južnobački okrug")</f>
        <v>Južnobački okrug</v>
      </c>
      <c r="J4143" s="9" t="str">
        <f>IFERROR(__xludf.DUMMYFUNCTION("GOOGLETRANSLATE($A4143,""en"",""pt-BR"")"),"Južnobački okrug")</f>
        <v>Južnobački okrug</v>
      </c>
    </row>
    <row r="4144">
      <c r="A4144" s="9" t="str">
        <f>IFERROR(__xludf.DUMMYFUNCTION("""COMPUTED_VALUE"""),"Prizrenski okrug")</f>
        <v>Prizrenski okrug</v>
      </c>
      <c r="B4144" s="9" t="str">
        <f>IFERROR(__xludf.DUMMYFUNCTION("""COMPUTED_VALUE"""),"rs-27")</f>
        <v>rs-27</v>
      </c>
      <c r="C4144" s="9" t="str">
        <f>IFERROR(__xludf.DUMMYFUNCTION("GOOGLETRANSLATE($A4144,""en"",""de"")"),"Prizrenski okrug")</f>
        <v>Prizrenski okrug</v>
      </c>
      <c r="D4144" s="9" t="str">
        <f>IFERROR(__xludf.DUMMYFUNCTION("GOOGLETRANSLATE($A4144,""en"",""fr"")"),"Okrug de Prizrenski")</f>
        <v>Okrug de Prizrenski</v>
      </c>
      <c r="E4144" s="9" t="str">
        <f>IFERROR(__xludf.DUMMYFUNCTION("GOOGLETRANSLATE($A4144,""en"",""es"")"),"Distrito de Prizrenski")</f>
        <v>Distrito de Prizrenski</v>
      </c>
      <c r="F4144" s="9" t="str">
        <f>IFERROR(__xludf.DUMMYFUNCTION("GOOGLETRANSLATE($A4144,""en"",""it"")"),"Distretto di Prizrenski")</f>
        <v>Distretto di Prizrenski</v>
      </c>
      <c r="G4144" s="9" t="str">
        <f>IFERROR(__xludf.DUMMYFUNCTION("GOOGLETRANSLATE($A4144,""en"",""zh-cn"")"),"普里兹伦斯基州")</f>
        <v>普里兹伦斯基州</v>
      </c>
      <c r="H4144" s="9" t="str">
        <f>IFERROR(__xludf.DUMMYFUNCTION("GOOGLETRANSLATE($A4144,""en"",""ja"")"),"プリズレンスキー・オクルグ")</f>
        <v>プリズレンスキー・オクルグ</v>
      </c>
      <c r="I4144" s="9" t="str">
        <f>IFERROR(__xludf.DUMMYFUNCTION("GOOGLETRANSLATE($A4144,""en"",""ko"")"),"프리즈렌스키 오크루그")</f>
        <v>프리즈렌스키 오크루그</v>
      </c>
      <c r="J4144" s="9" t="str">
        <f>IFERROR(__xludf.DUMMYFUNCTION("GOOGLETRANSLATE($A4144,""en"",""pt-BR"")"),"Distrito de Prizrenski")</f>
        <v>Distrito de Prizrenski</v>
      </c>
    </row>
    <row r="4145">
      <c r="A4145" s="9" t="str">
        <f>IFERROR(__xludf.DUMMYFUNCTION("""COMPUTED_VALUE"""),"Nišavski okrug")</f>
        <v>Nišavski okrug</v>
      </c>
      <c r="B4145" s="9" t="str">
        <f>IFERROR(__xludf.DUMMYFUNCTION("""COMPUTED_VALUE"""),"rs-20")</f>
        <v>rs-20</v>
      </c>
      <c r="C4145" s="9" t="str">
        <f>IFERROR(__xludf.DUMMYFUNCTION("GOOGLETRANSLATE($A4145,""en"",""de"")"),"Nišavski okrug")</f>
        <v>Nišavski okrug</v>
      </c>
      <c r="D4145" s="9" t="str">
        <f>IFERROR(__xludf.DUMMYFUNCTION("GOOGLETRANSLATE($A4145,""en"",""fr"")"),"District de Nišavski")</f>
        <v>District de Nišavski</v>
      </c>
      <c r="E4145" s="9" t="str">
        <f>IFERROR(__xludf.DUMMYFUNCTION("GOOGLETRANSLATE($A4145,""en"",""es"")"),"Distrito de Nišavski")</f>
        <v>Distrito de Nišavski</v>
      </c>
      <c r="F4145" s="9" t="str">
        <f>IFERROR(__xludf.DUMMYFUNCTION("GOOGLETRANSLATE($A4145,""en"",""it"")"),"Nišavski okrug")</f>
        <v>Nišavski okrug</v>
      </c>
      <c r="G4145" s="9" t="str">
        <f>IFERROR(__xludf.DUMMYFUNCTION("GOOGLETRANSLATE($A4145,""en"",""zh-cn"")"),"尼萨夫斯基州")</f>
        <v>尼萨夫斯基州</v>
      </c>
      <c r="H4145" s="9" t="str">
        <f>IFERROR(__xludf.DUMMYFUNCTION("GOOGLETRANSLATE($A4145,""en"",""ja"")"),"ニシャフスキー・オクルグ")</f>
        <v>ニシャフスキー・オクルグ</v>
      </c>
      <c r="I4145" s="9" t="str">
        <f>IFERROR(__xludf.DUMMYFUNCTION("GOOGLETRANSLATE($A4145,""en"",""ko"")"),"니샤브스키 오크루그")</f>
        <v>니샤브스키 오크루그</v>
      </c>
      <c r="J4145" s="9" t="str">
        <f>IFERROR(__xludf.DUMMYFUNCTION("GOOGLETRANSLATE($A4145,""en"",""pt-BR"")"),"Distrito de Nišavski")</f>
        <v>Distrito de Nišavski</v>
      </c>
    </row>
    <row r="4146">
      <c r="A4146" s="9" t="str">
        <f>IFERROR(__xludf.DUMMYFUNCTION("""COMPUTED_VALUE"""),"Jablanički okrug")</f>
        <v>Jablanički okrug</v>
      </c>
      <c r="B4146" s="9" t="str">
        <f>IFERROR(__xludf.DUMMYFUNCTION("""COMPUTED_VALUE"""),"rs-23")</f>
        <v>rs-23</v>
      </c>
      <c r="C4146" s="9" t="str">
        <f>IFERROR(__xludf.DUMMYFUNCTION("GOOGLETRANSLATE($A4146,""en"",""de"")"),"Jablanički okrug")</f>
        <v>Jablanički okrug</v>
      </c>
      <c r="D4146" s="9" t="str">
        <f>IFERROR(__xludf.DUMMYFUNCTION("GOOGLETRANSLATE($A4146,""en"",""fr"")"),"Okrug de Jablanicki")</f>
        <v>Okrug de Jablanicki</v>
      </c>
      <c r="E4146" s="9" t="str">
        <f>IFERROR(__xludf.DUMMYFUNCTION("GOOGLETRANSLATE($A4146,""en"",""es"")"),"Distrito de Jablanički")</f>
        <v>Distrito de Jablanički</v>
      </c>
      <c r="F4146" s="9" t="str">
        <f>IFERROR(__xludf.DUMMYFUNCTION("GOOGLETRANSLATE($A4146,""en"",""it"")"),"Jablanički okrug")</f>
        <v>Jablanički okrug</v>
      </c>
      <c r="G4146" s="9" t="str">
        <f>IFERROR(__xludf.DUMMYFUNCTION("GOOGLETRANSLATE($A4146,""en"",""zh-cn"")"),"亚布拉尼茨基州")</f>
        <v>亚布拉尼茨基州</v>
      </c>
      <c r="H4146" s="9" t="str">
        <f>IFERROR(__xludf.DUMMYFUNCTION("GOOGLETRANSLATE($A4146,""en"",""ja"")"),"ヤブラニツキ・オクルグ")</f>
        <v>ヤブラニツキ・オクルグ</v>
      </c>
      <c r="I4146" s="9" t="str">
        <f>IFERROR(__xludf.DUMMYFUNCTION("GOOGLETRANSLATE($A4146,""en"",""ko"")"),"Jablanički okrug")</f>
        <v>Jablanički okrug</v>
      </c>
      <c r="J4146" s="9" t="str">
        <f>IFERROR(__xludf.DUMMYFUNCTION("GOOGLETRANSLATE($A4146,""en"",""pt-BR"")"),"Distrito de Jablanički")</f>
        <v>Distrito de Jablanički</v>
      </c>
    </row>
    <row r="4147">
      <c r="A4147" s="9" t="str">
        <f>IFERROR(__xludf.DUMMYFUNCTION("""COMPUTED_VALUE"""),"Pomoravski okrug")</f>
        <v>Pomoravski okrug</v>
      </c>
      <c r="B4147" s="9" t="str">
        <f>IFERROR(__xludf.DUMMYFUNCTION("""COMPUTED_VALUE"""),"rs-13")</f>
        <v>rs-13</v>
      </c>
      <c r="C4147" s="9" t="str">
        <f>IFERROR(__xludf.DUMMYFUNCTION("GOOGLETRANSLATE($A4147,""en"",""de"")"),"Pomoravski okrug")</f>
        <v>Pomoravski okrug</v>
      </c>
      <c r="D4147" s="9" t="str">
        <f>IFERROR(__xludf.DUMMYFUNCTION("GOOGLETRANSLATE($A4147,""en"",""fr"")"),"District de Pomoravski")</f>
        <v>District de Pomoravski</v>
      </c>
      <c r="E4147" s="9" t="str">
        <f>IFERROR(__xludf.DUMMYFUNCTION("GOOGLETRANSLATE($A4147,""en"",""es"")"),"Distrito de Pomoravski")</f>
        <v>Distrito de Pomoravski</v>
      </c>
      <c r="F4147" s="9" t="str">
        <f>IFERROR(__xludf.DUMMYFUNCTION("GOOGLETRANSLATE($A4147,""en"",""it"")"),"Pomoravski okrug")</f>
        <v>Pomoravski okrug</v>
      </c>
      <c r="G4147" s="9" t="str">
        <f>IFERROR(__xludf.DUMMYFUNCTION("GOOGLETRANSLATE($A4147,""en"",""zh-cn"")"),"波摩拉夫州")</f>
        <v>波摩拉夫州</v>
      </c>
      <c r="H4147" s="9" t="str">
        <f>IFERROR(__xludf.DUMMYFUNCTION("GOOGLETRANSLATE($A4147,""en"",""ja"")"),"ポモラフスキー オクルグ")</f>
        <v>ポモラフスキー オクルグ</v>
      </c>
      <c r="I4147" s="9" t="str">
        <f>IFERROR(__xludf.DUMMYFUNCTION("GOOGLETRANSLATE($A4147,""en"",""ko"")"),"포모라브스키 오크루그")</f>
        <v>포모라브스키 오크루그</v>
      </c>
      <c r="J4147" s="9" t="str">
        <f>IFERROR(__xludf.DUMMYFUNCTION("GOOGLETRANSLATE($A4147,""en"",""pt-BR"")"),"Distrito de Pomoravski")</f>
        <v>Distrito de Pomoravski</v>
      </c>
    </row>
    <row r="4148">
      <c r="A4148" s="9" t="str">
        <f>IFERROR(__xludf.DUMMYFUNCTION("""COMPUTED_VALUE"""),"Toplički okrug")</f>
        <v>Toplički okrug</v>
      </c>
      <c r="B4148" s="9" t="str">
        <f>IFERROR(__xludf.DUMMYFUNCTION("""COMPUTED_VALUE"""),"rs-21")</f>
        <v>rs-21</v>
      </c>
      <c r="C4148" s="9" t="str">
        <f>IFERROR(__xludf.DUMMYFUNCTION("GOOGLETRANSLATE($A4148,""en"",""de"")"),"Toplički okrug")</f>
        <v>Toplički okrug</v>
      </c>
      <c r="D4148" s="9" t="str">
        <f>IFERROR(__xludf.DUMMYFUNCTION("GOOGLETRANSLATE($A4148,""en"",""fr"")"),"Toplički okrug")</f>
        <v>Toplički okrug</v>
      </c>
      <c r="E4148" s="9" t="str">
        <f>IFERROR(__xludf.DUMMYFUNCTION("GOOGLETRANSLATE($A4148,""en"",""es"")"),"Distrito de Toplički")</f>
        <v>Distrito de Toplički</v>
      </c>
      <c r="F4148" s="9" t="str">
        <f>IFERROR(__xludf.DUMMYFUNCTION("GOOGLETRANSLATE($A4148,""en"",""it"")"),"Toplički okrug")</f>
        <v>Toplički okrug</v>
      </c>
      <c r="G4148" s="9" t="str">
        <f>IFERROR(__xludf.DUMMYFUNCTION("GOOGLETRANSLATE($A4148,""en"",""zh-cn"")"),"托普利茨基州")</f>
        <v>托普利茨基州</v>
      </c>
      <c r="H4148" s="9" t="str">
        <f>IFERROR(__xludf.DUMMYFUNCTION("GOOGLETRANSLATE($A4148,""en"",""ja"")"),"トプリチオクルグ")</f>
        <v>トプリチオクルグ</v>
      </c>
      <c r="I4148" s="9" t="str">
        <f>IFERROR(__xludf.DUMMYFUNCTION("GOOGLETRANSLATE($A4148,""en"",""ko"")"),"토플리츠키 오크루그")</f>
        <v>토플리츠키 오크루그</v>
      </c>
      <c r="J4148" s="9" t="str">
        <f>IFERROR(__xludf.DUMMYFUNCTION("GOOGLETRANSLATE($A4148,""en"",""pt-BR"")"),"Toplički okrug")</f>
        <v>Toplički okrug</v>
      </c>
    </row>
    <row r="4149">
      <c r="A4149" s="9" t="str">
        <f>IFERROR(__xludf.DUMMYFUNCTION("""COMPUTED_VALUE"""),"Zaječarski okrug")</f>
        <v>Zaječarski okrug</v>
      </c>
      <c r="B4149" s="9" t="str">
        <f>IFERROR(__xludf.DUMMYFUNCTION("""COMPUTED_VALUE"""),"rs-15")</f>
        <v>rs-15</v>
      </c>
      <c r="C4149" s="9" t="str">
        <f>IFERROR(__xludf.DUMMYFUNCTION("GOOGLETRANSLATE($A4149,""en"",""de"")"),"Zaječarski okrug")</f>
        <v>Zaječarski okrug</v>
      </c>
      <c r="D4149" s="9" t="str">
        <f>IFERROR(__xludf.DUMMYFUNCTION("GOOGLETRANSLATE($A4149,""en"",""fr"")"),"District de Zaječarski")</f>
        <v>District de Zaječarski</v>
      </c>
      <c r="E4149" s="9" t="str">
        <f>IFERROR(__xludf.DUMMYFUNCTION("GOOGLETRANSLATE($A4149,""en"",""es"")"),"Distrito de Zaječarski")</f>
        <v>Distrito de Zaječarski</v>
      </c>
      <c r="F4149" s="9" t="str">
        <f>IFERROR(__xludf.DUMMYFUNCTION("GOOGLETRANSLATE($A4149,""en"",""it"")"),"Zaječarski okrug")</f>
        <v>Zaječarski okrug</v>
      </c>
      <c r="G4149" s="9" t="str">
        <f>IFERROR(__xludf.DUMMYFUNCTION("GOOGLETRANSLATE($A4149,""en"",""zh-cn"")"),"扎耶查尔州")</f>
        <v>扎耶查尔州</v>
      </c>
      <c r="H4149" s="9" t="str">
        <f>IFERROR(__xludf.DUMMYFUNCTION("GOOGLETRANSLATE($A4149,""en"",""ja"")"),"ザイェチャルスキ・オクルグ")</f>
        <v>ザイェチャルスキ・オクルグ</v>
      </c>
      <c r="I4149" s="9" t="str">
        <f>IFERROR(__xludf.DUMMYFUNCTION("GOOGLETRANSLATE($A4149,""en"",""ko"")"),"자예카르스키 오크루그")</f>
        <v>자예카르스키 오크루그</v>
      </c>
      <c r="J4149" s="9" t="str">
        <f>IFERROR(__xludf.DUMMYFUNCTION("GOOGLETRANSLATE($A4149,""en"",""pt-BR"")"),"Distrito de Zaječarski")</f>
        <v>Distrito de Zaječarski</v>
      </c>
    </row>
    <row r="4150">
      <c r="A4150" s="9" t="str">
        <f>IFERROR(__xludf.DUMMYFUNCTION("""COMPUTED_VALUE"""),"Podunavski okrug")</f>
        <v>Podunavski okrug</v>
      </c>
      <c r="B4150" s="9" t="str">
        <f>IFERROR(__xludf.DUMMYFUNCTION("""COMPUTED_VALUE"""),"rs-10")</f>
        <v>rs-10</v>
      </c>
      <c r="C4150" s="9" t="str">
        <f>IFERROR(__xludf.DUMMYFUNCTION("GOOGLETRANSLATE($A4150,""en"",""de"")"),"Podunavski okrug")</f>
        <v>Podunavski okrug</v>
      </c>
      <c r="D4150" s="9" t="str">
        <f>IFERROR(__xludf.DUMMYFUNCTION("GOOGLETRANSLATE($A4150,""en"",""fr"")"),"Okrug Podunavski")</f>
        <v>Okrug Podunavski</v>
      </c>
      <c r="E4150" s="9" t="str">
        <f>IFERROR(__xludf.DUMMYFUNCTION("GOOGLETRANSLATE($A4150,""en"",""es"")"),"Distrito de Podunavski")</f>
        <v>Distrito de Podunavski</v>
      </c>
      <c r="F4150" s="9" t="str">
        <f>IFERROR(__xludf.DUMMYFUNCTION("GOOGLETRANSLATE($A4150,""en"",""it"")"),"Zona Podunavski")</f>
        <v>Zona Podunavski</v>
      </c>
      <c r="G4150" s="9" t="str">
        <f>IFERROR(__xludf.DUMMYFUNCTION("GOOGLETRANSLATE($A4150,""en"",""zh-cn"")"),"波杜纳夫斯基州")</f>
        <v>波杜纳夫斯基州</v>
      </c>
      <c r="H4150" s="9" t="str">
        <f>IFERROR(__xludf.DUMMYFUNCTION("GOOGLETRANSLATE($A4150,""en"",""ja"")"),"ポドゥナフスキー オクルグ")</f>
        <v>ポドゥナフスキー オクルグ</v>
      </c>
      <c r="I4150" s="9" t="str">
        <f>IFERROR(__xludf.DUMMYFUNCTION("GOOGLETRANSLATE($A4150,""en"",""ko"")"),"포두나브스키 오크루그")</f>
        <v>포두나브스키 오크루그</v>
      </c>
      <c r="J4150" s="9" t="str">
        <f>IFERROR(__xludf.DUMMYFUNCTION("GOOGLETRANSLATE($A4150,""en"",""pt-BR"")"),"Distrito de Podunavski")</f>
        <v>Distrito de Podunavski</v>
      </c>
    </row>
    <row r="4151">
      <c r="A4151" s="9" t="str">
        <f>IFERROR(__xludf.DUMMYFUNCTION("""COMPUTED_VALUE"""),"Beograd")</f>
        <v>Beograd</v>
      </c>
      <c r="B4151" s="9" t="str">
        <f>IFERROR(__xludf.DUMMYFUNCTION("""COMPUTED_VALUE"""),"rs-00")</f>
        <v>rs-00</v>
      </c>
      <c r="C4151" s="9" t="str">
        <f>IFERROR(__xludf.DUMMYFUNCTION("GOOGLETRANSLATE($A4151,""en"",""de"")"),"Belgrad")</f>
        <v>Belgrad</v>
      </c>
      <c r="D4151" s="9" t="str">
        <f>IFERROR(__xludf.DUMMYFUNCTION("GOOGLETRANSLATE($A4151,""en"",""fr"")"),"Belgrade")</f>
        <v>Belgrade</v>
      </c>
      <c r="E4151" s="9" t="str">
        <f>IFERROR(__xludf.DUMMYFUNCTION("GOOGLETRANSLATE($A4151,""en"",""es"")"),"Beogrado")</f>
        <v>Beogrado</v>
      </c>
      <c r="F4151" s="9" t="str">
        <f>IFERROR(__xludf.DUMMYFUNCTION("GOOGLETRANSLATE($A4151,""en"",""it"")"),"Belgrado")</f>
        <v>Belgrado</v>
      </c>
      <c r="G4151" s="9" t="str">
        <f>IFERROR(__xludf.DUMMYFUNCTION("GOOGLETRANSLATE($A4151,""en"",""zh-cn"")"),"贝尔格莱德")</f>
        <v>贝尔格莱德</v>
      </c>
      <c r="H4151" s="9" t="str">
        <f>IFERROR(__xludf.DUMMYFUNCTION("GOOGLETRANSLATE($A4151,""en"",""ja"")"),"ベオグラード")</f>
        <v>ベオグラード</v>
      </c>
      <c r="I4151" s="9" t="str">
        <f>IFERROR(__xludf.DUMMYFUNCTION("GOOGLETRANSLATE($A4151,""en"",""ko"")"),"베오그라드")</f>
        <v>베오그라드</v>
      </c>
      <c r="J4151" s="9" t="str">
        <f>IFERROR(__xludf.DUMMYFUNCTION("GOOGLETRANSLATE($A4151,""en"",""pt-BR"")"),"Belgrado")</f>
        <v>Belgrado</v>
      </c>
    </row>
    <row r="4152">
      <c r="A4152" s="9" t="str">
        <f>IFERROR(__xludf.DUMMYFUNCTION("""COMPUTED_VALUE"""),"Kosovsko-Mitrovački okrug")</f>
        <v>Kosovsko-Mitrovački okrug</v>
      </c>
      <c r="B4152" s="9" t="str">
        <f>IFERROR(__xludf.DUMMYFUNCTION("""COMPUTED_VALUE"""),"rs-28")</f>
        <v>rs-28</v>
      </c>
      <c r="C4152" s="9" t="str">
        <f>IFERROR(__xludf.DUMMYFUNCTION("GOOGLETRANSLATE($A4152,""en"",""de"")"),"Kosovsko-Mitrovački okrug")</f>
        <v>Kosovsko-Mitrovački okrug</v>
      </c>
      <c r="D4152" s="9" t="str">
        <f>IFERROR(__xludf.DUMMYFUNCTION("GOOGLETRANSLATE($A4152,""en"",""fr"")"),"Okrug de Kosovsko-Mitrovacki")</f>
        <v>Okrug de Kosovsko-Mitrovacki</v>
      </c>
      <c r="E4152" s="9" t="str">
        <f>IFERROR(__xludf.DUMMYFUNCTION("GOOGLETRANSLATE($A4152,""en"",""es"")"),"Distrito de Kosovsko-Mitrovački")</f>
        <v>Distrito de Kosovsko-Mitrovački</v>
      </c>
      <c r="F4152" s="9" t="str">
        <f>IFERROR(__xludf.DUMMYFUNCTION("GOOGLETRANSLATE($A4152,""en"",""it"")"),"Zona Kosovsko-Mitrovački")</f>
        <v>Zona Kosovsko-Mitrovački</v>
      </c>
      <c r="G4152" s="9" t="str">
        <f>IFERROR(__xludf.DUMMYFUNCTION("GOOGLETRANSLATE($A4152,""en"",""zh-cn"")"),"科索沃-米特罗瓦奇州")</f>
        <v>科索沃-米特罗瓦奇州</v>
      </c>
      <c r="H4152" s="9" t="str">
        <f>IFERROR(__xludf.DUMMYFUNCTION("GOOGLETRANSLATE($A4152,""en"",""ja"")"),"コソフスコ・ミトロヴァチキ教会")</f>
        <v>コソフスコ・ミトロヴァチキ教会</v>
      </c>
      <c r="I4152" s="9" t="str">
        <f>IFERROR(__xludf.DUMMYFUNCTION("GOOGLETRANSLATE($A4152,""en"",""ko"")"),"코소브스코-미트로바츠키 오크루그")</f>
        <v>코소브스코-미트로바츠키 오크루그</v>
      </c>
      <c r="J4152" s="9" t="str">
        <f>IFERROR(__xludf.DUMMYFUNCTION("GOOGLETRANSLATE($A4152,""en"",""pt-BR"")"),"Distrito de Kosovsko-Mitrovački")</f>
        <v>Distrito de Kosovsko-Mitrovački</v>
      </c>
    </row>
    <row r="4153">
      <c r="A4153" s="9" t="str">
        <f>IFERROR(__xludf.DUMMYFUNCTION("""COMPUTED_VALUE"""),"Braničevski okrug")</f>
        <v>Braničevski okrug</v>
      </c>
      <c r="B4153" s="9" t="str">
        <f>IFERROR(__xludf.DUMMYFUNCTION("""COMPUTED_VALUE"""),"rs-11")</f>
        <v>rs-11</v>
      </c>
      <c r="C4153" s="9" t="str">
        <f>IFERROR(__xludf.DUMMYFUNCTION("GOOGLETRANSLATE($A4153,""en"",""de"")"),"Braničevski okrug")</f>
        <v>Braničevski okrug</v>
      </c>
      <c r="D4153" s="9" t="str">
        <f>IFERROR(__xludf.DUMMYFUNCTION("GOOGLETRANSLATE($A4153,""en"",""fr"")"),"Okrug Branicevski")</f>
        <v>Okrug Branicevski</v>
      </c>
      <c r="E4153" s="9" t="str">
        <f>IFERROR(__xludf.DUMMYFUNCTION("GOOGLETRANSLATE($A4153,""en"",""es"")"),"Distrito de Braničevski")</f>
        <v>Distrito de Braničevski</v>
      </c>
      <c r="F4153" s="9" t="str">
        <f>IFERROR(__xludf.DUMMYFUNCTION("GOOGLETRANSLATE($A4153,""en"",""it"")"),"Distretto Braničevski")</f>
        <v>Distretto Braničevski</v>
      </c>
      <c r="G4153" s="9" t="str">
        <f>IFERROR(__xludf.DUMMYFUNCTION("GOOGLETRANSLATE($A4153,""en"",""zh-cn"")"),"布拉尼切夫斯基州")</f>
        <v>布拉尼切夫斯基州</v>
      </c>
      <c r="H4153" s="9" t="str">
        <f>IFERROR(__xludf.DUMMYFUNCTION("GOOGLETRANSLATE($A4153,""en"",""ja"")"),"ブラニチェフスキー教会")</f>
        <v>ブラニチェフスキー教会</v>
      </c>
      <c r="I4153" s="9" t="str">
        <f>IFERROR(__xludf.DUMMYFUNCTION("GOOGLETRANSLATE($A4153,""en"",""ko"")"),"브라니체브스키 오크루그")</f>
        <v>브라니체브스키 오크루그</v>
      </c>
      <c r="J4153" s="9" t="str">
        <f>IFERROR(__xludf.DUMMYFUNCTION("GOOGLETRANSLATE($A4153,""en"",""pt-BR"")"),"distrito de Braničevski")</f>
        <v>distrito de Braničevski</v>
      </c>
    </row>
    <row r="4154">
      <c r="A4154" s="9" t="str">
        <f>IFERROR(__xludf.DUMMYFUNCTION("""COMPUTED_VALUE"""),"Kosovsko-Pomoravski okrug")</f>
        <v>Kosovsko-Pomoravski okrug</v>
      </c>
      <c r="B4154" s="9" t="str">
        <f>IFERROR(__xludf.DUMMYFUNCTION("""COMPUTED_VALUE"""),"rs-29")</f>
        <v>rs-29</v>
      </c>
      <c r="C4154" s="9" t="str">
        <f>IFERROR(__xludf.DUMMYFUNCTION("GOOGLETRANSLATE($A4154,""en"",""de"")"),"Kosovsko-Pomoravski okrug")</f>
        <v>Kosovsko-Pomoravski okrug</v>
      </c>
      <c r="D4154" s="9" t="str">
        <f>IFERROR(__xludf.DUMMYFUNCTION("GOOGLETRANSLATE($A4154,""en"",""fr"")"),"Okrug du Kosovsko-Pomoravski")</f>
        <v>Okrug du Kosovsko-Pomoravski</v>
      </c>
      <c r="E4154" s="9" t="str">
        <f>IFERROR(__xludf.DUMMYFUNCTION("GOOGLETRANSLATE($A4154,""en"",""es"")"),"Distrito de Kosovsko-Pomoravski")</f>
        <v>Distrito de Kosovsko-Pomoravski</v>
      </c>
      <c r="F4154" s="9" t="str">
        <f>IFERROR(__xludf.DUMMYFUNCTION("GOOGLETRANSLATE($A4154,""en"",""it"")"),"Distretto Kosovsko-Pomoravski")</f>
        <v>Distretto Kosovsko-Pomoravski</v>
      </c>
      <c r="G4154" s="9" t="str">
        <f>IFERROR(__xludf.DUMMYFUNCTION("GOOGLETRANSLATE($A4154,""en"",""zh-cn"")"),"科索沃-波摩拉夫州")</f>
        <v>科索沃-波摩拉夫州</v>
      </c>
      <c r="H4154" s="9" t="str">
        <f>IFERROR(__xludf.DUMMYFUNCTION("GOOGLETRANSLATE($A4154,""en"",""ja"")"),"コソフスコ・ポモラフスキー・オクルグ")</f>
        <v>コソフスコ・ポモラフスキー・オクルグ</v>
      </c>
      <c r="I4154" s="9" t="str">
        <f>IFERROR(__xludf.DUMMYFUNCTION("GOOGLETRANSLATE($A4154,""en"",""ko"")"),"코소브스코-포모라브스키 오크루그")</f>
        <v>코소브스코-포모라브스키 오크루그</v>
      </c>
      <c r="J4154" s="9" t="str">
        <f>IFERROR(__xludf.DUMMYFUNCTION("GOOGLETRANSLATE($A4154,""en"",""pt-BR"")"),"Distrito de Kosovsko-Pomoravski")</f>
        <v>Distrito de Kosovsko-Pomoravski</v>
      </c>
    </row>
    <row r="4155">
      <c r="A4155" s="9" t="str">
        <f>IFERROR(__xludf.DUMMYFUNCTION("""COMPUTED_VALUE"""),"Pčinjski okrug")</f>
        <v>Pčinjski okrug</v>
      </c>
      <c r="B4155" s="9" t="str">
        <f>IFERROR(__xludf.DUMMYFUNCTION("""COMPUTED_VALUE"""),"rs-24")</f>
        <v>rs-24</v>
      </c>
      <c r="C4155" s="9" t="str">
        <f>IFERROR(__xludf.DUMMYFUNCTION("GOOGLETRANSLATE($A4155,""en"",""de"")"),"Pčinjski okrug")</f>
        <v>Pčinjski okrug</v>
      </c>
      <c r="D4155" s="9" t="str">
        <f>IFERROR(__xludf.DUMMYFUNCTION("GOOGLETRANSLATE($A4155,""en"",""fr"")"),"Okrug de Pčinjski")</f>
        <v>Okrug de Pčinjski</v>
      </c>
      <c r="E4155" s="9" t="str">
        <f>IFERROR(__xludf.DUMMYFUNCTION("GOOGLETRANSLATE($A4155,""en"",""es"")"),"Distrito de Pčinjski")</f>
        <v>Distrito de Pčinjski</v>
      </c>
      <c r="F4155" s="9" t="str">
        <f>IFERROR(__xludf.DUMMYFUNCTION("GOOGLETRANSLATE($A4155,""en"",""it"")"),"Pčinjski okrug")</f>
        <v>Pčinjski okrug</v>
      </c>
      <c r="G4155" s="9" t="str">
        <f>IFERROR(__xludf.DUMMYFUNCTION("GOOGLETRANSLATE($A4155,""en"",""zh-cn"")"),"普钦斯基州")</f>
        <v>普钦斯基州</v>
      </c>
      <c r="H4155" s="9" t="str">
        <f>IFERROR(__xludf.DUMMYFUNCTION("GOOGLETRANSLATE($A4155,""en"",""ja"")"),"プチスキ・オクルグ")</f>
        <v>プチスキ・オクルグ</v>
      </c>
      <c r="I4155" s="9" t="str">
        <f>IFERROR(__xludf.DUMMYFUNCTION("GOOGLETRANSLATE($A4155,""en"",""ko"")"),"프친스키 오크루그")</f>
        <v>프친스키 오크루그</v>
      </c>
      <c r="J4155" s="9" t="str">
        <f>IFERROR(__xludf.DUMMYFUNCTION("GOOGLETRANSLATE($A4155,""en"",""pt-BR"")"),"Okrug de Pčinjski")</f>
        <v>Okrug de Pčinjski</v>
      </c>
    </row>
    <row r="4156">
      <c r="A4156" s="9" t="str">
        <f>IFERROR(__xludf.DUMMYFUNCTION("""COMPUTED_VALUE"""),"Moravički okrug")</f>
        <v>Moravički okrug</v>
      </c>
      <c r="B4156" s="9" t="str">
        <f>IFERROR(__xludf.DUMMYFUNCTION("""COMPUTED_VALUE"""),"rs-17")</f>
        <v>rs-17</v>
      </c>
      <c r="C4156" s="9" t="str">
        <f>IFERROR(__xludf.DUMMYFUNCTION("GOOGLETRANSLATE($A4156,""en"",""de"")"),"Moravički okrug")</f>
        <v>Moravički okrug</v>
      </c>
      <c r="D4156" s="9" t="str">
        <f>IFERROR(__xludf.DUMMYFUNCTION("GOOGLETRANSLATE($A4156,""en"",""fr"")"),"District de Moravički")</f>
        <v>District de Moravički</v>
      </c>
      <c r="E4156" s="9" t="str">
        <f>IFERROR(__xludf.DUMMYFUNCTION("GOOGLETRANSLATE($A4156,""en"",""es"")"),"Distrito de Moravički")</f>
        <v>Distrito de Moravički</v>
      </c>
      <c r="F4156" s="9" t="str">
        <f>IFERROR(__xludf.DUMMYFUNCTION("GOOGLETRANSLATE($A4156,""en"",""it"")"),"Moravički okrug")</f>
        <v>Moravički okrug</v>
      </c>
      <c r="G4156" s="9" t="str">
        <f>IFERROR(__xludf.DUMMYFUNCTION("GOOGLETRANSLATE($A4156,""en"",""zh-cn"")"),"摩拉维亚州")</f>
        <v>摩拉维亚州</v>
      </c>
      <c r="H4156" s="9" t="str">
        <f>IFERROR(__xludf.DUMMYFUNCTION("GOOGLETRANSLATE($A4156,""en"",""ja"")"),"モラヴィツキ オクルグ")</f>
        <v>モラヴィツキ オクルグ</v>
      </c>
      <c r="I4156" s="9" t="str">
        <f>IFERROR(__xludf.DUMMYFUNCTION("GOOGLETRANSLATE($A4156,""en"",""ko"")"),"모라비치키 오크루그")</f>
        <v>모라비치키 오크루그</v>
      </c>
      <c r="J4156" s="9" t="str">
        <f>IFERROR(__xludf.DUMMYFUNCTION("GOOGLETRANSLATE($A4156,""en"",""pt-BR"")"),"distrito de Moravički")</f>
        <v>distrito de Moravički</v>
      </c>
    </row>
    <row r="4157">
      <c r="A4157" s="9" t="str">
        <f>IFERROR(__xludf.DUMMYFUNCTION("""COMPUTED_VALUE"""),"Šumadijski okrug")</f>
        <v>Šumadijski okrug</v>
      </c>
      <c r="B4157" s="9" t="str">
        <f>IFERROR(__xludf.DUMMYFUNCTION("""COMPUTED_VALUE"""),"rs-12")</f>
        <v>rs-12</v>
      </c>
      <c r="C4157" s="9" t="str">
        <f>IFERROR(__xludf.DUMMYFUNCTION("GOOGLETRANSLATE($A4157,""en"",""de"")"),"Šumadijski okrug")</f>
        <v>Šumadijski okrug</v>
      </c>
      <c r="D4157" s="9" t="str">
        <f>IFERROR(__xludf.DUMMYFUNCTION("GOOGLETRANSLATE($A4157,""en"",""fr"")"),"District de Sumadijski")</f>
        <v>District de Sumadijski</v>
      </c>
      <c r="E4157" s="9" t="str">
        <f>IFERROR(__xludf.DUMMYFUNCTION("GOOGLETRANSLATE($A4157,""en"",""es"")"),"Distrito de Šumadijski")</f>
        <v>Distrito de Šumadijski</v>
      </c>
      <c r="F4157" s="9" t="str">
        <f>IFERROR(__xludf.DUMMYFUNCTION("GOOGLETRANSLATE($A4157,""en"",""it"")"),"Šumadijski okrug")</f>
        <v>Šumadijski okrug</v>
      </c>
      <c r="G4157" s="9" t="str">
        <f>IFERROR(__xludf.DUMMYFUNCTION("GOOGLETRANSLATE($A4157,""en"",""zh-cn"")"),"苏马季地区")</f>
        <v>苏马季地区</v>
      </c>
      <c r="H4157" s="9" t="str">
        <f>IFERROR(__xludf.DUMMYFUNCTION("GOOGLETRANSLATE($A4157,""en"",""ja"")"),"シュマディスキ・オクルグ")</f>
        <v>シュマディスキ・オクルグ</v>
      </c>
      <c r="I4157" s="9" t="str">
        <f>IFERROR(__xludf.DUMMYFUNCTION("GOOGLETRANSLATE($A4157,""en"",""ko"")"),"슈마디스키 오크루그")</f>
        <v>슈마디스키 오크루그</v>
      </c>
      <c r="J4157" s="9" t="str">
        <f>IFERROR(__xludf.DUMMYFUNCTION("GOOGLETRANSLATE($A4157,""en"",""pt-BR"")"),"Šumadijski okrug")</f>
        <v>Šumadijski okrug</v>
      </c>
    </row>
    <row r="4158">
      <c r="A4158" s="9" t="str">
        <f>IFERROR(__xludf.DUMMYFUNCTION("""COMPUTED_VALUE"""),"Rasinski okrug")</f>
        <v>Rasinski okrug</v>
      </c>
      <c r="B4158" s="9" t="str">
        <f>IFERROR(__xludf.DUMMYFUNCTION("""COMPUTED_VALUE"""),"rs-19")</f>
        <v>rs-19</v>
      </c>
      <c r="C4158" s="9" t="str">
        <f>IFERROR(__xludf.DUMMYFUNCTION("GOOGLETRANSLATE($A4158,""en"",""de"")"),"Rasinski okrug")</f>
        <v>Rasinski okrug</v>
      </c>
      <c r="D4158" s="9" t="str">
        <f>IFERROR(__xludf.DUMMYFUNCTION("GOOGLETRANSLATE($A4158,""en"",""fr"")"),"Okrug Rasinski")</f>
        <v>Okrug Rasinski</v>
      </c>
      <c r="E4158" s="9" t="str">
        <f>IFERROR(__xludf.DUMMYFUNCTION("GOOGLETRANSLATE($A4158,""en"",""es"")"),"Distrito de Rasinski")</f>
        <v>Distrito de Rasinski</v>
      </c>
      <c r="F4158" s="9" t="str">
        <f>IFERROR(__xludf.DUMMYFUNCTION("GOOGLETRANSLATE($A4158,""en"",""it"")"),"Okrug Rasinski")</f>
        <v>Okrug Rasinski</v>
      </c>
      <c r="G4158" s="9" t="str">
        <f>IFERROR(__xludf.DUMMYFUNCTION("GOOGLETRANSLATE($A4158,""en"",""zh-cn"")"),"拉辛斯基州")</f>
        <v>拉辛斯基州</v>
      </c>
      <c r="H4158" s="9" t="str">
        <f>IFERROR(__xludf.DUMMYFUNCTION("GOOGLETRANSLATE($A4158,""en"",""ja"")"),"ラシンスキー・オクルグ")</f>
        <v>ラシンスキー・オクルグ</v>
      </c>
      <c r="I4158" s="9" t="str">
        <f>IFERROR(__xludf.DUMMYFUNCTION("GOOGLETRANSLATE($A4158,""en"",""ko"")"),"라신스키 오크루그")</f>
        <v>라신스키 오크루그</v>
      </c>
      <c r="J4158" s="9" t="str">
        <f>IFERROR(__xludf.DUMMYFUNCTION("GOOGLETRANSLATE($A4158,""en"",""pt-BR"")"),"distrito de Rasinski")</f>
        <v>distrito de Rasinski</v>
      </c>
    </row>
    <row r="4159">
      <c r="A4159" s="9" t="str">
        <f>IFERROR(__xludf.DUMMYFUNCTION("""COMPUTED_VALUE"""),"Severnobanatski okrug")</f>
        <v>Severnobanatski okrug</v>
      </c>
      <c r="B4159" s="9" t="str">
        <f>IFERROR(__xludf.DUMMYFUNCTION("""COMPUTED_VALUE"""),"rs-03")</f>
        <v>rs-03</v>
      </c>
      <c r="C4159" s="9" t="str">
        <f>IFERROR(__xludf.DUMMYFUNCTION("GOOGLETRANSLATE($A4159,""en"",""de"")"),"Severnobanatski okrug")</f>
        <v>Severnobanatski okrug</v>
      </c>
      <c r="D4159" s="9" t="str">
        <f>IFERROR(__xludf.DUMMYFUNCTION("GOOGLETRANSLATE($A4159,""en"",""fr"")"),"Okrug Severnobanatski")</f>
        <v>Okrug Severnobanatski</v>
      </c>
      <c r="E4159" s="9" t="str">
        <f>IFERROR(__xludf.DUMMYFUNCTION("GOOGLETRANSLATE($A4159,""en"",""es"")"),"Distrito de Severnobanatski")</f>
        <v>Distrito de Severnobanatski</v>
      </c>
      <c r="F4159" s="9" t="str">
        <f>IFERROR(__xludf.DUMMYFUNCTION("GOOGLETRANSLATE($A4159,""en"",""it"")"),"Severnobanatski okrug")</f>
        <v>Severnobanatski okrug</v>
      </c>
      <c r="G4159" s="9" t="str">
        <f>IFERROR(__xludf.DUMMYFUNCTION("GOOGLETRANSLATE($A4159,""en"",""zh-cn"")"),"北巴纳茨州")</f>
        <v>北巴纳茨州</v>
      </c>
      <c r="H4159" s="9" t="str">
        <f>IFERROR(__xludf.DUMMYFUNCTION("GOOGLETRANSLATE($A4159,""en"",""ja"")"),"セヴェルノバナツキ・オクルグ")</f>
        <v>セヴェルノバナツキ・オクルグ</v>
      </c>
      <c r="I4159" s="9" t="str">
        <f>IFERROR(__xludf.DUMMYFUNCTION("GOOGLETRANSLATE($A4159,""en"",""ko"")"),"세베르노바나츠키 오크루그")</f>
        <v>세베르노바나츠키 오크루그</v>
      </c>
      <c r="J4159" s="9" t="str">
        <f>IFERROR(__xludf.DUMMYFUNCTION("GOOGLETRANSLATE($A4159,""en"",""pt-BR"")"),"Distrito de Severnobanatski")</f>
        <v>Distrito de Severnobanatski</v>
      </c>
    </row>
    <row r="4160">
      <c r="A4160" s="9" t="str">
        <f>IFERROR(__xludf.DUMMYFUNCTION("""COMPUTED_VALUE"""),"Severnobački okrug")</f>
        <v>Severnobački okrug</v>
      </c>
      <c r="B4160" s="9" t="str">
        <f>IFERROR(__xludf.DUMMYFUNCTION("""COMPUTED_VALUE"""),"rs-01")</f>
        <v>rs-01</v>
      </c>
      <c r="C4160" s="9" t="str">
        <f>IFERROR(__xludf.DUMMYFUNCTION("GOOGLETRANSLATE($A4160,""en"",""de"")"),"Severnobački okrug")</f>
        <v>Severnobački okrug</v>
      </c>
      <c r="D4160" s="9" t="str">
        <f>IFERROR(__xludf.DUMMYFUNCTION("GOOGLETRANSLATE($A4160,""en"",""fr"")"),"Okrug de Severnobački")</f>
        <v>Okrug de Severnobački</v>
      </c>
      <c r="E4160" s="9" t="str">
        <f>IFERROR(__xludf.DUMMYFUNCTION("GOOGLETRANSLATE($A4160,""en"",""es"")"),"Distrito de Severnobački")</f>
        <v>Distrito de Severnobački</v>
      </c>
      <c r="F4160" s="9" t="str">
        <f>IFERROR(__xludf.DUMMYFUNCTION("GOOGLETRANSLATE($A4160,""en"",""it"")"),"Severnobački okrug")</f>
        <v>Severnobački okrug</v>
      </c>
      <c r="G4160" s="9" t="str">
        <f>IFERROR(__xludf.DUMMYFUNCTION("GOOGLETRANSLATE($A4160,""en"",""zh-cn"")"),"北巴克州")</f>
        <v>北巴克州</v>
      </c>
      <c r="H4160" s="9" t="str">
        <f>IFERROR(__xludf.DUMMYFUNCTION("GOOGLETRANSLATE($A4160,""en"",""ja"")"),"セヴェルノバチキ・オクルグ")</f>
        <v>セヴェルノバチキ・オクルグ</v>
      </c>
      <c r="I4160" s="9" t="str">
        <f>IFERROR(__xludf.DUMMYFUNCTION("GOOGLETRANSLATE($A4160,""en"",""ko"")"),"Severnobački okrug")</f>
        <v>Severnobački okrug</v>
      </c>
      <c r="J4160" s="9" t="str">
        <f>IFERROR(__xludf.DUMMYFUNCTION("GOOGLETRANSLATE($A4160,""en"",""pt-BR"")"),"Distrito de Severnobacki")</f>
        <v>Distrito de Severnobacki</v>
      </c>
    </row>
    <row r="4161">
      <c r="A4161" s="9" t="str">
        <f>IFERROR(__xludf.DUMMYFUNCTION("""COMPUTED_VALUE"""),"Južnobanatski okrug")</f>
        <v>Južnobanatski okrug</v>
      </c>
      <c r="B4161" s="9" t="str">
        <f>IFERROR(__xludf.DUMMYFUNCTION("""COMPUTED_VALUE"""),"rs-04")</f>
        <v>rs-04</v>
      </c>
      <c r="C4161" s="9" t="str">
        <f>IFERROR(__xludf.DUMMYFUNCTION("GOOGLETRANSLATE($A4161,""en"",""de"")"),"Južnobanatski okrug")</f>
        <v>Južnobanatski okrug</v>
      </c>
      <c r="D4161" s="9" t="str">
        <f>IFERROR(__xludf.DUMMYFUNCTION("GOOGLETRANSLATE($A4161,""en"",""fr"")"),"Južnobanatski okrug")</f>
        <v>Južnobanatski okrug</v>
      </c>
      <c r="E4161" s="9" t="str">
        <f>IFERROR(__xludf.DUMMYFUNCTION("GOOGLETRANSLATE($A4161,""en"",""es"")"),"Distrito de Južnobanatski")</f>
        <v>Distrito de Južnobanatski</v>
      </c>
      <c r="F4161" s="9" t="str">
        <f>IFERROR(__xludf.DUMMYFUNCTION("GOOGLETRANSLATE($A4161,""en"",""it"")"),"Južnobanatski okrug")</f>
        <v>Južnobanatski okrug</v>
      </c>
      <c r="G4161" s="9" t="str">
        <f>IFERROR(__xludf.DUMMYFUNCTION("GOOGLETRANSLATE($A4161,""en"",""zh-cn"")"),"南巴纳茨州")</f>
        <v>南巴纳茨州</v>
      </c>
      <c r="H4161" s="9" t="str">
        <f>IFERROR(__xludf.DUMMYFUNCTION("GOOGLETRANSLATE($A4161,""en"",""ja"")"),"ジュジュノバナツキ・オクルグ")</f>
        <v>ジュジュノバナツキ・オクルグ</v>
      </c>
      <c r="I4161" s="9" t="str">
        <f>IFERROR(__xludf.DUMMYFUNCTION("GOOGLETRANSLATE($A4161,""en"",""ko"")"),"Južnobanatski okrug")</f>
        <v>Južnobanatski okrug</v>
      </c>
      <c r="J4161" s="9" t="str">
        <f>IFERROR(__xludf.DUMMYFUNCTION("GOOGLETRANSLATE($A4161,""en"",""pt-BR"")"),"distrito de Južnobanatski")</f>
        <v>distrito de Južnobanatski</v>
      </c>
    </row>
    <row r="4162">
      <c r="A4162" s="9" t="str">
        <f>IFERROR(__xludf.DUMMYFUNCTION("""COMPUTED_VALUE"""),"Sremski okrug")</f>
        <v>Sremski okrug</v>
      </c>
      <c r="B4162" s="9" t="str">
        <f>IFERROR(__xludf.DUMMYFUNCTION("""COMPUTED_VALUE"""),"rs-07")</f>
        <v>rs-07</v>
      </c>
      <c r="C4162" s="9" t="str">
        <f>IFERROR(__xludf.DUMMYFUNCTION("GOOGLETRANSLATE($A4162,""en"",""de"")"),"Sremski okrug")</f>
        <v>Sremski okrug</v>
      </c>
      <c r="D4162" s="9" t="str">
        <f>IFERROR(__xludf.DUMMYFUNCTION("GOOGLETRANSLATE($A4162,""en"",""fr"")"),"District de Sremski")</f>
        <v>District de Sremski</v>
      </c>
      <c r="E4162" s="9" t="str">
        <f>IFERROR(__xludf.DUMMYFUNCTION("GOOGLETRANSLATE($A4162,""en"",""es"")"),"Distrito de Sremski")</f>
        <v>Distrito de Sremski</v>
      </c>
      <c r="F4162" s="9" t="str">
        <f>IFERROR(__xludf.DUMMYFUNCTION("GOOGLETRANSLATE($A4162,""en"",""it"")"),"Distretto di Sremski")</f>
        <v>Distretto di Sremski</v>
      </c>
      <c r="G4162" s="9" t="str">
        <f>IFERROR(__xludf.DUMMYFUNCTION("GOOGLETRANSLATE($A4162,""en"",""zh-cn"")"),"斯雷姆斯基州")</f>
        <v>斯雷姆斯基州</v>
      </c>
      <c r="H4162" s="9" t="str">
        <f>IFERROR(__xludf.DUMMYFUNCTION("GOOGLETRANSLATE($A4162,""en"",""ja"")"),"スレムスキー・オクルグ")</f>
        <v>スレムスキー・オクルグ</v>
      </c>
      <c r="I4162" s="9" t="str">
        <f>IFERROR(__xludf.DUMMYFUNCTION("GOOGLETRANSLATE($A4162,""en"",""ko"")"),"스렘스키 오크루그")</f>
        <v>스렘스키 오크루그</v>
      </c>
      <c r="J4162" s="9" t="str">
        <f>IFERROR(__xludf.DUMMYFUNCTION("GOOGLETRANSLATE($A4162,""en"",""pt-BR"")"),"Distrito de Sremski")</f>
        <v>Distrito de Sremski</v>
      </c>
    </row>
    <row r="4163">
      <c r="A4163" s="9" t="str">
        <f>IFERROR(__xludf.DUMMYFUNCTION("""COMPUTED_VALUE"""),"Kosovski okrug")</f>
        <v>Kosovski okrug</v>
      </c>
      <c r="B4163" s="9" t="str">
        <f>IFERROR(__xludf.DUMMYFUNCTION("""COMPUTED_VALUE"""),"rs-25")</f>
        <v>rs-25</v>
      </c>
      <c r="C4163" s="9" t="str">
        <f>IFERROR(__xludf.DUMMYFUNCTION("GOOGLETRANSLATE($A4163,""en"",""de"")"),"Kosovski okrug")</f>
        <v>Kosovski okrug</v>
      </c>
      <c r="D4163" s="9" t="str">
        <f>IFERROR(__xludf.DUMMYFUNCTION("GOOGLETRANSLATE($A4163,""en"",""fr"")"),"District de Kosovski")</f>
        <v>District de Kosovski</v>
      </c>
      <c r="E4163" s="9" t="str">
        <f>IFERROR(__xludf.DUMMYFUNCTION("GOOGLETRANSLATE($A4163,""en"",""es"")"),"Distrito de Kosovo")</f>
        <v>Distrito de Kosovo</v>
      </c>
      <c r="F4163" s="9" t="str">
        <f>IFERROR(__xludf.DUMMYFUNCTION("GOOGLETRANSLATE($A4163,""en"",""it"")"),"Distretto Kosovski")</f>
        <v>Distretto Kosovski</v>
      </c>
      <c r="G4163" s="9" t="str">
        <f>IFERROR(__xludf.DUMMYFUNCTION("GOOGLETRANSLATE($A4163,""en"",""zh-cn"")"),"科索沃地区")</f>
        <v>科索沃地区</v>
      </c>
      <c r="H4163" s="9" t="str">
        <f>IFERROR(__xludf.DUMMYFUNCTION("GOOGLETRANSLATE($A4163,""en"",""ja"")"),"コソフスキー教会")</f>
        <v>コソフスキー教会</v>
      </c>
      <c r="I4163" s="9" t="str">
        <f>IFERROR(__xludf.DUMMYFUNCTION("GOOGLETRANSLATE($A4163,""en"",""ko"")"),"코소브스키 오크루그")</f>
        <v>코소브스키 오크루그</v>
      </c>
      <c r="J4163" s="9" t="str">
        <f>IFERROR(__xludf.DUMMYFUNCTION("GOOGLETRANSLATE($A4163,""en"",""pt-BR"")"),"Distrito de Kosovski")</f>
        <v>Distrito de Kosovski</v>
      </c>
    </row>
    <row r="4164">
      <c r="A4164" s="9" t="str">
        <f>IFERROR(__xludf.DUMMYFUNCTION("""COMPUTED_VALUE"""),"Mačvanski okrug")</f>
        <v>Mačvanski okrug</v>
      </c>
      <c r="B4164" s="9" t="str">
        <f>IFERROR(__xludf.DUMMYFUNCTION("""COMPUTED_VALUE"""),"rs-08")</f>
        <v>rs-08</v>
      </c>
      <c r="C4164" s="9" t="str">
        <f>IFERROR(__xludf.DUMMYFUNCTION("GOOGLETRANSLATE($A4164,""en"",""de"")"),"Mačvanski okrug")</f>
        <v>Mačvanski okrug</v>
      </c>
      <c r="D4164" s="9" t="str">
        <f>IFERROR(__xludf.DUMMYFUNCTION("GOOGLETRANSLATE($A4164,""en"",""fr"")"),"Okrug Macvanski")</f>
        <v>Okrug Macvanski</v>
      </c>
      <c r="E4164" s="9" t="str">
        <f>IFERROR(__xludf.DUMMYFUNCTION("GOOGLETRANSLATE($A4164,""en"",""es"")"),"Distrito de Mačvanski")</f>
        <v>Distrito de Mačvanski</v>
      </c>
      <c r="F4164" s="9" t="str">
        <f>IFERROR(__xludf.DUMMYFUNCTION("GOOGLETRANSLATE($A4164,""en"",""it"")"),"Mačvanski okrug")</f>
        <v>Mačvanski okrug</v>
      </c>
      <c r="G4164" s="9" t="str">
        <f>IFERROR(__xludf.DUMMYFUNCTION("GOOGLETRANSLATE($A4164,""en"",""zh-cn"")"),"马奇万州")</f>
        <v>马奇万州</v>
      </c>
      <c r="H4164" s="9" t="str">
        <f>IFERROR(__xludf.DUMMYFUNCTION("GOOGLETRANSLATE($A4164,""en"",""ja"")"),"マチュヴァンスキ・オクルグ")</f>
        <v>マチュヴァンスキ・オクルグ</v>
      </c>
      <c r="I4164" s="9" t="str">
        <f>IFERROR(__xludf.DUMMYFUNCTION("GOOGLETRANSLATE($A4164,""en"",""ko"")"),"마츠반스키 오크루그")</f>
        <v>마츠반스키 오크루그</v>
      </c>
      <c r="J4164" s="9" t="str">
        <f>IFERROR(__xludf.DUMMYFUNCTION("GOOGLETRANSLATE($A4164,""en"",""pt-BR"")"),"distrito de Mačvanski")</f>
        <v>distrito de Mačvanski</v>
      </c>
    </row>
    <row r="4165">
      <c r="A4165" s="9" t="str">
        <f>IFERROR(__xludf.DUMMYFUNCTION("""COMPUTED_VALUE"""),"Kosovo-Metohija")</f>
        <v>Kosovo-Metohija</v>
      </c>
      <c r="B4165" s="9" t="str">
        <f>IFERROR(__xludf.DUMMYFUNCTION("""COMPUTED_VALUE"""),"rs-km")</f>
        <v>rs-km</v>
      </c>
      <c r="C4165" s="9" t="str">
        <f>IFERROR(__xludf.DUMMYFUNCTION("GOOGLETRANSLATE($A4165,""en"",""de"")"),"Kosovo-Metohija")</f>
        <v>Kosovo-Metohija</v>
      </c>
      <c r="D4165" s="9" t="str">
        <f>IFERROR(__xludf.DUMMYFUNCTION("GOOGLETRANSLATE($A4165,""en"",""fr"")"),"Kosovo-Metohija")</f>
        <v>Kosovo-Metohija</v>
      </c>
      <c r="E4165" s="9" t="str">
        <f>IFERROR(__xludf.DUMMYFUNCTION("GOOGLETRANSLATE($A4165,""en"",""es"")"),"Kosovo-Metohija")</f>
        <v>Kosovo-Metohija</v>
      </c>
      <c r="F4165" s="9" t="str">
        <f>IFERROR(__xludf.DUMMYFUNCTION("GOOGLETRANSLATE($A4165,""en"",""it"")"),"Kosovo-Metohija")</f>
        <v>Kosovo-Metohija</v>
      </c>
      <c r="G4165" s="9" t="str">
        <f>IFERROR(__xludf.DUMMYFUNCTION("GOOGLETRANSLATE($A4165,""en"",""zh-cn"")"),"科索沃-梅托希亚")</f>
        <v>科索沃-梅托希亚</v>
      </c>
      <c r="H4165" s="9" t="str">
        <f>IFERROR(__xludf.DUMMYFUNCTION("GOOGLETRANSLATE($A4165,""en"",""ja"")"),"コソボ・メトヒヤ")</f>
        <v>コソボ・メトヒヤ</v>
      </c>
      <c r="I4165" s="9" t="str">
        <f>IFERROR(__xludf.DUMMYFUNCTION("GOOGLETRANSLATE($A4165,""en"",""ko"")"),"코소보-메토히야")</f>
        <v>코소보-메토히야</v>
      </c>
      <c r="J4165" s="9" t="str">
        <f>IFERROR(__xludf.DUMMYFUNCTION("GOOGLETRANSLATE($A4165,""en"",""pt-BR"")"),"Kosovo-Metohija")</f>
        <v>Kosovo-Metohija</v>
      </c>
    </row>
    <row r="4166">
      <c r="A4166" s="9" t="str">
        <f>IFERROR(__xludf.DUMMYFUNCTION("""COMPUTED_VALUE"""),"Vojvodina")</f>
        <v>Vojvodina</v>
      </c>
      <c r="B4166" s="9" t="str">
        <f>IFERROR(__xludf.DUMMYFUNCTION("""COMPUTED_VALUE"""),"rs-vo")</f>
        <v>rs-vo</v>
      </c>
      <c r="C4166" s="9" t="str">
        <f>IFERROR(__xludf.DUMMYFUNCTION("GOOGLETRANSLATE($A4166,""en"",""de"")"),"Vojvodina")</f>
        <v>Vojvodina</v>
      </c>
      <c r="D4166" s="9" t="str">
        <f>IFERROR(__xludf.DUMMYFUNCTION("GOOGLETRANSLATE($A4166,""en"",""fr"")"),"Voïvodine")</f>
        <v>Voïvodine</v>
      </c>
      <c r="E4166" s="9" t="str">
        <f>IFERROR(__xludf.DUMMYFUNCTION("GOOGLETRANSLATE($A4166,""en"",""es"")"),"Voivodina")</f>
        <v>Voivodina</v>
      </c>
      <c r="F4166" s="9" t="str">
        <f>IFERROR(__xludf.DUMMYFUNCTION("GOOGLETRANSLATE($A4166,""en"",""it"")"),"Vojvodina")</f>
        <v>Vojvodina</v>
      </c>
      <c r="G4166" s="9" t="str">
        <f>IFERROR(__xludf.DUMMYFUNCTION("GOOGLETRANSLATE($A4166,""en"",""zh-cn"")"),"伏伊伏丁那省")</f>
        <v>伏伊伏丁那省</v>
      </c>
      <c r="H4166" s="9" t="str">
        <f>IFERROR(__xludf.DUMMYFUNCTION("GOOGLETRANSLATE($A4166,""en"",""ja"")"),"ヴォイヴォディナ")</f>
        <v>ヴォイヴォディナ</v>
      </c>
      <c r="I4166" s="9" t="str">
        <f>IFERROR(__xludf.DUMMYFUNCTION("GOOGLETRANSLATE($A4166,""en"",""ko"")"),"보이보디나")</f>
        <v>보이보디나</v>
      </c>
      <c r="J4166" s="9" t="str">
        <f>IFERROR(__xludf.DUMMYFUNCTION("GOOGLETRANSLATE($A4166,""en"",""pt-BR"")"),"Voivodina")</f>
        <v>Voivodina</v>
      </c>
    </row>
    <row r="4167">
      <c r="A4167" s="9" t="str">
        <f>IFERROR(__xludf.DUMMYFUNCTION("""COMPUTED_VALUE"""),"Pećki okrug")</f>
        <v>Pećki okrug</v>
      </c>
      <c r="B4167" s="9" t="str">
        <f>IFERROR(__xludf.DUMMYFUNCTION("""COMPUTED_VALUE"""),"rs-26")</f>
        <v>rs-26</v>
      </c>
      <c r="C4167" s="9" t="str">
        <f>IFERROR(__xludf.DUMMYFUNCTION("GOOGLETRANSLATE($A4167,""en"",""de"")"),"Pećki okrug")</f>
        <v>Pećki okrug</v>
      </c>
      <c r="D4167" s="9" t="str">
        <f>IFERROR(__xludf.DUMMYFUNCTION("GOOGLETRANSLATE($A4167,""en"",""fr"")"),"District de Pećki")</f>
        <v>District de Pećki</v>
      </c>
      <c r="E4167" s="9" t="str">
        <f>IFERROR(__xludf.DUMMYFUNCTION("GOOGLETRANSLATE($A4167,""en"",""es"")"),"Distrito de Pećki")</f>
        <v>Distrito de Pećki</v>
      </c>
      <c r="F4167" s="9" t="str">
        <f>IFERROR(__xludf.DUMMYFUNCTION("GOOGLETRANSLATE($A4167,""en"",""it"")"),"Pecki okrug")</f>
        <v>Pecki okrug</v>
      </c>
      <c r="G4167" s="9" t="str">
        <f>IFERROR(__xludf.DUMMYFUNCTION("GOOGLETRANSLATE($A4167,""en"",""zh-cn"")"),"佩奇州")</f>
        <v>佩奇州</v>
      </c>
      <c r="H4167" s="9" t="str">
        <f>IFERROR(__xludf.DUMMYFUNCTION("GOOGLETRANSLATE($A4167,""en"",""ja"")"),"ペキ・オクルグ")</f>
        <v>ペキ・オクルグ</v>
      </c>
      <c r="I4167" s="9" t="str">
        <f>IFERROR(__xludf.DUMMYFUNCTION("GOOGLETRANSLATE($A4167,""en"",""ko"")"),"페치 오크루그")</f>
        <v>페치 오크루그</v>
      </c>
      <c r="J4167" s="9" t="str">
        <f>IFERROR(__xludf.DUMMYFUNCTION("GOOGLETRANSLATE($A4167,""en"",""pt-BR"")"),"Pećki okrug")</f>
        <v>Pećki okrug</v>
      </c>
    </row>
    <row r="4168">
      <c r="A4168" s="9" t="str">
        <f>IFERROR(__xludf.DUMMYFUNCTION("""COMPUTED_VALUE"""),"Kolubarski okrug")</f>
        <v>Kolubarski okrug</v>
      </c>
      <c r="B4168" s="9" t="str">
        <f>IFERROR(__xludf.DUMMYFUNCTION("""COMPUTED_VALUE"""),"rs-09")</f>
        <v>rs-09</v>
      </c>
      <c r="C4168" s="9" t="str">
        <f>IFERROR(__xludf.DUMMYFUNCTION("GOOGLETRANSLATE($A4168,""en"",""de"")"),"Kolubarski okrug")</f>
        <v>Kolubarski okrug</v>
      </c>
      <c r="D4168" s="9" t="str">
        <f>IFERROR(__xludf.DUMMYFUNCTION("GOOGLETRANSLATE($A4168,""en"",""fr"")"),"Okrug Kolubarski")</f>
        <v>Okrug Kolubarski</v>
      </c>
      <c r="E4168" s="9" t="str">
        <f>IFERROR(__xludf.DUMMYFUNCTION("GOOGLETRANSLATE($A4168,""en"",""es"")"),"Distrito de Kolubarski")</f>
        <v>Distrito de Kolubarski</v>
      </c>
      <c r="F4168" s="9" t="str">
        <f>IFERROR(__xludf.DUMMYFUNCTION("GOOGLETRANSLATE($A4168,""en"",""it"")"),"Zona Kolubarski")</f>
        <v>Zona Kolubarski</v>
      </c>
      <c r="G4168" s="9" t="str">
        <f>IFERROR(__xludf.DUMMYFUNCTION("GOOGLETRANSLATE($A4168,""en"",""zh-cn"")"),"科卢巴尔地区")</f>
        <v>科卢巴尔地区</v>
      </c>
      <c r="H4168" s="9" t="str">
        <f>IFERROR(__xludf.DUMMYFUNCTION("GOOGLETRANSLATE($A4168,""en"",""ja"")"),"コルバルスキー オクルグ")</f>
        <v>コルバルスキー オクルグ</v>
      </c>
      <c r="I4168" s="9" t="str">
        <f>IFERROR(__xludf.DUMMYFUNCTION("GOOGLETRANSLATE($A4168,""en"",""ko"")"),"콜루바르스키 오크루그")</f>
        <v>콜루바르스키 오크루그</v>
      </c>
      <c r="J4168" s="9" t="str">
        <f>IFERROR(__xludf.DUMMYFUNCTION("GOOGLETRANSLATE($A4168,""en"",""pt-BR"")"),"Distrito de Kolubarski")</f>
        <v>Distrito de Kolubarski</v>
      </c>
    </row>
    <row r="4169">
      <c r="A4169" s="9" t="str">
        <f>IFERROR(__xludf.DUMMYFUNCTION("""COMPUTED_VALUE"""),"Raški okrug")</f>
        <v>Raški okrug</v>
      </c>
      <c r="B4169" s="9" t="str">
        <f>IFERROR(__xludf.DUMMYFUNCTION("""COMPUTED_VALUE"""),"rs-18")</f>
        <v>rs-18</v>
      </c>
      <c r="C4169" s="9" t="str">
        <f>IFERROR(__xludf.DUMMYFUNCTION("GOOGLETRANSLATE($A4169,""en"",""de"")"),"Raški okrug")</f>
        <v>Raški okrug</v>
      </c>
      <c r="D4169" s="9" t="str">
        <f>IFERROR(__xludf.DUMMYFUNCTION("GOOGLETRANSLATE($A4169,""en"",""fr"")"),"District de Raški")</f>
        <v>District de Raški</v>
      </c>
      <c r="E4169" s="9" t="str">
        <f>IFERROR(__xludf.DUMMYFUNCTION("GOOGLETRANSLATE($A4169,""en"",""es"")"),"Distrito de Raški")</f>
        <v>Distrito de Raški</v>
      </c>
      <c r="F4169" s="9" t="str">
        <f>IFERROR(__xludf.DUMMYFUNCTION("GOOGLETRANSLATE($A4169,""en"",""it"")"),"Raški okrug")</f>
        <v>Raški okrug</v>
      </c>
      <c r="G4169" s="9" t="str">
        <f>IFERROR(__xludf.DUMMYFUNCTION("GOOGLETRANSLATE($A4169,""en"",""zh-cn"")"),"拉什基州")</f>
        <v>拉什基州</v>
      </c>
      <c r="H4169" s="9" t="str">
        <f>IFERROR(__xludf.DUMMYFUNCTION("GOOGLETRANSLATE($A4169,""en"",""ja"")"),"ラシュキ・オクルグ")</f>
        <v>ラシュキ・オクルグ</v>
      </c>
      <c r="I4169" s="9" t="str">
        <f>IFERROR(__xludf.DUMMYFUNCTION("GOOGLETRANSLATE($A4169,""en"",""ko"")"),"라스키 오크루그")</f>
        <v>라스키 오크루그</v>
      </c>
      <c r="J4169" s="9" t="str">
        <f>IFERROR(__xludf.DUMMYFUNCTION("GOOGLETRANSLATE($A4169,""en"",""pt-BR"")"),"Ráski okrug")</f>
        <v>Ráski okrug</v>
      </c>
    </row>
    <row r="4170">
      <c r="A4170" s="9" t="str">
        <f>IFERROR(__xludf.DUMMYFUNCTION("""COMPUTED_VALUE"""),"Zapadnobački okrug")</f>
        <v>Zapadnobački okrug</v>
      </c>
      <c r="B4170" s="9" t="str">
        <f>IFERROR(__xludf.DUMMYFUNCTION("""COMPUTED_VALUE"""),"rs-05")</f>
        <v>rs-05</v>
      </c>
      <c r="C4170" s="9" t="str">
        <f>IFERROR(__xludf.DUMMYFUNCTION("GOOGLETRANSLATE($A4170,""en"",""de"")"),"Zapadnobački okrug")</f>
        <v>Zapadnobački okrug</v>
      </c>
      <c r="D4170" s="9" t="str">
        <f>IFERROR(__xludf.DUMMYFUNCTION("GOOGLETRANSLATE($A4170,""en"",""fr"")"),"District de Zapadnobački")</f>
        <v>District de Zapadnobački</v>
      </c>
      <c r="E4170" s="9" t="str">
        <f>IFERROR(__xludf.DUMMYFUNCTION("GOOGLETRANSLATE($A4170,""en"",""es"")"),"Distrito de Zapadnobački")</f>
        <v>Distrito de Zapadnobački</v>
      </c>
      <c r="F4170" s="9" t="str">
        <f>IFERROR(__xludf.DUMMYFUNCTION("GOOGLETRANSLATE($A4170,""en"",""it"")"),"Zapadnobački okrug")</f>
        <v>Zapadnobački okrug</v>
      </c>
      <c r="G4170" s="9" t="str">
        <f>IFERROR(__xludf.DUMMYFUNCTION("GOOGLETRANSLATE($A4170,""en"",""zh-cn"")"),"西帕德诺巴克州")</f>
        <v>西帕德诺巴克州</v>
      </c>
      <c r="H4170" s="9" t="str">
        <f>IFERROR(__xludf.DUMMYFUNCTION("GOOGLETRANSLATE($A4170,""en"",""ja"")"),"ザパドノバチキ・オクルグ")</f>
        <v>ザパドノバチキ・オクルグ</v>
      </c>
      <c r="I4170" s="9" t="str">
        <f>IFERROR(__xludf.DUMMYFUNCTION("GOOGLETRANSLATE($A4170,""en"",""ko"")"),"Zapadnobački okrug")</f>
        <v>Zapadnobački okrug</v>
      </c>
      <c r="J4170" s="9" t="str">
        <f>IFERROR(__xludf.DUMMYFUNCTION("GOOGLETRANSLATE($A4170,""en"",""pt-BR"")"),"Distrito de Zapadnobacki")</f>
        <v>Distrito de Zapadnobacki</v>
      </c>
    </row>
    <row r="4171">
      <c r="A4171" s="9" t="str">
        <f>IFERROR(__xludf.DUMMYFUNCTION("""COMPUTED_VALUE"""),"Pirotski okrug")</f>
        <v>Pirotski okrug</v>
      </c>
      <c r="B4171" s="9" t="str">
        <f>IFERROR(__xludf.DUMMYFUNCTION("""COMPUTED_VALUE"""),"rs-22")</f>
        <v>rs-22</v>
      </c>
      <c r="C4171" s="9" t="str">
        <f>IFERROR(__xludf.DUMMYFUNCTION("GOOGLETRANSLATE($A4171,""en"",""de"")"),"Pirotski okrug")</f>
        <v>Pirotski okrug</v>
      </c>
      <c r="D4171" s="9" t="str">
        <f>IFERROR(__xludf.DUMMYFUNCTION("GOOGLETRANSLATE($A4171,""en"",""fr"")"),"District de Pirotski")</f>
        <v>District de Pirotski</v>
      </c>
      <c r="E4171" s="9" t="str">
        <f>IFERROR(__xludf.DUMMYFUNCTION("GOOGLETRANSLATE($A4171,""en"",""es"")"),"Distrito de Pirotski")</f>
        <v>Distrito de Pirotski</v>
      </c>
      <c r="F4171" s="9" t="str">
        <f>IFERROR(__xludf.DUMMYFUNCTION("GOOGLETRANSLATE($A4171,""en"",""it"")"),"Zona Pirotski")</f>
        <v>Zona Pirotski</v>
      </c>
      <c r="G4171" s="9" t="str">
        <f>IFERROR(__xludf.DUMMYFUNCTION("GOOGLETRANSLATE($A4171,""en"",""zh-cn"")"),"皮罗茨基州")</f>
        <v>皮罗茨基州</v>
      </c>
      <c r="H4171" s="9" t="str">
        <f>IFERROR(__xludf.DUMMYFUNCTION("GOOGLETRANSLATE($A4171,""en"",""ja"")"),"ピロツキー オクルグ")</f>
        <v>ピロツキー オクルグ</v>
      </c>
      <c r="I4171" s="9" t="str">
        <f>IFERROR(__xludf.DUMMYFUNCTION("GOOGLETRANSLATE($A4171,""en"",""ko"")"),"피로츠키 오크루그")</f>
        <v>피로츠키 오크루그</v>
      </c>
      <c r="J4171" s="9" t="str">
        <f>IFERROR(__xludf.DUMMYFUNCTION("GOOGLETRANSLATE($A4171,""en"",""pt-BR"")"),"distrito de Pirotski")</f>
        <v>distrito de Pirotski</v>
      </c>
    </row>
    <row r="4172">
      <c r="A4172" s="9" t="str">
        <f>IFERROR(__xludf.DUMMYFUNCTION("""COMPUTED_VALUE"""),"La Digue")</f>
        <v>La Digue</v>
      </c>
      <c r="B4172" s="9" t="str">
        <f>IFERROR(__xludf.DUMMYFUNCTION("""COMPUTED_VALUE"""),"sc-15")</f>
        <v>sc-15</v>
      </c>
      <c r="C4172" s="9" t="str">
        <f>IFERROR(__xludf.DUMMYFUNCTION("GOOGLETRANSLATE($A4172,""en"",""de"")"),"La Digue")</f>
        <v>La Digue</v>
      </c>
      <c r="D4172" s="9" t="str">
        <f>IFERROR(__xludf.DUMMYFUNCTION("GOOGLETRANSLATE($A4172,""en"",""fr"")"),"La Digue")</f>
        <v>La Digue</v>
      </c>
      <c r="E4172" s="9" t="str">
        <f>IFERROR(__xludf.DUMMYFUNCTION("GOOGLETRANSLATE($A4172,""en"",""es"")"),"La Digue")</f>
        <v>La Digue</v>
      </c>
      <c r="F4172" s="9" t="str">
        <f>IFERROR(__xludf.DUMMYFUNCTION("GOOGLETRANSLATE($A4172,""en"",""it"")"),"La Digue")</f>
        <v>La Digue</v>
      </c>
      <c r="G4172" s="9" t="str">
        <f>IFERROR(__xludf.DUMMYFUNCTION("GOOGLETRANSLATE($A4172,""en"",""zh-cn"")"),"拉迪格岛")</f>
        <v>拉迪格岛</v>
      </c>
      <c r="H4172" s="9" t="str">
        <f>IFERROR(__xludf.DUMMYFUNCTION("GOOGLETRANSLATE($A4172,""en"",""ja"")"),"ラ・ディーグ島")</f>
        <v>ラ・ディーグ島</v>
      </c>
      <c r="I4172" s="9" t="str">
        <f>IFERROR(__xludf.DUMMYFUNCTION("GOOGLETRANSLATE($A4172,""en"",""ko"")"),"라디게")</f>
        <v>라디게</v>
      </c>
      <c r="J4172" s="9" t="str">
        <f>IFERROR(__xludf.DUMMYFUNCTION("GOOGLETRANSLATE($A4172,""en"",""pt-BR"")"),"La Digue")</f>
        <v>La Digue</v>
      </c>
    </row>
    <row r="4173">
      <c r="A4173" s="9" t="str">
        <f>IFERROR(__xludf.DUMMYFUNCTION("""COMPUTED_VALUE"""),"Grand Anse Mahe")</f>
        <v>Grand Anse Mahe</v>
      </c>
      <c r="B4173" s="9" t="str">
        <f>IFERROR(__xludf.DUMMYFUNCTION("""COMPUTED_VALUE"""),"sc-13")</f>
        <v>sc-13</v>
      </c>
      <c r="C4173" s="9" t="str">
        <f>IFERROR(__xludf.DUMMYFUNCTION("GOOGLETRANSLATE($A4173,""en"",""de"")"),"Grand Anse Mahe")</f>
        <v>Grand Anse Mahe</v>
      </c>
      <c r="D4173" s="9" t="str">
        <f>IFERROR(__xludf.DUMMYFUNCTION("GOOGLETRANSLATE($A4173,""en"",""fr"")"),"Grand Anse Mahé")</f>
        <v>Grand Anse Mahé</v>
      </c>
      <c r="E4173" s="9" t="str">
        <f>IFERROR(__xludf.DUMMYFUNCTION("GOOGLETRANSLATE($A4173,""en"",""es"")"),"Grand Anse Mahé")</f>
        <v>Grand Anse Mahé</v>
      </c>
      <c r="F4173" s="9" t="str">
        <f>IFERROR(__xludf.DUMMYFUNCTION("GOOGLETRANSLATE($A4173,""en"",""it"")"),"Grande Anse Mahé")</f>
        <v>Grande Anse Mahé</v>
      </c>
      <c r="G4173" s="9" t="str">
        <f>IFERROR(__xludf.DUMMYFUNCTION("GOOGLETRANSLATE($A4173,""en"",""zh-cn"")"),"马埃岛大安斯")</f>
        <v>马埃岛大安斯</v>
      </c>
      <c r="H4173" s="9" t="str">
        <f>IFERROR(__xludf.DUMMYFUNCTION("GOOGLETRANSLATE($A4173,""en"",""ja"")"),"グラン アンス マヘ")</f>
        <v>グラン アンス マヘ</v>
      </c>
      <c r="I4173" s="9" t="str">
        <f>IFERROR(__xludf.DUMMYFUNCTION("GOOGLETRANSLATE($A4173,""en"",""ko"")"),"그랜드 안세 마헤")</f>
        <v>그랜드 안세 마헤</v>
      </c>
      <c r="J4173" s="9" t="str">
        <f>IFERROR(__xludf.DUMMYFUNCTION("GOOGLETRANSLATE($A4173,""en"",""pt-BR"")"),"Grand Anse Mahé")</f>
        <v>Grand Anse Mahé</v>
      </c>
    </row>
    <row r="4174">
      <c r="A4174" s="9" t="str">
        <f>IFERROR(__xludf.DUMMYFUNCTION("""COMPUTED_VALUE"""),"Bel Ombre")</f>
        <v>Bel Ombre</v>
      </c>
      <c r="B4174" s="9" t="str">
        <f>IFERROR(__xludf.DUMMYFUNCTION("""COMPUTED_VALUE"""),"sc-10")</f>
        <v>sc-10</v>
      </c>
      <c r="C4174" s="9" t="str">
        <f>IFERROR(__xludf.DUMMYFUNCTION("GOOGLETRANSLATE($A4174,""en"",""de"")"),"Bel Ombre")</f>
        <v>Bel Ombre</v>
      </c>
      <c r="D4174" s="9" t="str">
        <f>IFERROR(__xludf.DUMMYFUNCTION("GOOGLETRANSLATE($A4174,""en"",""fr"")"),"Bel Ombre")</f>
        <v>Bel Ombre</v>
      </c>
      <c r="E4174" s="9" t="str">
        <f>IFERROR(__xludf.DUMMYFUNCTION("GOOGLETRANSLATE($A4174,""en"",""es"")"),"Bel-Ombre")</f>
        <v>Bel-Ombre</v>
      </c>
      <c r="F4174" s="9" t="str">
        <f>IFERROR(__xludf.DUMMYFUNCTION("GOOGLETRANSLATE($A4174,""en"",""it"")"),"Bel Ombre")</f>
        <v>Bel Ombre</v>
      </c>
      <c r="G4174" s="9" t="str">
        <f>IFERROR(__xludf.DUMMYFUNCTION("GOOGLETRANSLATE($A4174,""en"",""zh-cn"")"),"贝隆布尔")</f>
        <v>贝隆布尔</v>
      </c>
      <c r="H4174" s="9" t="str">
        <f>IFERROR(__xludf.DUMMYFUNCTION("GOOGLETRANSLATE($A4174,""en"",""ja"")"),"ベル・オンブル")</f>
        <v>ベル・オンブル</v>
      </c>
      <c r="I4174" s="9" t="str">
        <f>IFERROR(__xludf.DUMMYFUNCTION("GOOGLETRANSLATE($A4174,""en"",""ko"")"),"벨 옴브레")</f>
        <v>벨 옴브레</v>
      </c>
      <c r="J4174" s="9" t="str">
        <f>IFERROR(__xludf.DUMMYFUNCTION("GOOGLETRANSLATE($A4174,""en"",""pt-BR"")"),"Bel Ombre")</f>
        <v>Bel Ombre</v>
      </c>
    </row>
    <row r="4175">
      <c r="A4175" s="9" t="str">
        <f>IFERROR(__xludf.DUMMYFUNCTION("""COMPUTED_VALUE"""),"Port Glaud")</f>
        <v>Port Glaud</v>
      </c>
      <c r="B4175" s="9" t="str">
        <f>IFERROR(__xludf.DUMMYFUNCTION("""COMPUTED_VALUE"""),"sc-21")</f>
        <v>sc-21</v>
      </c>
      <c r="C4175" s="9" t="str">
        <f>IFERROR(__xludf.DUMMYFUNCTION("GOOGLETRANSLATE($A4175,""en"",""de"")"),"Port Glaud")</f>
        <v>Port Glaud</v>
      </c>
      <c r="D4175" s="9" t="str">
        <f>IFERROR(__xludf.DUMMYFUNCTION("GOOGLETRANSLATE($A4175,""en"",""fr"")"),"Port-Glaud")</f>
        <v>Port-Glaud</v>
      </c>
      <c r="E4175" s="9" t="str">
        <f>IFERROR(__xludf.DUMMYFUNCTION("GOOGLETRANSLATE($A4175,""en"",""es"")"),"Puerto Glaud")</f>
        <v>Puerto Glaud</v>
      </c>
      <c r="F4175" s="9" t="str">
        <f>IFERROR(__xludf.DUMMYFUNCTION("GOOGLETRANSLATE($A4175,""en"",""it"")"),"Porto Gladio")</f>
        <v>Porto Gladio</v>
      </c>
      <c r="G4175" s="9" t="str">
        <f>IFERROR(__xludf.DUMMYFUNCTION("GOOGLETRANSLATE($A4175,""en"",""zh-cn"")"),"格劳德港")</f>
        <v>格劳德港</v>
      </c>
      <c r="H4175" s="9" t="str">
        <f>IFERROR(__xludf.DUMMYFUNCTION("GOOGLETRANSLATE($A4175,""en"",""ja"")"),"ポート・グロード")</f>
        <v>ポート・グロード</v>
      </c>
      <c r="I4175" s="9" t="str">
        <f>IFERROR(__xludf.DUMMYFUNCTION("GOOGLETRANSLATE($A4175,""en"",""ko"")"),"포트 글라우드")</f>
        <v>포트 글라우드</v>
      </c>
      <c r="J4175" s="9" t="str">
        <f>IFERROR(__xludf.DUMMYFUNCTION("GOOGLETRANSLATE($A4175,""en"",""pt-BR"")"),"Porto Glaud")</f>
        <v>Porto Glaud</v>
      </c>
    </row>
    <row r="4176">
      <c r="A4176" s="9" t="str">
        <f>IFERROR(__xludf.DUMMYFUNCTION("""COMPUTED_VALUE"""),"English River")</f>
        <v>English River</v>
      </c>
      <c r="B4176" s="9" t="str">
        <f>IFERROR(__xludf.DUMMYFUNCTION("""COMPUTED_VALUE"""),"sc-16")</f>
        <v>sc-16</v>
      </c>
      <c r="C4176" s="9" t="str">
        <f>IFERROR(__xludf.DUMMYFUNCTION("GOOGLETRANSLATE($A4176,""en"",""de"")"),"Englischer Fluss")</f>
        <v>Englischer Fluss</v>
      </c>
      <c r="D4176" s="9" t="str">
        <f>IFERROR(__xludf.DUMMYFUNCTION("GOOGLETRANSLATE($A4176,""en"",""fr"")"),"Rivière anglaise")</f>
        <v>Rivière anglaise</v>
      </c>
      <c r="E4176" s="9" t="str">
        <f>IFERROR(__xludf.DUMMYFUNCTION("GOOGLETRANSLATE($A4176,""en"",""es"")"),"Río Inglés")</f>
        <v>Río Inglés</v>
      </c>
      <c r="F4176" s="9" t="str">
        <f>IFERROR(__xludf.DUMMYFUNCTION("GOOGLETRANSLATE($A4176,""en"",""it"")"),"fiume inglese")</f>
        <v>fiume inglese</v>
      </c>
      <c r="G4176" s="9" t="str">
        <f>IFERROR(__xludf.DUMMYFUNCTION("GOOGLETRANSLATE($A4176,""en"",""zh-cn"")"),"英吉利河")</f>
        <v>英吉利河</v>
      </c>
      <c r="H4176" s="9" t="str">
        <f>IFERROR(__xludf.DUMMYFUNCTION("GOOGLETRANSLATE($A4176,""en"",""ja"")"),"イングリッシュ・リバー")</f>
        <v>イングリッシュ・リバー</v>
      </c>
      <c r="I4176" s="9" t="str">
        <f>IFERROR(__xludf.DUMMYFUNCTION("GOOGLETRANSLATE($A4176,""en"",""ko"")"),"잉글리쉬 리버")</f>
        <v>잉글리쉬 리버</v>
      </c>
      <c r="J4176" s="9" t="str">
        <f>IFERROR(__xludf.DUMMYFUNCTION("GOOGLETRANSLATE($A4176,""en"",""pt-BR"")"),"Rio Inglês")</f>
        <v>Rio Inglês</v>
      </c>
    </row>
    <row r="4177">
      <c r="A4177" s="9" t="str">
        <f>IFERROR(__xludf.DUMMYFUNCTION("""COMPUTED_VALUE"""),"Au Cap")</f>
        <v>Au Cap</v>
      </c>
      <c r="B4177" s="9" t="str">
        <f>IFERROR(__xludf.DUMMYFUNCTION("""COMPUTED_VALUE"""),"sc-04")</f>
        <v>sc-04</v>
      </c>
      <c r="C4177" s="9" t="str">
        <f>IFERROR(__xludf.DUMMYFUNCTION("GOOGLETRANSLATE($A4177,""en"",""de"")"),"Au Cap")</f>
        <v>Au Cap</v>
      </c>
      <c r="D4177" s="9" t="str">
        <f>IFERROR(__xludf.DUMMYFUNCTION("GOOGLETRANSLATE($A4177,""en"",""fr"")"),"Au Cap")</f>
        <v>Au Cap</v>
      </c>
      <c r="E4177" s="9" t="str">
        <f>IFERROR(__xludf.DUMMYFUNCTION("GOOGLETRANSLATE($A4177,""en"",""es"")"),"Au Cap")</f>
        <v>Au Cap</v>
      </c>
      <c r="F4177" s="9" t="str">
        <f>IFERROR(__xludf.DUMMYFUNCTION("GOOGLETRANSLATE($A4177,""en"",""it"")"),"Au Cap")</f>
        <v>Au Cap</v>
      </c>
      <c r="G4177" s="9" t="str">
        <f>IFERROR(__xludf.DUMMYFUNCTION("GOOGLETRANSLATE($A4177,""en"",""zh-cn"")"),"金帽")</f>
        <v>金帽</v>
      </c>
      <c r="H4177" s="9" t="str">
        <f>IFERROR(__xludf.DUMMYFUNCTION("GOOGLETRANSLATE($A4177,""en"",""ja"")"),"オーキャップ")</f>
        <v>オーキャップ</v>
      </c>
      <c r="I4177" s="9" t="str">
        <f>IFERROR(__xludf.DUMMYFUNCTION("GOOGLETRANSLATE($A4177,""en"",""ko"")"),"오캡")</f>
        <v>오캡</v>
      </c>
      <c r="J4177" s="9" t="str">
        <f>IFERROR(__xludf.DUMMYFUNCTION("GOOGLETRANSLATE($A4177,""en"",""pt-BR"")"),"Boné")</f>
        <v>Boné</v>
      </c>
    </row>
    <row r="4178">
      <c r="A4178" s="9" t="str">
        <f>IFERROR(__xludf.DUMMYFUNCTION("""COMPUTED_VALUE"""),"Glacis")</f>
        <v>Glacis</v>
      </c>
      <c r="B4178" s="9" t="str">
        <f>IFERROR(__xludf.DUMMYFUNCTION("""COMPUTED_VALUE"""),"sc-12")</f>
        <v>sc-12</v>
      </c>
      <c r="C4178" s="9" t="str">
        <f>IFERROR(__xludf.DUMMYFUNCTION("GOOGLETRANSLATE($A4178,""en"",""de"")"),"Glacis")</f>
        <v>Glacis</v>
      </c>
      <c r="D4178" s="9" t="str">
        <f>IFERROR(__xludf.DUMMYFUNCTION("GOOGLETRANSLATE($A4178,""en"",""fr"")"),"Glacis")</f>
        <v>Glacis</v>
      </c>
      <c r="E4178" s="9" t="str">
        <f>IFERROR(__xludf.DUMMYFUNCTION("GOOGLETRANSLATE($A4178,""en"",""es"")"),"Glacis")</f>
        <v>Glacis</v>
      </c>
      <c r="F4178" s="9" t="str">
        <f>IFERROR(__xludf.DUMMYFUNCTION("GOOGLETRANSLATE($A4178,""en"",""it"")"),"Glacis")</f>
        <v>Glacis</v>
      </c>
      <c r="G4178" s="9" t="str">
        <f>IFERROR(__xludf.DUMMYFUNCTION("GOOGLETRANSLATE($A4178,""en"",""zh-cn"")"),"格拉西斯")</f>
        <v>格拉西斯</v>
      </c>
      <c r="H4178" s="9" t="str">
        <f>IFERROR(__xludf.DUMMYFUNCTION("GOOGLETRANSLATE($A4178,""en"",""ja"")"),"グラシス")</f>
        <v>グラシス</v>
      </c>
      <c r="I4178" s="9" t="str">
        <f>IFERROR(__xludf.DUMMYFUNCTION("GOOGLETRANSLATE($A4178,""en"",""ko"")"),"글라시스")</f>
        <v>글라시스</v>
      </c>
      <c r="J4178" s="9" t="str">
        <f>IFERROR(__xludf.DUMMYFUNCTION("GOOGLETRANSLATE($A4178,""en"",""pt-BR"")"),"Glacis")</f>
        <v>Glacis</v>
      </c>
    </row>
    <row r="4179">
      <c r="A4179" s="9" t="str">
        <f>IFERROR(__xludf.DUMMYFUNCTION("""COMPUTED_VALUE"""),"Roche Caiman")</f>
        <v>Roche Caiman</v>
      </c>
      <c r="B4179" s="9" t="str">
        <f>IFERROR(__xludf.DUMMYFUNCTION("""COMPUTED_VALUE"""),"sc-25")</f>
        <v>sc-25</v>
      </c>
      <c r="C4179" s="9" t="str">
        <f>IFERROR(__xludf.DUMMYFUNCTION("GOOGLETRANSLATE($A4179,""en"",""de"")"),"Roche Kaiman")</f>
        <v>Roche Kaiman</v>
      </c>
      <c r="D4179" s="9" t="str">
        <f>IFERROR(__xludf.DUMMYFUNCTION("GOOGLETRANSLATE($A4179,""en"",""fr"")"),"Roche Caïman")</f>
        <v>Roche Caïman</v>
      </c>
      <c r="E4179" s="9" t="str">
        <f>IFERROR(__xludf.DUMMYFUNCTION("GOOGLETRANSLATE($A4179,""en"",""es"")"),"Roche Caimán")</f>
        <v>Roche Caimán</v>
      </c>
      <c r="F4179" s="9" t="str">
        <f>IFERROR(__xludf.DUMMYFUNCTION("GOOGLETRANSLATE($A4179,""en"",""it"")"),"Roche Caimano")</f>
        <v>Roche Caimano</v>
      </c>
      <c r="G4179" s="9" t="str">
        <f>IFERROR(__xludf.DUMMYFUNCTION("GOOGLETRANSLATE($A4179,""en"",""zh-cn"")"),"罗氏凯门鳄")</f>
        <v>罗氏凯门鳄</v>
      </c>
      <c r="H4179" s="9" t="str">
        <f>IFERROR(__xludf.DUMMYFUNCTION("GOOGLETRANSLATE($A4179,""en"",""ja"")"),"ロシュ・カイマン")</f>
        <v>ロシュ・カイマン</v>
      </c>
      <c r="I4179" s="9" t="str">
        <f>IFERROR(__xludf.DUMMYFUNCTION("GOOGLETRANSLATE($A4179,""en"",""ko"")"),"로슈 카이만")</f>
        <v>로슈 카이만</v>
      </c>
      <c r="J4179" s="9" t="str">
        <f>IFERROR(__xludf.DUMMYFUNCTION("GOOGLETRANSLATE($A4179,""en"",""pt-BR"")"),"Roche Caiman")</f>
        <v>Roche Caiman</v>
      </c>
    </row>
    <row r="4180">
      <c r="A4180" s="9" t="str">
        <f>IFERROR(__xludf.DUMMYFUNCTION("""COMPUTED_VALUE"""),"Anse Boileau")</f>
        <v>Anse Boileau</v>
      </c>
      <c r="B4180" s="9" t="str">
        <f>IFERROR(__xludf.DUMMYFUNCTION("""COMPUTED_VALUE"""),"sc-02")</f>
        <v>sc-02</v>
      </c>
      <c r="C4180" s="9" t="str">
        <f>IFERROR(__xludf.DUMMYFUNCTION("GOOGLETRANSLATE($A4180,""en"",""de"")"),"Anse Boileau")</f>
        <v>Anse Boileau</v>
      </c>
      <c r="D4180" s="9" t="str">
        <f>IFERROR(__xludf.DUMMYFUNCTION("GOOGLETRANSLATE($A4180,""en"",""fr"")"),"Anse Boileau")</f>
        <v>Anse Boileau</v>
      </c>
      <c r="E4180" s="9" t="str">
        <f>IFERROR(__xludf.DUMMYFUNCTION("GOOGLETRANSLATE($A4180,""en"",""es"")"),"Anse Boileau")</f>
        <v>Anse Boileau</v>
      </c>
      <c r="F4180" s="9" t="str">
        <f>IFERROR(__xludf.DUMMYFUNCTION("GOOGLETRANSLATE($A4180,""en"",""it"")"),"Anse Boileau")</f>
        <v>Anse Boileau</v>
      </c>
      <c r="G4180" s="9" t="str">
        <f>IFERROR(__xludf.DUMMYFUNCTION("GOOGLETRANSLATE($A4180,""en"",""zh-cn"")"),"安斯布瓦洛")</f>
        <v>安斯布瓦洛</v>
      </c>
      <c r="H4180" s="9" t="str">
        <f>IFERROR(__xludf.DUMMYFUNCTION("GOOGLETRANSLATE($A4180,""en"",""ja"")"),"アンス・ボワロー")</f>
        <v>アンス・ボワロー</v>
      </c>
      <c r="I4180" s="9" t="str">
        <f>IFERROR(__xludf.DUMMYFUNCTION("GOOGLETRANSLATE($A4180,""en"",""ko"")"),"앙스 보일로")</f>
        <v>앙스 보일로</v>
      </c>
      <c r="J4180" s="9" t="str">
        <f>IFERROR(__xludf.DUMMYFUNCTION("GOOGLETRANSLATE($A4180,""en"",""pt-BR"")"),"Anse Boileau")</f>
        <v>Anse Boileau</v>
      </c>
    </row>
    <row r="4181">
      <c r="A4181" s="9" t="str">
        <f>IFERROR(__xludf.DUMMYFUNCTION("""COMPUTED_VALUE"""),"Pointe Larue")</f>
        <v>Pointe Larue</v>
      </c>
      <c r="B4181" s="9" t="str">
        <f>IFERROR(__xludf.DUMMYFUNCTION("""COMPUTED_VALUE"""),"sc-20")</f>
        <v>sc-20</v>
      </c>
      <c r="C4181" s="9" t="str">
        <f>IFERROR(__xludf.DUMMYFUNCTION("GOOGLETRANSLATE($A4181,""en"",""de"")"),"Pointe Larue")</f>
        <v>Pointe Larue</v>
      </c>
      <c r="D4181" s="9" t="str">
        <f>IFERROR(__xludf.DUMMYFUNCTION("GOOGLETRANSLATE($A4181,""en"",""fr"")"),"Pointe-Larue")</f>
        <v>Pointe-Larue</v>
      </c>
      <c r="E4181" s="9" t="str">
        <f>IFERROR(__xludf.DUMMYFUNCTION("GOOGLETRANSLATE($A4181,""en"",""es"")"),"Punta Larue")</f>
        <v>Punta Larue</v>
      </c>
      <c r="F4181" s="9" t="str">
        <f>IFERROR(__xludf.DUMMYFUNCTION("GOOGLETRANSLATE($A4181,""en"",""it"")"),"Pointe Larue")</f>
        <v>Pointe Larue</v>
      </c>
      <c r="G4181" s="9" t="str">
        <f>IFERROR(__xludf.DUMMYFUNCTION("GOOGLETRANSLATE($A4181,""en"",""zh-cn"")"),"拉鲁角")</f>
        <v>拉鲁角</v>
      </c>
      <c r="H4181" s="9" t="str">
        <f>IFERROR(__xludf.DUMMYFUNCTION("GOOGLETRANSLATE($A4181,""en"",""ja"")"),"ポワント ラルー")</f>
        <v>ポワント ラルー</v>
      </c>
      <c r="I4181" s="9" t="str">
        <f>IFERROR(__xludf.DUMMYFUNCTION("GOOGLETRANSLATE($A4181,""en"",""ko"")"),"푸앵트 라루")</f>
        <v>푸앵트 라루</v>
      </c>
      <c r="J4181" s="9" t="str">
        <f>IFERROR(__xludf.DUMMYFUNCTION("GOOGLETRANSLATE($A4181,""en"",""pt-BR"")"),"Pointe Larue")</f>
        <v>Pointe Larue</v>
      </c>
    </row>
    <row r="4182">
      <c r="A4182" s="9" t="str">
        <f>IFERROR(__xludf.DUMMYFUNCTION("""COMPUTED_VALUE"""),"Anse Etoile")</f>
        <v>Anse Etoile</v>
      </c>
      <c r="B4182" s="9" t="str">
        <f>IFERROR(__xludf.DUMMYFUNCTION("""COMPUTED_VALUE"""),"sc-03")</f>
        <v>sc-03</v>
      </c>
      <c r="C4182" s="9" t="str">
        <f>IFERROR(__xludf.DUMMYFUNCTION("GOOGLETRANSLATE($A4182,""en"",""de"")"),"Anse Etoile")</f>
        <v>Anse Etoile</v>
      </c>
      <c r="D4182" s="9" t="str">
        <f>IFERROR(__xludf.DUMMYFUNCTION("GOOGLETRANSLATE($A4182,""en"",""fr"")"),"Anse Étoile")</f>
        <v>Anse Étoile</v>
      </c>
      <c r="E4182" s="9" t="str">
        <f>IFERROR(__xludf.DUMMYFUNCTION("GOOGLETRANSLATE($A4182,""en"",""es"")"),"Anse Étoile")</f>
        <v>Anse Étoile</v>
      </c>
      <c r="F4182" s="9" t="str">
        <f>IFERROR(__xludf.DUMMYFUNCTION("GOOGLETRANSLATE($A4182,""en"",""it"")"),"Anse Etoile")</f>
        <v>Anse Etoile</v>
      </c>
      <c r="G4182" s="9" t="str">
        <f>IFERROR(__xludf.DUMMYFUNCTION("GOOGLETRANSLATE($A4182,""en"",""zh-cn"")"),"安斯埃托瓦勒")</f>
        <v>安斯埃托瓦勒</v>
      </c>
      <c r="H4182" s="9" t="str">
        <f>IFERROR(__xludf.DUMMYFUNCTION("GOOGLETRANSLATE($A4182,""en"",""ja"")"),"アンス・エトワール")</f>
        <v>アンス・エトワール</v>
      </c>
      <c r="I4182" s="9" t="str">
        <f>IFERROR(__xludf.DUMMYFUNCTION("GOOGLETRANSLATE($A4182,""en"",""ko"")"),"앙스 에투알")</f>
        <v>앙스 에투알</v>
      </c>
      <c r="J4182" s="9" t="str">
        <f>IFERROR(__xludf.DUMMYFUNCTION("GOOGLETRANSLATE($A4182,""en"",""pt-BR"")"),"Anse Étoile")</f>
        <v>Anse Étoile</v>
      </c>
    </row>
    <row r="4183">
      <c r="A4183" s="9" t="str">
        <f>IFERROR(__xludf.DUMMYFUNCTION("""COMPUTED_VALUE"""),"Takamaka")</f>
        <v>Takamaka</v>
      </c>
      <c r="B4183" s="9" t="str">
        <f>IFERROR(__xludf.DUMMYFUNCTION("""COMPUTED_VALUE"""),"sc-23")</f>
        <v>sc-23</v>
      </c>
      <c r="C4183" s="9" t="str">
        <f>IFERROR(__xludf.DUMMYFUNCTION("GOOGLETRANSLATE($A4183,""en"",""de"")"),"Takamaka")</f>
        <v>Takamaka</v>
      </c>
      <c r="D4183" s="9" t="str">
        <f>IFERROR(__xludf.DUMMYFUNCTION("GOOGLETRANSLATE($A4183,""en"",""fr"")"),"Takamaka")</f>
        <v>Takamaka</v>
      </c>
      <c r="E4183" s="9" t="str">
        <f>IFERROR(__xludf.DUMMYFUNCTION("GOOGLETRANSLATE($A4183,""en"",""es"")"),"Takamaka")</f>
        <v>Takamaka</v>
      </c>
      <c r="F4183" s="9" t="str">
        <f>IFERROR(__xludf.DUMMYFUNCTION("GOOGLETRANSLATE($A4183,""en"",""it"")"),"Takamaka")</f>
        <v>Takamaka</v>
      </c>
      <c r="G4183" s="9" t="str">
        <f>IFERROR(__xludf.DUMMYFUNCTION("GOOGLETRANSLATE($A4183,""en"",""zh-cn"")"),"塔卡马卡")</f>
        <v>塔卡马卡</v>
      </c>
      <c r="H4183" s="9" t="str">
        <f>IFERROR(__xludf.DUMMYFUNCTION("GOOGLETRANSLATE($A4183,""en"",""ja"")"),"タカマカ")</f>
        <v>タカマカ</v>
      </c>
      <c r="I4183" s="9" t="str">
        <f>IFERROR(__xludf.DUMMYFUNCTION("GOOGLETRANSLATE($A4183,""en"",""ko"")"),"타카마카")</f>
        <v>타카마카</v>
      </c>
      <c r="J4183" s="9" t="str">
        <f>IFERROR(__xludf.DUMMYFUNCTION("GOOGLETRANSLATE($A4183,""en"",""pt-BR"")"),"Takamaka")</f>
        <v>Takamaka</v>
      </c>
    </row>
    <row r="4184">
      <c r="A4184" s="9" t="str">
        <f>IFERROR(__xludf.DUMMYFUNCTION("""COMPUTED_VALUE"""),"Mont Fleuri")</f>
        <v>Mont Fleuri</v>
      </c>
      <c r="B4184" s="9" t="str">
        <f>IFERROR(__xludf.DUMMYFUNCTION("""COMPUTED_VALUE"""),"sc-18")</f>
        <v>sc-18</v>
      </c>
      <c r="C4184" s="9" t="str">
        <f>IFERROR(__xludf.DUMMYFUNCTION("GOOGLETRANSLATE($A4184,""en"",""de"")"),"Mont Fleuri")</f>
        <v>Mont Fleuri</v>
      </c>
      <c r="D4184" s="9" t="str">
        <f>IFERROR(__xludf.DUMMYFUNCTION("GOOGLETRANSLATE($A4184,""en"",""fr"")"),"Mont-Fleuri")</f>
        <v>Mont-Fleuri</v>
      </c>
      <c r="E4184" s="9" t="str">
        <f>IFERROR(__xludf.DUMMYFUNCTION("GOOGLETRANSLATE($A4184,""en"",""es"")"),"Monte Fleuri")</f>
        <v>Monte Fleuri</v>
      </c>
      <c r="F4184" s="9" t="str">
        <f>IFERROR(__xludf.DUMMYFUNCTION("GOOGLETRANSLATE($A4184,""en"",""it"")"),"Monte Fleuri")</f>
        <v>Monte Fleuri</v>
      </c>
      <c r="G4184" s="9" t="str">
        <f>IFERROR(__xludf.DUMMYFUNCTION("GOOGLETRANSLATE($A4184,""en"",""zh-cn"")"),"弗勒里山")</f>
        <v>弗勒里山</v>
      </c>
      <c r="H4184" s="9" t="str">
        <f>IFERROR(__xludf.DUMMYFUNCTION("GOOGLETRANSLATE($A4184,""en"",""ja"")"),"モン・フルーリ")</f>
        <v>モン・フルーリ</v>
      </c>
      <c r="I4184" s="9" t="str">
        <f>IFERROR(__xludf.DUMMYFUNCTION("GOOGLETRANSLATE($A4184,""en"",""ko"")"),"몽 플뢰리")</f>
        <v>몽 플뢰리</v>
      </c>
      <c r="J4184" s="9" t="str">
        <f>IFERROR(__xludf.DUMMYFUNCTION("GOOGLETRANSLATE($A4184,""en"",""pt-BR"")"),"Monte Fleuri")</f>
        <v>Monte Fleuri</v>
      </c>
    </row>
    <row r="4185">
      <c r="A4185" s="9" t="str">
        <f>IFERROR(__xludf.DUMMYFUNCTION("""COMPUTED_VALUE"""),"Anse aux Pins")</f>
        <v>Anse aux Pins</v>
      </c>
      <c r="B4185" s="9" t="str">
        <f>IFERROR(__xludf.DUMMYFUNCTION("""COMPUTED_VALUE"""),"sc-01")</f>
        <v>sc-01</v>
      </c>
      <c r="C4185" s="9" t="str">
        <f>IFERROR(__xludf.DUMMYFUNCTION("GOOGLETRANSLATE($A4185,""en"",""de"")"),"Anse aux Pins")</f>
        <v>Anse aux Pins</v>
      </c>
      <c r="D4185" s="9" t="str">
        <f>IFERROR(__xludf.DUMMYFUNCTION("GOOGLETRANSLATE($A4185,""en"",""fr"")"),"Anse aux Pins")</f>
        <v>Anse aux Pins</v>
      </c>
      <c r="E4185" s="9" t="str">
        <f>IFERROR(__xludf.DUMMYFUNCTION("GOOGLETRANSLATE($A4185,""en"",""es"")"),"Anse aux Pines")</f>
        <v>Anse aux Pines</v>
      </c>
      <c r="F4185" s="9" t="str">
        <f>IFERROR(__xludf.DUMMYFUNCTION("GOOGLETRANSLATE($A4185,""en"",""it"")"),"Anse aux Pins")</f>
        <v>Anse aux Pins</v>
      </c>
      <c r="G4185" s="9" t="str">
        <f>IFERROR(__xludf.DUMMYFUNCTION("GOOGLETRANSLATE($A4185,""en"",""zh-cn"")"),"安斯奥潘斯")</f>
        <v>安斯奥潘斯</v>
      </c>
      <c r="H4185" s="9" t="str">
        <f>IFERROR(__xludf.DUMMYFUNCTION("GOOGLETRANSLATE($A4185,""en"",""ja"")"),"アンス・オ・パン")</f>
        <v>アンス・オ・パン</v>
      </c>
      <c r="I4185" s="9" t="str">
        <f>IFERROR(__xludf.DUMMYFUNCTION("GOOGLETRANSLATE($A4185,""en"",""ko"")"),"Anse 보조 핀")</f>
        <v>Anse 보조 핀</v>
      </c>
      <c r="J4185" s="9" t="str">
        <f>IFERROR(__xludf.DUMMYFUNCTION("GOOGLETRANSLATE($A4185,""en"",""pt-BR"")"),"Anse aux Pins")</f>
        <v>Anse aux Pins</v>
      </c>
    </row>
    <row r="4186">
      <c r="A4186" s="9" t="str">
        <f>IFERROR(__xludf.DUMMYFUNCTION("""COMPUTED_VALUE"""),"Anse Royale")</f>
        <v>Anse Royale</v>
      </c>
      <c r="B4186" s="9" t="str">
        <f>IFERROR(__xludf.DUMMYFUNCTION("""COMPUTED_VALUE"""),"sc-05")</f>
        <v>sc-05</v>
      </c>
      <c r="C4186" s="9" t="str">
        <f>IFERROR(__xludf.DUMMYFUNCTION("GOOGLETRANSLATE($A4186,""en"",""de"")"),"Anse Royale")</f>
        <v>Anse Royale</v>
      </c>
      <c r="D4186" s="9" t="str">
        <f>IFERROR(__xludf.DUMMYFUNCTION("GOOGLETRANSLATE($A4186,""en"",""fr"")"),"Anse Royale")</f>
        <v>Anse Royale</v>
      </c>
      <c r="E4186" s="9" t="str">
        <f>IFERROR(__xludf.DUMMYFUNCTION("GOOGLETRANSLATE($A4186,""en"",""es"")"),"Anse Real")</f>
        <v>Anse Real</v>
      </c>
      <c r="F4186" s="9" t="str">
        <f>IFERROR(__xludf.DUMMYFUNCTION("GOOGLETRANSLATE($A4186,""en"",""it"")"),"Anse Royale")</f>
        <v>Anse Royale</v>
      </c>
      <c r="G4186" s="9" t="str">
        <f>IFERROR(__xludf.DUMMYFUNCTION("GOOGLETRANSLATE($A4186,""en"",""zh-cn"")"),"皇家沙滩")</f>
        <v>皇家沙滩</v>
      </c>
      <c r="H4186" s="9" t="str">
        <f>IFERROR(__xludf.DUMMYFUNCTION("GOOGLETRANSLATE($A4186,""en"",""ja"")"),"アンセ・ロワイヤル")</f>
        <v>アンセ・ロワイヤル</v>
      </c>
      <c r="I4186" s="9" t="str">
        <f>IFERROR(__xludf.DUMMYFUNCTION("GOOGLETRANSLATE($A4186,""en"",""ko"")"),"앙스 로얄")</f>
        <v>앙스 로얄</v>
      </c>
      <c r="J4186" s="9" t="str">
        <f>IFERROR(__xludf.DUMMYFUNCTION("GOOGLETRANSLATE($A4186,""en"",""pt-BR"")"),"Anse Royale")</f>
        <v>Anse Royale</v>
      </c>
    </row>
    <row r="4187">
      <c r="A4187" s="9" t="str">
        <f>IFERROR(__xludf.DUMMYFUNCTION("""COMPUTED_VALUE"""),"Baie Sainte Anne")</f>
        <v>Baie Sainte Anne</v>
      </c>
      <c r="B4187" s="9" t="str">
        <f>IFERROR(__xludf.DUMMYFUNCTION("""COMPUTED_VALUE"""),"sc-07")</f>
        <v>sc-07</v>
      </c>
      <c r="C4187" s="9" t="str">
        <f>IFERROR(__xludf.DUMMYFUNCTION("GOOGLETRANSLATE($A4187,""en"",""de"")"),"Baie Sainte Anne")</f>
        <v>Baie Sainte Anne</v>
      </c>
      <c r="D4187" s="9" t="str">
        <f>IFERROR(__xludf.DUMMYFUNCTION("GOOGLETRANSLATE($A4187,""en"",""fr"")"),"Baie Sainte-Anne")</f>
        <v>Baie Sainte-Anne</v>
      </c>
      <c r="E4187" s="9" t="str">
        <f>IFERROR(__xludf.DUMMYFUNCTION("GOOGLETRANSLATE($A4187,""en"",""es"")"),"Bahía de Santa Ana")</f>
        <v>Bahía de Santa Ana</v>
      </c>
      <c r="F4187" s="9" t="str">
        <f>IFERROR(__xludf.DUMMYFUNCTION("GOOGLETRANSLATE($A4187,""en"",""it"")"),"Baie Sainte Anne")</f>
        <v>Baie Sainte Anne</v>
      </c>
      <c r="G4187" s="9" t="str">
        <f>IFERROR(__xludf.DUMMYFUNCTION("GOOGLETRANSLATE($A4187,""en"",""zh-cn"")"),"圣安妮湾")</f>
        <v>圣安妮湾</v>
      </c>
      <c r="H4187" s="9" t="str">
        <f>IFERROR(__xludf.DUMMYFUNCTION("GOOGLETRANSLATE($A4187,""en"",""ja"")"),"ベ・セント・アンヌ")</f>
        <v>ベ・セント・アンヌ</v>
      </c>
      <c r="I4187" s="9" t="str">
        <f>IFERROR(__xludf.DUMMYFUNCTION("GOOGLETRANSLATE($A4187,""en"",""ko"")"),"바이 생트 안느")</f>
        <v>바이 생트 안느</v>
      </c>
      <c r="J4187" s="9" t="str">
        <f>IFERROR(__xludf.DUMMYFUNCTION("GOOGLETRANSLATE($A4187,""en"",""pt-BR"")"),"Baie Sainte Anne")</f>
        <v>Baie Sainte Anne</v>
      </c>
    </row>
    <row r="4188">
      <c r="A4188" s="9" t="str">
        <f>IFERROR(__xludf.DUMMYFUNCTION("""COMPUTED_VALUE"""),"Bel Air")</f>
        <v>Bel Air</v>
      </c>
      <c r="B4188" s="9" t="str">
        <f>IFERROR(__xludf.DUMMYFUNCTION("""COMPUTED_VALUE"""),"sc-09")</f>
        <v>sc-09</v>
      </c>
      <c r="C4188" s="9" t="str">
        <f>IFERROR(__xludf.DUMMYFUNCTION("GOOGLETRANSLATE($A4188,""en"",""de"")"),"Bel Air")</f>
        <v>Bel Air</v>
      </c>
      <c r="D4188" s="9" t="str">
        <f>IFERROR(__xludf.DUMMYFUNCTION("GOOGLETRANSLATE($A4188,""en"",""fr"")"),"Bel-Air")</f>
        <v>Bel-Air</v>
      </c>
      <c r="E4188" s="9" t="str">
        <f>IFERROR(__xludf.DUMMYFUNCTION("GOOGLETRANSLATE($A4188,""en"",""es"")"),"Bel Air")</f>
        <v>Bel Air</v>
      </c>
      <c r="F4188" s="9" t="str">
        <f>IFERROR(__xludf.DUMMYFUNCTION("GOOGLETRANSLATE($A4188,""en"",""it"")"),"Bel Air")</f>
        <v>Bel Air</v>
      </c>
      <c r="G4188" s="9" t="str">
        <f>IFERROR(__xludf.DUMMYFUNCTION("GOOGLETRANSLATE($A4188,""en"",""zh-cn"")"),"贝莱尔")</f>
        <v>贝莱尔</v>
      </c>
      <c r="H4188" s="9" t="str">
        <f>IFERROR(__xludf.DUMMYFUNCTION("GOOGLETRANSLATE($A4188,""en"",""ja"")"),"ベルエア")</f>
        <v>ベルエア</v>
      </c>
      <c r="I4188" s="9" t="str">
        <f>IFERROR(__xludf.DUMMYFUNCTION("GOOGLETRANSLATE($A4188,""en"",""ko"")"),"벨에어")</f>
        <v>벨에어</v>
      </c>
      <c r="J4188" s="9" t="str">
        <f>IFERROR(__xludf.DUMMYFUNCTION("GOOGLETRANSLATE($A4188,""en"",""pt-BR"")"),"Bel-Air")</f>
        <v>Bel-Air</v>
      </c>
    </row>
    <row r="4189">
      <c r="A4189" s="9" t="str">
        <f>IFERROR(__xludf.DUMMYFUNCTION("""COMPUTED_VALUE"""),"Mont Buxton")</f>
        <v>Mont Buxton</v>
      </c>
      <c r="B4189" s="9" t="str">
        <f>IFERROR(__xludf.DUMMYFUNCTION("""COMPUTED_VALUE"""),"sc-17")</f>
        <v>sc-17</v>
      </c>
      <c r="C4189" s="9" t="str">
        <f>IFERROR(__xludf.DUMMYFUNCTION("GOOGLETRANSLATE($A4189,""en"",""de"")"),"Mont Buxton")</f>
        <v>Mont Buxton</v>
      </c>
      <c r="D4189" s="9" t="str">
        <f>IFERROR(__xludf.DUMMYFUNCTION("GOOGLETRANSLATE($A4189,""en"",""fr"")"),"Mont Buxton")</f>
        <v>Mont Buxton</v>
      </c>
      <c r="E4189" s="9" t="str">
        <f>IFERROR(__xludf.DUMMYFUNCTION("GOOGLETRANSLATE($A4189,""en"",""es"")"),"Monte Buxton")</f>
        <v>Monte Buxton</v>
      </c>
      <c r="F4189" s="9" t="str">
        <f>IFERROR(__xludf.DUMMYFUNCTION("GOOGLETRANSLATE($A4189,""en"",""it"")"),"Monte Buxton")</f>
        <v>Monte Buxton</v>
      </c>
      <c r="G4189" s="9" t="str">
        <f>IFERROR(__xludf.DUMMYFUNCTION("GOOGLETRANSLATE($A4189,""en"",""zh-cn"")"),"巴克斯顿山")</f>
        <v>巴克斯顿山</v>
      </c>
      <c r="H4189" s="9" t="str">
        <f>IFERROR(__xludf.DUMMYFUNCTION("GOOGLETRANSLATE($A4189,""en"",""ja"")"),"モン・バクストン")</f>
        <v>モン・バクストン</v>
      </c>
      <c r="I4189" s="9" t="str">
        <f>IFERROR(__xludf.DUMMYFUNCTION("GOOGLETRANSLATE($A4189,""en"",""ko"")"),"몽 벅스턴")</f>
        <v>몽 벅스턴</v>
      </c>
      <c r="J4189" s="9" t="str">
        <f>IFERROR(__xludf.DUMMYFUNCTION("GOOGLETRANSLATE($A4189,""en"",""pt-BR"")"),"Monte Buxton")</f>
        <v>Monte Buxton</v>
      </c>
    </row>
    <row r="4190">
      <c r="A4190" s="9" t="str">
        <f>IFERROR(__xludf.DUMMYFUNCTION("""COMPUTED_VALUE"""),"Cascade")</f>
        <v>Cascade</v>
      </c>
      <c r="B4190" s="9" t="str">
        <f>IFERROR(__xludf.DUMMYFUNCTION("""COMPUTED_VALUE"""),"sc-11")</f>
        <v>sc-11</v>
      </c>
      <c r="C4190" s="9" t="str">
        <f>IFERROR(__xludf.DUMMYFUNCTION("GOOGLETRANSLATE($A4190,""en"",""de"")"),"Kaskade")</f>
        <v>Kaskade</v>
      </c>
      <c r="D4190" s="9" t="str">
        <f>IFERROR(__xludf.DUMMYFUNCTION("GOOGLETRANSLATE($A4190,""en"",""fr"")"),"Cascade")</f>
        <v>Cascade</v>
      </c>
      <c r="E4190" s="9" t="str">
        <f>IFERROR(__xludf.DUMMYFUNCTION("GOOGLETRANSLATE($A4190,""en"",""es"")"),"Cascada")</f>
        <v>Cascada</v>
      </c>
      <c r="F4190" s="9" t="str">
        <f>IFERROR(__xludf.DUMMYFUNCTION("GOOGLETRANSLATE($A4190,""en"",""it"")"),"Cascata")</f>
        <v>Cascata</v>
      </c>
      <c r="G4190" s="9" t="str">
        <f>IFERROR(__xludf.DUMMYFUNCTION("GOOGLETRANSLATE($A4190,""en"",""zh-cn"")"),"级联")</f>
        <v>级联</v>
      </c>
      <c r="H4190" s="9" t="str">
        <f>IFERROR(__xludf.DUMMYFUNCTION("GOOGLETRANSLATE($A4190,""en"",""ja"")"),"カスケード")</f>
        <v>カスケード</v>
      </c>
      <c r="I4190" s="9" t="str">
        <f>IFERROR(__xludf.DUMMYFUNCTION("GOOGLETRANSLATE($A4190,""en"",""ko"")"),"종속")</f>
        <v>종속</v>
      </c>
      <c r="J4190" s="9" t="str">
        <f>IFERROR(__xludf.DUMMYFUNCTION("GOOGLETRANSLATE($A4190,""en"",""pt-BR"")"),"Cascata")</f>
        <v>Cascata</v>
      </c>
    </row>
    <row r="4191">
      <c r="A4191" s="9" t="str">
        <f>IFERROR(__xludf.DUMMYFUNCTION("""COMPUTED_VALUE"""),"Beau Vallon")</f>
        <v>Beau Vallon</v>
      </c>
      <c r="B4191" s="9" t="str">
        <f>IFERROR(__xludf.DUMMYFUNCTION("""COMPUTED_VALUE"""),"sc-08")</f>
        <v>sc-08</v>
      </c>
      <c r="C4191" s="9" t="str">
        <f>IFERROR(__xludf.DUMMYFUNCTION("GOOGLETRANSLATE($A4191,""en"",""de"")"),"Beau Vallon")</f>
        <v>Beau Vallon</v>
      </c>
      <c r="D4191" s="9" t="str">
        <f>IFERROR(__xludf.DUMMYFUNCTION("GOOGLETRANSLATE($A4191,""en"",""fr"")"),"Beau Vallon")</f>
        <v>Beau Vallon</v>
      </c>
      <c r="E4191" s="9" t="str">
        <f>IFERROR(__xludf.DUMMYFUNCTION("GOOGLETRANSLATE($A4191,""en"",""es"")"),"Beau Vallon")</f>
        <v>Beau Vallon</v>
      </c>
      <c r="F4191" s="9" t="str">
        <f>IFERROR(__xludf.DUMMYFUNCTION("GOOGLETRANSLATE($A4191,""en"",""it"")"),"Beau Vallon")</f>
        <v>Beau Vallon</v>
      </c>
      <c r="G4191" s="9" t="str">
        <f>IFERROR(__xludf.DUMMYFUNCTION("GOOGLETRANSLATE($A4191,""en"",""zh-cn"")"),"博瓦隆")</f>
        <v>博瓦隆</v>
      </c>
      <c r="H4191" s="9" t="str">
        <f>IFERROR(__xludf.DUMMYFUNCTION("GOOGLETRANSLATE($A4191,""en"",""ja"")"),"ボー・ヴァロン")</f>
        <v>ボー・ヴァロン</v>
      </c>
      <c r="I4191" s="9" t="str">
        <f>IFERROR(__xludf.DUMMYFUNCTION("GOOGLETRANSLATE($A4191,""en"",""ko"")"),"보 발롱")</f>
        <v>보 발롱</v>
      </c>
      <c r="J4191" s="9" t="str">
        <f>IFERROR(__xludf.DUMMYFUNCTION("GOOGLETRANSLATE($A4191,""en"",""pt-BR"")"),"Beau Vallon")</f>
        <v>Beau Vallon</v>
      </c>
    </row>
    <row r="4192">
      <c r="A4192" s="9" t="str">
        <f>IFERROR(__xludf.DUMMYFUNCTION("""COMPUTED_VALUE"""),"Saint Louis")</f>
        <v>Saint Louis</v>
      </c>
      <c r="B4192" s="9" t="str">
        <f>IFERROR(__xludf.DUMMYFUNCTION("""COMPUTED_VALUE"""),"sc-22")</f>
        <v>sc-22</v>
      </c>
      <c r="C4192" s="9" t="str">
        <f>IFERROR(__xludf.DUMMYFUNCTION("GOOGLETRANSLATE($A4192,""en"",""de"")"),"Saint Louis")</f>
        <v>Saint Louis</v>
      </c>
      <c r="D4192" s="9" t="str">
        <f>IFERROR(__xludf.DUMMYFUNCTION("GOOGLETRANSLATE($A4192,""en"",""fr"")"),"Saint-Louis")</f>
        <v>Saint-Louis</v>
      </c>
      <c r="E4192" s="9" t="str">
        <f>IFERROR(__xludf.DUMMYFUNCTION("GOOGLETRANSLATE($A4192,""en"",""es"")"),"San Luis")</f>
        <v>San Luis</v>
      </c>
      <c r="F4192" s="9" t="str">
        <f>IFERROR(__xludf.DUMMYFUNCTION("GOOGLETRANSLATE($A4192,""en"",""it"")"),"San Luigi")</f>
        <v>San Luigi</v>
      </c>
      <c r="G4192" s="9" t="str">
        <f>IFERROR(__xludf.DUMMYFUNCTION("GOOGLETRANSLATE($A4192,""en"",""zh-cn"")"),"圣路易斯")</f>
        <v>圣路易斯</v>
      </c>
      <c r="H4192" s="9" t="str">
        <f>IFERROR(__xludf.DUMMYFUNCTION("GOOGLETRANSLATE($A4192,""en"",""ja"")"),"セントルイス")</f>
        <v>セントルイス</v>
      </c>
      <c r="I4192" s="9" t="str">
        <f>IFERROR(__xludf.DUMMYFUNCTION("GOOGLETRANSLATE($A4192,""en"",""ko"")"),"세인트 루이스")</f>
        <v>세인트 루이스</v>
      </c>
      <c r="J4192" s="9" t="str">
        <f>IFERROR(__xludf.DUMMYFUNCTION("GOOGLETRANSLATE($A4192,""en"",""pt-BR"")"),"São Luís")</f>
        <v>São Luís</v>
      </c>
    </row>
    <row r="4193">
      <c r="A4193" s="9" t="str">
        <f>IFERROR(__xludf.DUMMYFUNCTION("""COMPUTED_VALUE"""),"Les Mamelles")</f>
        <v>Les Mamelles</v>
      </c>
      <c r="B4193" s="9" t="str">
        <f>IFERROR(__xludf.DUMMYFUNCTION("""COMPUTED_VALUE"""),"sc-24")</f>
        <v>sc-24</v>
      </c>
      <c r="C4193" s="9" t="str">
        <f>IFERROR(__xludf.DUMMYFUNCTION("GOOGLETRANSLATE($A4193,""en"",""de"")"),"Les Mamelles")</f>
        <v>Les Mamelles</v>
      </c>
      <c r="D4193" s="9" t="str">
        <f>IFERROR(__xludf.DUMMYFUNCTION("GOOGLETRANSLATE($A4193,""en"",""fr"")"),"Les Mamelles")</f>
        <v>Les Mamelles</v>
      </c>
      <c r="E4193" s="9" t="str">
        <f>IFERROR(__xludf.DUMMYFUNCTION("GOOGLETRANSLATE($A4193,""en"",""es"")"),"Les Mamelles")</f>
        <v>Les Mamelles</v>
      </c>
      <c r="F4193" s="9" t="str">
        <f>IFERROR(__xludf.DUMMYFUNCTION("GOOGLETRANSLATE($A4193,""en"",""it"")"),"Les Mamelles")</f>
        <v>Les Mamelles</v>
      </c>
      <c r="G4193" s="9" t="str">
        <f>IFERROR(__xludf.DUMMYFUNCTION("GOOGLETRANSLATE($A4193,""en"",""zh-cn"")"),"马梅尔斯")</f>
        <v>马梅尔斯</v>
      </c>
      <c r="H4193" s="9" t="str">
        <f>IFERROR(__xludf.DUMMYFUNCTION("GOOGLETRANSLATE($A4193,""en"",""ja"")"),"レ・マメル")</f>
        <v>レ・マメル</v>
      </c>
      <c r="I4193" s="9" t="str">
        <f>IFERROR(__xludf.DUMMYFUNCTION("GOOGLETRANSLATE($A4193,""en"",""ko"")"),"레 마멜")</f>
        <v>레 마멜</v>
      </c>
      <c r="J4193" s="9" t="str">
        <f>IFERROR(__xludf.DUMMYFUNCTION("GOOGLETRANSLATE($A4193,""en"",""pt-BR"")"),"Les Mamelles")</f>
        <v>Les Mamelles</v>
      </c>
    </row>
    <row r="4194">
      <c r="A4194" s="9" t="str">
        <f>IFERROR(__xludf.DUMMYFUNCTION("""COMPUTED_VALUE"""),"Plaisance")</f>
        <v>Plaisance</v>
      </c>
      <c r="B4194" s="9" t="str">
        <f>IFERROR(__xludf.DUMMYFUNCTION("""COMPUTED_VALUE"""),"sc-19")</f>
        <v>sc-19</v>
      </c>
      <c r="C4194" s="9" t="str">
        <f>IFERROR(__xludf.DUMMYFUNCTION("GOOGLETRANSLATE($A4194,""en"",""de"")"),"Gefälligkeit")</f>
        <v>Gefälligkeit</v>
      </c>
      <c r="D4194" s="9" t="str">
        <f>IFERROR(__xludf.DUMMYFUNCTION("GOOGLETRANSLATE($A4194,""en"",""fr"")"),"Plaisir")</f>
        <v>Plaisir</v>
      </c>
      <c r="E4194" s="9" t="str">
        <f>IFERROR(__xludf.DUMMYFUNCTION("GOOGLETRANSLATE($A4194,""en"",""es"")"),"Plaisance")</f>
        <v>Plaisance</v>
      </c>
      <c r="F4194" s="9" t="str">
        <f>IFERROR(__xludf.DUMMYFUNCTION("GOOGLETRANSLATE($A4194,""en"",""it"")"),"Piacere")</f>
        <v>Piacere</v>
      </c>
      <c r="G4194" s="9" t="str">
        <f>IFERROR(__xludf.DUMMYFUNCTION("GOOGLETRANSLATE($A4194,""en"",""zh-cn"")"),"普莱桑斯")</f>
        <v>普莱桑斯</v>
      </c>
      <c r="H4194" s="9" t="str">
        <f>IFERROR(__xludf.DUMMYFUNCTION("GOOGLETRANSLATE($A4194,""en"",""ja"")"),"プレザンス")</f>
        <v>プレザンス</v>
      </c>
      <c r="I4194" s="9" t="str">
        <f>IFERROR(__xludf.DUMMYFUNCTION("GOOGLETRANSLATE($A4194,""en"",""ko"")"),"플레종스")</f>
        <v>플레종스</v>
      </c>
      <c r="J4194" s="9" t="str">
        <f>IFERROR(__xludf.DUMMYFUNCTION("GOOGLETRANSLATE($A4194,""en"",""pt-BR"")"),"Plaisance")</f>
        <v>Plaisance</v>
      </c>
    </row>
    <row r="4195">
      <c r="A4195" s="9" t="str">
        <f>IFERROR(__xludf.DUMMYFUNCTION("""COMPUTED_VALUE"""),"Baie Lazare")</f>
        <v>Baie Lazare</v>
      </c>
      <c r="B4195" s="9" t="str">
        <f>IFERROR(__xludf.DUMMYFUNCTION("""COMPUTED_VALUE"""),"sc-06")</f>
        <v>sc-06</v>
      </c>
      <c r="C4195" s="9" t="str">
        <f>IFERROR(__xludf.DUMMYFUNCTION("GOOGLETRANSLATE($A4195,""en"",""de"")"),"Baie Lazare")</f>
        <v>Baie Lazare</v>
      </c>
      <c r="D4195" s="9" t="str">
        <f>IFERROR(__xludf.DUMMYFUNCTION("GOOGLETRANSLATE($A4195,""en"",""fr"")"),"Baie Lazare")</f>
        <v>Baie Lazare</v>
      </c>
      <c r="E4195" s="9" t="str">
        <f>IFERROR(__xludf.DUMMYFUNCTION("GOOGLETRANSLATE($A4195,""en"",""es"")"),"Bahía Lazare")</f>
        <v>Bahía Lazare</v>
      </c>
      <c r="F4195" s="9" t="str">
        <f>IFERROR(__xludf.DUMMYFUNCTION("GOOGLETRANSLATE($A4195,""en"",""it"")"),"Baie Lazare")</f>
        <v>Baie Lazare</v>
      </c>
      <c r="G4195" s="9" t="str">
        <f>IFERROR(__xludf.DUMMYFUNCTION("GOOGLETRANSLATE($A4195,""en"",""zh-cn"")"),"贝拉扎尔区")</f>
        <v>贝拉扎尔区</v>
      </c>
      <c r="H4195" s="9" t="str">
        <f>IFERROR(__xludf.DUMMYFUNCTION("GOOGLETRANSLATE($A4195,""en"",""ja"")"),"ベ・ラザール")</f>
        <v>ベ・ラザール</v>
      </c>
      <c r="I4195" s="9" t="str">
        <f>IFERROR(__xludf.DUMMYFUNCTION("GOOGLETRANSLATE($A4195,""en"",""ko"")"),"바이 라자르")</f>
        <v>바이 라자르</v>
      </c>
      <c r="J4195" s="9" t="str">
        <f>IFERROR(__xludf.DUMMYFUNCTION("GOOGLETRANSLATE($A4195,""en"",""pt-BR"")"),"Baie Lazare")</f>
        <v>Baie Lazare</v>
      </c>
    </row>
    <row r="4196">
      <c r="A4196" s="9" t="str">
        <f>IFERROR(__xludf.DUMMYFUNCTION("""COMPUTED_VALUE"""),"Grand Anse Praslin")</f>
        <v>Grand Anse Praslin</v>
      </c>
      <c r="B4196" s="9" t="str">
        <f>IFERROR(__xludf.DUMMYFUNCTION("""COMPUTED_VALUE"""),"sc-14")</f>
        <v>sc-14</v>
      </c>
      <c r="C4196" s="9" t="str">
        <f>IFERROR(__xludf.DUMMYFUNCTION("GOOGLETRANSLATE($A4196,""en"",""de"")"),"Grand Anse Praslin")</f>
        <v>Grand Anse Praslin</v>
      </c>
      <c r="D4196" s="9" t="str">
        <f>IFERROR(__xludf.DUMMYFUNCTION("GOOGLETRANSLATE($A4196,""en"",""fr"")"),"Grande Anse Praslin")</f>
        <v>Grande Anse Praslin</v>
      </c>
      <c r="E4196" s="9" t="str">
        <f>IFERROR(__xludf.DUMMYFUNCTION("GOOGLETRANSLATE($A4196,""en"",""es"")"),"Gran Anse Praslin")</f>
        <v>Gran Anse Praslin</v>
      </c>
      <c r="F4196" s="9" t="str">
        <f>IFERROR(__xludf.DUMMYFUNCTION("GOOGLETRANSLATE($A4196,""en"",""it"")"),"Grande Anse Praslin")</f>
        <v>Grande Anse Praslin</v>
      </c>
      <c r="G4196" s="9" t="str">
        <f>IFERROR(__xludf.DUMMYFUNCTION("GOOGLETRANSLATE($A4196,""en"",""zh-cn"")"),"普拉兰大安塞区")</f>
        <v>普拉兰大安塞区</v>
      </c>
      <c r="H4196" s="9" t="str">
        <f>IFERROR(__xludf.DUMMYFUNCTION("GOOGLETRANSLATE($A4196,""en"",""ja"")"),"グラン アンス プララン")</f>
        <v>グラン アンス プララン</v>
      </c>
      <c r="I4196" s="9" t="str">
        <f>IFERROR(__xludf.DUMMYFUNCTION("GOOGLETRANSLATE($A4196,""en"",""ko"")"),"그랜드 앙스 프레슬린")</f>
        <v>그랜드 앙스 프레슬린</v>
      </c>
      <c r="J4196" s="9" t="str">
        <f>IFERROR(__xludf.DUMMYFUNCTION("GOOGLETRANSLATE($A4196,""en"",""pt-BR"")"),"Grande Anse Praslin")</f>
        <v>Grande Anse Praslin</v>
      </c>
    </row>
    <row r="4197">
      <c r="A4197" s="9" t="str">
        <f>IFERROR(__xludf.DUMMYFUNCTION("""COMPUTED_VALUE"""),"Western Area (Freetown)")</f>
        <v>Western Area (Freetown)</v>
      </c>
      <c r="B4197" s="9" t="str">
        <f>IFERROR(__xludf.DUMMYFUNCTION("""COMPUTED_VALUE"""),"sl-w")</f>
        <v>sl-w</v>
      </c>
      <c r="C4197" s="9" t="str">
        <f>IFERROR(__xludf.DUMMYFUNCTION("GOOGLETRANSLATE($A4197,""en"",""de"")"),"Westlicher Bereich (Freetown)")</f>
        <v>Westlicher Bereich (Freetown)</v>
      </c>
      <c r="D4197" s="9" t="str">
        <f>IFERROR(__xludf.DUMMYFUNCTION("GOOGLETRANSLATE($A4197,""en"",""fr"")"),"Zone Ouest (Freetown)")</f>
        <v>Zone Ouest (Freetown)</v>
      </c>
      <c r="E4197" s="9" t="str">
        <f>IFERROR(__xludf.DUMMYFUNCTION("GOOGLETRANSLATE($A4197,""en"",""es"")"),"Área occidental (Freetown)")</f>
        <v>Área occidental (Freetown)</v>
      </c>
      <c r="F4197" s="9" t="str">
        <f>IFERROR(__xludf.DUMMYFUNCTION("GOOGLETRANSLATE($A4197,""en"",""it"")"),"Area occidentale (Freetown)")</f>
        <v>Area occidentale (Freetown)</v>
      </c>
      <c r="G4197" s="9" t="str">
        <f>IFERROR(__xludf.DUMMYFUNCTION("GOOGLETRANSLATE($A4197,""en"",""zh-cn"")"),"西部地区（弗里敦）")</f>
        <v>西部地区（弗里敦）</v>
      </c>
      <c r="H4197" s="9" t="str">
        <f>IFERROR(__xludf.DUMMYFUNCTION("GOOGLETRANSLATE($A4197,""en"",""ja"")"),"西部エリア（フリータウン）")</f>
        <v>西部エリア（フリータウン）</v>
      </c>
      <c r="I4197" s="9" t="str">
        <f>IFERROR(__xludf.DUMMYFUNCTION("GOOGLETRANSLATE($A4197,""en"",""ko"")"),"서부 지역(프리타운)")</f>
        <v>서부 지역(프리타운)</v>
      </c>
      <c r="J4197" s="9" t="str">
        <f>IFERROR(__xludf.DUMMYFUNCTION("GOOGLETRANSLATE($A4197,""en"",""pt-BR"")"),"Área Oeste (Freetown)")</f>
        <v>Área Oeste (Freetown)</v>
      </c>
    </row>
    <row r="4198">
      <c r="A4198" s="9" t="str">
        <f>IFERROR(__xludf.DUMMYFUNCTION("""COMPUTED_VALUE"""),"Eastern (SL)")</f>
        <v>Eastern (SL)</v>
      </c>
      <c r="B4198" s="9" t="str">
        <f>IFERROR(__xludf.DUMMYFUNCTION("""COMPUTED_VALUE"""),"sl-e")</f>
        <v>sl-e</v>
      </c>
      <c r="C4198" s="9" t="str">
        <f>IFERROR(__xludf.DUMMYFUNCTION("GOOGLETRANSLATE($A4198,""en"",""de"")"),"Osten (SL)")</f>
        <v>Osten (SL)</v>
      </c>
      <c r="D4198" s="9" t="str">
        <f>IFERROR(__xludf.DUMMYFUNCTION("GOOGLETRANSLATE($A4198,""en"",""fr"")"),"Est (SL)")</f>
        <v>Est (SL)</v>
      </c>
      <c r="E4198" s="9" t="str">
        <f>IFERROR(__xludf.DUMMYFUNCTION("GOOGLETRANSLATE($A4198,""en"",""es"")"),"Este (SL)")</f>
        <v>Este (SL)</v>
      </c>
      <c r="F4198" s="9" t="str">
        <f>IFERROR(__xludf.DUMMYFUNCTION("GOOGLETRANSLATE($A4198,""en"",""it"")"),"Orientale (SL)")</f>
        <v>Orientale (SL)</v>
      </c>
      <c r="G4198" s="9" t="str">
        <f>IFERROR(__xludf.DUMMYFUNCTION("GOOGLETRANSLATE($A4198,""en"",""zh-cn"")"),"东部 (SL)")</f>
        <v>东部 (SL)</v>
      </c>
      <c r="H4198" s="9" t="str">
        <f>IFERROR(__xludf.DUMMYFUNCTION("GOOGLETRANSLATE($A4198,""en"",""ja"")"),"東部 (SL)")</f>
        <v>東部 (SL)</v>
      </c>
      <c r="I4198" s="9" t="str">
        <f>IFERROR(__xludf.DUMMYFUNCTION("GOOGLETRANSLATE($A4198,""en"",""ko"")"),"동부(SL)")</f>
        <v>동부(SL)</v>
      </c>
      <c r="J4198" s="9" t="str">
        <f>IFERROR(__xludf.DUMMYFUNCTION("GOOGLETRANSLATE($A4198,""en"",""pt-BR"")"),"Leste (SL)")</f>
        <v>Leste (SL)</v>
      </c>
    </row>
    <row r="4199">
      <c r="A4199" s="9" t="str">
        <f>IFERROR(__xludf.DUMMYFUNCTION("""COMPUTED_VALUE"""),"Southern (SL)")</f>
        <v>Southern (SL)</v>
      </c>
      <c r="B4199" s="9" t="str">
        <f>IFERROR(__xludf.DUMMYFUNCTION("""COMPUTED_VALUE"""),"sl-s")</f>
        <v>sl-s</v>
      </c>
      <c r="C4199" s="9" t="str">
        <f>IFERROR(__xludf.DUMMYFUNCTION("GOOGLETRANSLATE($A4199,""en"",""de"")"),"Süd (SL)")</f>
        <v>Süd (SL)</v>
      </c>
      <c r="D4199" s="9" t="str">
        <f>IFERROR(__xludf.DUMMYFUNCTION("GOOGLETRANSLATE($A4199,""en"",""fr"")"),"Sud (SL)")</f>
        <v>Sud (SL)</v>
      </c>
      <c r="E4199" s="9" t="str">
        <f>IFERROR(__xludf.DUMMYFUNCTION("GOOGLETRANSLATE($A4199,""en"",""es"")"),"Sur (SL)")</f>
        <v>Sur (SL)</v>
      </c>
      <c r="F4199" s="9" t="str">
        <f>IFERROR(__xludf.DUMMYFUNCTION("GOOGLETRANSLATE($A4199,""en"",""it"")"),"Sud (SL)")</f>
        <v>Sud (SL)</v>
      </c>
      <c r="G4199" s="9" t="str">
        <f>IFERROR(__xludf.DUMMYFUNCTION("GOOGLETRANSLATE($A4199,""en"",""zh-cn"")"),"南部 (SL)")</f>
        <v>南部 (SL)</v>
      </c>
      <c r="H4199" s="9" t="str">
        <f>IFERROR(__xludf.DUMMYFUNCTION("GOOGLETRANSLATE($A4199,""en"",""ja"")"),"南部（SL）")</f>
        <v>南部（SL）</v>
      </c>
      <c r="I4199" s="9" t="str">
        <f>IFERROR(__xludf.DUMMYFUNCTION("GOOGLETRANSLATE($A4199,""en"",""ko"")"),"남부(SL)")</f>
        <v>남부(SL)</v>
      </c>
      <c r="J4199" s="9" t="str">
        <f>IFERROR(__xludf.DUMMYFUNCTION("GOOGLETRANSLATE($A4199,""en"",""pt-BR"")"),"Sul (SL)")</f>
        <v>Sul (SL)</v>
      </c>
    </row>
    <row r="4200">
      <c r="A4200" s="9" t="str">
        <f>IFERROR(__xludf.DUMMYFUNCTION("""COMPUTED_VALUE"""),"North Western")</f>
        <v>North Western</v>
      </c>
      <c r="B4200" s="9" t="str">
        <f>IFERROR(__xludf.DUMMYFUNCTION("""COMPUTED_VALUE"""),"sl-nw")</f>
        <v>sl-nw</v>
      </c>
      <c r="C4200" s="9" t="str">
        <f>IFERROR(__xludf.DUMMYFUNCTION("GOOGLETRANSLATE($A4200,""en"",""de"")"),"Nordwesten")</f>
        <v>Nordwesten</v>
      </c>
      <c r="D4200" s="9" t="str">
        <f>IFERROR(__xludf.DUMMYFUNCTION("GOOGLETRANSLATE($A4200,""en"",""fr"")"),"Nord-Ouest")</f>
        <v>Nord-Ouest</v>
      </c>
      <c r="E4200" s="9" t="str">
        <f>IFERROR(__xludf.DUMMYFUNCTION("GOOGLETRANSLATE($A4200,""en"",""es"")"),"Noroeste")</f>
        <v>Noroeste</v>
      </c>
      <c r="F4200" s="9" t="str">
        <f>IFERROR(__xludf.DUMMYFUNCTION("GOOGLETRANSLATE($A4200,""en"",""it"")"),"Nord occidentale")</f>
        <v>Nord occidentale</v>
      </c>
      <c r="G4200" s="9" t="str">
        <f>IFERROR(__xludf.DUMMYFUNCTION("GOOGLETRANSLATE($A4200,""en"",""zh-cn"")"),"西北")</f>
        <v>西北</v>
      </c>
      <c r="H4200" s="9" t="str">
        <f>IFERROR(__xludf.DUMMYFUNCTION("GOOGLETRANSLATE($A4200,""en"",""ja"")"),"北西部")</f>
        <v>北西部</v>
      </c>
      <c r="I4200" s="9" t="str">
        <f>IFERROR(__xludf.DUMMYFUNCTION("GOOGLETRANSLATE($A4200,""en"",""ko"")"),"북서부")</f>
        <v>북서부</v>
      </c>
      <c r="J4200" s="9" t="str">
        <f>IFERROR(__xludf.DUMMYFUNCTION("GOOGLETRANSLATE($A4200,""en"",""pt-BR"")"),"Noroeste")</f>
        <v>Noroeste</v>
      </c>
    </row>
    <row r="4201">
      <c r="A4201" s="9" t="str">
        <f>IFERROR(__xludf.DUMMYFUNCTION("""COMPUTED_VALUE"""),"Northern (SL) - province of Sierra Leone")</f>
        <v>Northern (SL) - province of Sierra Leone</v>
      </c>
      <c r="B4201" s="9" t="str">
        <f>IFERROR(__xludf.DUMMYFUNCTION("""COMPUTED_VALUE"""),"sl-n")</f>
        <v>sl-n</v>
      </c>
      <c r="C4201" s="9" t="str">
        <f>IFERROR(__xludf.DUMMYFUNCTION("GOOGLETRANSLATE($A4201,""en"",""de"")"),"Northern (SL) – Provinz Sierra Leone")</f>
        <v>Northern (SL) – Provinz Sierra Leone</v>
      </c>
      <c r="D4201" s="9" t="str">
        <f>IFERROR(__xludf.DUMMYFUNCTION("GOOGLETRANSLATE($A4201,""en"",""fr"")"),"Nord (SL) - province de Sierra Leone")</f>
        <v>Nord (SL) - province de Sierra Leone</v>
      </c>
      <c r="E4201" s="9" t="str">
        <f>IFERROR(__xludf.DUMMYFUNCTION("GOOGLETRANSLATE($A4201,""en"",""es"")"),"Norte (SL) - provincia de Sierra Leona")</f>
        <v>Norte (SL) - provincia de Sierra Leona</v>
      </c>
      <c r="F4201" s="9" t="str">
        <f>IFERROR(__xludf.DUMMYFUNCTION("GOOGLETRANSLATE($A4201,""en"",""it"")"),"Nord (SL) - provincia della Sierra Leone")</f>
        <v>Nord (SL) - provincia della Sierra Leone</v>
      </c>
      <c r="G4201" s="9" t="str">
        <f>IFERROR(__xludf.DUMMYFUNCTION("GOOGLETRANSLATE($A4201,""en"",""zh-cn"")"),"北部 (SL) - 塞拉利昂省")</f>
        <v>北部 (SL) - 塞拉利昂省</v>
      </c>
      <c r="H4201" s="9" t="str">
        <f>IFERROR(__xludf.DUMMYFUNCTION("GOOGLETRANSLATE($A4201,""en"",""ja"")"),"北部 (SL) - シエラレオネ州")</f>
        <v>北部 (SL) - シエラレオネ州</v>
      </c>
      <c r="I4201" s="9" t="str">
        <f>IFERROR(__xludf.DUMMYFUNCTION("GOOGLETRANSLATE($A4201,""en"",""ko"")"),"북부(SL) - 시에라리온 주")</f>
        <v>북부(SL) - 시에라리온 주</v>
      </c>
      <c r="J4201" s="9" t="str">
        <f>IFERROR(__xludf.DUMMYFUNCTION("GOOGLETRANSLATE($A4201,""en"",""pt-BR"")"),"Norte (SL) - província de Serra Leoa")</f>
        <v>Norte (SL) - província de Serra Leoa</v>
      </c>
    </row>
    <row r="4202">
      <c r="A4202" s="9" t="str">
        <f>IFERROR(__xludf.DUMMYFUNCTION("""COMPUTED_VALUE"""),"North West Singapore")</f>
        <v>North West Singapore</v>
      </c>
      <c r="B4202" s="9" t="str">
        <f>IFERROR(__xludf.DUMMYFUNCTION("""COMPUTED_VALUE"""),"sg-03")</f>
        <v>sg-03</v>
      </c>
      <c r="C4202" s="9" t="str">
        <f>IFERROR(__xludf.DUMMYFUNCTION("GOOGLETRANSLATE($A4202,""en"",""de"")"),"Nordwest-Singapur")</f>
        <v>Nordwest-Singapur</v>
      </c>
      <c r="D4202" s="9" t="str">
        <f>IFERROR(__xludf.DUMMYFUNCTION("GOOGLETRANSLATE($A4202,""en"",""fr"")"),"Nord-Ouest de Singapour")</f>
        <v>Nord-Ouest de Singapour</v>
      </c>
      <c r="E4202" s="9" t="str">
        <f>IFERROR(__xludf.DUMMYFUNCTION("GOOGLETRANSLATE($A4202,""en"",""es"")"),"Noroeste de Singapur")</f>
        <v>Noroeste de Singapur</v>
      </c>
      <c r="F4202" s="9" t="str">
        <f>IFERROR(__xludf.DUMMYFUNCTION("GOOGLETRANSLATE($A4202,""en"",""it"")"),"Singapore nordoccidentale")</f>
        <v>Singapore nordoccidentale</v>
      </c>
      <c r="G4202" s="9" t="str">
        <f>IFERROR(__xludf.DUMMYFUNCTION("GOOGLETRANSLATE($A4202,""en"",""zh-cn"")"),"新加坡西北区")</f>
        <v>新加坡西北区</v>
      </c>
      <c r="H4202" s="9" t="str">
        <f>IFERROR(__xludf.DUMMYFUNCTION("GOOGLETRANSLATE($A4202,""en"",""ja"")"),"シンガポール北西部")</f>
        <v>シンガポール北西部</v>
      </c>
      <c r="I4202" s="9" t="str">
        <f>IFERROR(__xludf.DUMMYFUNCTION("GOOGLETRANSLATE($A4202,""en"",""ko"")"),"노스 웨스트 싱가포르")</f>
        <v>노스 웨스트 싱가포르</v>
      </c>
      <c r="J4202" s="9" t="str">
        <f>IFERROR(__xludf.DUMMYFUNCTION("GOOGLETRANSLATE($A4202,""en"",""pt-BR"")"),"Noroeste de Singapura")</f>
        <v>Noroeste de Singapura</v>
      </c>
    </row>
    <row r="4203">
      <c r="A4203" s="9" t="str">
        <f>IFERROR(__xludf.DUMMYFUNCTION("""COMPUTED_VALUE"""),"South East Singapore")</f>
        <v>South East Singapore</v>
      </c>
      <c r="B4203" s="9" t="str">
        <f>IFERROR(__xludf.DUMMYFUNCTION("""COMPUTED_VALUE"""),"sg-04")</f>
        <v>sg-04</v>
      </c>
      <c r="C4203" s="9" t="str">
        <f>IFERROR(__xludf.DUMMYFUNCTION("GOOGLETRANSLATE($A4203,""en"",""de"")"),"Südost-Singapur")</f>
        <v>Südost-Singapur</v>
      </c>
      <c r="D4203" s="9" t="str">
        <f>IFERROR(__xludf.DUMMYFUNCTION("GOOGLETRANSLATE($A4203,""en"",""fr"")"),"Sud-Est de Singapour")</f>
        <v>Sud-Est de Singapour</v>
      </c>
      <c r="E4203" s="9" t="str">
        <f>IFERROR(__xludf.DUMMYFUNCTION("GOOGLETRANSLATE($A4203,""en"",""es"")"),"Sudeste de Singapur")</f>
        <v>Sudeste de Singapur</v>
      </c>
      <c r="F4203" s="9" t="str">
        <f>IFERROR(__xludf.DUMMYFUNCTION("GOOGLETRANSLATE($A4203,""en"",""it"")"),"Singapore sud-orientale")</f>
        <v>Singapore sud-orientale</v>
      </c>
      <c r="G4203" s="9" t="str">
        <f>IFERROR(__xludf.DUMMYFUNCTION("GOOGLETRANSLATE($A4203,""en"",""zh-cn"")"),"新加坡东南部")</f>
        <v>新加坡东南部</v>
      </c>
      <c r="H4203" s="9" t="str">
        <f>IFERROR(__xludf.DUMMYFUNCTION("GOOGLETRANSLATE($A4203,""en"",""ja"")"),"シンガポール南東部")</f>
        <v>シンガポール南東部</v>
      </c>
      <c r="I4203" s="9" t="str">
        <f>IFERROR(__xludf.DUMMYFUNCTION("GOOGLETRANSLATE($A4203,""en"",""ko"")"),"싱가포르 남동부")</f>
        <v>싱가포르 남동부</v>
      </c>
      <c r="J4203" s="9" t="str">
        <f>IFERROR(__xludf.DUMMYFUNCTION("GOOGLETRANSLATE($A4203,""en"",""pt-BR"")"),"Sudeste de Singapura")</f>
        <v>Sudeste de Singapura</v>
      </c>
    </row>
    <row r="4204">
      <c r="A4204" s="9" t="str">
        <f>IFERROR(__xludf.DUMMYFUNCTION("""COMPUTED_VALUE"""),"Central Singapore")</f>
        <v>Central Singapore</v>
      </c>
      <c r="B4204" s="9" t="str">
        <f>IFERROR(__xludf.DUMMYFUNCTION("""COMPUTED_VALUE"""),"sg-01")</f>
        <v>sg-01</v>
      </c>
      <c r="C4204" s="9" t="str">
        <f>IFERROR(__xludf.DUMMYFUNCTION("GOOGLETRANSLATE($A4204,""en"",""de"")"),"Zentrales Singapur")</f>
        <v>Zentrales Singapur</v>
      </c>
      <c r="D4204" s="9" t="str">
        <f>IFERROR(__xludf.DUMMYFUNCTION("GOOGLETRANSLATE($A4204,""en"",""fr"")"),"Centre de Singapour")</f>
        <v>Centre de Singapour</v>
      </c>
      <c r="E4204" s="9" t="str">
        <f>IFERROR(__xludf.DUMMYFUNCTION("GOOGLETRANSLATE($A4204,""en"",""es"")"),"Singapur central")</f>
        <v>Singapur central</v>
      </c>
      <c r="F4204" s="9" t="str">
        <f>IFERROR(__xludf.DUMMYFUNCTION("GOOGLETRANSLATE($A4204,""en"",""it"")"),"Singapore centrale")</f>
        <v>Singapore centrale</v>
      </c>
      <c r="G4204" s="9" t="str">
        <f>IFERROR(__xludf.DUMMYFUNCTION("GOOGLETRANSLATE($A4204,""en"",""zh-cn"")"),"新加坡中部")</f>
        <v>新加坡中部</v>
      </c>
      <c r="H4204" s="9" t="str">
        <f>IFERROR(__xludf.DUMMYFUNCTION("GOOGLETRANSLATE($A4204,""en"",""ja"")"),"シンガポール中心部")</f>
        <v>シンガポール中心部</v>
      </c>
      <c r="I4204" s="9" t="str">
        <f>IFERROR(__xludf.DUMMYFUNCTION("GOOGLETRANSLATE($A4204,""en"",""ko"")"),"싱가포르 중부")</f>
        <v>싱가포르 중부</v>
      </c>
      <c r="J4204" s="9" t="str">
        <f>IFERROR(__xludf.DUMMYFUNCTION("GOOGLETRANSLATE($A4204,""en"",""pt-BR"")"),"Centro de Singapura")</f>
        <v>Centro de Singapura</v>
      </c>
    </row>
    <row r="4205">
      <c r="A4205" s="9" t="str">
        <f>IFERROR(__xludf.DUMMYFUNCTION("""COMPUTED_VALUE"""),"North East Singapore")</f>
        <v>North East Singapore</v>
      </c>
      <c r="B4205" s="9" t="str">
        <f>IFERROR(__xludf.DUMMYFUNCTION("""COMPUTED_VALUE"""),"sg-02")</f>
        <v>sg-02</v>
      </c>
      <c r="C4205" s="9" t="str">
        <f>IFERROR(__xludf.DUMMYFUNCTION("GOOGLETRANSLATE($A4205,""en"",""de"")"),"Nordost-Singapur")</f>
        <v>Nordost-Singapur</v>
      </c>
      <c r="D4205" s="9" t="str">
        <f>IFERROR(__xludf.DUMMYFUNCTION("GOOGLETRANSLATE($A4205,""en"",""fr"")"),"Nord-Est de Singapour")</f>
        <v>Nord-Est de Singapour</v>
      </c>
      <c r="E4205" s="9" t="str">
        <f>IFERROR(__xludf.DUMMYFUNCTION("GOOGLETRANSLATE($A4205,""en"",""es"")"),"Noreste de Singapur")</f>
        <v>Noreste de Singapur</v>
      </c>
      <c r="F4205" s="9" t="str">
        <f>IFERROR(__xludf.DUMMYFUNCTION("GOOGLETRANSLATE($A4205,""en"",""it"")"),"Singapore nord-orientale")</f>
        <v>Singapore nord-orientale</v>
      </c>
      <c r="G4205" s="9" t="str">
        <f>IFERROR(__xludf.DUMMYFUNCTION("GOOGLETRANSLATE($A4205,""en"",""zh-cn"")"),"新加坡东北部")</f>
        <v>新加坡东北部</v>
      </c>
      <c r="H4205" s="9" t="str">
        <f>IFERROR(__xludf.DUMMYFUNCTION("GOOGLETRANSLATE($A4205,""en"",""ja"")"),"シンガポール北東部")</f>
        <v>シンガポール北東部</v>
      </c>
      <c r="I4205" s="9" t="str">
        <f>IFERROR(__xludf.DUMMYFUNCTION("GOOGLETRANSLATE($A4205,""en"",""ko"")"),"북동 싱가포르")</f>
        <v>북동 싱가포르</v>
      </c>
      <c r="J4205" s="9" t="str">
        <f>IFERROR(__xludf.DUMMYFUNCTION("GOOGLETRANSLATE($A4205,""en"",""pt-BR"")"),"Nordeste de Singapura")</f>
        <v>Nordeste de Singapura</v>
      </c>
    </row>
    <row r="4206">
      <c r="A4206" s="9" t="str">
        <f>IFERROR(__xludf.DUMMYFUNCTION("""COMPUTED_VALUE"""),"South West Singapore")</f>
        <v>South West Singapore</v>
      </c>
      <c r="B4206" s="9" t="str">
        <f>IFERROR(__xludf.DUMMYFUNCTION("""COMPUTED_VALUE"""),"sg-05")</f>
        <v>sg-05</v>
      </c>
      <c r="C4206" s="9" t="str">
        <f>IFERROR(__xludf.DUMMYFUNCTION("GOOGLETRANSLATE($A4206,""en"",""de"")"),"Südwest-Singapur")</f>
        <v>Südwest-Singapur</v>
      </c>
      <c r="D4206" s="9" t="str">
        <f>IFERROR(__xludf.DUMMYFUNCTION("GOOGLETRANSLATE($A4206,""en"",""fr"")"),"Sud-Ouest de Singapour")</f>
        <v>Sud-Ouest de Singapour</v>
      </c>
      <c r="E4206" s="9" t="str">
        <f>IFERROR(__xludf.DUMMYFUNCTION("GOOGLETRANSLATE($A4206,""en"",""es"")"),"Suroeste de Singapur")</f>
        <v>Suroeste de Singapur</v>
      </c>
      <c r="F4206" s="9" t="str">
        <f>IFERROR(__xludf.DUMMYFUNCTION("GOOGLETRANSLATE($A4206,""en"",""it"")"),"Singapore sudoccidentale")</f>
        <v>Singapore sudoccidentale</v>
      </c>
      <c r="G4206" s="9" t="str">
        <f>IFERROR(__xludf.DUMMYFUNCTION("GOOGLETRANSLATE($A4206,""en"",""zh-cn"")"),"新加坡西南部")</f>
        <v>新加坡西南部</v>
      </c>
      <c r="H4206" s="9" t="str">
        <f>IFERROR(__xludf.DUMMYFUNCTION("GOOGLETRANSLATE($A4206,""en"",""ja"")"),"シンガポール南西部")</f>
        <v>シンガポール南西部</v>
      </c>
      <c r="I4206" s="9" t="str">
        <f>IFERROR(__xludf.DUMMYFUNCTION("GOOGLETRANSLATE($A4206,""en"",""ko"")"),"남서부 싱가포르")</f>
        <v>남서부 싱가포르</v>
      </c>
      <c r="J4206" s="9" t="str">
        <f>IFERROR(__xludf.DUMMYFUNCTION("GOOGLETRANSLATE($A4206,""en"",""pt-BR"")"),"Sudoeste de Singapura")</f>
        <v>Sudoeste de Singapura</v>
      </c>
    </row>
    <row r="4207">
      <c r="A4207" s="9" t="str">
        <f>IFERROR(__xludf.DUMMYFUNCTION("""COMPUTED_VALUE"""),"Prešovský Region")</f>
        <v>Prešovský Region</v>
      </c>
      <c r="B4207" s="9" t="str">
        <f>IFERROR(__xludf.DUMMYFUNCTION("""COMPUTED_VALUE"""),"sk-pv")</f>
        <v>sk-pv</v>
      </c>
      <c r="C4207" s="9" t="str">
        <f>IFERROR(__xludf.DUMMYFUNCTION("GOOGLETRANSLATE($A4207,""en"",""de"")"),"Region Prešovský")</f>
        <v>Region Prešovský</v>
      </c>
      <c r="D4207" s="9" t="str">
        <f>IFERROR(__xludf.DUMMYFUNCTION("GOOGLETRANSLATE($A4207,""en"",""fr"")"),"Région de Prešovský")</f>
        <v>Région de Prešovský</v>
      </c>
      <c r="E4207" s="9" t="str">
        <f>IFERROR(__xludf.DUMMYFUNCTION("GOOGLETRANSLATE($A4207,""en"",""es"")"),"Región de Prešovský")</f>
        <v>Región de Prešovský</v>
      </c>
      <c r="F4207" s="9" t="str">
        <f>IFERROR(__xludf.DUMMYFUNCTION("GOOGLETRANSLATE($A4207,""en"",""it"")"),"Regione di Prešovský")</f>
        <v>Regione di Prešovský</v>
      </c>
      <c r="G4207" s="9" t="str">
        <f>IFERROR(__xludf.DUMMYFUNCTION("GOOGLETRANSLATE($A4207,""en"",""zh-cn"")"),"普雷绍夫斯基地区")</f>
        <v>普雷绍夫斯基地区</v>
      </c>
      <c r="H4207" s="9" t="str">
        <f>IFERROR(__xludf.DUMMYFUNCTION("GOOGLETRANSLATE($A4207,""en"",""ja"")"),"プレショフスキー地域")</f>
        <v>プレショフスキー地域</v>
      </c>
      <c r="I4207" s="9" t="str">
        <f>IFERROR(__xludf.DUMMYFUNCTION("GOOGLETRANSLATE($A4207,""en"",""ko"")"),"프레쇼프스키 지역")</f>
        <v>프레쇼프스키 지역</v>
      </c>
      <c r="J4207" s="9" t="str">
        <f>IFERROR(__xludf.DUMMYFUNCTION("GOOGLETRANSLATE($A4207,""en"",""pt-BR"")"),"Região de Prešovský")</f>
        <v>Região de Prešovský</v>
      </c>
    </row>
    <row r="4208">
      <c r="A4208" s="9" t="str">
        <f>IFERROR(__xludf.DUMMYFUNCTION("""COMPUTED_VALUE"""),"Trenčiansky Region")</f>
        <v>Trenčiansky Region</v>
      </c>
      <c r="B4208" s="9" t="str">
        <f>IFERROR(__xludf.DUMMYFUNCTION("""COMPUTED_VALUE"""),"sk-tc")</f>
        <v>sk-tc</v>
      </c>
      <c r="C4208" s="9" t="str">
        <f>IFERROR(__xludf.DUMMYFUNCTION("GOOGLETRANSLATE($A4208,""en"",""de"")"),"Trenčiansky Region")</f>
        <v>Trenčiansky Region</v>
      </c>
      <c r="D4208" s="9" t="str">
        <f>IFERROR(__xludf.DUMMYFUNCTION("GOOGLETRANSLATE($A4208,""en"",""fr"")"),"Région de Trenčiansky")</f>
        <v>Région de Trenčiansky</v>
      </c>
      <c r="E4208" s="9" t="str">
        <f>IFERROR(__xludf.DUMMYFUNCTION("GOOGLETRANSLATE($A4208,""en"",""es"")"),"Región de Trenčiansky")</f>
        <v>Región de Trenčiansky</v>
      </c>
      <c r="F4208" s="9" t="str">
        <f>IFERROR(__xludf.DUMMYFUNCTION("GOOGLETRANSLATE($A4208,""en"",""it"")"),"Regione di Trenčiansky")</f>
        <v>Regione di Trenčiansky</v>
      </c>
      <c r="G4208" s="9" t="str">
        <f>IFERROR(__xludf.DUMMYFUNCTION("GOOGLETRANSLATE($A4208,""en"",""zh-cn"")"),"特伦钦斯基地区")</f>
        <v>特伦钦斯基地区</v>
      </c>
      <c r="H4208" s="9" t="str">
        <f>IFERROR(__xludf.DUMMYFUNCTION("GOOGLETRANSLATE($A4208,""en"",""ja"")"),"トレンチアンスキー地域")</f>
        <v>トレンチアンスキー地域</v>
      </c>
      <c r="I4208" s="9" t="str">
        <f>IFERROR(__xludf.DUMMYFUNCTION("GOOGLETRANSLATE($A4208,""en"",""ko"")"),"트렌치안스키 지역")</f>
        <v>트렌치안스키 지역</v>
      </c>
      <c r="J4208" s="9" t="str">
        <f>IFERROR(__xludf.DUMMYFUNCTION("GOOGLETRANSLATE($A4208,""en"",""pt-BR"")"),"Região de Trenčiansky")</f>
        <v>Região de Trenčiansky</v>
      </c>
    </row>
    <row r="4209">
      <c r="A4209" s="9" t="str">
        <f>IFERROR(__xludf.DUMMYFUNCTION("""COMPUTED_VALUE"""),"Trnavský Region")</f>
        <v>Trnavský Region</v>
      </c>
      <c r="B4209" s="9" t="str">
        <f>IFERROR(__xludf.DUMMYFUNCTION("""COMPUTED_VALUE"""),"sk-ta")</f>
        <v>sk-ta</v>
      </c>
      <c r="C4209" s="9" t="str">
        <f>IFERROR(__xludf.DUMMYFUNCTION("GOOGLETRANSLATE($A4209,""en"",""de"")"),"Region Trnavský kraj")</f>
        <v>Region Trnavský kraj</v>
      </c>
      <c r="D4209" s="9" t="str">
        <f>IFERROR(__xludf.DUMMYFUNCTION("GOOGLETRANSLATE($A4209,""en"",""fr"")"),"Région de Trnav")</f>
        <v>Région de Trnav</v>
      </c>
      <c r="E4209" s="9" t="str">
        <f>IFERROR(__xludf.DUMMYFUNCTION("GOOGLETRANSLATE($A4209,""en"",""es"")"),"Región de Trnavský")</f>
        <v>Región de Trnavský</v>
      </c>
      <c r="F4209" s="9" t="str">
        <f>IFERROR(__xludf.DUMMYFUNCTION("GOOGLETRANSLATE($A4209,""en"",""it"")"),"Regione di Trnavský")</f>
        <v>Regione di Trnavský</v>
      </c>
      <c r="G4209" s="9" t="str">
        <f>IFERROR(__xludf.DUMMYFUNCTION("GOOGLETRANSLATE($A4209,""en"",""zh-cn"")"),"特尔纳瓦州")</f>
        <v>特尔纳瓦州</v>
      </c>
      <c r="H4209" s="9" t="str">
        <f>IFERROR(__xludf.DUMMYFUNCTION("GOOGLETRANSLATE($A4209,""en"",""ja"")"),"トルナフスキー地方")</f>
        <v>トルナフスキー地方</v>
      </c>
      <c r="I4209" s="9" t="str">
        <f>IFERROR(__xludf.DUMMYFUNCTION("GOOGLETRANSLATE($A4209,""en"",""ko"")"),"트르나브스키 지역")</f>
        <v>트르나브스키 지역</v>
      </c>
      <c r="J4209" s="9" t="str">
        <f>IFERROR(__xludf.DUMMYFUNCTION("GOOGLETRANSLATE($A4209,""en"",""pt-BR"")"),"Região de Trnavský")</f>
        <v>Região de Trnavský</v>
      </c>
    </row>
    <row r="4210">
      <c r="A4210" s="9" t="str">
        <f>IFERROR(__xludf.DUMMYFUNCTION("""COMPUTED_VALUE"""),"Žilinský Region")</f>
        <v>Žilinský Region</v>
      </c>
      <c r="B4210" s="9" t="str">
        <f>IFERROR(__xludf.DUMMYFUNCTION("""COMPUTED_VALUE"""),"sk-zi")</f>
        <v>sk-zi</v>
      </c>
      <c r="C4210" s="9" t="str">
        <f>IFERROR(__xludf.DUMMYFUNCTION("GOOGLETRANSLATE($A4210,""en"",""de"")"),"Region Žilinský kraj")</f>
        <v>Region Žilinský kraj</v>
      </c>
      <c r="D4210" s="9" t="str">
        <f>IFERROR(__xludf.DUMMYFUNCTION("GOOGLETRANSLATE($A4210,""en"",""fr"")"),"Région de Žilinský")</f>
        <v>Région de Žilinský</v>
      </c>
      <c r="E4210" s="9" t="str">
        <f>IFERROR(__xludf.DUMMYFUNCTION("GOOGLETRANSLATE($A4210,""en"",""es"")"),"Región de Žilinský")</f>
        <v>Región de Žilinský</v>
      </c>
      <c r="F4210" s="9" t="str">
        <f>IFERROR(__xludf.DUMMYFUNCTION("GOOGLETRANSLATE($A4210,""en"",""it"")"),"Regione di Žilinský")</f>
        <v>Regione di Žilinský</v>
      </c>
      <c r="G4210" s="9" t="str">
        <f>IFERROR(__xludf.DUMMYFUNCTION("GOOGLETRANSLATE($A4210,""en"",""zh-cn"")"),"日林斯基地区")</f>
        <v>日林斯基地区</v>
      </c>
      <c r="H4210" s="9" t="str">
        <f>IFERROR(__xludf.DUMMYFUNCTION("GOOGLETRANSLATE($A4210,""en"",""ja"")"),"ジリンスキー地域")</f>
        <v>ジリンスキー地域</v>
      </c>
      <c r="I4210" s="9" t="str">
        <f>IFERROR(__xludf.DUMMYFUNCTION("GOOGLETRANSLATE($A4210,""en"",""ko"")"),"질린스키 지역")</f>
        <v>질린스키 지역</v>
      </c>
      <c r="J4210" s="9" t="str">
        <f>IFERROR(__xludf.DUMMYFUNCTION("GOOGLETRANSLATE($A4210,""en"",""pt-BR"")"),"Região de Žilinsky")</f>
        <v>Região de Žilinsky</v>
      </c>
    </row>
    <row r="4211">
      <c r="A4211" s="9" t="str">
        <f>IFERROR(__xludf.DUMMYFUNCTION("""COMPUTED_VALUE"""),"Banskobystrický Region")</f>
        <v>Banskobystrický Region</v>
      </c>
      <c r="B4211" s="9" t="str">
        <f>IFERROR(__xludf.DUMMYFUNCTION("""COMPUTED_VALUE"""),"sk-bc")</f>
        <v>sk-bc</v>
      </c>
      <c r="C4211" s="9" t="str">
        <f>IFERROR(__xludf.DUMMYFUNCTION("GOOGLETRANSLATE($A4211,""en"",""de"")"),"Region Banskobystrický")</f>
        <v>Region Banskobystrický</v>
      </c>
      <c r="D4211" s="9" t="str">
        <f>IFERROR(__xludf.DUMMYFUNCTION("GOOGLETRANSLATE($A4211,""en"",""fr"")"),"Région de Banskobystricý")</f>
        <v>Région de Banskobystricý</v>
      </c>
      <c r="E4211" s="9" t="str">
        <f>IFERROR(__xludf.DUMMYFUNCTION("GOOGLETRANSLATE($A4211,""en"",""es"")"),"Región de Banskobystrický")</f>
        <v>Región de Banskobystrický</v>
      </c>
      <c r="F4211" s="9" t="str">
        <f>IFERROR(__xludf.DUMMYFUNCTION("GOOGLETRANSLATE($A4211,""en"",""it"")"),"Regione di Banskobystrický")</f>
        <v>Regione di Banskobystrický</v>
      </c>
      <c r="G4211" s="9" t="str">
        <f>IFERROR(__xludf.DUMMYFUNCTION("GOOGLETRANSLATE($A4211,""en"",""zh-cn"")"),"班斯科比斯特里克地区")</f>
        <v>班斯科比斯特里克地区</v>
      </c>
      <c r="H4211" s="9" t="str">
        <f>IFERROR(__xludf.DUMMYFUNCTION("GOOGLETRANSLATE($A4211,""en"",""ja"")"),"バンスコビストリキー地域")</f>
        <v>バンスコビストリキー地域</v>
      </c>
      <c r="I4211" s="9" t="str">
        <f>IFERROR(__xludf.DUMMYFUNCTION("GOOGLETRANSLATE($A4211,""en"",""ko"")"),"반스코비스트리키 지역")</f>
        <v>반스코비스트리키 지역</v>
      </c>
      <c r="J4211" s="9" t="str">
        <f>IFERROR(__xludf.DUMMYFUNCTION("GOOGLETRANSLATE($A4211,""en"",""pt-BR"")"),"Região de Banskobystrický")</f>
        <v>Região de Banskobystrický</v>
      </c>
    </row>
    <row r="4212">
      <c r="A4212" s="9" t="str">
        <f>IFERROR(__xludf.DUMMYFUNCTION("""COMPUTED_VALUE"""),"Bratislavský Region")</f>
        <v>Bratislavský Region</v>
      </c>
      <c r="B4212" s="9" t="str">
        <f>IFERROR(__xludf.DUMMYFUNCTION("""COMPUTED_VALUE"""),"sk-bl")</f>
        <v>sk-bl</v>
      </c>
      <c r="C4212" s="9" t="str">
        <f>IFERROR(__xludf.DUMMYFUNCTION("GOOGLETRANSLATE($A4212,""en"",""de"")"),"Region Bratislava")</f>
        <v>Region Bratislava</v>
      </c>
      <c r="D4212" s="9" t="str">
        <f>IFERROR(__xludf.DUMMYFUNCTION("GOOGLETRANSLATE($A4212,""en"",""fr"")"),"Région de Bratislavský")</f>
        <v>Région de Bratislavský</v>
      </c>
      <c r="E4212" s="9" t="str">
        <f>IFERROR(__xludf.DUMMYFUNCTION("GOOGLETRANSLATE($A4212,""en"",""es"")"),"Región de Bratislavský")</f>
        <v>Región de Bratislavský</v>
      </c>
      <c r="F4212" s="9" t="str">
        <f>IFERROR(__xludf.DUMMYFUNCTION("GOOGLETRANSLATE($A4212,""en"",""it"")"),"Regione di Bratislavský")</f>
        <v>Regione di Bratislavský</v>
      </c>
      <c r="G4212" s="9" t="str">
        <f>IFERROR(__xludf.DUMMYFUNCTION("GOOGLETRANSLATE($A4212,""en"",""zh-cn"")"),"布拉迪斯拉发地区")</f>
        <v>布拉迪斯拉发地区</v>
      </c>
      <c r="H4212" s="9" t="str">
        <f>IFERROR(__xludf.DUMMYFUNCTION("GOOGLETRANSLATE($A4212,""en"",""ja"")"),"ブラチスラフスキー地方")</f>
        <v>ブラチスラフスキー地方</v>
      </c>
      <c r="I4212" s="9" t="str">
        <f>IFERROR(__xludf.DUMMYFUNCTION("GOOGLETRANSLATE($A4212,""en"",""ko"")"),"브라티슬라브스키 지역")</f>
        <v>브라티슬라브스키 지역</v>
      </c>
      <c r="J4212" s="9" t="str">
        <f>IFERROR(__xludf.DUMMYFUNCTION("GOOGLETRANSLATE($A4212,""en"",""pt-BR"")"),"Região de Bratislavský")</f>
        <v>Região de Bratislavský</v>
      </c>
    </row>
    <row r="4213">
      <c r="A4213" s="9" t="str">
        <f>IFERROR(__xludf.DUMMYFUNCTION("""COMPUTED_VALUE"""),"Košický Region")</f>
        <v>Košický Region</v>
      </c>
      <c r="B4213" s="9" t="str">
        <f>IFERROR(__xludf.DUMMYFUNCTION("""COMPUTED_VALUE"""),"sk-ki")</f>
        <v>sk-ki</v>
      </c>
      <c r="C4213" s="9" t="str">
        <f>IFERROR(__xludf.DUMMYFUNCTION("GOOGLETRANSLATE($A4213,""en"",""de"")"),"Košický-Region")</f>
        <v>Košický-Region</v>
      </c>
      <c r="D4213" s="9" t="str">
        <f>IFERROR(__xludf.DUMMYFUNCTION("GOOGLETRANSLATE($A4213,""en"",""fr"")"),"Région de Košický")</f>
        <v>Région de Košický</v>
      </c>
      <c r="E4213" s="9" t="str">
        <f>IFERROR(__xludf.DUMMYFUNCTION("GOOGLETRANSLATE($A4213,""en"",""es"")"),"Región de Košický")</f>
        <v>Región de Košický</v>
      </c>
      <c r="F4213" s="9" t="str">
        <f>IFERROR(__xludf.DUMMYFUNCTION("GOOGLETRANSLATE($A4213,""en"",""it"")"),"Regione di Košický")</f>
        <v>Regione di Košický</v>
      </c>
      <c r="G4213" s="9" t="str">
        <f>IFERROR(__xludf.DUMMYFUNCTION("GOOGLETRANSLATE($A4213,""en"",""zh-cn"")"),"科希茨基地区")</f>
        <v>科希茨基地区</v>
      </c>
      <c r="H4213" s="9" t="str">
        <f>IFERROR(__xludf.DUMMYFUNCTION("GOOGLETRANSLATE($A4213,""en"",""ja"")"),"コシツキー地方")</f>
        <v>コシツキー地方</v>
      </c>
      <c r="I4213" s="9" t="str">
        <f>IFERROR(__xludf.DUMMYFUNCTION("GOOGLETRANSLATE($A4213,""en"",""ko"")"),"코시츠키 지역")</f>
        <v>코시츠키 지역</v>
      </c>
      <c r="J4213" s="9" t="str">
        <f>IFERROR(__xludf.DUMMYFUNCTION("GOOGLETRANSLATE($A4213,""en"",""pt-BR"")"),"Região de Košický")</f>
        <v>Região de Košický</v>
      </c>
    </row>
    <row r="4214">
      <c r="A4214" s="9" t="str">
        <f>IFERROR(__xludf.DUMMYFUNCTION("""COMPUTED_VALUE"""),"Nitriansky Region")</f>
        <v>Nitriansky Region</v>
      </c>
      <c r="B4214" s="9" t="str">
        <f>IFERROR(__xludf.DUMMYFUNCTION("""COMPUTED_VALUE"""),"sk-ni")</f>
        <v>sk-ni</v>
      </c>
      <c r="C4214" s="9" t="str">
        <f>IFERROR(__xludf.DUMMYFUNCTION("GOOGLETRANSLATE($A4214,""en"",""de"")"),"Region Nitriansky")</f>
        <v>Region Nitriansky</v>
      </c>
      <c r="D4214" s="9" t="str">
        <f>IFERROR(__xludf.DUMMYFUNCTION("GOOGLETRANSLATE($A4214,""en"",""fr"")"),"Région de Nitrianski")</f>
        <v>Région de Nitrianski</v>
      </c>
      <c r="E4214" s="9" t="str">
        <f>IFERROR(__xludf.DUMMYFUNCTION("GOOGLETRANSLATE($A4214,""en"",""es"")"),"Región de Nitriansky")</f>
        <v>Región de Nitriansky</v>
      </c>
      <c r="F4214" s="9" t="str">
        <f>IFERROR(__xludf.DUMMYFUNCTION("GOOGLETRANSLATE($A4214,""en"",""it"")"),"Regione di Nitriansky")</f>
        <v>Regione di Nitriansky</v>
      </c>
      <c r="G4214" s="9" t="str">
        <f>IFERROR(__xludf.DUMMYFUNCTION("GOOGLETRANSLATE($A4214,""en"",""zh-cn"")"),"尼特良斯基地区")</f>
        <v>尼特良斯基地区</v>
      </c>
      <c r="H4214" s="9" t="str">
        <f>IFERROR(__xludf.DUMMYFUNCTION("GOOGLETRANSLATE($A4214,""en"",""ja"")"),"ニトリアンスキー地方")</f>
        <v>ニトリアンスキー地方</v>
      </c>
      <c r="I4214" s="9" t="str">
        <f>IFERROR(__xludf.DUMMYFUNCTION("GOOGLETRANSLATE($A4214,""en"",""ko"")"),"니트리안스키 지역")</f>
        <v>니트리안스키 지역</v>
      </c>
      <c r="J4214" s="9" t="str">
        <f>IFERROR(__xludf.DUMMYFUNCTION("GOOGLETRANSLATE($A4214,""en"",""pt-BR"")"),"Região de Nitriansky")</f>
        <v>Região de Nitriansky</v>
      </c>
    </row>
    <row r="4215">
      <c r="A4215" s="9" t="str">
        <f>IFERROR(__xludf.DUMMYFUNCTION("""COMPUTED_VALUE"""),"Ajdovščina")</f>
        <v>Ajdovščina</v>
      </c>
      <c r="B4215" s="9" t="str">
        <f>IFERROR(__xludf.DUMMYFUNCTION("""COMPUTED_VALUE"""),"si-001")</f>
        <v>si-001</v>
      </c>
      <c r="C4215" s="9" t="str">
        <f>IFERROR(__xludf.DUMMYFUNCTION("GOOGLETRANSLATE($A4215,""en"",""de"")"),"Ajdovščina")</f>
        <v>Ajdovščina</v>
      </c>
      <c r="D4215" s="9" t="str">
        <f>IFERROR(__xludf.DUMMYFUNCTION("GOOGLETRANSLATE($A4215,""en"",""fr"")"),"Ajdovščina")</f>
        <v>Ajdovščina</v>
      </c>
      <c r="E4215" s="9" t="str">
        <f>IFERROR(__xludf.DUMMYFUNCTION("GOOGLETRANSLATE($A4215,""en"",""es"")"),"Ajdovščina")</f>
        <v>Ajdovščina</v>
      </c>
      <c r="F4215" s="9" t="str">
        <f>IFERROR(__xludf.DUMMYFUNCTION("GOOGLETRANSLATE($A4215,""en"",""it"")"),"Ajdovščina")</f>
        <v>Ajdovščina</v>
      </c>
      <c r="G4215" s="9" t="str">
        <f>IFERROR(__xludf.DUMMYFUNCTION("GOOGLETRANSLATE($A4215,""en"",""zh-cn"")"),"阿伊多夫什奇纳")</f>
        <v>阿伊多夫什奇纳</v>
      </c>
      <c r="H4215" s="9" t="str">
        <f>IFERROR(__xludf.DUMMYFUNCTION("GOOGLETRANSLATE($A4215,""en"",""ja"")"),"アイドフシチナ")</f>
        <v>アイドフシチナ</v>
      </c>
      <c r="I4215" s="9" t="str">
        <f>IFERROR(__xludf.DUMMYFUNCTION("GOOGLETRANSLATE($A4215,""en"",""ko"")"),"아이도브슈치나")</f>
        <v>아이도브슈치나</v>
      </c>
      <c r="J4215" s="9" t="str">
        <f>IFERROR(__xludf.DUMMYFUNCTION("GOOGLETRANSLATE($A4215,""en"",""pt-BR"")"),"Ajdovščina")</f>
        <v>Ajdovščina</v>
      </c>
    </row>
    <row r="4216">
      <c r="A4216" s="9" t="str">
        <f>IFERROR(__xludf.DUMMYFUNCTION("""COMPUTED_VALUE"""),"Apače")</f>
        <v>Apače</v>
      </c>
      <c r="B4216" s="9" t="str">
        <f>IFERROR(__xludf.DUMMYFUNCTION("""COMPUTED_VALUE"""),"si-195")</f>
        <v>si-195</v>
      </c>
      <c r="C4216" s="9" t="str">
        <f>IFERROR(__xludf.DUMMYFUNCTION("GOOGLETRANSLATE($A4216,""en"",""de"")"),"Apace")</f>
        <v>Apace</v>
      </c>
      <c r="D4216" s="9" t="str">
        <f>IFERROR(__xludf.DUMMYFUNCTION("GOOGLETRANSLATE($A4216,""en"",""fr"")"),"Rapidement")</f>
        <v>Rapidement</v>
      </c>
      <c r="E4216" s="9" t="str">
        <f>IFERROR(__xludf.DUMMYFUNCTION("GOOGLETRANSLATE($A4216,""en"",""es"")"),"Rápidamente")</f>
        <v>Rápidamente</v>
      </c>
      <c r="F4216" s="9" t="str">
        <f>IFERROR(__xludf.DUMMYFUNCTION("GOOGLETRANSLATE($A4216,""en"",""it"")"),"Apače")</f>
        <v>Apače</v>
      </c>
      <c r="G4216" s="9" t="str">
        <f>IFERROR(__xludf.DUMMYFUNCTION("GOOGLETRANSLATE($A4216,""en"",""zh-cn"")"),"阿帕切")</f>
        <v>阿帕切</v>
      </c>
      <c r="H4216" s="9" t="str">
        <f>IFERROR(__xludf.DUMMYFUNCTION("GOOGLETRANSLATE($A4216,""en"",""ja"")"),"アパッチ")</f>
        <v>アパッチ</v>
      </c>
      <c r="I4216" s="9" t="str">
        <f>IFERROR(__xludf.DUMMYFUNCTION("GOOGLETRANSLATE($A4216,""en"",""ko"")"),"빨리")</f>
        <v>빨리</v>
      </c>
      <c r="J4216" s="9" t="str">
        <f>IFERROR(__xludf.DUMMYFUNCTION("GOOGLETRANSLATE($A4216,""en"",""pt-BR"")"),"Apace")</f>
        <v>Apace</v>
      </c>
    </row>
    <row r="4217">
      <c r="A4217" s="9" t="str">
        <f>IFERROR(__xludf.DUMMYFUNCTION("""COMPUTED_VALUE"""),"Beltinci")</f>
        <v>Beltinci</v>
      </c>
      <c r="B4217" s="9" t="str">
        <f>IFERROR(__xludf.DUMMYFUNCTION("""COMPUTED_VALUE"""),"si-002")</f>
        <v>si-002</v>
      </c>
      <c r="C4217" s="9" t="str">
        <f>IFERROR(__xludf.DUMMYFUNCTION("GOOGLETRANSLATE($A4217,""en"",""de"")"),"Beltinci")</f>
        <v>Beltinci</v>
      </c>
      <c r="D4217" s="9" t="str">
        <f>IFERROR(__xludf.DUMMYFUNCTION("GOOGLETRANSLATE($A4217,""en"",""fr"")"),"Beltinci")</f>
        <v>Beltinci</v>
      </c>
      <c r="E4217" s="9" t="str">
        <f>IFERROR(__xludf.DUMMYFUNCTION("GOOGLETRANSLATE($A4217,""en"",""es"")"),"Beltinci")</f>
        <v>Beltinci</v>
      </c>
      <c r="F4217" s="9" t="str">
        <f>IFERROR(__xludf.DUMMYFUNCTION("GOOGLETRANSLATE($A4217,""en"",""it"")"),"Beltinci")</f>
        <v>Beltinci</v>
      </c>
      <c r="G4217" s="9" t="str">
        <f>IFERROR(__xludf.DUMMYFUNCTION("GOOGLETRANSLATE($A4217,""en"",""zh-cn"")"),"贝尔廷奇")</f>
        <v>贝尔廷奇</v>
      </c>
      <c r="H4217" s="9" t="str">
        <f>IFERROR(__xludf.DUMMYFUNCTION("GOOGLETRANSLATE($A4217,""en"",""ja"")"),"ベルティンチ")</f>
        <v>ベルティンチ</v>
      </c>
      <c r="I4217" s="9" t="str">
        <f>IFERROR(__xludf.DUMMYFUNCTION("GOOGLETRANSLATE($A4217,""en"",""ko"")"),"벨틴치")</f>
        <v>벨틴치</v>
      </c>
      <c r="J4217" s="9" t="str">
        <f>IFERROR(__xludf.DUMMYFUNCTION("GOOGLETRANSLATE($A4217,""en"",""pt-BR"")"),"Beltinci")</f>
        <v>Beltinci</v>
      </c>
    </row>
    <row r="4218">
      <c r="A4218" s="9" t="str">
        <f>IFERROR(__xludf.DUMMYFUNCTION("""COMPUTED_VALUE"""),"Benedikt")</f>
        <v>Benedikt</v>
      </c>
      <c r="B4218" s="9" t="str">
        <f>IFERROR(__xludf.DUMMYFUNCTION("""COMPUTED_VALUE"""),"si-148")</f>
        <v>si-148</v>
      </c>
      <c r="C4218" s="9" t="str">
        <f>IFERROR(__xludf.DUMMYFUNCTION("GOOGLETRANSLATE($A4218,""en"",""de"")"),"Benedikt")</f>
        <v>Benedikt</v>
      </c>
      <c r="D4218" s="9" t="str">
        <f>IFERROR(__xludf.DUMMYFUNCTION("GOOGLETRANSLATE($A4218,""en"",""fr"")"),"Benoît")</f>
        <v>Benoît</v>
      </c>
      <c r="E4218" s="9" t="str">
        <f>IFERROR(__xludf.DUMMYFUNCTION("GOOGLETRANSLATE($A4218,""en"",""es"")"),"Benedikt")</f>
        <v>Benedikt</v>
      </c>
      <c r="F4218" s="9" t="str">
        <f>IFERROR(__xludf.DUMMYFUNCTION("GOOGLETRANSLATE($A4218,""en"",""it"")"),"Benedetto")</f>
        <v>Benedetto</v>
      </c>
      <c r="G4218" s="9" t="str">
        <f>IFERROR(__xludf.DUMMYFUNCTION("GOOGLETRANSLATE($A4218,""en"",""zh-cn"")"),"贝内迪克特")</f>
        <v>贝内迪克特</v>
      </c>
      <c r="H4218" s="9" t="str">
        <f>IFERROR(__xludf.DUMMYFUNCTION("GOOGLETRANSLATE($A4218,""en"",""ja"")"),"ベネディクト")</f>
        <v>ベネディクト</v>
      </c>
      <c r="I4218" s="9" t="str">
        <f>IFERROR(__xludf.DUMMYFUNCTION("GOOGLETRANSLATE($A4218,""en"",""ko"")"),"베네딕트")</f>
        <v>베네딕트</v>
      </c>
      <c r="J4218" s="9" t="str">
        <f>IFERROR(__xludf.DUMMYFUNCTION("GOOGLETRANSLATE($A4218,""en"",""pt-BR"")"),"Benedito")</f>
        <v>Benedito</v>
      </c>
    </row>
    <row r="4219">
      <c r="A4219" s="9" t="str">
        <f>IFERROR(__xludf.DUMMYFUNCTION("""COMPUTED_VALUE"""),"Ankaran")</f>
        <v>Ankaran</v>
      </c>
      <c r="B4219" s="9" t="str">
        <f>IFERROR(__xludf.DUMMYFUNCTION("""COMPUTED_VALUE"""),"si-213")</f>
        <v>si-213</v>
      </c>
      <c r="C4219" s="9" t="str">
        <f>IFERROR(__xludf.DUMMYFUNCTION("GOOGLETRANSLATE($A4219,""en"",""de"")"),"Ankaran")</f>
        <v>Ankaran</v>
      </c>
      <c r="D4219" s="9" t="str">
        <f>IFERROR(__xludf.DUMMYFUNCTION("GOOGLETRANSLATE($A4219,""en"",""fr"")"),"Ankaran")</f>
        <v>Ankaran</v>
      </c>
      <c r="E4219" s="9" t="str">
        <f>IFERROR(__xludf.DUMMYFUNCTION("GOOGLETRANSLATE($A4219,""en"",""es"")"),"Ankaran")</f>
        <v>Ankaran</v>
      </c>
      <c r="F4219" s="9" t="str">
        <f>IFERROR(__xludf.DUMMYFUNCTION("GOOGLETRANSLATE($A4219,""en"",""it"")"),"Ancarano")</f>
        <v>Ancarano</v>
      </c>
      <c r="G4219" s="9" t="str">
        <f>IFERROR(__xludf.DUMMYFUNCTION("GOOGLETRANSLATE($A4219,""en"",""zh-cn"")"),"安卡兰")</f>
        <v>安卡兰</v>
      </c>
      <c r="H4219" s="9" t="str">
        <f>IFERROR(__xludf.DUMMYFUNCTION("GOOGLETRANSLATE($A4219,""en"",""ja"")"),"アンカラン")</f>
        <v>アンカラン</v>
      </c>
      <c r="I4219" s="9" t="str">
        <f>IFERROR(__xludf.DUMMYFUNCTION("GOOGLETRANSLATE($A4219,""en"",""ko"")"),"안카란")</f>
        <v>안카란</v>
      </c>
      <c r="J4219" s="9" t="str">
        <f>IFERROR(__xludf.DUMMYFUNCTION("GOOGLETRANSLATE($A4219,""en"",""pt-BR"")"),"Ancara")</f>
        <v>Ancara</v>
      </c>
    </row>
    <row r="4220">
      <c r="A4220" s="9" t="str">
        <f>IFERROR(__xludf.DUMMYFUNCTION("""COMPUTED_VALUE"""),"Mirna")</f>
        <v>Mirna</v>
      </c>
      <c r="B4220" s="9" t="str">
        <f>IFERROR(__xludf.DUMMYFUNCTION("""COMPUTED_VALUE"""),"si-212")</f>
        <v>si-212</v>
      </c>
      <c r="C4220" s="9" t="str">
        <f>IFERROR(__xludf.DUMMYFUNCTION("GOOGLETRANSLATE($A4220,""en"",""de"")"),"Mirna")</f>
        <v>Mirna</v>
      </c>
      <c r="D4220" s="9" t="str">
        <f>IFERROR(__xludf.DUMMYFUNCTION("GOOGLETRANSLATE($A4220,""en"",""fr"")"),"Mirna")</f>
        <v>Mirna</v>
      </c>
      <c r="E4220" s="9" t="str">
        <f>IFERROR(__xludf.DUMMYFUNCTION("GOOGLETRANSLATE($A4220,""en"",""es"")"),"mirna")</f>
        <v>mirna</v>
      </c>
      <c r="F4220" s="9" t="str">
        <f>IFERROR(__xludf.DUMMYFUNCTION("GOOGLETRANSLATE($A4220,""en"",""it"")"),"Mirna")</f>
        <v>Mirna</v>
      </c>
      <c r="G4220" s="9" t="str">
        <f>IFERROR(__xludf.DUMMYFUNCTION("GOOGLETRANSLATE($A4220,""en"",""zh-cn"")"),"米尔娜")</f>
        <v>米尔娜</v>
      </c>
      <c r="H4220" s="9" t="str">
        <f>IFERROR(__xludf.DUMMYFUNCTION("GOOGLETRANSLATE($A4220,""en"",""ja"")"),"ミルナ")</f>
        <v>ミルナ</v>
      </c>
      <c r="I4220" s="9" t="str">
        <f>IFERROR(__xludf.DUMMYFUNCTION("GOOGLETRANSLATE($A4220,""en"",""ko"")"),"미르나")</f>
        <v>미르나</v>
      </c>
      <c r="J4220" s="9" t="str">
        <f>IFERROR(__xludf.DUMMYFUNCTION("GOOGLETRANSLATE($A4220,""en"",""pt-BR"")"),"Mirna")</f>
        <v>Mirna</v>
      </c>
    </row>
    <row r="4221">
      <c r="A4221" s="9" t="str">
        <f>IFERROR(__xludf.DUMMYFUNCTION("""COMPUTED_VALUE"""),"Železniki")</f>
        <v>Železniki</v>
      </c>
      <c r="B4221" s="9" t="str">
        <f>IFERROR(__xludf.DUMMYFUNCTION("""COMPUTED_VALUE"""),"si-146")</f>
        <v>si-146</v>
      </c>
      <c r="C4221" s="9" t="str">
        <f>IFERROR(__xludf.DUMMYFUNCTION("GOOGLETRANSLATE($A4221,""en"",""de"")"),"Železniki")</f>
        <v>Železniki</v>
      </c>
      <c r="D4221" s="9" t="str">
        <f>IFERROR(__xludf.DUMMYFUNCTION("GOOGLETRANSLATE($A4221,""en"",""fr"")"),"Jelezniki")</f>
        <v>Jelezniki</v>
      </c>
      <c r="E4221" s="9" t="str">
        <f>IFERROR(__xludf.DUMMYFUNCTION("GOOGLETRANSLATE($A4221,""en"",""es"")"),"Železniki")</f>
        <v>Železniki</v>
      </c>
      <c r="F4221" s="9" t="str">
        <f>IFERROR(__xludf.DUMMYFUNCTION("GOOGLETRANSLATE($A4221,""en"",""it"")"),"Železniki")</f>
        <v>Železniki</v>
      </c>
      <c r="G4221" s="9" t="str">
        <f>IFERROR(__xludf.DUMMYFUNCTION("GOOGLETRANSLATE($A4221,""en"",""zh-cn"")"),"热莱兹尼基")</f>
        <v>热莱兹尼基</v>
      </c>
      <c r="H4221" s="9" t="str">
        <f>IFERROR(__xludf.DUMMYFUNCTION("GOOGLETRANSLATE($A4221,""en"",""ja"")"),"ジェレズニキ")</f>
        <v>ジェレズニキ</v>
      </c>
      <c r="I4221" s="9" t="str">
        <f>IFERROR(__xludf.DUMMYFUNCTION("GOOGLETRANSLATE($A4221,""en"",""ko"")"),"젤레즈니키")</f>
        <v>젤레즈니키</v>
      </c>
      <c r="J4221" s="9" t="str">
        <f>IFERROR(__xludf.DUMMYFUNCTION("GOOGLETRANSLATE($A4221,""en"",""pt-BR"")"),"Zelezniki")</f>
        <v>Zelezniki</v>
      </c>
    </row>
    <row r="4222">
      <c r="A4222" s="9" t="str">
        <f>IFERROR(__xludf.DUMMYFUNCTION("""COMPUTED_VALUE"""),"Žetale")</f>
        <v>Žetale</v>
      </c>
      <c r="B4222" s="9" t="str">
        <f>IFERROR(__xludf.DUMMYFUNCTION("""COMPUTED_VALUE"""),"si-191")</f>
        <v>si-191</v>
      </c>
      <c r="C4222" s="9" t="str">
        <f>IFERROR(__xludf.DUMMYFUNCTION("GOOGLETRANSLATE($A4222,""en"",""de"")"),"Žetale")</f>
        <v>Žetale</v>
      </c>
      <c r="D4222" s="9" t="str">
        <f>IFERROR(__xludf.DUMMYFUNCTION("GOOGLETRANSLATE($A4222,""en"",""fr"")"),"Zetale")</f>
        <v>Zetale</v>
      </c>
      <c r="E4222" s="9" t="str">
        <f>IFERROR(__xludf.DUMMYFUNCTION("GOOGLETRANSLATE($A4222,""en"",""es"")"),"Žetale")</f>
        <v>Žetale</v>
      </c>
      <c r="F4222" s="9" t="str">
        <f>IFERROR(__xludf.DUMMYFUNCTION("GOOGLETRANSLATE($A4222,""en"",""it"")"),"Žetale")</f>
        <v>Žetale</v>
      </c>
      <c r="G4222" s="9" t="str">
        <f>IFERROR(__xludf.DUMMYFUNCTION("GOOGLETRANSLATE($A4222,""en"",""zh-cn"")"),"泽塔莱")</f>
        <v>泽塔莱</v>
      </c>
      <c r="H4222" s="9" t="str">
        <f>IFERROR(__xludf.DUMMYFUNCTION("GOOGLETRANSLATE($A4222,""en"",""ja"")"),"ゼターレ")</f>
        <v>ゼターレ</v>
      </c>
      <c r="I4222" s="9" t="str">
        <f>IFERROR(__xludf.DUMMYFUNCTION("GOOGLETRANSLATE($A4222,""en"",""ko"")"),"제탈레")</f>
        <v>제탈레</v>
      </c>
      <c r="J4222" s="9" t="str">
        <f>IFERROR(__xludf.DUMMYFUNCTION("GOOGLETRANSLATE($A4222,""en"",""pt-BR"")"),"Zetale")</f>
        <v>Zetale</v>
      </c>
    </row>
    <row r="4223">
      <c r="A4223" s="9" t="str">
        <f>IFERROR(__xludf.DUMMYFUNCTION("""COMPUTED_VALUE"""),"Žiri")</f>
        <v>Žiri</v>
      </c>
      <c r="B4223" s="9" t="str">
        <f>IFERROR(__xludf.DUMMYFUNCTION("""COMPUTED_VALUE"""),"si-147")</f>
        <v>si-147</v>
      </c>
      <c r="C4223" s="9" t="str">
        <f>IFERROR(__xludf.DUMMYFUNCTION("GOOGLETRANSLATE($A4223,""en"",""de"")"),"Ziri")</f>
        <v>Ziri</v>
      </c>
      <c r="D4223" s="9" t="str">
        <f>IFERROR(__xludf.DUMMYFUNCTION("GOOGLETRANSLATE($A4223,""en"",""fr"")"),"Ziri")</f>
        <v>Ziri</v>
      </c>
      <c r="E4223" s="9" t="str">
        <f>IFERROR(__xludf.DUMMYFUNCTION("GOOGLETRANSLATE($A4223,""en"",""es"")"),"Žiri")</f>
        <v>Žiri</v>
      </c>
      <c r="F4223" s="9" t="str">
        <f>IFERROR(__xludf.DUMMYFUNCTION("GOOGLETRANSLATE($A4223,""en"",""it"")"),"Žiri")</f>
        <v>Žiri</v>
      </c>
      <c r="G4223" s="9" t="str">
        <f>IFERROR(__xludf.DUMMYFUNCTION("GOOGLETRANSLATE($A4223,""en"",""zh-cn"")"),"日里")</f>
        <v>日里</v>
      </c>
      <c r="H4223" s="9" t="str">
        <f>IFERROR(__xludf.DUMMYFUNCTION("GOOGLETRANSLATE($A4223,""en"",""ja"")"),"ジリ")</f>
        <v>ジリ</v>
      </c>
      <c r="I4223" s="9" t="str">
        <f>IFERROR(__xludf.DUMMYFUNCTION("GOOGLETRANSLATE($A4223,""en"",""ko"")"),"지리")</f>
        <v>지리</v>
      </c>
      <c r="J4223" s="9" t="str">
        <f>IFERROR(__xludf.DUMMYFUNCTION("GOOGLETRANSLATE($A4223,""en"",""pt-BR"")"),"Žiri")</f>
        <v>Žiri</v>
      </c>
    </row>
    <row r="4224">
      <c r="A4224" s="9" t="str">
        <f>IFERROR(__xludf.DUMMYFUNCTION("""COMPUTED_VALUE"""),"Žirovnica")</f>
        <v>Žirovnica</v>
      </c>
      <c r="B4224" s="9" t="str">
        <f>IFERROR(__xludf.DUMMYFUNCTION("""COMPUTED_VALUE"""),"si-192")</f>
        <v>si-192</v>
      </c>
      <c r="C4224" s="9" t="str">
        <f>IFERROR(__xludf.DUMMYFUNCTION("GOOGLETRANSLATE($A4224,""en"",""de"")"),"Žirovnica")</f>
        <v>Žirovnica</v>
      </c>
      <c r="D4224" s="9" t="str">
        <f>IFERROR(__xludf.DUMMYFUNCTION("GOOGLETRANSLATE($A4224,""en"",""fr"")"),"Žirovnica")</f>
        <v>Žirovnica</v>
      </c>
      <c r="E4224" s="9" t="str">
        <f>IFERROR(__xludf.DUMMYFUNCTION("GOOGLETRANSLATE($A4224,""en"",""es"")"),"Žirovnica")</f>
        <v>Žirovnica</v>
      </c>
      <c r="F4224" s="9" t="str">
        <f>IFERROR(__xludf.DUMMYFUNCTION("GOOGLETRANSLATE($A4224,""en"",""it"")"),"Žirovnica")</f>
        <v>Žirovnica</v>
      </c>
      <c r="G4224" s="9" t="str">
        <f>IFERROR(__xludf.DUMMYFUNCTION("GOOGLETRANSLATE($A4224,""en"",""zh-cn"")"),"日罗夫尼察")</f>
        <v>日罗夫尼察</v>
      </c>
      <c r="H4224" s="9" t="str">
        <f>IFERROR(__xludf.DUMMYFUNCTION("GOOGLETRANSLATE($A4224,""en"",""ja"")"),"ジロヴニツァ")</f>
        <v>ジロヴニツァ</v>
      </c>
      <c r="I4224" s="9" t="str">
        <f>IFERROR(__xludf.DUMMYFUNCTION("GOOGLETRANSLATE($A4224,""en"",""ko"")"),"지로브니차")</f>
        <v>지로브니차</v>
      </c>
      <c r="J4224" s="9" t="str">
        <f>IFERROR(__xludf.DUMMYFUNCTION("GOOGLETRANSLATE($A4224,""en"",""pt-BR"")"),"Žirovnica")</f>
        <v>Žirovnica</v>
      </c>
    </row>
    <row r="4225">
      <c r="A4225" s="9" t="str">
        <f>IFERROR(__xludf.DUMMYFUNCTION("""COMPUTED_VALUE"""),"Zagorje ob Savi")</f>
        <v>Zagorje ob Savi</v>
      </c>
      <c r="B4225" s="9" t="str">
        <f>IFERROR(__xludf.DUMMYFUNCTION("""COMPUTED_VALUE"""),"si-142")</f>
        <v>si-142</v>
      </c>
      <c r="C4225" s="9" t="str">
        <f>IFERROR(__xludf.DUMMYFUNCTION("GOOGLETRANSLATE($A4225,""en"",""de"")"),"Zagorje ob Savi")</f>
        <v>Zagorje ob Savi</v>
      </c>
      <c r="D4225" s="9" t="str">
        <f>IFERROR(__xludf.DUMMYFUNCTION("GOOGLETRANSLATE($A4225,""en"",""fr"")"),"Zagorje ob Savi")</f>
        <v>Zagorje ob Savi</v>
      </c>
      <c r="E4225" s="9" t="str">
        <f>IFERROR(__xludf.DUMMYFUNCTION("GOOGLETRANSLATE($A4225,""en"",""es"")"),"Zagorje ob Savi")</f>
        <v>Zagorje ob Savi</v>
      </c>
      <c r="F4225" s="9" t="str">
        <f>IFERROR(__xludf.DUMMYFUNCTION("GOOGLETRANSLATE($A4225,""en"",""it"")"),"Zagorje ob Savi")</f>
        <v>Zagorje ob Savi</v>
      </c>
      <c r="G4225" s="9" t="str">
        <f>IFERROR(__xludf.DUMMYFUNCTION("GOOGLETRANSLATE($A4225,""en"",""zh-cn"")"),"萨维河畔扎戈列")</f>
        <v>萨维河畔扎戈列</v>
      </c>
      <c r="H4225" s="9" t="str">
        <f>IFERROR(__xludf.DUMMYFUNCTION("GOOGLETRANSLATE($A4225,""en"",""ja"")"),"ザゴリエ オブ サヴィ")</f>
        <v>ザゴリエ オブ サヴィ</v>
      </c>
      <c r="I4225" s="9" t="str">
        <f>IFERROR(__xludf.DUMMYFUNCTION("GOOGLETRANSLATE($A4225,""en"",""ko"")"),"자고르예 옵 사비")</f>
        <v>자고르예 옵 사비</v>
      </c>
      <c r="J4225" s="9" t="str">
        <f>IFERROR(__xludf.DUMMYFUNCTION("GOOGLETRANSLATE($A4225,""en"",""pt-BR"")"),"Zagorje ob Savi")</f>
        <v>Zagorje ob Savi</v>
      </c>
    </row>
    <row r="4226">
      <c r="A4226" s="9" t="str">
        <f>IFERROR(__xludf.DUMMYFUNCTION("""COMPUTED_VALUE"""),"Zavrč")</f>
        <v>Zavrč</v>
      </c>
      <c r="B4226" s="9" t="str">
        <f>IFERROR(__xludf.DUMMYFUNCTION("""COMPUTED_VALUE"""),"si-143")</f>
        <v>si-143</v>
      </c>
      <c r="C4226" s="9" t="str">
        <f>IFERROR(__xludf.DUMMYFUNCTION("GOOGLETRANSLATE($A4226,""en"",""de"")"),"Zavrč")</f>
        <v>Zavrč</v>
      </c>
      <c r="D4226" s="9" t="str">
        <f>IFERROR(__xludf.DUMMYFUNCTION("GOOGLETRANSLATE($A4226,""en"",""fr"")"),"Zavrc")</f>
        <v>Zavrc</v>
      </c>
      <c r="E4226" s="9" t="str">
        <f>IFERROR(__xludf.DUMMYFUNCTION("GOOGLETRANSLATE($A4226,""en"",""es"")"),"Zavrc")</f>
        <v>Zavrc</v>
      </c>
      <c r="F4226" s="9" t="str">
        <f>IFERROR(__xludf.DUMMYFUNCTION("GOOGLETRANSLATE($A4226,""en"",""it"")"),"Zavrč")</f>
        <v>Zavrč</v>
      </c>
      <c r="G4226" s="9" t="str">
        <f>IFERROR(__xludf.DUMMYFUNCTION("GOOGLETRANSLATE($A4226,""en"",""zh-cn"")"),"扎夫尔奇")</f>
        <v>扎夫尔奇</v>
      </c>
      <c r="H4226" s="9" t="str">
        <f>IFERROR(__xludf.DUMMYFUNCTION("GOOGLETRANSLATE($A4226,""en"",""ja"")"),"ザヴルチ")</f>
        <v>ザヴルチ</v>
      </c>
      <c r="I4226" s="9" t="str">
        <f>IFERROR(__xludf.DUMMYFUNCTION("GOOGLETRANSLATE($A4226,""en"",""ko"")"),"자브르치")</f>
        <v>자브르치</v>
      </c>
      <c r="J4226" s="9" t="str">
        <f>IFERROR(__xludf.DUMMYFUNCTION("GOOGLETRANSLATE($A4226,""en"",""pt-BR"")"),"Zavrč")</f>
        <v>Zavrč</v>
      </c>
    </row>
    <row r="4227">
      <c r="A4227" s="9" t="str">
        <f>IFERROR(__xludf.DUMMYFUNCTION("""COMPUTED_VALUE"""),"Zreče")</f>
        <v>Zreče</v>
      </c>
      <c r="B4227" s="9" t="str">
        <f>IFERROR(__xludf.DUMMYFUNCTION("""COMPUTED_VALUE"""),"si-144")</f>
        <v>si-144</v>
      </c>
      <c r="C4227" s="9" t="str">
        <f>IFERROR(__xludf.DUMMYFUNCTION("GOOGLETRANSLATE($A4227,""en"",""de"")"),"Zreče")</f>
        <v>Zreče</v>
      </c>
      <c r="D4227" s="9" t="str">
        <f>IFERROR(__xludf.DUMMYFUNCTION("GOOGLETRANSLATE($A4227,""en"",""fr"")"),"Zreče")</f>
        <v>Zreče</v>
      </c>
      <c r="E4227" s="9" t="str">
        <f>IFERROR(__xludf.DUMMYFUNCTION("GOOGLETRANSLATE($A4227,""en"",""es"")"),"Zreče")</f>
        <v>Zreče</v>
      </c>
      <c r="F4227" s="9" t="str">
        <f>IFERROR(__xludf.DUMMYFUNCTION("GOOGLETRANSLATE($A4227,""en"",""it"")"),"Zreče")</f>
        <v>Zreče</v>
      </c>
      <c r="G4227" s="9" t="str">
        <f>IFERROR(__xludf.DUMMYFUNCTION("GOOGLETRANSLATE($A4227,""en"",""zh-cn"")"),"兹雷切")</f>
        <v>兹雷切</v>
      </c>
      <c r="H4227" s="9" t="str">
        <f>IFERROR(__xludf.DUMMYFUNCTION("GOOGLETRANSLATE($A4227,""en"",""ja"")"),"ズレチェ")</f>
        <v>ズレチェ</v>
      </c>
      <c r="I4227" s="9" t="str">
        <f>IFERROR(__xludf.DUMMYFUNCTION("GOOGLETRANSLATE($A4227,""en"",""ko"")"),"즈레체")</f>
        <v>즈레체</v>
      </c>
      <c r="J4227" s="9" t="str">
        <f>IFERROR(__xludf.DUMMYFUNCTION("GOOGLETRANSLATE($A4227,""en"",""pt-BR"")"),"Zreče")</f>
        <v>Zreče</v>
      </c>
    </row>
    <row r="4228">
      <c r="A4228" s="9" t="str">
        <f>IFERROR(__xludf.DUMMYFUNCTION("""COMPUTED_VALUE"""),"Žalec")</f>
        <v>Žalec</v>
      </c>
      <c r="B4228" s="9" t="str">
        <f>IFERROR(__xludf.DUMMYFUNCTION("""COMPUTED_VALUE"""),"si-190")</f>
        <v>si-190</v>
      </c>
      <c r="C4228" s="9" t="str">
        <f>IFERROR(__xludf.DUMMYFUNCTION("GOOGLETRANSLATE($A4228,""en"",""de"")"),"Žalec")</f>
        <v>Žalec</v>
      </c>
      <c r="D4228" s="9" t="str">
        <f>IFERROR(__xludf.DUMMYFUNCTION("GOOGLETRANSLATE($A4228,""en"",""fr"")"),"Zalec")</f>
        <v>Zalec</v>
      </c>
      <c r="E4228" s="9" t="str">
        <f>IFERROR(__xludf.DUMMYFUNCTION("GOOGLETRANSLATE($A4228,""en"",""es"")"),"Žalec")</f>
        <v>Žalec</v>
      </c>
      <c r="F4228" s="9" t="str">
        <f>IFERROR(__xludf.DUMMYFUNCTION("GOOGLETRANSLATE($A4228,""en"",""it"")"),"Žalec")</f>
        <v>Žalec</v>
      </c>
      <c r="G4228" s="9" t="str">
        <f>IFERROR(__xludf.DUMMYFUNCTION("GOOGLETRANSLATE($A4228,""en"",""zh-cn"")"),"扎莱茨")</f>
        <v>扎莱茨</v>
      </c>
      <c r="H4228" s="9" t="str">
        <f>IFERROR(__xludf.DUMMYFUNCTION("GOOGLETRANSLATE($A4228,""en"",""ja"")"),"ジャレク")</f>
        <v>ジャレク</v>
      </c>
      <c r="I4228" s="9" t="str">
        <f>IFERROR(__xludf.DUMMYFUNCTION("GOOGLETRANSLATE($A4228,""en"",""ko"")"),"잘렉")</f>
        <v>잘렉</v>
      </c>
      <c r="J4228" s="9" t="str">
        <f>IFERROR(__xludf.DUMMYFUNCTION("GOOGLETRANSLATE($A4228,""en"",""pt-BR"")"),"Žalec")</f>
        <v>Žalec</v>
      </c>
    </row>
    <row r="4229">
      <c r="A4229" s="9" t="str">
        <f>IFERROR(__xludf.DUMMYFUNCTION("""COMPUTED_VALUE"""),"Vojnik")</f>
        <v>Vojnik</v>
      </c>
      <c r="B4229" s="9" t="str">
        <f>IFERROR(__xludf.DUMMYFUNCTION("""COMPUTED_VALUE"""),"si-139")</f>
        <v>si-139</v>
      </c>
      <c r="C4229" s="9" t="str">
        <f>IFERROR(__xludf.DUMMYFUNCTION("GOOGLETRANSLATE($A4229,""en"",""de"")"),"Vojnik")</f>
        <v>Vojnik</v>
      </c>
      <c r="D4229" s="9" t="str">
        <f>IFERROR(__xludf.DUMMYFUNCTION("GOOGLETRANSLATE($A4229,""en"",""fr"")"),"Vojnik")</f>
        <v>Vojnik</v>
      </c>
      <c r="E4229" s="9" t="str">
        <f>IFERROR(__xludf.DUMMYFUNCTION("GOOGLETRANSLATE($A4229,""en"",""es"")"),"Vojnik")</f>
        <v>Vojnik</v>
      </c>
      <c r="F4229" s="9" t="str">
        <f>IFERROR(__xludf.DUMMYFUNCTION("GOOGLETRANSLATE($A4229,""en"",""it"")"),"Vojnik")</f>
        <v>Vojnik</v>
      </c>
      <c r="G4229" s="9" t="str">
        <f>IFERROR(__xludf.DUMMYFUNCTION("GOOGLETRANSLATE($A4229,""en"",""zh-cn"")"),"沃伊尼克")</f>
        <v>沃伊尼克</v>
      </c>
      <c r="H4229" s="9" t="str">
        <f>IFERROR(__xludf.DUMMYFUNCTION("GOOGLETRANSLATE($A4229,""en"",""ja"")"),"ヴォジニク")</f>
        <v>ヴォジニク</v>
      </c>
      <c r="I4229" s="9" t="str">
        <f>IFERROR(__xludf.DUMMYFUNCTION("GOOGLETRANSLATE($A4229,""en"",""ko"")"),"보이니크")</f>
        <v>보이니크</v>
      </c>
      <c r="J4229" s="9" t="str">
        <f>IFERROR(__xludf.DUMMYFUNCTION("GOOGLETRANSLATE($A4229,""en"",""pt-BR"")"),"Vojnik")</f>
        <v>Vojnik</v>
      </c>
    </row>
    <row r="4230">
      <c r="A4230" s="9" t="str">
        <f>IFERROR(__xludf.DUMMYFUNCTION("""COMPUTED_VALUE"""),"Vransko")</f>
        <v>Vransko</v>
      </c>
      <c r="B4230" s="9" t="str">
        <f>IFERROR(__xludf.DUMMYFUNCTION("""COMPUTED_VALUE"""),"si-189")</f>
        <v>si-189</v>
      </c>
      <c r="C4230" s="9" t="str">
        <f>IFERROR(__xludf.DUMMYFUNCTION("GOOGLETRANSLATE($A4230,""en"",""de"")"),"Vransko")</f>
        <v>Vransko</v>
      </c>
      <c r="D4230" s="9" t="str">
        <f>IFERROR(__xludf.DUMMYFUNCTION("GOOGLETRANSLATE($A4230,""en"",""fr"")"),"Vransko")</f>
        <v>Vransko</v>
      </c>
      <c r="E4230" s="9" t="str">
        <f>IFERROR(__xludf.DUMMYFUNCTION("GOOGLETRANSLATE($A4230,""en"",""es"")"),"Vransko")</f>
        <v>Vransko</v>
      </c>
      <c r="F4230" s="9" t="str">
        <f>IFERROR(__xludf.DUMMYFUNCTION("GOOGLETRANSLATE($A4230,""en"",""it"")"),"Vransko")</f>
        <v>Vransko</v>
      </c>
      <c r="G4230" s="9" t="str">
        <f>IFERROR(__xludf.DUMMYFUNCTION("GOOGLETRANSLATE($A4230,""en"",""zh-cn"")"),"弗兰斯科")</f>
        <v>弗兰斯科</v>
      </c>
      <c r="H4230" s="9" t="str">
        <f>IFERROR(__xludf.DUMMYFUNCTION("GOOGLETRANSLATE($A4230,""en"",""ja"")"),"ヴランスコ")</f>
        <v>ヴランスコ</v>
      </c>
      <c r="I4230" s="9" t="str">
        <f>IFERROR(__xludf.DUMMYFUNCTION("GOOGLETRANSLATE($A4230,""en"",""ko"")"),"브란스코")</f>
        <v>브란스코</v>
      </c>
      <c r="J4230" s="9" t="str">
        <f>IFERROR(__xludf.DUMMYFUNCTION("GOOGLETRANSLATE($A4230,""en"",""pt-BR"")"),"Vransko")</f>
        <v>Vransko</v>
      </c>
    </row>
    <row r="4231">
      <c r="A4231" s="9" t="str">
        <f>IFERROR(__xludf.DUMMYFUNCTION("""COMPUTED_VALUE"""),"Vrhnika")</f>
        <v>Vrhnika</v>
      </c>
      <c r="B4231" s="9" t="str">
        <f>IFERROR(__xludf.DUMMYFUNCTION("""COMPUTED_VALUE"""),"si-140")</f>
        <v>si-140</v>
      </c>
      <c r="C4231" s="9" t="str">
        <f>IFERROR(__xludf.DUMMYFUNCTION("GOOGLETRANSLATE($A4231,""en"",""de"")"),"Vrhnika")</f>
        <v>Vrhnika</v>
      </c>
      <c r="D4231" s="9" t="str">
        <f>IFERROR(__xludf.DUMMYFUNCTION("GOOGLETRANSLATE($A4231,""en"",""fr"")"),"Vrhnika")</f>
        <v>Vrhnika</v>
      </c>
      <c r="E4231" s="9" t="str">
        <f>IFERROR(__xludf.DUMMYFUNCTION("GOOGLETRANSLATE($A4231,""en"",""es"")"),"Vrhnika")</f>
        <v>Vrhnika</v>
      </c>
      <c r="F4231" s="9" t="str">
        <f>IFERROR(__xludf.DUMMYFUNCTION("GOOGLETRANSLATE($A4231,""en"",""it"")"),"Vrhnika")</f>
        <v>Vrhnika</v>
      </c>
      <c r="G4231" s="9" t="str">
        <f>IFERROR(__xludf.DUMMYFUNCTION("GOOGLETRANSLATE($A4231,""en"",""zh-cn"")"),"弗尔赫尼卡")</f>
        <v>弗尔赫尼卡</v>
      </c>
      <c r="H4231" s="9" t="str">
        <f>IFERROR(__xludf.DUMMYFUNCTION("GOOGLETRANSLATE($A4231,""en"",""ja"")"),"ヴルニカ")</f>
        <v>ヴルニカ</v>
      </c>
      <c r="I4231" s="9" t="str">
        <f>IFERROR(__xludf.DUMMYFUNCTION("GOOGLETRANSLATE($A4231,""en"",""ko"")"),"브리니카")</f>
        <v>브리니카</v>
      </c>
      <c r="J4231" s="9" t="str">
        <f>IFERROR(__xludf.DUMMYFUNCTION("GOOGLETRANSLATE($A4231,""en"",""pt-BR"")"),"Vrhnika")</f>
        <v>Vrhnika</v>
      </c>
    </row>
    <row r="4232">
      <c r="A4232" s="9" t="str">
        <f>IFERROR(__xludf.DUMMYFUNCTION("""COMPUTED_VALUE"""),"Vuzenica")</f>
        <v>Vuzenica</v>
      </c>
      <c r="B4232" s="9" t="str">
        <f>IFERROR(__xludf.DUMMYFUNCTION("""COMPUTED_VALUE"""),"si-141")</f>
        <v>si-141</v>
      </c>
      <c r="C4232" s="9" t="str">
        <f>IFERROR(__xludf.DUMMYFUNCTION("GOOGLETRANSLATE($A4232,""en"",""de"")"),"Vuzenica")</f>
        <v>Vuzenica</v>
      </c>
      <c r="D4232" s="9" t="str">
        <f>IFERROR(__xludf.DUMMYFUNCTION("GOOGLETRANSLATE($A4232,""en"",""fr"")"),"Vuzenica")</f>
        <v>Vuzenica</v>
      </c>
      <c r="E4232" s="9" t="str">
        <f>IFERROR(__xludf.DUMMYFUNCTION("GOOGLETRANSLATE($A4232,""en"",""es"")"),"Vuzenica")</f>
        <v>Vuzenica</v>
      </c>
      <c r="F4232" s="9" t="str">
        <f>IFERROR(__xludf.DUMMYFUNCTION("GOOGLETRANSLATE($A4232,""en"",""it"")"),"Vuzenica")</f>
        <v>Vuzenica</v>
      </c>
      <c r="G4232" s="9" t="str">
        <f>IFERROR(__xludf.DUMMYFUNCTION("GOOGLETRANSLATE($A4232,""en"",""zh-cn"")"),"武泽尼察")</f>
        <v>武泽尼察</v>
      </c>
      <c r="H4232" s="9" t="str">
        <f>IFERROR(__xludf.DUMMYFUNCTION("GOOGLETRANSLATE($A4232,""en"",""ja"")"),"ヴゼニツァ")</f>
        <v>ヴゼニツァ</v>
      </c>
      <c r="I4232" s="9" t="str">
        <f>IFERROR(__xludf.DUMMYFUNCTION("GOOGLETRANSLATE($A4232,""en"",""ko"")"),"부제니카")</f>
        <v>부제니카</v>
      </c>
      <c r="J4232" s="9" t="str">
        <f>IFERROR(__xludf.DUMMYFUNCTION("GOOGLETRANSLATE($A4232,""en"",""pt-BR"")"),"Vuzenica")</f>
        <v>Vuzenica</v>
      </c>
    </row>
    <row r="4233">
      <c r="A4233" s="9" t="str">
        <f>IFERROR(__xludf.DUMMYFUNCTION("""COMPUTED_VALUE"""),"Videm")</f>
        <v>Videm</v>
      </c>
      <c r="B4233" s="9" t="str">
        <f>IFERROR(__xludf.DUMMYFUNCTION("""COMPUTED_VALUE"""),"si-135")</f>
        <v>si-135</v>
      </c>
      <c r="C4233" s="9" t="str">
        <f>IFERROR(__xludf.DUMMYFUNCTION("GOOGLETRANSLATE($A4233,""en"",""de"")"),"Videm")</f>
        <v>Videm</v>
      </c>
      <c r="D4233" s="9" t="str">
        <f>IFERROR(__xludf.DUMMYFUNCTION("GOOGLETRANSLATE($A4233,""en"",""fr"")"),"Videm")</f>
        <v>Videm</v>
      </c>
      <c r="E4233" s="9" t="str">
        <f>IFERROR(__xludf.DUMMYFUNCTION("GOOGLETRANSLATE($A4233,""en"",""es"")"),"videm")</f>
        <v>videm</v>
      </c>
      <c r="F4233" s="9" t="str">
        <f>IFERROR(__xludf.DUMMYFUNCTION("GOOGLETRANSLATE($A4233,""en"",""it"")"),"Videm")</f>
        <v>Videm</v>
      </c>
      <c r="G4233" s="9" t="str">
        <f>IFERROR(__xludf.DUMMYFUNCTION("GOOGLETRANSLATE($A4233,""en"",""zh-cn"")"),"维德姆")</f>
        <v>维德姆</v>
      </c>
      <c r="H4233" s="9" t="str">
        <f>IFERROR(__xludf.DUMMYFUNCTION("GOOGLETRANSLATE($A4233,""en"",""ja"")"),"ビデム")</f>
        <v>ビデム</v>
      </c>
      <c r="I4233" s="9" t="str">
        <f>IFERROR(__xludf.DUMMYFUNCTION("GOOGLETRANSLATE($A4233,""en"",""ko"")"),"비뎀")</f>
        <v>비뎀</v>
      </c>
      <c r="J4233" s="9" t="str">
        <f>IFERROR(__xludf.DUMMYFUNCTION("GOOGLETRANSLATE($A4233,""en"",""pt-BR"")"),"Videm")</f>
        <v>Videm</v>
      </c>
    </row>
    <row r="4234">
      <c r="A4234" s="9" t="str">
        <f>IFERROR(__xludf.DUMMYFUNCTION("""COMPUTED_VALUE"""),"Vipava")</f>
        <v>Vipava</v>
      </c>
      <c r="B4234" s="9" t="str">
        <f>IFERROR(__xludf.DUMMYFUNCTION("""COMPUTED_VALUE"""),"si-136")</f>
        <v>si-136</v>
      </c>
      <c r="C4234" s="9" t="str">
        <f>IFERROR(__xludf.DUMMYFUNCTION("GOOGLETRANSLATE($A4234,""en"",""de"")"),"Vipava")</f>
        <v>Vipava</v>
      </c>
      <c r="D4234" s="9" t="str">
        <f>IFERROR(__xludf.DUMMYFUNCTION("GOOGLETRANSLATE($A4234,""en"",""fr"")"),"Vipava")</f>
        <v>Vipava</v>
      </c>
      <c r="E4234" s="9" t="str">
        <f>IFERROR(__xludf.DUMMYFUNCTION("GOOGLETRANSLATE($A4234,""en"",""es"")"),"vipava")</f>
        <v>vipava</v>
      </c>
      <c r="F4234" s="9" t="str">
        <f>IFERROR(__xludf.DUMMYFUNCTION("GOOGLETRANSLATE($A4234,""en"",""it"")"),"Vipava")</f>
        <v>Vipava</v>
      </c>
      <c r="G4234" s="9" t="str">
        <f>IFERROR(__xludf.DUMMYFUNCTION("GOOGLETRANSLATE($A4234,""en"",""zh-cn"")"),"维帕瓦")</f>
        <v>维帕瓦</v>
      </c>
      <c r="H4234" s="9" t="str">
        <f>IFERROR(__xludf.DUMMYFUNCTION("GOOGLETRANSLATE($A4234,""en"",""ja"")"),"ヴィパヴァ")</f>
        <v>ヴィパヴァ</v>
      </c>
      <c r="I4234" s="9" t="str">
        <f>IFERROR(__xludf.DUMMYFUNCTION("GOOGLETRANSLATE($A4234,""en"",""ko"")"),"비파바")</f>
        <v>비파바</v>
      </c>
      <c r="J4234" s="9" t="str">
        <f>IFERROR(__xludf.DUMMYFUNCTION("GOOGLETRANSLATE($A4234,""en"",""pt-BR"")"),"Vipava")</f>
        <v>Vipava</v>
      </c>
    </row>
    <row r="4235">
      <c r="A4235" s="9" t="str">
        <f>IFERROR(__xludf.DUMMYFUNCTION("""COMPUTED_VALUE"""),"Vitanje")</f>
        <v>Vitanje</v>
      </c>
      <c r="B4235" s="9" t="str">
        <f>IFERROR(__xludf.DUMMYFUNCTION("""COMPUTED_VALUE"""),"si-137")</f>
        <v>si-137</v>
      </c>
      <c r="C4235" s="9" t="str">
        <f>IFERROR(__xludf.DUMMYFUNCTION("GOOGLETRANSLATE($A4235,""en"",""de"")"),"Vitanje")</f>
        <v>Vitanje</v>
      </c>
      <c r="D4235" s="9" t="str">
        <f>IFERROR(__xludf.DUMMYFUNCTION("GOOGLETRANSLATE($A4235,""en"",""fr"")"),"Vitanje")</f>
        <v>Vitanje</v>
      </c>
      <c r="E4235" s="9" t="str">
        <f>IFERROR(__xludf.DUMMYFUNCTION("GOOGLETRANSLATE($A4235,""en"",""es"")"),"Vitanje")</f>
        <v>Vitanje</v>
      </c>
      <c r="F4235" s="9" t="str">
        <f>IFERROR(__xludf.DUMMYFUNCTION("GOOGLETRANSLATE($A4235,""en"",""it"")"),"Vitanje")</f>
        <v>Vitanje</v>
      </c>
      <c r="G4235" s="9" t="str">
        <f>IFERROR(__xludf.DUMMYFUNCTION("GOOGLETRANSLATE($A4235,""en"",""zh-cn"")"),"维坦杰")</f>
        <v>维坦杰</v>
      </c>
      <c r="H4235" s="9" t="str">
        <f>IFERROR(__xludf.DUMMYFUNCTION("GOOGLETRANSLATE($A4235,""en"",""ja"")"),"ビタンジェ")</f>
        <v>ビタンジェ</v>
      </c>
      <c r="I4235" s="9" t="str">
        <f>IFERROR(__xludf.DUMMYFUNCTION("GOOGLETRANSLATE($A4235,""en"",""ko"")"),"비탄제")</f>
        <v>비탄제</v>
      </c>
      <c r="J4235" s="9" t="str">
        <f>IFERROR(__xludf.DUMMYFUNCTION("GOOGLETRANSLATE($A4235,""en"",""pt-BR"")"),"Vitanje")</f>
        <v>Vitanje</v>
      </c>
    </row>
    <row r="4236">
      <c r="A4236" s="9" t="str">
        <f>IFERROR(__xludf.DUMMYFUNCTION("""COMPUTED_VALUE"""),"Vodice")</f>
        <v>Vodice</v>
      </c>
      <c r="B4236" s="9" t="str">
        <f>IFERROR(__xludf.DUMMYFUNCTION("""COMPUTED_VALUE"""),"si-138")</f>
        <v>si-138</v>
      </c>
      <c r="C4236" s="9" t="str">
        <f>IFERROR(__xludf.DUMMYFUNCTION("GOOGLETRANSLATE($A4236,""en"",""de"")"),"Vodice")</f>
        <v>Vodice</v>
      </c>
      <c r="D4236" s="9" t="str">
        <f>IFERROR(__xludf.DUMMYFUNCTION("GOOGLETRANSLATE($A4236,""en"",""fr"")"),"Vodice")</f>
        <v>Vodice</v>
      </c>
      <c r="E4236" s="9" t="str">
        <f>IFERROR(__xludf.DUMMYFUNCTION("GOOGLETRANSLATE($A4236,""en"",""es"")"),"Vodice")</f>
        <v>Vodice</v>
      </c>
      <c r="F4236" s="9" t="str">
        <f>IFERROR(__xludf.DUMMYFUNCTION("GOOGLETRANSLATE($A4236,""en"",""it"")"),"Vodice")</f>
        <v>Vodice</v>
      </c>
      <c r="G4236" s="9" t="str">
        <f>IFERROR(__xludf.DUMMYFUNCTION("GOOGLETRANSLATE($A4236,""en"",""zh-cn"")"),"沃迪切")</f>
        <v>沃迪切</v>
      </c>
      <c r="H4236" s="9" t="str">
        <f>IFERROR(__xludf.DUMMYFUNCTION("GOOGLETRANSLATE($A4236,""en"",""ja"")"),"ヴォディツェ")</f>
        <v>ヴォディツェ</v>
      </c>
      <c r="I4236" s="9" t="str">
        <f>IFERROR(__xludf.DUMMYFUNCTION("GOOGLETRANSLATE($A4236,""en"",""ko"")"),"보디체")</f>
        <v>보디체</v>
      </c>
      <c r="J4236" s="9" t="str">
        <f>IFERROR(__xludf.DUMMYFUNCTION("GOOGLETRANSLATE($A4236,""en"",""pt-BR"")"),"Vodice")</f>
        <v>Vodice</v>
      </c>
    </row>
    <row r="4237">
      <c r="A4237" s="9" t="str">
        <f>IFERROR(__xludf.DUMMYFUNCTION("""COMPUTED_VALUE"""),"Žužemberk")</f>
        <v>Žužemberk</v>
      </c>
      <c r="B4237" s="9" t="str">
        <f>IFERROR(__xludf.DUMMYFUNCTION("""COMPUTED_VALUE"""),"si-193")</f>
        <v>si-193</v>
      </c>
      <c r="C4237" s="9" t="str">
        <f>IFERROR(__xludf.DUMMYFUNCTION("GOOGLETRANSLATE($A4237,""en"",""de"")"),"Žužemberk")</f>
        <v>Žužemberk</v>
      </c>
      <c r="D4237" s="9" t="str">
        <f>IFERROR(__xludf.DUMMYFUNCTION("GOOGLETRANSLATE($A4237,""en"",""fr"")"),"Zuzemberk")</f>
        <v>Zuzemberk</v>
      </c>
      <c r="E4237" s="9" t="str">
        <f>IFERROR(__xludf.DUMMYFUNCTION("GOOGLETRANSLATE($A4237,""en"",""es"")"),"Žužemberk")</f>
        <v>Žužemberk</v>
      </c>
      <c r="F4237" s="9" t="str">
        <f>IFERROR(__xludf.DUMMYFUNCTION("GOOGLETRANSLATE($A4237,""en"",""it"")"),"Žuzemberk")</f>
        <v>Žuzemberk</v>
      </c>
      <c r="G4237" s="9" t="str">
        <f>IFERROR(__xludf.DUMMYFUNCTION("GOOGLETRANSLATE($A4237,""en"",""zh-cn"")"),"祖森贝尔克")</f>
        <v>祖森贝尔克</v>
      </c>
      <c r="H4237" s="9" t="str">
        <f>IFERROR(__xludf.DUMMYFUNCTION("GOOGLETRANSLATE($A4237,""en"",""ja"")"),"ジュジェンベルク")</f>
        <v>ジュジェンベルク</v>
      </c>
      <c r="I4237" s="9" t="str">
        <f>IFERROR(__xludf.DUMMYFUNCTION("GOOGLETRANSLATE($A4237,""en"",""ko"")"),"주젬베르크")</f>
        <v>주젬베르크</v>
      </c>
      <c r="J4237" s="9" t="str">
        <f>IFERROR(__xludf.DUMMYFUNCTION("GOOGLETRANSLATE($A4237,""en"",""pt-BR"")"),"Žužemberk")</f>
        <v>Žužemberk</v>
      </c>
    </row>
    <row r="4238">
      <c r="A4238" s="9" t="str">
        <f>IFERROR(__xludf.DUMMYFUNCTION("""COMPUTED_VALUE"""),"Šempeter-Vrtojba")</f>
        <v>Šempeter-Vrtojba</v>
      </c>
      <c r="B4238" s="9" t="str">
        <f>IFERROR(__xludf.DUMMYFUNCTION("""COMPUTED_VALUE"""),"si-183")</f>
        <v>si-183</v>
      </c>
      <c r="C4238" s="9" t="str">
        <f>IFERROR(__xludf.DUMMYFUNCTION("GOOGLETRANSLATE($A4238,""en"",""de"")"),"Šempeter-Vrtojba")</f>
        <v>Šempeter-Vrtojba</v>
      </c>
      <c r="D4238" s="9" t="str">
        <f>IFERROR(__xludf.DUMMYFUNCTION("GOOGLETRANSLATE($A4238,""en"",""fr"")"),"Sempeter-Vrtojba")</f>
        <v>Sempeter-Vrtojba</v>
      </c>
      <c r="E4238" s="9" t="str">
        <f>IFERROR(__xludf.DUMMYFUNCTION("GOOGLETRANSLATE($A4238,""en"",""es"")"),"Šempeter-Vrtojba")</f>
        <v>Šempeter-Vrtojba</v>
      </c>
      <c r="F4238" s="9" t="str">
        <f>IFERROR(__xludf.DUMMYFUNCTION("GOOGLETRANSLATE($A4238,""en"",""it"")"),"Šempeter-Vrtojba")</f>
        <v>Šempeter-Vrtojba</v>
      </c>
      <c r="G4238" s="9" t="str">
        <f>IFERROR(__xludf.DUMMYFUNCTION("GOOGLETRANSLATE($A4238,""en"",""zh-cn"")"),"森彼得-弗托伊巴")</f>
        <v>森彼得-弗托伊巴</v>
      </c>
      <c r="H4238" s="9" t="str">
        <f>IFERROR(__xludf.DUMMYFUNCTION("GOOGLETRANSLATE($A4238,""en"",""ja"")"),"シェンペテル＝ヴルトイバ")</f>
        <v>シェンペテル＝ヴルトイバ</v>
      </c>
      <c r="I4238" s="9" t="str">
        <f>IFERROR(__xludf.DUMMYFUNCTION("GOOGLETRANSLATE($A4238,""en"",""ko"")"),"셈페터-브르토이바")</f>
        <v>셈페터-브르토이바</v>
      </c>
      <c r="J4238" s="9" t="str">
        <f>IFERROR(__xludf.DUMMYFUNCTION("GOOGLETRANSLATE($A4238,""en"",""pt-BR"")"),"Šempeter-Vrtojba")</f>
        <v>Šempeter-Vrtojba</v>
      </c>
    </row>
    <row r="4239">
      <c r="A4239" s="9" t="str">
        <f>IFERROR(__xludf.DUMMYFUNCTION("""COMPUTED_VALUE"""),"Šenčur")</f>
        <v>Šenčur</v>
      </c>
      <c r="B4239" s="9" t="str">
        <f>IFERROR(__xludf.DUMMYFUNCTION("""COMPUTED_VALUE"""),"si-117")</f>
        <v>si-117</v>
      </c>
      <c r="C4239" s="9" t="str">
        <f>IFERROR(__xludf.DUMMYFUNCTION("GOOGLETRANSLATE($A4239,""en"",""de"")"),"Šenčur")</f>
        <v>Šenčur</v>
      </c>
      <c r="D4239" s="9" t="str">
        <f>IFERROR(__xludf.DUMMYFUNCTION("GOOGLETRANSLATE($A4239,""en"",""fr"")"),"Senčur")</f>
        <v>Senčur</v>
      </c>
      <c r="E4239" s="9" t="str">
        <f>IFERROR(__xludf.DUMMYFUNCTION("GOOGLETRANSLATE($A4239,""en"",""es"")"),"Šenčur")</f>
        <v>Šenčur</v>
      </c>
      <c r="F4239" s="9" t="str">
        <f>IFERROR(__xludf.DUMMYFUNCTION("GOOGLETRANSLATE($A4239,""en"",""it"")"),"Šenčur")</f>
        <v>Šenčur</v>
      </c>
      <c r="G4239" s="9" t="str">
        <f>IFERROR(__xludf.DUMMYFUNCTION("GOOGLETRANSLATE($A4239,""en"",""zh-cn"")"),"森库尔")</f>
        <v>森库尔</v>
      </c>
      <c r="H4239" s="9" t="str">
        <f>IFERROR(__xludf.DUMMYFUNCTION("GOOGLETRANSLATE($A4239,""en"",""ja"")"),"シェンチュル")</f>
        <v>シェンチュル</v>
      </c>
      <c r="I4239" s="9" t="str">
        <f>IFERROR(__xludf.DUMMYFUNCTION("GOOGLETRANSLATE($A4239,""en"",""ko"")"),"센츄르")</f>
        <v>센츄르</v>
      </c>
      <c r="J4239" s="9" t="str">
        <f>IFERROR(__xludf.DUMMYFUNCTION("GOOGLETRANSLATE($A4239,""en"",""pt-BR"")"),"Šencur")</f>
        <v>Šencur</v>
      </c>
    </row>
    <row r="4240">
      <c r="A4240" s="9" t="str">
        <f>IFERROR(__xludf.DUMMYFUNCTION("""COMPUTED_VALUE"""),"Šentilj")</f>
        <v>Šentilj</v>
      </c>
      <c r="B4240" s="9" t="str">
        <f>IFERROR(__xludf.DUMMYFUNCTION("""COMPUTED_VALUE"""),"si-118")</f>
        <v>si-118</v>
      </c>
      <c r="C4240" s="9" t="str">
        <f>IFERROR(__xludf.DUMMYFUNCTION("GOOGLETRANSLATE($A4240,""en"",""de"")"),"Šentilj")</f>
        <v>Šentilj</v>
      </c>
      <c r="D4240" s="9" t="str">
        <f>IFERROR(__xludf.DUMMYFUNCTION("GOOGLETRANSLATE($A4240,""en"",""fr"")"),"Sentilj")</f>
        <v>Sentilj</v>
      </c>
      <c r="E4240" s="9" t="str">
        <f>IFERROR(__xludf.DUMMYFUNCTION("GOOGLETRANSLATE($A4240,""en"",""es"")"),"Šentilj")</f>
        <v>Šentilj</v>
      </c>
      <c r="F4240" s="9" t="str">
        <f>IFERROR(__xludf.DUMMYFUNCTION("GOOGLETRANSLATE($A4240,""en"",""it"")"),"Sentilj")</f>
        <v>Sentilj</v>
      </c>
      <c r="G4240" s="9" t="str">
        <f>IFERROR(__xludf.DUMMYFUNCTION("GOOGLETRANSLATE($A4240,""en"",""zh-cn"")"),"森蒂利")</f>
        <v>森蒂利</v>
      </c>
      <c r="H4240" s="9" t="str">
        <f>IFERROR(__xludf.DUMMYFUNCTION("GOOGLETRANSLATE($A4240,""en"",""ja"")"),"シェンティリ")</f>
        <v>シェンティリ</v>
      </c>
      <c r="I4240" s="9" t="str">
        <f>IFERROR(__xludf.DUMMYFUNCTION("GOOGLETRANSLATE($A4240,""en"",""ko"")"),"센틸리")</f>
        <v>센틸리</v>
      </c>
      <c r="J4240" s="9" t="str">
        <f>IFERROR(__xludf.DUMMYFUNCTION("GOOGLETRANSLATE($A4240,""en"",""pt-BR"")"),"Šentilj")</f>
        <v>Šentilj</v>
      </c>
    </row>
    <row r="4241">
      <c r="A4241" s="9" t="str">
        <f>IFERROR(__xludf.DUMMYFUNCTION("""COMPUTED_VALUE"""),"Šentjernej")</f>
        <v>Šentjernej</v>
      </c>
      <c r="B4241" s="9" t="str">
        <f>IFERROR(__xludf.DUMMYFUNCTION("""COMPUTED_VALUE"""),"si-119")</f>
        <v>si-119</v>
      </c>
      <c r="C4241" s="9" t="str">
        <f>IFERROR(__xludf.DUMMYFUNCTION("GOOGLETRANSLATE($A4241,""en"",""de"")"),"Šentjernej")</f>
        <v>Šentjernej</v>
      </c>
      <c r="D4241" s="9" t="str">
        <f>IFERROR(__xludf.DUMMYFUNCTION("GOOGLETRANSLATE($A4241,""en"",""fr"")"),"Sentjernej")</f>
        <v>Sentjernej</v>
      </c>
      <c r="E4241" s="9" t="str">
        <f>IFERROR(__xludf.DUMMYFUNCTION("GOOGLETRANSLATE($A4241,""en"",""es"")"),"Šentjernej")</f>
        <v>Šentjernej</v>
      </c>
      <c r="F4241" s="9" t="str">
        <f>IFERROR(__xludf.DUMMYFUNCTION("GOOGLETRANSLATE($A4241,""en"",""it"")"),"Šentjernej")</f>
        <v>Šentjernej</v>
      </c>
      <c r="G4241" s="9" t="str">
        <f>IFERROR(__xludf.DUMMYFUNCTION("GOOGLETRANSLATE($A4241,""en"",""zh-cn"")"),"森特耶内伊")</f>
        <v>森特耶内伊</v>
      </c>
      <c r="H4241" s="9" t="str">
        <f>IFERROR(__xludf.DUMMYFUNCTION("GOOGLETRANSLATE($A4241,""en"",""ja"")"),"シェンチェルネジ")</f>
        <v>シェンチェルネジ</v>
      </c>
      <c r="I4241" s="9" t="str">
        <f>IFERROR(__xludf.DUMMYFUNCTION("GOOGLETRANSLATE($A4241,""en"",""ko"")"),"센체르네이")</f>
        <v>센체르네이</v>
      </c>
      <c r="J4241" s="9" t="str">
        <f>IFERROR(__xludf.DUMMYFUNCTION("GOOGLETRANSLATE($A4241,""en"",""pt-BR"")"),"Šentjernej")</f>
        <v>Šentjernej</v>
      </c>
    </row>
    <row r="4242">
      <c r="A4242" s="9" t="str">
        <f>IFERROR(__xludf.DUMMYFUNCTION("""COMPUTED_VALUE"""),"Sveti Jurij ob Ščavnici")</f>
        <v>Sveti Jurij ob Ščavnici</v>
      </c>
      <c r="B4242" s="9" t="str">
        <f>IFERROR(__xludf.DUMMYFUNCTION("""COMPUTED_VALUE"""),"si-116")</f>
        <v>si-116</v>
      </c>
      <c r="C4242" s="9" t="str">
        <f>IFERROR(__xludf.DUMMYFUNCTION("GOOGLETRANSLATE($A4242,""en"",""de"")"),"Sveti Jurij ob Ščavnici")</f>
        <v>Sveti Jurij ob Ščavnici</v>
      </c>
      <c r="D4242" s="9" t="str">
        <f>IFERROR(__xludf.DUMMYFUNCTION("GOOGLETRANSLATE($A4242,""en"",""fr"")"),"Sveti Jurij ob Ščavnici")</f>
        <v>Sveti Jurij ob Ščavnici</v>
      </c>
      <c r="E4242" s="9" t="str">
        <f>IFERROR(__xludf.DUMMYFUNCTION("GOOGLETRANSLATE($A4242,""en"",""es"")"),"Sveti Jurij ob Ščavnici")</f>
        <v>Sveti Jurij ob Ščavnici</v>
      </c>
      <c r="F4242" s="9" t="str">
        <f>IFERROR(__xludf.DUMMYFUNCTION("GOOGLETRANSLATE($A4242,""en"",""it"")"),"Sveti Jurij ob Ščavnici")</f>
        <v>Sveti Jurij ob Ščavnici</v>
      </c>
      <c r="G4242" s="9" t="str">
        <f>IFERROR(__xludf.DUMMYFUNCTION("GOOGLETRANSLATE($A4242,""en"",""zh-cn"")"),"Sveti Jurij ob Ščavnici")</f>
        <v>Sveti Jurij ob Ščavnici</v>
      </c>
      <c r="H4242" s="9" t="str">
        <f>IFERROR(__xludf.DUMMYFUNCTION("GOOGLETRANSLATE($A4242,""en"",""ja"")"),"スヴェティ・ユリ・オブ・シュチャヴニチ")</f>
        <v>スヴェティ・ユリ・オブ・シュチャヴニチ</v>
      </c>
      <c r="I4242" s="9" t="str">
        <f>IFERROR(__xludf.DUMMYFUNCTION("GOOGLETRANSLATE($A4242,""en"",""ko"")"),"스베티 주리 옵 슈차브니치")</f>
        <v>스베티 주리 옵 슈차브니치</v>
      </c>
      <c r="J4242" s="9" t="str">
        <f>IFERROR(__xludf.DUMMYFUNCTION("GOOGLETRANSLATE($A4242,""en"",""pt-BR"")"),"Sveti Jurij ob Ščavnici")</f>
        <v>Sveti Jurij ob Ščavnici</v>
      </c>
    </row>
    <row r="4243">
      <c r="A4243" s="9" t="str">
        <f>IFERROR(__xludf.DUMMYFUNCTION("""COMPUTED_VALUE"""),"Sveti Jurij v Slovenskih goricah")</f>
        <v>Sveti Jurij v Slovenskih goricah</v>
      </c>
      <c r="B4243" s="9" t="str">
        <f>IFERROR(__xludf.DUMMYFUNCTION("""COMPUTED_VALUE"""),"si-210")</f>
        <v>si-210</v>
      </c>
      <c r="C4243" s="9" t="str">
        <f>IFERROR(__xludf.DUMMYFUNCTION("GOOGLETRANSLATE($A4243,""en"",""de"")"),"Sveti Jurij gegen Slovenskih goricah")</f>
        <v>Sveti Jurij gegen Slovenskih goricah</v>
      </c>
      <c r="D4243" s="9" t="str">
        <f>IFERROR(__xludf.DUMMYFUNCTION("GOOGLETRANSLATE($A4243,""en"",""fr"")"),"Sveti Jurij contre Slovenskih goricah")</f>
        <v>Sveti Jurij contre Slovenskih goricah</v>
      </c>
      <c r="E4243" s="9" t="str">
        <f>IFERROR(__xludf.DUMMYFUNCTION("GOOGLETRANSLATE($A4243,""en"",""es"")"),"Sveti Jurij contra Slovenskih goricah")</f>
        <v>Sveti Jurij contra Slovenskih goricah</v>
      </c>
      <c r="F4243" s="9" t="str">
        <f>IFERROR(__xludf.DUMMYFUNCTION("GOOGLETRANSLATE($A4243,""en"",""it"")"),"Sveti Jurij contro Slovenskih goricah")</f>
        <v>Sveti Jurij contro Slovenskih goricah</v>
      </c>
      <c r="G4243" s="9" t="str">
        <f>IFERROR(__xludf.DUMMYFUNCTION("GOOGLETRANSLATE($A4243,""en"",""zh-cn"")"),"Sveti Jurij v 斯洛文尼亚戈里卡")</f>
        <v>Sveti Jurij v 斯洛文尼亚戈里卡</v>
      </c>
      <c r="H4243" s="9" t="str">
        <f>IFERROR(__xludf.DUMMYFUNCTION("GOOGLETRANSLATE($A4243,""en"",""ja"")"),"スヴェティ・ユリ v スロベンスキー・ゴリチャ")</f>
        <v>スヴェティ・ユリ v スロベンスキー・ゴリチャ</v>
      </c>
      <c r="I4243" s="9" t="str">
        <f>IFERROR(__xludf.DUMMYFUNCTION("GOOGLETRANSLATE($A4243,""en"",""ko"")"),"스베티 주리 v 슬로벤스키 고리카")</f>
        <v>스베티 주리 v 슬로벤스키 고리카</v>
      </c>
      <c r="J4243" s="9" t="str">
        <f>IFERROR(__xludf.DUMMYFUNCTION("GOOGLETRANSLATE($A4243,""en"",""pt-BR"")"),"Sveti Jurij x Slovenskih goricah")</f>
        <v>Sveti Jurij x Slovenskih goricah</v>
      </c>
    </row>
    <row r="4244">
      <c r="A4244" s="9" t="str">
        <f>IFERROR(__xludf.DUMMYFUNCTION("""COMPUTED_VALUE"""),"Sveti Tomaž")</f>
        <v>Sveti Tomaž</v>
      </c>
      <c r="B4244" s="9" t="str">
        <f>IFERROR(__xludf.DUMMYFUNCTION("""COMPUTED_VALUE"""),"si-205")</f>
        <v>si-205</v>
      </c>
      <c r="C4244" s="9" t="str">
        <f>IFERROR(__xludf.DUMMYFUNCTION("GOOGLETRANSLATE($A4244,""en"",""de"")"),"Sveti Tomaž")</f>
        <v>Sveti Tomaž</v>
      </c>
      <c r="D4244" s="9" t="str">
        <f>IFERROR(__xludf.DUMMYFUNCTION("GOOGLETRANSLATE($A4244,""en"",""fr"")"),"Sveti Tomaz")</f>
        <v>Sveti Tomaz</v>
      </c>
      <c r="E4244" s="9" t="str">
        <f>IFERROR(__xludf.DUMMYFUNCTION("GOOGLETRANSLATE($A4244,""en"",""es"")"),"Sveti Tomaž")</f>
        <v>Sveti Tomaž</v>
      </c>
      <c r="F4244" s="9" t="str">
        <f>IFERROR(__xludf.DUMMYFUNCTION("GOOGLETRANSLATE($A4244,""en"",""it"")"),"Sveti Tomaz")</f>
        <v>Sveti Tomaz</v>
      </c>
      <c r="G4244" s="9" t="str">
        <f>IFERROR(__xludf.DUMMYFUNCTION("GOOGLETRANSLATE($A4244,""en"",""zh-cn"")"),"斯韦蒂·托马兹")</f>
        <v>斯韦蒂·托马兹</v>
      </c>
      <c r="H4244" s="9" t="str">
        <f>IFERROR(__xludf.DUMMYFUNCTION("GOOGLETRANSLATE($A4244,""en"",""ja"")"),"スヴェティ・トマシュ")</f>
        <v>スヴェティ・トマシュ</v>
      </c>
      <c r="I4244" s="9" t="str">
        <f>IFERROR(__xludf.DUMMYFUNCTION("GOOGLETRANSLATE($A4244,""en"",""ko"")"),"스베티 토마즈")</f>
        <v>스베티 토마즈</v>
      </c>
      <c r="J4244" s="9" t="str">
        <f>IFERROR(__xludf.DUMMYFUNCTION("GOOGLETRANSLATE($A4244,""en"",""pt-BR"")"),"Sveti Tomaž")</f>
        <v>Sveti Tomaž</v>
      </c>
    </row>
    <row r="4245">
      <c r="A4245" s="9" t="str">
        <f>IFERROR(__xludf.DUMMYFUNCTION("""COMPUTED_VALUE"""),"Šalovci")</f>
        <v>Šalovci</v>
      </c>
      <c r="B4245" s="9" t="str">
        <f>IFERROR(__xludf.DUMMYFUNCTION("""COMPUTED_VALUE"""),"si-033")</f>
        <v>si-033</v>
      </c>
      <c r="C4245" s="9" t="str">
        <f>IFERROR(__xludf.DUMMYFUNCTION("GOOGLETRANSLATE($A4245,""en"",""de"")"),"Šalovci")</f>
        <v>Šalovci</v>
      </c>
      <c r="D4245" s="9" t="str">
        <f>IFERROR(__xludf.DUMMYFUNCTION("GOOGLETRANSLATE($A4245,""en"",""fr"")"),"Salovci")</f>
        <v>Salovci</v>
      </c>
      <c r="E4245" s="9" t="str">
        <f>IFERROR(__xludf.DUMMYFUNCTION("GOOGLETRANSLATE($A4245,""en"",""es"")"),"Salovci")</f>
        <v>Salovci</v>
      </c>
      <c r="F4245" s="9" t="str">
        <f>IFERROR(__xludf.DUMMYFUNCTION("GOOGLETRANSLATE($A4245,""en"",""it"")"),"Salovci")</f>
        <v>Salovci</v>
      </c>
      <c r="G4245" s="9" t="str">
        <f>IFERROR(__xludf.DUMMYFUNCTION("GOOGLETRANSLATE($A4245,""en"",""zh-cn"")"),"萨洛夫齐")</f>
        <v>萨洛夫齐</v>
      </c>
      <c r="H4245" s="9" t="str">
        <f>IFERROR(__xludf.DUMMYFUNCTION("GOOGLETRANSLATE($A4245,""en"",""ja"")"),"シャロヴツィ")</f>
        <v>シャロヴツィ</v>
      </c>
      <c r="I4245" s="9" t="str">
        <f>IFERROR(__xludf.DUMMYFUNCTION("GOOGLETRANSLATE($A4245,""en"",""ko"")"),"살로브치")</f>
        <v>살로브치</v>
      </c>
      <c r="J4245" s="9" t="str">
        <f>IFERROR(__xludf.DUMMYFUNCTION("GOOGLETRANSLATE($A4245,""en"",""pt-BR"")"),"Šalovci")</f>
        <v>Šalovci</v>
      </c>
    </row>
    <row r="4246">
      <c r="A4246" s="9" t="str">
        <f>IFERROR(__xludf.DUMMYFUNCTION("""COMPUTED_VALUE"""),"Straža")</f>
        <v>Straža</v>
      </c>
      <c r="B4246" s="9" t="str">
        <f>IFERROR(__xludf.DUMMYFUNCTION("""COMPUTED_VALUE"""),"si-203")</f>
        <v>si-203</v>
      </c>
      <c r="C4246" s="9" t="str">
        <f>IFERROR(__xludf.DUMMYFUNCTION("GOOGLETRANSLATE($A4246,""en"",""de"")"),"Straža")</f>
        <v>Straža</v>
      </c>
      <c r="D4246" s="9" t="str">
        <f>IFERROR(__xludf.DUMMYFUNCTION("GOOGLETRANSLATE($A4246,""en"",""fr"")"),"Straža")</f>
        <v>Straža</v>
      </c>
      <c r="E4246" s="9" t="str">
        <f>IFERROR(__xludf.DUMMYFUNCTION("GOOGLETRANSLATE($A4246,""en"",""es"")"),"Straža")</f>
        <v>Straža</v>
      </c>
      <c r="F4246" s="9" t="str">
        <f>IFERROR(__xludf.DUMMYFUNCTION("GOOGLETRANSLATE($A4246,""en"",""it"")"),"Straža")</f>
        <v>Straža</v>
      </c>
      <c r="G4246" s="9" t="str">
        <f>IFERROR(__xludf.DUMMYFUNCTION("GOOGLETRANSLATE($A4246,""en"",""zh-cn"")"),"斯特拉扎")</f>
        <v>斯特拉扎</v>
      </c>
      <c r="H4246" s="9" t="str">
        <f>IFERROR(__xludf.DUMMYFUNCTION("GOOGLETRANSLATE($A4246,""en"",""ja"")"),"ストラザ")</f>
        <v>ストラザ</v>
      </c>
      <c r="I4246" s="9" t="str">
        <f>IFERROR(__xludf.DUMMYFUNCTION("GOOGLETRANSLATE($A4246,""en"",""ko"")"),"스트라자")</f>
        <v>스트라자</v>
      </c>
      <c r="J4246" s="9" t="str">
        <f>IFERROR(__xludf.DUMMYFUNCTION("GOOGLETRANSLATE($A4246,""en"",""pt-BR"")"),"Straža")</f>
        <v>Straža</v>
      </c>
    </row>
    <row r="4247">
      <c r="A4247" s="9" t="str">
        <f>IFERROR(__xludf.DUMMYFUNCTION("""COMPUTED_VALUE"""),"Sveta Ana")</f>
        <v>Sveta Ana</v>
      </c>
      <c r="B4247" s="9" t="str">
        <f>IFERROR(__xludf.DUMMYFUNCTION("""COMPUTED_VALUE"""),"si-181")</f>
        <v>si-181</v>
      </c>
      <c r="C4247" s="9" t="str">
        <f>IFERROR(__xludf.DUMMYFUNCTION("GOOGLETRANSLATE($A4247,""en"",""de"")"),"Sweta Ana")</f>
        <v>Sweta Ana</v>
      </c>
      <c r="D4247" s="9" t="str">
        <f>IFERROR(__xludf.DUMMYFUNCTION("GOOGLETRANSLATE($A4247,""en"",""fr"")"),"Sveta Ana")</f>
        <v>Sveta Ana</v>
      </c>
      <c r="E4247" s="9" t="str">
        <f>IFERROR(__xludf.DUMMYFUNCTION("GOOGLETRANSLATE($A4247,""en"",""es"")"),"Sveta Ana")</f>
        <v>Sveta Ana</v>
      </c>
      <c r="F4247" s="9" t="str">
        <f>IFERROR(__xludf.DUMMYFUNCTION("GOOGLETRANSLATE($A4247,""en"",""it"")"),"Santa Ana")</f>
        <v>Santa Ana</v>
      </c>
      <c r="G4247" s="9" t="str">
        <f>IFERROR(__xludf.DUMMYFUNCTION("GOOGLETRANSLATE($A4247,""en"",""zh-cn"")"),"斯维塔·安娜")</f>
        <v>斯维塔·安娜</v>
      </c>
      <c r="H4247" s="9" t="str">
        <f>IFERROR(__xludf.DUMMYFUNCTION("GOOGLETRANSLATE($A4247,""en"",""ja"")"),"スベタ・アナ")</f>
        <v>スベタ・アナ</v>
      </c>
      <c r="I4247" s="9" t="str">
        <f>IFERROR(__xludf.DUMMYFUNCTION("GOOGLETRANSLATE($A4247,""en"",""ko"")"),"스베타 아나")</f>
        <v>스베타 아나</v>
      </c>
      <c r="J4247" s="9" t="str">
        <f>IFERROR(__xludf.DUMMYFUNCTION("GOOGLETRANSLATE($A4247,""en"",""pt-BR"")"),"Sveta Ana")</f>
        <v>Sveta Ana</v>
      </c>
    </row>
    <row r="4248">
      <c r="A4248" s="9" t="str">
        <f>IFERROR(__xludf.DUMMYFUNCTION("""COMPUTED_VALUE"""),"Sveta Trojica v Slovenskih goricah")</f>
        <v>Sveta Trojica v Slovenskih goricah</v>
      </c>
      <c r="B4248" s="9" t="str">
        <f>IFERROR(__xludf.DUMMYFUNCTION("""COMPUTED_VALUE"""),"si-204")</f>
        <v>si-204</v>
      </c>
      <c r="C4248" s="9" t="str">
        <f>IFERROR(__xludf.DUMMYFUNCTION("GOOGLETRANSLATE($A4248,""en"",""de"")"),"Sveta Trojica gegen Slovenskih goricah")</f>
        <v>Sveta Trojica gegen Slovenskih goricah</v>
      </c>
      <c r="D4248" s="9" t="str">
        <f>IFERROR(__xludf.DUMMYFUNCTION("GOOGLETRANSLATE($A4248,""en"",""fr"")"),"Sveta Trojica contre Slovenskih goricah")</f>
        <v>Sveta Trojica contre Slovenskih goricah</v>
      </c>
      <c r="E4248" s="9" t="str">
        <f>IFERROR(__xludf.DUMMYFUNCTION("GOOGLETRANSLATE($A4248,""en"",""es"")"),"Sveta Trojica contra Slovenskih goricah")</f>
        <v>Sveta Trojica contra Slovenskih goricah</v>
      </c>
      <c r="F4248" s="9" t="str">
        <f>IFERROR(__xludf.DUMMYFUNCTION("GOOGLETRANSLATE($A4248,""en"",""it"")"),"Sveta Trojica contro Slovenskih goricah")</f>
        <v>Sveta Trojica contro Slovenskih goricah</v>
      </c>
      <c r="G4248" s="9" t="str">
        <f>IFERROR(__xludf.DUMMYFUNCTION("GOOGLETRANSLATE($A4248,""en"",""zh-cn"")"),"斯维塔·特罗伊卡 v 斯洛文尼亚戈里卡")</f>
        <v>斯维塔·特罗伊卡 v 斯洛文尼亚戈里卡</v>
      </c>
      <c r="H4248" s="9" t="str">
        <f>IFERROR(__xludf.DUMMYFUNCTION("GOOGLETRANSLATE($A4248,""en"",""ja"")"),"スベタ・トロヒツァ v スロベンスキー・ゴリチャ")</f>
        <v>スベタ・トロヒツァ v スロベンスキー・ゴリチャ</v>
      </c>
      <c r="I4248" s="9" t="str">
        <f>IFERROR(__xludf.DUMMYFUNCTION("GOOGLETRANSLATE($A4248,""en"",""ko"")"),"스베타 트로이차 v 슬로벤스키 고리카")</f>
        <v>스베타 트로이차 v 슬로벤스키 고리카</v>
      </c>
      <c r="J4248" s="9" t="str">
        <f>IFERROR(__xludf.DUMMYFUNCTION("GOOGLETRANSLATE($A4248,""en"",""pt-BR"")"),"Sveta Trojica x Slovenskih goricah")</f>
        <v>Sveta Trojica x Slovenskih goricah</v>
      </c>
    </row>
    <row r="4249">
      <c r="A4249" s="9" t="str">
        <f>IFERROR(__xludf.DUMMYFUNCTION("""COMPUTED_VALUE"""),"Sveti Andraž v Slovenskih goricah")</f>
        <v>Sveti Andraž v Slovenskih goricah</v>
      </c>
      <c r="B4249" s="9" t="str">
        <f>IFERROR(__xludf.DUMMYFUNCTION("""COMPUTED_VALUE"""),"si-182")</f>
        <v>si-182</v>
      </c>
      <c r="C4249" s="9" t="str">
        <f>IFERROR(__xludf.DUMMYFUNCTION("GOOGLETRANSLATE($A4249,""en"",""de"")"),"Sveti Andraž gegen Slovenskih goricah")</f>
        <v>Sveti Andraž gegen Slovenskih goricah</v>
      </c>
      <c r="D4249" s="9" t="str">
        <f>IFERROR(__xludf.DUMMYFUNCTION("GOOGLETRANSLATE($A4249,""en"",""fr"")"),"Sveti Andraz contre Slovenskih goricah")</f>
        <v>Sveti Andraz contre Slovenskih goricah</v>
      </c>
      <c r="E4249" s="9" t="str">
        <f>IFERROR(__xludf.DUMMYFUNCTION("GOOGLETRANSLATE($A4249,""en"",""es"")"),"Sveti Andraž contra Slovenskih goricah")</f>
        <v>Sveti Andraž contra Slovenskih goricah</v>
      </c>
      <c r="F4249" s="9" t="str">
        <f>IFERROR(__xludf.DUMMYFUNCTION("GOOGLETRANSLATE($A4249,""en"",""it"")"),"Sveti Andraž v Slovenskih goricah")</f>
        <v>Sveti Andraž v Slovenskih goricah</v>
      </c>
      <c r="G4249" s="9" t="str">
        <f>IFERROR(__xludf.DUMMYFUNCTION("GOOGLETRANSLATE($A4249,""en"",""zh-cn"")"),"斯维蒂·安德拉兹 v 斯洛文尼亚戈里卡")</f>
        <v>斯维蒂·安德拉兹 v 斯洛文尼亚戈里卡</v>
      </c>
      <c r="H4249" s="9" t="str">
        <f>IFERROR(__xludf.DUMMYFUNCTION("GOOGLETRANSLATE($A4249,""en"",""ja"")"),"スヴェティ・アンドラーシュ v スロベンスキー・ゴリチャ")</f>
        <v>スヴェティ・アンドラーシュ v スロベンスキー・ゴリチャ</v>
      </c>
      <c r="I4249" s="9" t="str">
        <f>IFERROR(__xludf.DUMMYFUNCTION("GOOGLETRANSLATE($A4249,""en"",""ko"")"),"스베티 안드라즈 v 슬로벤스키 고리카")</f>
        <v>스베티 안드라즈 v 슬로벤스키 고리카</v>
      </c>
      <c r="J4249" s="9" t="str">
        <f>IFERROR(__xludf.DUMMYFUNCTION("GOOGLETRANSLATE($A4249,""en"",""pt-BR"")"),"Sveti Andraž x Slovenskih goricah")</f>
        <v>Sveti Andraž x Slovenskih goricah</v>
      </c>
    </row>
    <row r="4250">
      <c r="A4250" s="9" t="str">
        <f>IFERROR(__xludf.DUMMYFUNCTION("""COMPUTED_VALUE"""),"Sodražica")</f>
        <v>Sodražica</v>
      </c>
      <c r="B4250" s="9" t="str">
        <f>IFERROR(__xludf.DUMMYFUNCTION("""COMPUTED_VALUE"""),"si-179")</f>
        <v>si-179</v>
      </c>
      <c r="C4250" s="9" t="str">
        <f>IFERROR(__xludf.DUMMYFUNCTION("GOOGLETRANSLATE($A4250,""en"",""de"")"),"Sodražica")</f>
        <v>Sodražica</v>
      </c>
      <c r="D4250" s="9" t="str">
        <f>IFERROR(__xludf.DUMMYFUNCTION("GOOGLETRANSLATE($A4250,""en"",""fr"")"),"Sodrazica")</f>
        <v>Sodrazica</v>
      </c>
      <c r="E4250" s="9" t="str">
        <f>IFERROR(__xludf.DUMMYFUNCTION("GOOGLETRANSLATE($A4250,""en"",""es"")"),"Sodražica")</f>
        <v>Sodražica</v>
      </c>
      <c r="F4250" s="9" t="str">
        <f>IFERROR(__xludf.DUMMYFUNCTION("GOOGLETRANSLATE($A4250,""en"",""it"")"),"Sodražica")</f>
        <v>Sodražica</v>
      </c>
      <c r="G4250" s="9" t="str">
        <f>IFERROR(__xludf.DUMMYFUNCTION("GOOGLETRANSLATE($A4250,""en"",""zh-cn"")"),"索德拉日察")</f>
        <v>索德拉日察</v>
      </c>
      <c r="H4250" s="9" t="str">
        <f>IFERROR(__xludf.DUMMYFUNCTION("GOOGLETRANSLATE($A4250,""en"",""ja"")"),"ソドラジツァ")</f>
        <v>ソドラジツァ</v>
      </c>
      <c r="I4250" s="9" t="str">
        <f>IFERROR(__xludf.DUMMYFUNCTION("GOOGLETRANSLATE($A4250,""en"",""ko"")"),"소드라지차")</f>
        <v>소드라지차</v>
      </c>
      <c r="J4250" s="9" t="str">
        <f>IFERROR(__xludf.DUMMYFUNCTION("GOOGLETRANSLATE($A4250,""en"",""pt-BR"")"),"Sodražica")</f>
        <v>Sodražica</v>
      </c>
    </row>
    <row r="4251">
      <c r="A4251" s="9" t="str">
        <f>IFERROR(__xludf.DUMMYFUNCTION("""COMPUTED_VALUE"""),"Solčava")</f>
        <v>Solčava</v>
      </c>
      <c r="B4251" s="9" t="str">
        <f>IFERROR(__xludf.DUMMYFUNCTION("""COMPUTED_VALUE"""),"si-180")</f>
        <v>si-180</v>
      </c>
      <c r="C4251" s="9" t="str">
        <f>IFERROR(__xludf.DUMMYFUNCTION("GOOGLETRANSLATE($A4251,""en"",""de"")"),"Solčava")</f>
        <v>Solčava</v>
      </c>
      <c r="D4251" s="9" t="str">
        <f>IFERROR(__xludf.DUMMYFUNCTION("GOOGLETRANSLATE($A4251,""en"",""fr"")"),"Solčava")</f>
        <v>Solčava</v>
      </c>
      <c r="E4251" s="9" t="str">
        <f>IFERROR(__xludf.DUMMYFUNCTION("GOOGLETRANSLATE($A4251,""en"",""es"")"),"Solčava")</f>
        <v>Solčava</v>
      </c>
      <c r="F4251" s="9" t="str">
        <f>IFERROR(__xludf.DUMMYFUNCTION("GOOGLETRANSLATE($A4251,""en"",""it"")"),"Solčava")</f>
        <v>Solčava</v>
      </c>
      <c r="G4251" s="9" t="str">
        <f>IFERROR(__xludf.DUMMYFUNCTION("GOOGLETRANSLATE($A4251,""en"",""zh-cn"")"),"索尔察瓦")</f>
        <v>索尔察瓦</v>
      </c>
      <c r="H4251" s="9" t="str">
        <f>IFERROR(__xludf.DUMMYFUNCTION("GOOGLETRANSLATE($A4251,""en"",""ja"")"),"ソルチャヴァ")</f>
        <v>ソルチャヴァ</v>
      </c>
      <c r="I4251" s="9" t="str">
        <f>IFERROR(__xludf.DUMMYFUNCTION("GOOGLETRANSLATE($A4251,""en"",""ko"")"),"솔차바")</f>
        <v>솔차바</v>
      </c>
      <c r="J4251" s="9" t="str">
        <f>IFERROR(__xludf.DUMMYFUNCTION("GOOGLETRANSLATE($A4251,""en"",""pt-BR"")"),"Solčava")</f>
        <v>Solčava</v>
      </c>
    </row>
    <row r="4252">
      <c r="A4252" s="9" t="str">
        <f>IFERROR(__xludf.DUMMYFUNCTION("""COMPUTED_VALUE"""),"Središče ob Dravi")</f>
        <v>Središče ob Dravi</v>
      </c>
      <c r="B4252" s="9" t="str">
        <f>IFERROR(__xludf.DUMMYFUNCTION("""COMPUTED_VALUE"""),"si-202")</f>
        <v>si-202</v>
      </c>
      <c r="C4252" s="9" t="str">
        <f>IFERROR(__xludf.DUMMYFUNCTION("GOOGLETRANSLATE($A4252,""en"",""de"")"),"Središče ob Dravi")</f>
        <v>Središče ob Dravi</v>
      </c>
      <c r="D4252" s="9" t="str">
        <f>IFERROR(__xludf.DUMMYFUNCTION("GOOGLETRANSLATE($A4252,""en"",""fr"")"),"Središče ob Dravi")</f>
        <v>Središče ob Dravi</v>
      </c>
      <c r="E4252" s="9" t="str">
        <f>IFERROR(__xludf.DUMMYFUNCTION("GOOGLETRANSLATE($A4252,""en"",""es"")"),"Središče ob Dravi")</f>
        <v>Središče ob Dravi</v>
      </c>
      <c r="F4252" s="9" t="str">
        <f>IFERROR(__xludf.DUMMYFUNCTION("GOOGLETRANSLATE($A4252,""en"",""it"")"),"Središče ob Dravi")</f>
        <v>Središče ob Dravi</v>
      </c>
      <c r="G4252" s="9" t="str">
        <f>IFERROR(__xludf.DUMMYFUNCTION("GOOGLETRANSLATE($A4252,""en"",""zh-cn"")"),"德拉维河畔斯雷迪什切")</f>
        <v>德拉维河畔斯雷迪什切</v>
      </c>
      <c r="H4252" s="9" t="str">
        <f>IFERROR(__xludf.DUMMYFUNCTION("GOOGLETRANSLATE($A4252,""en"",""ja"")"),"スレディシュチェ オブ ドラヴィ")</f>
        <v>スレディシュチェ オブ ドラヴィ</v>
      </c>
      <c r="I4252" s="9" t="str">
        <f>IFERROR(__xludf.DUMMYFUNCTION("GOOGLETRANSLATE($A4252,""en"",""ko"")"),"스레디슈체 옵 드라비")</f>
        <v>스레디슈체 옵 드라비</v>
      </c>
      <c r="J4252" s="9" t="str">
        <f>IFERROR(__xludf.DUMMYFUNCTION("GOOGLETRANSLATE($A4252,""en"",""pt-BR"")"),"Središče ob Dravi")</f>
        <v>Središče ob Dravi</v>
      </c>
    </row>
    <row r="4253">
      <c r="A4253" s="9" t="str">
        <f>IFERROR(__xludf.DUMMYFUNCTION("""COMPUTED_VALUE"""),"Starše")</f>
        <v>Starše</v>
      </c>
      <c r="B4253" s="9" t="str">
        <f>IFERROR(__xludf.DUMMYFUNCTION("""COMPUTED_VALUE"""),"si-115")</f>
        <v>si-115</v>
      </c>
      <c r="C4253" s="9" t="str">
        <f>IFERROR(__xludf.DUMMYFUNCTION("GOOGLETRANSLATE($A4253,""en"",""de"")"),"Starše")</f>
        <v>Starše</v>
      </c>
      <c r="D4253" s="9" t="str">
        <f>IFERROR(__xludf.DUMMYFUNCTION("GOOGLETRANSLATE($A4253,""en"",""fr"")"),"Starše")</f>
        <v>Starše</v>
      </c>
      <c r="E4253" s="9" t="str">
        <f>IFERROR(__xludf.DUMMYFUNCTION("GOOGLETRANSLATE($A4253,""en"",""es"")"),"Starse")</f>
        <v>Starse</v>
      </c>
      <c r="F4253" s="9" t="str">
        <f>IFERROR(__xludf.DUMMYFUNCTION("GOOGLETRANSLATE($A4253,""en"",""it"")"),"Starše")</f>
        <v>Starše</v>
      </c>
      <c r="G4253" s="9" t="str">
        <f>IFERROR(__xludf.DUMMYFUNCTION("GOOGLETRANSLATE($A4253,""en"",""zh-cn"")"),"斯塔塞")</f>
        <v>斯塔塞</v>
      </c>
      <c r="H4253" s="9" t="str">
        <f>IFERROR(__xludf.DUMMYFUNCTION("GOOGLETRANSLATE($A4253,""en"",""ja"")"),"スターセ")</f>
        <v>スターセ</v>
      </c>
      <c r="I4253" s="9" t="str">
        <f>IFERROR(__xludf.DUMMYFUNCTION("GOOGLETRANSLATE($A4253,""en"",""ko"")"),"스타셰")</f>
        <v>스타셰</v>
      </c>
      <c r="J4253" s="9" t="str">
        <f>IFERROR(__xludf.DUMMYFUNCTION("GOOGLETRANSLATE($A4253,""en"",""pt-BR"")"),"Estrela")</f>
        <v>Estrela</v>
      </c>
    </row>
    <row r="4254">
      <c r="A4254" s="9" t="str">
        <f>IFERROR(__xludf.DUMMYFUNCTION("""COMPUTED_VALUE"""),"Tišina")</f>
        <v>Tišina</v>
      </c>
      <c r="B4254" s="9" t="str">
        <f>IFERROR(__xludf.DUMMYFUNCTION("""COMPUTED_VALUE"""),"si-010")</f>
        <v>si-010</v>
      </c>
      <c r="C4254" s="9" t="str">
        <f>IFERROR(__xludf.DUMMYFUNCTION("GOOGLETRANSLATE($A4254,""en"",""de"")"),"Tišina")</f>
        <v>Tišina</v>
      </c>
      <c r="D4254" s="9" t="str">
        <f>IFERROR(__xludf.DUMMYFUNCTION("GOOGLETRANSLATE($A4254,""en"",""fr"")"),"Tišina")</f>
        <v>Tišina</v>
      </c>
      <c r="E4254" s="9" t="str">
        <f>IFERROR(__xludf.DUMMYFUNCTION("GOOGLETRANSLATE($A4254,""en"",""es"")"),"Tišina")</f>
        <v>Tišina</v>
      </c>
      <c r="F4254" s="9" t="str">
        <f>IFERROR(__xludf.DUMMYFUNCTION("GOOGLETRANSLATE($A4254,""en"",""it"")"),"Tišina")</f>
        <v>Tišina</v>
      </c>
      <c r="G4254" s="9" t="str">
        <f>IFERROR(__xludf.DUMMYFUNCTION("GOOGLETRANSLATE($A4254,""en"",""zh-cn"")"),"蒂希纳")</f>
        <v>蒂希纳</v>
      </c>
      <c r="H4254" s="9" t="str">
        <f>IFERROR(__xludf.DUMMYFUNCTION("GOOGLETRANSLATE($A4254,""en"",""ja"")"),"ティシナ")</f>
        <v>ティシナ</v>
      </c>
      <c r="I4254" s="9" t="str">
        <f>IFERROR(__xludf.DUMMYFUNCTION("GOOGLETRANSLATE($A4254,""en"",""ko"")"),"티시나")</f>
        <v>티시나</v>
      </c>
      <c r="J4254" s="9" t="str">
        <f>IFERROR(__xludf.DUMMYFUNCTION("GOOGLETRANSLATE($A4254,""en"",""pt-BR"")"),"Tisina")</f>
        <v>Tisina</v>
      </c>
    </row>
    <row r="4255">
      <c r="A4255" s="9" t="str">
        <f>IFERROR(__xludf.DUMMYFUNCTION("""COMPUTED_VALUE"""),"Tolmin")</f>
        <v>Tolmin</v>
      </c>
      <c r="B4255" s="9" t="str">
        <f>IFERROR(__xludf.DUMMYFUNCTION("""COMPUTED_VALUE"""),"si-128")</f>
        <v>si-128</v>
      </c>
      <c r="C4255" s="9" t="str">
        <f>IFERROR(__xludf.DUMMYFUNCTION("GOOGLETRANSLATE($A4255,""en"",""de"")"),"Tolmin")</f>
        <v>Tolmin</v>
      </c>
      <c r="D4255" s="9" t="str">
        <f>IFERROR(__xludf.DUMMYFUNCTION("GOOGLETRANSLATE($A4255,""en"",""fr"")"),"Tolmine")</f>
        <v>Tolmine</v>
      </c>
      <c r="E4255" s="9" t="str">
        <f>IFERROR(__xludf.DUMMYFUNCTION("GOOGLETRANSLATE($A4255,""en"",""es"")"),"Tolmin")</f>
        <v>Tolmin</v>
      </c>
      <c r="F4255" s="9" t="str">
        <f>IFERROR(__xludf.DUMMYFUNCTION("GOOGLETRANSLATE($A4255,""en"",""it"")"),"Tolmino")</f>
        <v>Tolmino</v>
      </c>
      <c r="G4255" s="9" t="str">
        <f>IFERROR(__xludf.DUMMYFUNCTION("GOOGLETRANSLATE($A4255,""en"",""zh-cn"")"),"托尔明")</f>
        <v>托尔明</v>
      </c>
      <c r="H4255" s="9" t="str">
        <f>IFERROR(__xludf.DUMMYFUNCTION("GOOGLETRANSLATE($A4255,""en"",""ja"")"),"トールミン")</f>
        <v>トールミン</v>
      </c>
      <c r="I4255" s="9" t="str">
        <f>IFERROR(__xludf.DUMMYFUNCTION("GOOGLETRANSLATE($A4255,""en"",""ko"")"),"톨민")</f>
        <v>톨민</v>
      </c>
      <c r="J4255" s="9" t="str">
        <f>IFERROR(__xludf.DUMMYFUNCTION("GOOGLETRANSLATE($A4255,""en"",""pt-BR"")"),"Tolmin")</f>
        <v>Tolmin</v>
      </c>
    </row>
    <row r="4256">
      <c r="A4256" s="9" t="str">
        <f>IFERROR(__xludf.DUMMYFUNCTION("""COMPUTED_VALUE"""),"Trbovlje")</f>
        <v>Trbovlje</v>
      </c>
      <c r="B4256" s="9" t="str">
        <f>IFERROR(__xludf.DUMMYFUNCTION("""COMPUTED_VALUE"""),"si-129")</f>
        <v>si-129</v>
      </c>
      <c r="C4256" s="9" t="str">
        <f>IFERROR(__xludf.DUMMYFUNCTION("GOOGLETRANSLATE($A4256,""en"",""de"")"),"Trbovlje")</f>
        <v>Trbovlje</v>
      </c>
      <c r="D4256" s="9" t="str">
        <f>IFERROR(__xludf.DUMMYFUNCTION("GOOGLETRANSLATE($A4256,""en"",""fr"")"),"Trbovlje")</f>
        <v>Trbovlje</v>
      </c>
      <c r="E4256" s="9" t="str">
        <f>IFERROR(__xludf.DUMMYFUNCTION("GOOGLETRANSLATE($A4256,""en"",""es"")"),"trbovlje")</f>
        <v>trbovlje</v>
      </c>
      <c r="F4256" s="9" t="str">
        <f>IFERROR(__xludf.DUMMYFUNCTION("GOOGLETRANSLATE($A4256,""en"",""it"")"),"Trbovlje")</f>
        <v>Trbovlje</v>
      </c>
      <c r="G4256" s="9" t="str">
        <f>IFERROR(__xludf.DUMMYFUNCTION("GOOGLETRANSLATE($A4256,""en"",""zh-cn"")"),"特尔博夫列")</f>
        <v>特尔博夫列</v>
      </c>
      <c r="H4256" s="9" t="str">
        <f>IFERROR(__xludf.DUMMYFUNCTION("GOOGLETRANSLATE($A4256,""en"",""ja"")"),"トルボヴリェ")</f>
        <v>トルボヴリェ</v>
      </c>
      <c r="I4256" s="9" t="str">
        <f>IFERROR(__xludf.DUMMYFUNCTION("GOOGLETRANSLATE($A4256,""en"",""ko"")"),"트르보블레")</f>
        <v>트르보블레</v>
      </c>
      <c r="J4256" s="9" t="str">
        <f>IFERROR(__xludf.DUMMYFUNCTION("GOOGLETRANSLATE($A4256,""en"",""pt-BR"")"),"Trbovlje")</f>
        <v>Trbovlje</v>
      </c>
    </row>
    <row r="4257">
      <c r="A4257" s="9" t="str">
        <f>IFERROR(__xludf.DUMMYFUNCTION("""COMPUTED_VALUE"""),"Trebnje")</f>
        <v>Trebnje</v>
      </c>
      <c r="B4257" s="9" t="str">
        <f>IFERROR(__xludf.DUMMYFUNCTION("""COMPUTED_VALUE"""),"si-130")</f>
        <v>si-130</v>
      </c>
      <c r="C4257" s="9" t="str">
        <f>IFERROR(__xludf.DUMMYFUNCTION("GOOGLETRANSLATE($A4257,""en"",""de"")"),"Trebnje")</f>
        <v>Trebnje</v>
      </c>
      <c r="D4257" s="9" t="str">
        <f>IFERROR(__xludf.DUMMYFUNCTION("GOOGLETRANSLATE($A4257,""en"",""fr"")"),"Trebnjé")</f>
        <v>Trebnjé</v>
      </c>
      <c r="E4257" s="9" t="str">
        <f>IFERROR(__xludf.DUMMYFUNCTION("GOOGLETRANSLATE($A4257,""en"",""es"")"),"Trebnje")</f>
        <v>Trebnje</v>
      </c>
      <c r="F4257" s="9" t="str">
        <f>IFERROR(__xludf.DUMMYFUNCTION("GOOGLETRANSLATE($A4257,""en"",""it"")"),"Trebnje")</f>
        <v>Trebnje</v>
      </c>
      <c r="G4257" s="9" t="str">
        <f>IFERROR(__xludf.DUMMYFUNCTION("GOOGLETRANSLATE($A4257,""en"",""zh-cn"")"),"特雷布涅")</f>
        <v>特雷布涅</v>
      </c>
      <c r="H4257" s="9" t="str">
        <f>IFERROR(__xludf.DUMMYFUNCTION("GOOGLETRANSLATE($A4257,""en"",""ja"")"),"トレブニエ")</f>
        <v>トレブニエ</v>
      </c>
      <c r="I4257" s="9" t="str">
        <f>IFERROR(__xludf.DUMMYFUNCTION("GOOGLETRANSLATE($A4257,""en"",""ko"")"),"트레브니에")</f>
        <v>트레브니에</v>
      </c>
      <c r="J4257" s="9" t="str">
        <f>IFERROR(__xludf.DUMMYFUNCTION("GOOGLETRANSLATE($A4257,""en"",""pt-BR"")"),"Trebnje")</f>
        <v>Trebnje</v>
      </c>
    </row>
    <row r="4258">
      <c r="A4258" s="9" t="str">
        <f>IFERROR(__xludf.DUMMYFUNCTION("""COMPUTED_VALUE"""),"Šmartno pri Litiji")</f>
        <v>Šmartno pri Litiji</v>
      </c>
      <c r="B4258" s="9" t="str">
        <f>IFERROR(__xludf.DUMMYFUNCTION("""COMPUTED_VALUE"""),"si-194")</f>
        <v>si-194</v>
      </c>
      <c r="C4258" s="9" t="str">
        <f>IFERROR(__xludf.DUMMYFUNCTION("GOOGLETRANSLATE($A4258,""en"",""de"")"),"Šmartno pri Litiji")</f>
        <v>Šmartno pri Litiji</v>
      </c>
      <c r="D4258" s="9" t="str">
        <f>IFERROR(__xludf.DUMMYFUNCTION("GOOGLETRANSLATE($A4258,""en"",""fr"")"),"Smartno pri Litiji")</f>
        <v>Smartno pri Litiji</v>
      </c>
      <c r="E4258" s="9" t="str">
        <f>IFERROR(__xludf.DUMMYFUNCTION("GOOGLETRANSLATE($A4258,""en"",""es"")"),"Šmartno pri Litiji")</f>
        <v>Šmartno pri Litiji</v>
      </c>
      <c r="F4258" s="9" t="str">
        <f>IFERROR(__xludf.DUMMYFUNCTION("GOOGLETRANSLATE($A4258,""en"",""it"")"),"Šmartno pri Litiji")</f>
        <v>Šmartno pri Litiji</v>
      </c>
      <c r="G4258" s="9" t="str">
        <f>IFERROR(__xludf.DUMMYFUNCTION("GOOGLETRANSLATE($A4258,""en"",""zh-cn"")"),"斯马特诺·普里·利蒂吉")</f>
        <v>斯马特诺·普里·利蒂吉</v>
      </c>
      <c r="H4258" s="9" t="str">
        <f>IFERROR(__xludf.DUMMYFUNCTION("GOOGLETRANSLATE($A4258,""en"",""ja"")"),"シュマルトノ プリ リティジ")</f>
        <v>シュマルトノ プリ リティジ</v>
      </c>
      <c r="I4258" s="9" t="str">
        <f>IFERROR(__xludf.DUMMYFUNCTION("GOOGLETRANSLATE($A4258,""en"",""ko"")"),"슈마르트노 프리 리티지")</f>
        <v>슈마르트노 프리 리티지</v>
      </c>
      <c r="J4258" s="9" t="str">
        <f>IFERROR(__xludf.DUMMYFUNCTION("GOOGLETRANSLATE($A4258,""en"",""pt-BR"")"),"Šmartno pri Litiji")</f>
        <v>Šmartno pri Litiji</v>
      </c>
    </row>
    <row r="4259">
      <c r="A4259" s="9" t="str">
        <f>IFERROR(__xludf.DUMMYFUNCTION("""COMPUTED_VALUE"""),"Šoštanj")</f>
        <v>Šoštanj</v>
      </c>
      <c r="B4259" s="9" t="str">
        <f>IFERROR(__xludf.DUMMYFUNCTION("""COMPUTED_VALUE"""),"si-126")</f>
        <v>si-126</v>
      </c>
      <c r="C4259" s="9" t="str">
        <f>IFERROR(__xludf.DUMMYFUNCTION("GOOGLETRANSLATE($A4259,""en"",""de"")"),"Šoštanj")</f>
        <v>Šoštanj</v>
      </c>
      <c r="D4259" s="9" t="str">
        <f>IFERROR(__xludf.DUMMYFUNCTION("GOOGLETRANSLATE($A4259,""en"",""fr"")"),"Soštanj")</f>
        <v>Soštanj</v>
      </c>
      <c r="E4259" s="9" t="str">
        <f>IFERROR(__xludf.DUMMYFUNCTION("GOOGLETRANSLATE($A4259,""en"",""es"")"),"Šoštanj")</f>
        <v>Šoštanj</v>
      </c>
      <c r="F4259" s="9" t="str">
        <f>IFERROR(__xludf.DUMMYFUNCTION("GOOGLETRANSLATE($A4259,""en"",""it"")"),"Šoštanj")</f>
        <v>Šoštanj</v>
      </c>
      <c r="G4259" s="9" t="str">
        <f>IFERROR(__xludf.DUMMYFUNCTION("GOOGLETRANSLATE($A4259,""en"",""zh-cn"")"),"索斯塔尼")</f>
        <v>索斯塔尼</v>
      </c>
      <c r="H4259" s="9" t="str">
        <f>IFERROR(__xludf.DUMMYFUNCTION("GOOGLETRANSLATE($A4259,""en"",""ja"")"),"ショスタニ")</f>
        <v>ショスタニ</v>
      </c>
      <c r="I4259" s="9" t="str">
        <f>IFERROR(__xludf.DUMMYFUNCTION("GOOGLETRANSLATE($A4259,""en"",""ko"")"),"쇼슈타니")</f>
        <v>쇼슈타니</v>
      </c>
      <c r="J4259" s="9" t="str">
        <f>IFERROR(__xludf.DUMMYFUNCTION("GOOGLETRANSLATE($A4259,""en"",""pt-BR"")"),"Sostanj")</f>
        <v>Sostanj</v>
      </c>
    </row>
    <row r="4260">
      <c r="A4260" s="9" t="str">
        <f>IFERROR(__xludf.DUMMYFUNCTION("""COMPUTED_VALUE"""),"Štore")</f>
        <v>Štore</v>
      </c>
      <c r="B4260" s="9" t="str">
        <f>IFERROR(__xludf.DUMMYFUNCTION("""COMPUTED_VALUE"""),"si-127")</f>
        <v>si-127</v>
      </c>
      <c r="C4260" s="9" t="str">
        <f>IFERROR(__xludf.DUMMYFUNCTION("GOOGLETRANSLATE($A4260,""en"",""de"")"),"Speichern")</f>
        <v>Speichern</v>
      </c>
      <c r="D4260" s="9" t="str">
        <f>IFERROR(__xludf.DUMMYFUNCTION("GOOGLETRANSLATE($A4260,""en"",""fr"")"),"Magasin")</f>
        <v>Magasin</v>
      </c>
      <c r="E4260" s="9" t="str">
        <f>IFERROR(__xludf.DUMMYFUNCTION("GOOGLETRANSLATE($A4260,""en"",""es"")"),"Almacenar")</f>
        <v>Almacenar</v>
      </c>
      <c r="F4260" s="9" t="str">
        <f>IFERROR(__xludf.DUMMYFUNCTION("GOOGLETRANSLATE($A4260,""en"",""it"")"),"Negozio")</f>
        <v>Negozio</v>
      </c>
      <c r="G4260" s="9" t="str">
        <f>IFERROR(__xludf.DUMMYFUNCTION("GOOGLETRANSLATE($A4260,""en"",""zh-cn"")"),"店铺")</f>
        <v>店铺</v>
      </c>
      <c r="H4260" s="9" t="str">
        <f>IFERROR(__xludf.DUMMYFUNCTION("GOOGLETRANSLATE($A4260,""en"",""ja"")"),"店")</f>
        <v>店</v>
      </c>
      <c r="I4260" s="9" t="str">
        <f>IFERROR(__xludf.DUMMYFUNCTION("GOOGLETRANSLATE($A4260,""en"",""ko"")"),"가게")</f>
        <v>가게</v>
      </c>
      <c r="J4260" s="9" t="str">
        <f>IFERROR(__xludf.DUMMYFUNCTION("GOOGLETRANSLATE($A4260,""en"",""pt-BR"")"),"Loja")</f>
        <v>Loja</v>
      </c>
    </row>
    <row r="4261">
      <c r="A4261" s="9" t="str">
        <f>IFERROR(__xludf.DUMMYFUNCTION("""COMPUTED_VALUE"""),"Tabor")</f>
        <v>Tabor</v>
      </c>
      <c r="B4261" s="9" t="str">
        <f>IFERROR(__xludf.DUMMYFUNCTION("""COMPUTED_VALUE"""),"si-184")</f>
        <v>si-184</v>
      </c>
      <c r="C4261" s="9" t="str">
        <f>IFERROR(__xludf.DUMMYFUNCTION("GOOGLETRANSLATE($A4261,""en"",""de"")"),"Tabor")</f>
        <v>Tabor</v>
      </c>
      <c r="D4261" s="9" t="str">
        <f>IFERROR(__xludf.DUMMYFUNCTION("GOOGLETRANSLATE($A4261,""en"",""fr"")"),"Tambourin")</f>
        <v>Tambourin</v>
      </c>
      <c r="E4261" s="9" t="str">
        <f>IFERROR(__xludf.DUMMYFUNCTION("GOOGLETRANSLATE($A4261,""en"",""es"")"),"tabor")</f>
        <v>tabor</v>
      </c>
      <c r="F4261" s="9" t="str">
        <f>IFERROR(__xludf.DUMMYFUNCTION("GOOGLETRANSLATE($A4261,""en"",""it"")"),"Tabor")</f>
        <v>Tabor</v>
      </c>
      <c r="G4261" s="9" t="str">
        <f>IFERROR(__xludf.DUMMYFUNCTION("GOOGLETRANSLATE($A4261,""en"",""zh-cn"")"),"塔博尔")</f>
        <v>塔博尔</v>
      </c>
      <c r="H4261" s="9" t="str">
        <f>IFERROR(__xludf.DUMMYFUNCTION("GOOGLETRANSLATE($A4261,""en"",""ja"")"),"ターボル")</f>
        <v>ターボル</v>
      </c>
      <c r="I4261" s="9" t="str">
        <f>IFERROR(__xludf.DUMMYFUNCTION("GOOGLETRANSLATE($A4261,""en"",""ko"")"),"소구")</f>
        <v>소구</v>
      </c>
      <c r="J4261" s="9" t="str">
        <f>IFERROR(__xludf.DUMMYFUNCTION("GOOGLETRANSLATE($A4261,""en"",""pt-BR"")"),"Tabor")</f>
        <v>Tabor</v>
      </c>
    </row>
    <row r="4262">
      <c r="A4262" s="9" t="str">
        <f>IFERROR(__xludf.DUMMYFUNCTION("""COMPUTED_VALUE"""),"Škofljica")</f>
        <v>Škofljica</v>
      </c>
      <c r="B4262" s="9" t="str">
        <f>IFERROR(__xludf.DUMMYFUNCTION("""COMPUTED_VALUE"""),"si-123")</f>
        <v>si-123</v>
      </c>
      <c r="C4262" s="9" t="str">
        <f>IFERROR(__xludf.DUMMYFUNCTION("GOOGLETRANSLATE($A4262,""en"",""de"")"),"Škofljica")</f>
        <v>Škofljica</v>
      </c>
      <c r="D4262" s="9" t="str">
        <f>IFERROR(__xludf.DUMMYFUNCTION("GOOGLETRANSLATE($A4262,""en"",""fr"")"),"Skofljica")</f>
        <v>Skofljica</v>
      </c>
      <c r="E4262" s="9" t="str">
        <f>IFERROR(__xludf.DUMMYFUNCTION("GOOGLETRANSLATE($A4262,""en"",""es"")"),"Škofljica")</f>
        <v>Škofljica</v>
      </c>
      <c r="F4262" s="9" t="str">
        <f>IFERROR(__xludf.DUMMYFUNCTION("GOOGLETRANSLATE($A4262,""en"",""it"")"),"Škofljica")</f>
        <v>Škofljica</v>
      </c>
      <c r="G4262" s="9" t="str">
        <f>IFERROR(__xludf.DUMMYFUNCTION("GOOGLETRANSLATE($A4262,""en"",""zh-cn"")"),"什科夫利察")</f>
        <v>什科夫利察</v>
      </c>
      <c r="H4262" s="9" t="str">
        <f>IFERROR(__xludf.DUMMYFUNCTION("GOOGLETRANSLATE($A4262,""en"",""ja"")"),"シュコフリツァ")</f>
        <v>シュコフリツァ</v>
      </c>
      <c r="I4262" s="9" t="str">
        <f>IFERROR(__xludf.DUMMYFUNCTION("GOOGLETRANSLATE($A4262,""en"",""ko"")"),"스코플리차")</f>
        <v>스코플리차</v>
      </c>
      <c r="J4262" s="9" t="str">
        <f>IFERROR(__xludf.DUMMYFUNCTION("GOOGLETRANSLATE($A4262,""en"",""pt-BR"")"),"Škofljica")</f>
        <v>Škofljica</v>
      </c>
    </row>
    <row r="4263">
      <c r="A4263" s="9" t="str">
        <f>IFERROR(__xludf.DUMMYFUNCTION("""COMPUTED_VALUE"""),"Šmarje pri Jelšah")</f>
        <v>Šmarje pri Jelšah</v>
      </c>
      <c r="B4263" s="9" t="str">
        <f>IFERROR(__xludf.DUMMYFUNCTION("""COMPUTED_VALUE"""),"si-124")</f>
        <v>si-124</v>
      </c>
      <c r="C4263" s="9" t="str">
        <f>IFERROR(__xludf.DUMMYFUNCTION("GOOGLETRANSLATE($A4263,""en"",""de"")"),"Šmarje pri Jelšah")</f>
        <v>Šmarje pri Jelšah</v>
      </c>
      <c r="D4263" s="9" t="str">
        <f>IFERROR(__xludf.DUMMYFUNCTION("GOOGLETRANSLATE($A4263,""en"",""fr"")"),"Šmarje pri Jelšah")</f>
        <v>Šmarje pri Jelšah</v>
      </c>
      <c r="E4263" s="9" t="str">
        <f>IFERROR(__xludf.DUMMYFUNCTION("GOOGLETRANSLATE($A4263,""en"",""es"")"),"Šmarje pri Jelšah")</f>
        <v>Šmarje pri Jelšah</v>
      </c>
      <c r="F4263" s="9" t="str">
        <f>IFERROR(__xludf.DUMMYFUNCTION("GOOGLETRANSLATE($A4263,""en"",""it"")"),"Šmarje pri Jelšah")</f>
        <v>Šmarje pri Jelšah</v>
      </c>
      <c r="G4263" s="9" t="str">
        <f>IFERROR(__xludf.DUMMYFUNCTION("GOOGLETRANSLATE($A4263,""en"",""zh-cn"")"),"斯玛杰·普里·杰尔萨")</f>
        <v>斯玛杰·普里·杰尔萨</v>
      </c>
      <c r="H4263" s="9" t="str">
        <f>IFERROR(__xludf.DUMMYFUNCTION("GOOGLETRANSLATE($A4263,""en"",""ja"")"),"シュマリェ・プリ・イェルシャ")</f>
        <v>シュマリェ・プリ・イェルシャ</v>
      </c>
      <c r="I4263" s="9" t="str">
        <f>IFERROR(__xludf.DUMMYFUNCTION("GOOGLETRANSLATE($A4263,""en"",""ko"")"),"슈마르예 프리 젤샤")</f>
        <v>슈마르예 프리 젤샤</v>
      </c>
      <c r="J4263" s="9" t="str">
        <f>IFERROR(__xludf.DUMMYFUNCTION("GOOGLETRANSLATE($A4263,""en"",""pt-BR"")"),"Šmarje pri Jelšah")</f>
        <v>Šmarje pri Jelšah</v>
      </c>
    </row>
    <row r="4264">
      <c r="A4264" s="9" t="str">
        <f>IFERROR(__xludf.DUMMYFUNCTION("""COMPUTED_VALUE"""),"Šmarješke Toplice")</f>
        <v>Šmarješke Toplice</v>
      </c>
      <c r="B4264" s="9" t="str">
        <f>IFERROR(__xludf.DUMMYFUNCTION("""COMPUTED_VALUE"""),"si-206")</f>
        <v>si-206</v>
      </c>
      <c r="C4264" s="9" t="str">
        <f>IFERROR(__xludf.DUMMYFUNCTION("GOOGLETRANSLATE($A4264,""en"",""de"")"),"Šmarješke Toplice")</f>
        <v>Šmarješke Toplice</v>
      </c>
      <c r="D4264" s="9" t="str">
        <f>IFERROR(__xludf.DUMMYFUNCTION("GOOGLETRANSLATE($A4264,""en"",""fr"")"),"Šmarješke Toplice")</f>
        <v>Šmarješke Toplice</v>
      </c>
      <c r="E4264" s="9" t="str">
        <f>IFERROR(__xludf.DUMMYFUNCTION("GOOGLETRANSLATE($A4264,""en"",""es"")"),"Šmarješke Toplice")</f>
        <v>Šmarješke Toplice</v>
      </c>
      <c r="F4264" s="9" t="str">
        <f>IFERROR(__xludf.DUMMYFUNCTION("GOOGLETRANSLATE($A4264,""en"",""it"")"),"Šmarješke Toplice")</f>
        <v>Šmarješke Toplice</v>
      </c>
      <c r="G4264" s="9" t="str">
        <f>IFERROR(__xludf.DUMMYFUNCTION("GOOGLETRANSLATE($A4264,""en"",""zh-cn"")"),"斯玛杰什克·托普利采")</f>
        <v>斯玛杰什克·托普利采</v>
      </c>
      <c r="H4264" s="9" t="str">
        <f>IFERROR(__xludf.DUMMYFUNCTION("GOOGLETRANSLATE($A4264,""en"",""ja"")"),"シュマリェシュケ・トプリツェ")</f>
        <v>シュマリェシュケ・トプリツェ</v>
      </c>
      <c r="I4264" s="9" t="str">
        <f>IFERROR(__xludf.DUMMYFUNCTION("GOOGLETRANSLATE($A4264,""en"",""ko"")"),"슈마르예스케 토플리체")</f>
        <v>슈마르예스케 토플리체</v>
      </c>
      <c r="J4264" s="9" t="str">
        <f>IFERROR(__xludf.DUMMYFUNCTION("GOOGLETRANSLATE($A4264,""en"",""pt-BR"")"),"Šmarješke Toplice")</f>
        <v>Šmarješke Toplice</v>
      </c>
    </row>
    <row r="4265">
      <c r="A4265" s="9" t="str">
        <f>IFERROR(__xludf.DUMMYFUNCTION("""COMPUTED_VALUE"""),"Šmartno ob Paki")</f>
        <v>Šmartno ob Paki</v>
      </c>
      <c r="B4265" s="9" t="str">
        <f>IFERROR(__xludf.DUMMYFUNCTION("""COMPUTED_VALUE"""),"si-125")</f>
        <v>si-125</v>
      </c>
      <c r="C4265" s="9" t="str">
        <f>IFERROR(__xludf.DUMMYFUNCTION("GOOGLETRANSLATE($A4265,""en"",""de"")"),"Šmartno ob Paki")</f>
        <v>Šmartno ob Paki</v>
      </c>
      <c r="D4265" s="9" t="str">
        <f>IFERROR(__xludf.DUMMYFUNCTION("GOOGLETRANSLATE($A4265,""en"",""fr"")"),"Smartno ob Paki")</f>
        <v>Smartno ob Paki</v>
      </c>
      <c r="E4265" s="9" t="str">
        <f>IFERROR(__xludf.DUMMYFUNCTION("GOOGLETRANSLATE($A4265,""en"",""es"")"),"Šmartno ob Paki")</f>
        <v>Šmartno ob Paki</v>
      </c>
      <c r="F4265" s="9" t="str">
        <f>IFERROR(__xludf.DUMMYFUNCTION("GOOGLETRANSLATE($A4265,""en"",""it"")"),"Šmartno ob Paki")</f>
        <v>Šmartno ob Paki</v>
      </c>
      <c r="G4265" s="9" t="str">
        <f>IFERROR(__xludf.DUMMYFUNCTION("GOOGLETRANSLATE($A4265,""en"",""zh-cn"")"),"巴基斯坦斯马特诺")</f>
        <v>巴基斯坦斯马特诺</v>
      </c>
      <c r="H4265" s="9" t="str">
        <f>IFERROR(__xludf.DUMMYFUNCTION("GOOGLETRANSLATE($A4265,""en"",""ja"")"),"シュマルトノ・オブ・パキ")</f>
        <v>シュマルトノ・オブ・パキ</v>
      </c>
      <c r="I4265" s="9" t="str">
        <f>IFERROR(__xludf.DUMMYFUNCTION("GOOGLETRANSLATE($A4265,""en"",""ko"")"),"슈마르트노 옵 파키")</f>
        <v>슈마르트노 옵 파키</v>
      </c>
      <c r="J4265" s="9" t="str">
        <f>IFERROR(__xludf.DUMMYFUNCTION("GOOGLETRANSLATE($A4265,""en"",""pt-BR"")"),"Šmartno ob Paki")</f>
        <v>Šmartno ob Paki</v>
      </c>
    </row>
    <row r="4266">
      <c r="A4266" s="9" t="str">
        <f>IFERROR(__xludf.DUMMYFUNCTION("""COMPUTED_VALUE"""),"Šentjur")</f>
        <v>Šentjur</v>
      </c>
      <c r="B4266" s="9" t="str">
        <f>IFERROR(__xludf.DUMMYFUNCTION("""COMPUTED_VALUE"""),"si-120")</f>
        <v>si-120</v>
      </c>
      <c r="C4266" s="9" t="str">
        <f>IFERROR(__xludf.DUMMYFUNCTION("GOOGLETRANSLATE($A4266,""en"",""de"")"),"Šentjur")</f>
        <v>Šentjur</v>
      </c>
      <c r="D4266" s="9" t="str">
        <f>IFERROR(__xludf.DUMMYFUNCTION("GOOGLETRANSLATE($A4266,""en"",""fr"")"),"Sentjur")</f>
        <v>Sentjur</v>
      </c>
      <c r="E4266" s="9" t="str">
        <f>IFERROR(__xludf.DUMMYFUNCTION("GOOGLETRANSLATE($A4266,""en"",""es"")"),"Šentjur")</f>
        <v>Šentjur</v>
      </c>
      <c r="F4266" s="9" t="str">
        <f>IFERROR(__xludf.DUMMYFUNCTION("GOOGLETRANSLATE($A4266,""en"",""it"")"),"Šentjur")</f>
        <v>Šentjur</v>
      </c>
      <c r="G4266" s="9" t="str">
        <f>IFERROR(__xludf.DUMMYFUNCTION("GOOGLETRANSLATE($A4266,""en"",""zh-cn"")"),"森特朱尔")</f>
        <v>森特朱尔</v>
      </c>
      <c r="H4266" s="9" t="str">
        <f>IFERROR(__xludf.DUMMYFUNCTION("GOOGLETRANSLATE($A4266,""en"",""ja"")"),"シェンジュル")</f>
        <v>シェンジュル</v>
      </c>
      <c r="I4266" s="9" t="str">
        <f>IFERROR(__xludf.DUMMYFUNCTION("GOOGLETRANSLATE($A4266,""en"",""ko"")"),"센트주르")</f>
        <v>센트주르</v>
      </c>
      <c r="J4266" s="9" t="str">
        <f>IFERROR(__xludf.DUMMYFUNCTION("GOOGLETRANSLATE($A4266,""en"",""pt-BR"")"),"Šentjur")</f>
        <v>Šentjur</v>
      </c>
    </row>
    <row r="4267">
      <c r="A4267" s="9" t="str">
        <f>IFERROR(__xludf.DUMMYFUNCTION("""COMPUTED_VALUE"""),"Šentrupert")</f>
        <v>Šentrupert</v>
      </c>
      <c r="B4267" s="9" t="str">
        <f>IFERROR(__xludf.DUMMYFUNCTION("""COMPUTED_VALUE"""),"si-211")</f>
        <v>si-211</v>
      </c>
      <c r="C4267" s="9" t="str">
        <f>IFERROR(__xludf.DUMMYFUNCTION("GOOGLETRANSLATE($A4267,""en"",""de"")"),"Šentrupert")</f>
        <v>Šentrupert</v>
      </c>
      <c r="D4267" s="9" t="str">
        <f>IFERROR(__xludf.DUMMYFUNCTION("GOOGLETRANSLATE($A4267,""en"",""fr"")"),"Sentrupert")</f>
        <v>Sentrupert</v>
      </c>
      <c r="E4267" s="9" t="str">
        <f>IFERROR(__xludf.DUMMYFUNCTION("GOOGLETRANSLATE($A4267,""en"",""es"")"),"Šentrupert")</f>
        <v>Šentrupert</v>
      </c>
      <c r="F4267" s="9" t="str">
        <f>IFERROR(__xludf.DUMMYFUNCTION("GOOGLETRANSLATE($A4267,""en"",""it"")"),"Šentrupert")</f>
        <v>Šentrupert</v>
      </c>
      <c r="G4267" s="9" t="str">
        <f>IFERROR(__xludf.DUMMYFUNCTION("GOOGLETRANSLATE($A4267,""en"",""zh-cn"")"),"森特鲁珀特")</f>
        <v>森特鲁珀特</v>
      </c>
      <c r="H4267" s="9" t="str">
        <f>IFERROR(__xludf.DUMMYFUNCTION("GOOGLETRANSLATE($A4267,""en"",""ja"")"),"シェントルペルト")</f>
        <v>シェントルペルト</v>
      </c>
      <c r="I4267" s="9" t="str">
        <f>IFERROR(__xludf.DUMMYFUNCTION("GOOGLETRANSLATE($A4267,""en"",""ko"")"),"센트루퍼트")</f>
        <v>센트루퍼트</v>
      </c>
      <c r="J4267" s="9" t="str">
        <f>IFERROR(__xludf.DUMMYFUNCTION("GOOGLETRANSLATE($A4267,""en"",""pt-BR"")"),"Šentrupert")</f>
        <v>Šentrupert</v>
      </c>
    </row>
    <row r="4268">
      <c r="A4268" s="9" t="str">
        <f>IFERROR(__xludf.DUMMYFUNCTION("""COMPUTED_VALUE"""),"Škocjan")</f>
        <v>Škocjan</v>
      </c>
      <c r="B4268" s="9" t="str">
        <f>IFERROR(__xludf.DUMMYFUNCTION("""COMPUTED_VALUE"""),"si-121")</f>
        <v>si-121</v>
      </c>
      <c r="C4268" s="9" t="str">
        <f>IFERROR(__xludf.DUMMYFUNCTION("GOOGLETRANSLATE($A4268,""en"",""de"")"),"Škocjan")</f>
        <v>Škocjan</v>
      </c>
      <c r="D4268" s="9" t="str">
        <f>IFERROR(__xludf.DUMMYFUNCTION("GOOGLETRANSLATE($A4268,""en"",""fr"")"),"Skocjan")</f>
        <v>Skocjan</v>
      </c>
      <c r="E4268" s="9" t="str">
        <f>IFERROR(__xludf.DUMMYFUNCTION("GOOGLETRANSLATE($A4268,""en"",""es"")"),"Škocjan")</f>
        <v>Škocjan</v>
      </c>
      <c r="F4268" s="9" t="str">
        <f>IFERROR(__xludf.DUMMYFUNCTION("GOOGLETRANSLATE($A4268,""en"",""it"")"),"Škocjan")</f>
        <v>Škocjan</v>
      </c>
      <c r="G4268" s="9" t="str">
        <f>IFERROR(__xludf.DUMMYFUNCTION("GOOGLETRANSLATE($A4268,""en"",""zh-cn"")"),"什科茨扬")</f>
        <v>什科茨扬</v>
      </c>
      <c r="H4268" s="9" t="str">
        <f>IFERROR(__xludf.DUMMYFUNCTION("GOOGLETRANSLATE($A4268,""en"",""ja"")"),"シュコツィアン")</f>
        <v>シュコツィアン</v>
      </c>
      <c r="I4268" s="9" t="str">
        <f>IFERROR(__xludf.DUMMYFUNCTION("GOOGLETRANSLATE($A4268,""en"",""ko"")"),"슈코찬")</f>
        <v>슈코찬</v>
      </c>
      <c r="J4268" s="9" t="str">
        <f>IFERROR(__xludf.DUMMYFUNCTION("GOOGLETRANSLATE($A4268,""en"",""pt-BR"")"),"Škocjan")</f>
        <v>Škocjan</v>
      </c>
    </row>
    <row r="4269">
      <c r="A4269" s="9" t="str">
        <f>IFERROR(__xludf.DUMMYFUNCTION("""COMPUTED_VALUE"""),"Škofja Loka")</f>
        <v>Škofja Loka</v>
      </c>
      <c r="B4269" s="9" t="str">
        <f>IFERROR(__xludf.DUMMYFUNCTION("""COMPUTED_VALUE"""),"si-122")</f>
        <v>si-122</v>
      </c>
      <c r="C4269" s="9" t="str">
        <f>IFERROR(__xludf.DUMMYFUNCTION("GOOGLETRANSLATE($A4269,""en"",""de"")"),"Škofja Loka")</f>
        <v>Škofja Loka</v>
      </c>
      <c r="D4269" s="9" t="str">
        <f>IFERROR(__xludf.DUMMYFUNCTION("GOOGLETRANSLATE($A4269,""en"",""fr"")"),"Skofja Loka")</f>
        <v>Skofja Loka</v>
      </c>
      <c r="E4269" s="9" t="str">
        <f>IFERROR(__xludf.DUMMYFUNCTION("GOOGLETRANSLATE($A4269,""en"",""es"")"),"Škofja Loka")</f>
        <v>Škofja Loka</v>
      </c>
      <c r="F4269" s="9" t="str">
        <f>IFERROR(__xludf.DUMMYFUNCTION("GOOGLETRANSLATE($A4269,""en"",""it"")"),"Škofja Loka")</f>
        <v>Škofja Loka</v>
      </c>
      <c r="G4269" s="9" t="str">
        <f>IFERROR(__xludf.DUMMYFUNCTION("GOOGLETRANSLATE($A4269,""en"",""zh-cn"")"),"什科菲亚·洛卡")</f>
        <v>什科菲亚·洛卡</v>
      </c>
      <c r="H4269" s="9" t="str">
        <f>IFERROR(__xludf.DUMMYFUNCTION("GOOGLETRANSLATE($A4269,""en"",""ja"")"),"シュコフィア・ロカ")</f>
        <v>シュコフィア・ロカ</v>
      </c>
      <c r="I4269" s="9" t="str">
        <f>IFERROR(__xludf.DUMMYFUNCTION("GOOGLETRANSLATE($A4269,""en"",""ko"")"),"슈코프야 로카")</f>
        <v>슈코프야 로카</v>
      </c>
      <c r="J4269" s="9" t="str">
        <f>IFERROR(__xludf.DUMMYFUNCTION("GOOGLETRANSLATE($A4269,""en"",""pt-BR"")"),"Škofja Loka")</f>
        <v>Škofja Loka</v>
      </c>
    </row>
    <row r="4270">
      <c r="A4270" s="9" t="str">
        <f>IFERROR(__xludf.DUMMYFUNCTION("""COMPUTED_VALUE"""),"Velenje")</f>
        <v>Velenje</v>
      </c>
      <c r="B4270" s="9" t="str">
        <f>IFERROR(__xludf.DUMMYFUNCTION("""COMPUTED_VALUE"""),"si-133")</f>
        <v>si-133</v>
      </c>
      <c r="C4270" s="9" t="str">
        <f>IFERROR(__xludf.DUMMYFUNCTION("GOOGLETRANSLATE($A4270,""en"",""de"")"),"Velenje")</f>
        <v>Velenje</v>
      </c>
      <c r="D4270" s="9" t="str">
        <f>IFERROR(__xludf.DUMMYFUNCTION("GOOGLETRANSLATE($A4270,""en"",""fr"")"),"Velenje")</f>
        <v>Velenje</v>
      </c>
      <c r="E4270" s="9" t="str">
        <f>IFERROR(__xludf.DUMMYFUNCTION("GOOGLETRANSLATE($A4270,""en"",""es"")"),"velenje")</f>
        <v>velenje</v>
      </c>
      <c r="F4270" s="9" t="str">
        <f>IFERROR(__xludf.DUMMYFUNCTION("GOOGLETRANSLATE($A4270,""en"",""it"")"),"Velenje")</f>
        <v>Velenje</v>
      </c>
      <c r="G4270" s="9" t="str">
        <f>IFERROR(__xludf.DUMMYFUNCTION("GOOGLETRANSLATE($A4270,""en"",""zh-cn"")"),"韦莱涅")</f>
        <v>韦莱涅</v>
      </c>
      <c r="H4270" s="9" t="str">
        <f>IFERROR(__xludf.DUMMYFUNCTION("GOOGLETRANSLATE($A4270,""en"",""ja"")"),"ヴェレンジェ")</f>
        <v>ヴェレンジェ</v>
      </c>
      <c r="I4270" s="9" t="str">
        <f>IFERROR(__xludf.DUMMYFUNCTION("GOOGLETRANSLATE($A4270,""en"",""ko"")"),"벨렌제")</f>
        <v>벨렌제</v>
      </c>
      <c r="J4270" s="9" t="str">
        <f>IFERROR(__xludf.DUMMYFUNCTION("GOOGLETRANSLATE($A4270,""en"",""pt-BR"")"),"Velenje")</f>
        <v>Velenje</v>
      </c>
    </row>
    <row r="4271">
      <c r="A4271" s="9" t="str">
        <f>IFERROR(__xludf.DUMMYFUNCTION("""COMPUTED_VALUE"""),"Velika Polana")</f>
        <v>Velika Polana</v>
      </c>
      <c r="B4271" s="9" t="str">
        <f>IFERROR(__xludf.DUMMYFUNCTION("""COMPUTED_VALUE"""),"si-187")</f>
        <v>si-187</v>
      </c>
      <c r="C4271" s="9" t="str">
        <f>IFERROR(__xludf.DUMMYFUNCTION("GOOGLETRANSLATE($A4271,""en"",""de"")"),"Velika Polana")</f>
        <v>Velika Polana</v>
      </c>
      <c r="D4271" s="9" t="str">
        <f>IFERROR(__xludf.DUMMYFUNCTION("GOOGLETRANSLATE($A4271,""en"",""fr"")"),"Velika Polana")</f>
        <v>Velika Polana</v>
      </c>
      <c r="E4271" s="9" t="str">
        <f>IFERROR(__xludf.DUMMYFUNCTION("GOOGLETRANSLATE($A4271,""en"",""es"")"),"Velika Polana")</f>
        <v>Velika Polana</v>
      </c>
      <c r="F4271" s="9" t="str">
        <f>IFERROR(__xludf.DUMMYFUNCTION("GOOGLETRANSLATE($A4271,""en"",""it"")"),"Velika Polana")</f>
        <v>Velika Polana</v>
      </c>
      <c r="G4271" s="9" t="str">
        <f>IFERROR(__xludf.DUMMYFUNCTION("GOOGLETRANSLATE($A4271,""en"",""zh-cn"")"),"大波拉纳")</f>
        <v>大波拉纳</v>
      </c>
      <c r="H4271" s="9" t="str">
        <f>IFERROR(__xludf.DUMMYFUNCTION("GOOGLETRANSLATE($A4271,""en"",""ja"")"),"ヴェリカ ポラナ")</f>
        <v>ヴェリカ ポラナ</v>
      </c>
      <c r="I4271" s="9" t="str">
        <f>IFERROR(__xludf.DUMMYFUNCTION("GOOGLETRANSLATE($A4271,""en"",""ko"")"),"벨리카 폴라나")</f>
        <v>벨리카 폴라나</v>
      </c>
      <c r="J4271" s="9" t="str">
        <f>IFERROR(__xludf.DUMMYFUNCTION("GOOGLETRANSLATE($A4271,""en"",""pt-BR"")"),"Velika Polana")</f>
        <v>Velika Polana</v>
      </c>
    </row>
    <row r="4272">
      <c r="A4272" s="9" t="str">
        <f>IFERROR(__xludf.DUMMYFUNCTION("""COMPUTED_VALUE"""),"Velike Lašče")</f>
        <v>Velike Lašče</v>
      </c>
      <c r="B4272" s="9" t="str">
        <f>IFERROR(__xludf.DUMMYFUNCTION("""COMPUTED_VALUE"""),"si-134")</f>
        <v>si-134</v>
      </c>
      <c r="C4272" s="9" t="str">
        <f>IFERROR(__xludf.DUMMYFUNCTION("GOOGLETRANSLATE($A4272,""en"",""de"")"),"Velike Lašče")</f>
        <v>Velike Lašče</v>
      </c>
      <c r="D4272" s="9" t="str">
        <f>IFERROR(__xludf.DUMMYFUNCTION("GOOGLETRANSLATE($A4272,""en"",""fr"")"),"Velike Lašče")</f>
        <v>Velike Lašče</v>
      </c>
      <c r="E4272" s="9" t="str">
        <f>IFERROR(__xludf.DUMMYFUNCTION("GOOGLETRANSLATE($A4272,""en"",""es"")"),"Velike Lašče")</f>
        <v>Velike Lašče</v>
      </c>
      <c r="F4272" s="9" t="str">
        <f>IFERROR(__xludf.DUMMYFUNCTION("GOOGLETRANSLATE($A4272,""en"",""it"")"),"Velike Lasce")</f>
        <v>Velike Lasce</v>
      </c>
      <c r="G4272" s="9" t="str">
        <f>IFERROR(__xludf.DUMMYFUNCTION("GOOGLETRANSLATE($A4272,""en"",""zh-cn"")"),"韦利克·拉什切")</f>
        <v>韦利克·拉什切</v>
      </c>
      <c r="H4272" s="9" t="str">
        <f>IFERROR(__xludf.DUMMYFUNCTION("GOOGLETRANSLATE($A4272,""en"",""ja"")"),"ヴェリケ・ラシュチェ")</f>
        <v>ヴェリケ・ラシュチェ</v>
      </c>
      <c r="I4272" s="9" t="str">
        <f>IFERROR(__xludf.DUMMYFUNCTION("GOOGLETRANSLATE($A4272,""en"",""ko"")"),"벨리케 라슈체")</f>
        <v>벨리케 라슈체</v>
      </c>
      <c r="J4272" s="9" t="str">
        <f>IFERROR(__xludf.DUMMYFUNCTION("GOOGLETRANSLATE($A4272,""en"",""pt-BR"")"),"Velike Lašče")</f>
        <v>Velike Lašče</v>
      </c>
    </row>
    <row r="4273">
      <c r="A4273" s="9" t="str">
        <f>IFERROR(__xludf.DUMMYFUNCTION("""COMPUTED_VALUE"""),"Veržej")</f>
        <v>Veržej</v>
      </c>
      <c r="B4273" s="9" t="str">
        <f>IFERROR(__xludf.DUMMYFUNCTION("""COMPUTED_VALUE"""),"si-188")</f>
        <v>si-188</v>
      </c>
      <c r="C4273" s="9" t="str">
        <f>IFERROR(__xludf.DUMMYFUNCTION("GOOGLETRANSLATE($A4273,""en"",""de"")"),"Veržej")</f>
        <v>Veržej</v>
      </c>
      <c r="D4273" s="9" t="str">
        <f>IFERROR(__xludf.DUMMYFUNCTION("GOOGLETRANSLATE($A4273,""en"",""fr"")"),"Verzej")</f>
        <v>Verzej</v>
      </c>
      <c r="E4273" s="9" t="str">
        <f>IFERROR(__xludf.DUMMYFUNCTION("GOOGLETRANSLATE($A4273,""en"",""es"")"),"Veržej")</f>
        <v>Veržej</v>
      </c>
      <c r="F4273" s="9" t="str">
        <f>IFERROR(__xludf.DUMMYFUNCTION("GOOGLETRANSLATE($A4273,""en"",""it"")"),"Veržej")</f>
        <v>Veržej</v>
      </c>
      <c r="G4273" s="9" t="str">
        <f>IFERROR(__xludf.DUMMYFUNCTION("GOOGLETRANSLATE($A4273,""en"",""zh-cn"")"),"韦尔热")</f>
        <v>韦尔热</v>
      </c>
      <c r="H4273" s="9" t="str">
        <f>IFERROR(__xludf.DUMMYFUNCTION("GOOGLETRANSLATE($A4273,""en"",""ja"")"),"ヴェルジェイ")</f>
        <v>ヴェルジェイ</v>
      </c>
      <c r="I4273" s="9" t="str">
        <f>IFERROR(__xludf.DUMMYFUNCTION("GOOGLETRANSLATE($A4273,""en"",""ko"")"),"베르제이")</f>
        <v>베르제이</v>
      </c>
      <c r="J4273" s="9" t="str">
        <f>IFERROR(__xludf.DUMMYFUNCTION("GOOGLETRANSLATE($A4273,""en"",""pt-BR"")"),"Veržej")</f>
        <v>Veržej</v>
      </c>
    </row>
    <row r="4274">
      <c r="A4274" s="9" t="str">
        <f>IFERROR(__xludf.DUMMYFUNCTION("""COMPUTED_VALUE"""),"Trnovska Vas")</f>
        <v>Trnovska Vas</v>
      </c>
      <c r="B4274" s="9" t="str">
        <f>IFERROR(__xludf.DUMMYFUNCTION("""COMPUTED_VALUE"""),"si-185")</f>
        <v>si-185</v>
      </c>
      <c r="C4274" s="9" t="str">
        <f>IFERROR(__xludf.DUMMYFUNCTION("GOOGLETRANSLATE($A4274,""en"",""de"")"),"Trnovska Vas")</f>
        <v>Trnovska Vas</v>
      </c>
      <c r="D4274" s="9" t="str">
        <f>IFERROR(__xludf.DUMMYFUNCTION("GOOGLETRANSLATE($A4274,""en"",""fr"")"),"Trnovska Vas")</f>
        <v>Trnovska Vas</v>
      </c>
      <c r="E4274" s="9" t="str">
        <f>IFERROR(__xludf.DUMMYFUNCTION("GOOGLETRANSLATE($A4274,""en"",""es"")"),"Trnovska Vas")</f>
        <v>Trnovska Vas</v>
      </c>
      <c r="F4274" s="9" t="str">
        <f>IFERROR(__xludf.DUMMYFUNCTION("GOOGLETRANSLATE($A4274,""en"",""it"")"),"Trnovska Vas")</f>
        <v>Trnovska Vas</v>
      </c>
      <c r="G4274" s="9" t="str">
        <f>IFERROR(__xludf.DUMMYFUNCTION("GOOGLETRANSLATE($A4274,""en"",""zh-cn"")"),"特尔诺夫斯卡瓦斯")</f>
        <v>特尔诺夫斯卡瓦斯</v>
      </c>
      <c r="H4274" s="9" t="str">
        <f>IFERROR(__xludf.DUMMYFUNCTION("GOOGLETRANSLATE($A4274,""en"",""ja"")"),"トルノフスカ・ヴァス")</f>
        <v>トルノフスカ・ヴァス</v>
      </c>
      <c r="I4274" s="9" t="str">
        <f>IFERROR(__xludf.DUMMYFUNCTION("GOOGLETRANSLATE($A4274,""en"",""ko"")"),"트르노프스카 바스")</f>
        <v>트르노프스카 바스</v>
      </c>
      <c r="J4274" s="9" t="str">
        <f>IFERROR(__xludf.DUMMYFUNCTION("GOOGLETRANSLATE($A4274,""en"",""pt-BR"")"),"Trnovska Vas")</f>
        <v>Trnovska Vas</v>
      </c>
    </row>
    <row r="4275">
      <c r="A4275" s="9" t="str">
        <f>IFERROR(__xludf.DUMMYFUNCTION("""COMPUTED_VALUE"""),"Trzin")</f>
        <v>Trzin</v>
      </c>
      <c r="B4275" s="9" t="str">
        <f>IFERROR(__xludf.DUMMYFUNCTION("""COMPUTED_VALUE"""),"si-186")</f>
        <v>si-186</v>
      </c>
      <c r="C4275" s="9" t="str">
        <f>IFERROR(__xludf.DUMMYFUNCTION("GOOGLETRANSLATE($A4275,""en"",""de"")"),"Trzin")</f>
        <v>Trzin</v>
      </c>
      <c r="D4275" s="9" t="str">
        <f>IFERROR(__xludf.DUMMYFUNCTION("GOOGLETRANSLATE($A4275,""en"",""fr"")"),"Trzin")</f>
        <v>Trzin</v>
      </c>
      <c r="E4275" s="9" t="str">
        <f>IFERROR(__xludf.DUMMYFUNCTION("GOOGLETRANSLATE($A4275,""en"",""es"")"),"Trzin")</f>
        <v>Trzin</v>
      </c>
      <c r="F4275" s="9" t="str">
        <f>IFERROR(__xludf.DUMMYFUNCTION("GOOGLETRANSLATE($A4275,""en"",""it"")"),"Trzin")</f>
        <v>Trzin</v>
      </c>
      <c r="G4275" s="9" t="str">
        <f>IFERROR(__xludf.DUMMYFUNCTION("GOOGLETRANSLATE($A4275,""en"",""zh-cn"")"),"特尔津")</f>
        <v>特尔津</v>
      </c>
      <c r="H4275" s="9" t="str">
        <f>IFERROR(__xludf.DUMMYFUNCTION("GOOGLETRANSLATE($A4275,""en"",""ja"")"),"トルジン")</f>
        <v>トルジン</v>
      </c>
      <c r="I4275" s="9" t="str">
        <f>IFERROR(__xludf.DUMMYFUNCTION("GOOGLETRANSLATE($A4275,""en"",""ko"")"),"트르진")</f>
        <v>트르진</v>
      </c>
      <c r="J4275" s="9" t="str">
        <f>IFERROR(__xludf.DUMMYFUNCTION("GOOGLETRANSLATE($A4275,""en"",""pt-BR"")"),"Trzin")</f>
        <v>Trzin</v>
      </c>
    </row>
    <row r="4276">
      <c r="A4276" s="9" t="str">
        <f>IFERROR(__xludf.DUMMYFUNCTION("""COMPUTED_VALUE"""),"Tržič")</f>
        <v>Tržič</v>
      </c>
      <c r="B4276" s="9" t="str">
        <f>IFERROR(__xludf.DUMMYFUNCTION("""COMPUTED_VALUE"""),"si-131")</f>
        <v>si-131</v>
      </c>
      <c r="C4276" s="9" t="str">
        <f>IFERROR(__xludf.DUMMYFUNCTION("GOOGLETRANSLATE($A4276,""en"",""de"")"),"Tržič")</f>
        <v>Tržič</v>
      </c>
      <c r="D4276" s="9" t="str">
        <f>IFERROR(__xludf.DUMMYFUNCTION("GOOGLETRANSLATE($A4276,""en"",""fr"")"),"Tržič")</f>
        <v>Tržič</v>
      </c>
      <c r="E4276" s="9" t="str">
        <f>IFERROR(__xludf.DUMMYFUNCTION("GOOGLETRANSLATE($A4276,""en"",""es"")"),"Tržič")</f>
        <v>Tržič</v>
      </c>
      <c r="F4276" s="9" t="str">
        <f>IFERROR(__xludf.DUMMYFUNCTION("GOOGLETRANSLATE($A4276,""en"",""it"")"),"Tržič")</f>
        <v>Tržič</v>
      </c>
      <c r="G4276" s="9" t="str">
        <f>IFERROR(__xludf.DUMMYFUNCTION("GOOGLETRANSLATE($A4276,""en"",""zh-cn"")"),"特尔日奇")</f>
        <v>特尔日奇</v>
      </c>
      <c r="H4276" s="9" t="str">
        <f>IFERROR(__xludf.DUMMYFUNCTION("GOOGLETRANSLATE($A4276,""en"",""ja"")"),"トルジッチ")</f>
        <v>トルジッチ</v>
      </c>
      <c r="I4276" s="9" t="str">
        <f>IFERROR(__xludf.DUMMYFUNCTION("GOOGLETRANSLATE($A4276,""en"",""ko"")"),"트르지치")</f>
        <v>트르지치</v>
      </c>
      <c r="J4276" s="9" t="str">
        <f>IFERROR(__xludf.DUMMYFUNCTION("GOOGLETRANSLATE($A4276,""en"",""pt-BR"")"),"Tržič")</f>
        <v>Tržič</v>
      </c>
    </row>
    <row r="4277">
      <c r="A4277" s="9" t="str">
        <f>IFERROR(__xludf.DUMMYFUNCTION("""COMPUTED_VALUE"""),"Turnišče")</f>
        <v>Turnišče</v>
      </c>
      <c r="B4277" s="9" t="str">
        <f>IFERROR(__xludf.DUMMYFUNCTION("""COMPUTED_VALUE"""),"si-132")</f>
        <v>si-132</v>
      </c>
      <c r="C4277" s="9" t="str">
        <f>IFERROR(__xludf.DUMMYFUNCTION("GOOGLETRANSLATE($A4277,""en"",""de"")"),"Turnišče")</f>
        <v>Turnišče</v>
      </c>
      <c r="D4277" s="9" t="str">
        <f>IFERROR(__xludf.DUMMYFUNCTION("GOOGLETRANSLATE($A4277,""en"",""fr"")"),"Turnišče")</f>
        <v>Turnišče</v>
      </c>
      <c r="E4277" s="9" t="str">
        <f>IFERROR(__xludf.DUMMYFUNCTION("GOOGLETRANSLATE($A4277,""en"",""es"")"),"Turnišče")</f>
        <v>Turnišče</v>
      </c>
      <c r="F4277" s="9" t="str">
        <f>IFERROR(__xludf.DUMMYFUNCTION("GOOGLETRANSLATE($A4277,""en"",""it"")"),"Turnišče")</f>
        <v>Turnišče</v>
      </c>
      <c r="G4277" s="9" t="str">
        <f>IFERROR(__xludf.DUMMYFUNCTION("GOOGLETRANSLATE($A4277,""en"",""zh-cn"")"),"图尔尼什切")</f>
        <v>图尔尼什切</v>
      </c>
      <c r="H4277" s="9" t="str">
        <f>IFERROR(__xludf.DUMMYFUNCTION("GOOGLETRANSLATE($A4277,""en"",""ja"")"),"トゥルニシュチェ")</f>
        <v>トゥルニシュチェ</v>
      </c>
      <c r="I4277" s="9" t="str">
        <f>IFERROR(__xludf.DUMMYFUNCTION("GOOGLETRANSLATE($A4277,""en"",""ko"")"),"투르니슈체")</f>
        <v>투르니슈체</v>
      </c>
      <c r="J4277" s="9" t="str">
        <f>IFERROR(__xludf.DUMMYFUNCTION("GOOGLETRANSLATE($A4277,""en"",""pt-BR"")"),"Turnišče")</f>
        <v>Turnišče</v>
      </c>
    </row>
    <row r="4278">
      <c r="A4278" s="9" t="str">
        <f>IFERROR(__xludf.DUMMYFUNCTION("""COMPUTED_VALUE"""),"Ravne na Koroškem")</f>
        <v>Ravne na Koroškem</v>
      </c>
      <c r="B4278" s="9" t="str">
        <f>IFERROR(__xludf.DUMMYFUNCTION("""COMPUTED_VALUE"""),"si-103")</f>
        <v>si-103</v>
      </c>
      <c r="C4278" s="9" t="str">
        <f>IFERROR(__xludf.DUMMYFUNCTION("GOOGLETRANSLATE($A4278,""en"",""de"")"),"Ravne na Koroškem")</f>
        <v>Ravne na Koroškem</v>
      </c>
      <c r="D4278" s="9" t="str">
        <f>IFERROR(__xludf.DUMMYFUNCTION("GOOGLETRANSLATE($A4278,""en"",""fr"")"),"Ravne na Koroskem")</f>
        <v>Ravne na Koroskem</v>
      </c>
      <c r="E4278" s="9" t="str">
        <f>IFERROR(__xludf.DUMMYFUNCTION("GOOGLETRANSLATE($A4278,""en"",""es"")"),"Ravne na Koroškem")</f>
        <v>Ravne na Koroškem</v>
      </c>
      <c r="F4278" s="9" t="str">
        <f>IFERROR(__xludf.DUMMYFUNCTION("GOOGLETRANSLATE($A4278,""en"",""it"")"),"Ravne na Koroškem")</f>
        <v>Ravne na Koroškem</v>
      </c>
      <c r="G4278" s="9" t="str">
        <f>IFERROR(__xludf.DUMMYFUNCTION("GOOGLETRANSLATE($A4278,""en"",""zh-cn"")"),"拉夫纳·纳·科罗斯肯")</f>
        <v>拉夫纳·纳·科罗斯肯</v>
      </c>
      <c r="H4278" s="9" t="str">
        <f>IFERROR(__xludf.DUMMYFUNCTION("GOOGLETRANSLATE($A4278,""en"",""ja"")"),"ラヴネ・ナ・コロシュケム")</f>
        <v>ラヴネ・ナ・コロシュケム</v>
      </c>
      <c r="I4278" s="9" t="str">
        <f>IFERROR(__xludf.DUMMYFUNCTION("GOOGLETRANSLATE($A4278,""en"",""ko"")"),"라브네 나 코로스켐")</f>
        <v>라브네 나 코로스켐</v>
      </c>
      <c r="J4278" s="9" t="str">
        <f>IFERROR(__xludf.DUMMYFUNCTION("GOOGLETRANSLATE($A4278,""en"",""pt-BR"")"),"Ravne na Koroškem")</f>
        <v>Ravne na Koroškem</v>
      </c>
    </row>
    <row r="4279">
      <c r="A4279" s="9" t="str">
        <f>IFERROR(__xludf.DUMMYFUNCTION("""COMPUTED_VALUE"""),"Razkrižje")</f>
        <v>Razkrižje</v>
      </c>
      <c r="B4279" s="9" t="str">
        <f>IFERROR(__xludf.DUMMYFUNCTION("""COMPUTED_VALUE"""),"si-176")</f>
        <v>si-176</v>
      </c>
      <c r="C4279" s="9" t="str">
        <f>IFERROR(__xludf.DUMMYFUNCTION("GOOGLETRANSLATE($A4279,""en"",""de"")"),"Razkrižje")</f>
        <v>Razkrižje</v>
      </c>
      <c r="D4279" s="9" t="str">
        <f>IFERROR(__xludf.DUMMYFUNCTION("GOOGLETRANSLATE($A4279,""en"",""fr"")"),"Razkrižje")</f>
        <v>Razkrižje</v>
      </c>
      <c r="E4279" s="9" t="str">
        <f>IFERROR(__xludf.DUMMYFUNCTION("GOOGLETRANSLATE($A4279,""en"",""es"")"),"Razkrizje")</f>
        <v>Razkrizje</v>
      </c>
      <c r="F4279" s="9" t="str">
        <f>IFERROR(__xludf.DUMMYFUNCTION("GOOGLETRANSLATE($A4279,""en"",""it"")"),"Razkrižje")</f>
        <v>Razkrižje</v>
      </c>
      <c r="G4279" s="9" t="str">
        <f>IFERROR(__xludf.DUMMYFUNCTION("GOOGLETRANSLATE($A4279,""en"",""zh-cn"")"),"拉兹克里日")</f>
        <v>拉兹克里日</v>
      </c>
      <c r="H4279" s="9" t="str">
        <f>IFERROR(__xludf.DUMMYFUNCTION("GOOGLETRANSLATE($A4279,""en"",""ja"")"),"ラズクリジェ")</f>
        <v>ラズクリジェ</v>
      </c>
      <c r="I4279" s="9" t="str">
        <f>IFERROR(__xludf.DUMMYFUNCTION("GOOGLETRANSLATE($A4279,""en"",""ko"")"),"라즈크리제")</f>
        <v>라즈크리제</v>
      </c>
      <c r="J4279" s="9" t="str">
        <f>IFERROR(__xludf.DUMMYFUNCTION("GOOGLETRANSLATE($A4279,""en"",""pt-BR"")"),"Razkrizje")</f>
        <v>Razkrizje</v>
      </c>
    </row>
    <row r="4280">
      <c r="A4280" s="9" t="str">
        <f>IFERROR(__xludf.DUMMYFUNCTION("""COMPUTED_VALUE"""),"Rečica ob Savinji")</f>
        <v>Rečica ob Savinji</v>
      </c>
      <c r="B4280" s="9" t="str">
        <f>IFERROR(__xludf.DUMMYFUNCTION("""COMPUTED_VALUE"""),"si-209")</f>
        <v>si-209</v>
      </c>
      <c r="C4280" s="9" t="str">
        <f>IFERROR(__xludf.DUMMYFUNCTION("GOOGLETRANSLATE($A4280,""en"",""de"")"),"Rečica ob Savinji")</f>
        <v>Rečica ob Savinji</v>
      </c>
      <c r="D4280" s="9" t="str">
        <f>IFERROR(__xludf.DUMMYFUNCTION("GOOGLETRANSLATE($A4280,""en"",""fr"")"),"Rečica ob Savinji")</f>
        <v>Rečica ob Savinji</v>
      </c>
      <c r="E4280" s="9" t="str">
        <f>IFERROR(__xludf.DUMMYFUNCTION("GOOGLETRANSLATE($A4280,""en"",""es"")"),"Rečica ob Savinji")</f>
        <v>Rečica ob Savinji</v>
      </c>
      <c r="F4280" s="9" t="str">
        <f>IFERROR(__xludf.DUMMYFUNCTION("GOOGLETRANSLATE($A4280,""en"",""it"")"),"Rečica ob Savinji")</f>
        <v>Rečica ob Savinji</v>
      </c>
      <c r="G4280" s="9" t="str">
        <f>IFERROR(__xludf.DUMMYFUNCTION("GOOGLETRANSLATE($A4280,""en"",""zh-cn"")"),"萨文吉的雷西卡")</f>
        <v>萨文吉的雷西卡</v>
      </c>
      <c r="H4280" s="9" t="str">
        <f>IFERROR(__xludf.DUMMYFUNCTION("GOOGLETRANSLATE($A4280,""en"",""ja"")"),"レチツァ オブ サビニ")</f>
        <v>レチツァ オブ サビニ</v>
      </c>
      <c r="I4280" s="9" t="str">
        <f>IFERROR(__xludf.DUMMYFUNCTION("GOOGLETRANSLATE($A4280,""en"",""ko"")"),"레치카 옵 사빈지")</f>
        <v>레치카 옵 사빈지</v>
      </c>
      <c r="J4280" s="9" t="str">
        <f>IFERROR(__xludf.DUMMYFUNCTION("GOOGLETRANSLATE($A4280,""en"",""pt-BR"")"),"Rečica ob Savinji")</f>
        <v>Rečica ob Savinji</v>
      </c>
    </row>
    <row r="4281">
      <c r="A4281" s="9" t="str">
        <f>IFERROR(__xludf.DUMMYFUNCTION("""COMPUTED_VALUE"""),"Renče-Vogrsko")</f>
        <v>Renče-Vogrsko</v>
      </c>
      <c r="B4281" s="9" t="str">
        <f>IFERROR(__xludf.DUMMYFUNCTION("""COMPUTED_VALUE"""),"si-201")</f>
        <v>si-201</v>
      </c>
      <c r="C4281" s="9" t="str">
        <f>IFERROR(__xludf.DUMMYFUNCTION("GOOGLETRANSLATE($A4281,""en"",""de"")"),"Renče-Vogrsko")</f>
        <v>Renče-Vogrsko</v>
      </c>
      <c r="D4281" s="9" t="str">
        <f>IFERROR(__xludf.DUMMYFUNCTION("GOOGLETRANSLATE($A4281,""en"",""fr"")"),"Renče-Vogrsko")</f>
        <v>Renče-Vogrsko</v>
      </c>
      <c r="E4281" s="9" t="str">
        <f>IFERROR(__xludf.DUMMYFUNCTION("GOOGLETRANSLATE($A4281,""en"",""es"")"),"Renče-Vogrsko")</f>
        <v>Renče-Vogrsko</v>
      </c>
      <c r="F4281" s="9" t="str">
        <f>IFERROR(__xludf.DUMMYFUNCTION("GOOGLETRANSLATE($A4281,""en"",""it"")"),"Renče-Vogrsko")</f>
        <v>Renče-Vogrsko</v>
      </c>
      <c r="G4281" s="9" t="str">
        <f>IFERROR(__xludf.DUMMYFUNCTION("GOOGLETRANSLATE($A4281,""en"",""zh-cn"")"),"伦切-沃格尔斯科")</f>
        <v>伦切-沃格尔斯科</v>
      </c>
      <c r="H4281" s="9" t="str">
        <f>IFERROR(__xludf.DUMMYFUNCTION("GOOGLETRANSLATE($A4281,""en"",""ja"")"),"レンチェ・ヴォグルスコ")</f>
        <v>レンチェ・ヴォグルスコ</v>
      </c>
      <c r="I4281" s="9" t="str">
        <f>IFERROR(__xludf.DUMMYFUNCTION("GOOGLETRANSLATE($A4281,""en"",""ko"")"),"렌체-보그르스코")</f>
        <v>렌체-보그르스코</v>
      </c>
      <c r="J4281" s="9" t="str">
        <f>IFERROR(__xludf.DUMMYFUNCTION("GOOGLETRANSLATE($A4281,""en"",""pt-BR"")"),"Renče-Vogrsko")</f>
        <v>Renče-Vogrsko</v>
      </c>
    </row>
    <row r="4282">
      <c r="A4282" s="9" t="str">
        <f>IFERROR(__xludf.DUMMYFUNCTION("""COMPUTED_VALUE"""),"Radeče")</f>
        <v>Radeče</v>
      </c>
      <c r="B4282" s="9" t="str">
        <f>IFERROR(__xludf.DUMMYFUNCTION("""COMPUTED_VALUE"""),"si-099")</f>
        <v>si-099</v>
      </c>
      <c r="C4282" s="9" t="str">
        <f>IFERROR(__xludf.DUMMYFUNCTION("GOOGLETRANSLATE($A4282,""en"",""de"")"),"Radeče")</f>
        <v>Radeče</v>
      </c>
      <c r="D4282" s="9" t="str">
        <f>IFERROR(__xludf.DUMMYFUNCTION("GOOGLETRANSLATE($A4282,""en"",""fr"")"),"Radeče")</f>
        <v>Radeče</v>
      </c>
      <c r="E4282" s="9" t="str">
        <f>IFERROR(__xludf.DUMMYFUNCTION("GOOGLETRANSLATE($A4282,""en"",""es"")"),"Radeče")</f>
        <v>Radeče</v>
      </c>
      <c r="F4282" s="9" t="str">
        <f>IFERROR(__xludf.DUMMYFUNCTION("GOOGLETRANSLATE($A4282,""en"",""it"")"),"Radèce")</f>
        <v>Radèce</v>
      </c>
      <c r="G4282" s="9" t="str">
        <f>IFERROR(__xludf.DUMMYFUNCTION("GOOGLETRANSLATE($A4282,""en"",""zh-cn"")"),"拉德切")</f>
        <v>拉德切</v>
      </c>
      <c r="H4282" s="9" t="str">
        <f>IFERROR(__xludf.DUMMYFUNCTION("GOOGLETRANSLATE($A4282,""en"",""ja"")"),"ラデチェ")</f>
        <v>ラデチェ</v>
      </c>
      <c r="I4282" s="9" t="str">
        <f>IFERROR(__xludf.DUMMYFUNCTION("GOOGLETRANSLATE($A4282,""en"",""ko"")"),"라데체")</f>
        <v>라데체</v>
      </c>
      <c r="J4282" s="9" t="str">
        <f>IFERROR(__xludf.DUMMYFUNCTION("GOOGLETRANSLATE($A4282,""en"",""pt-BR"")"),"Radeče")</f>
        <v>Radeče</v>
      </c>
    </row>
    <row r="4283">
      <c r="A4283" s="9" t="str">
        <f>IFERROR(__xludf.DUMMYFUNCTION("""COMPUTED_VALUE"""),"Radenci")</f>
        <v>Radenci</v>
      </c>
      <c r="B4283" s="9" t="str">
        <f>IFERROR(__xludf.DUMMYFUNCTION("""COMPUTED_VALUE"""),"si-100")</f>
        <v>si-100</v>
      </c>
      <c r="C4283" s="9" t="str">
        <f>IFERROR(__xludf.DUMMYFUNCTION("GOOGLETRANSLATE($A4283,""en"",""de"")"),"Radenci")</f>
        <v>Radenci</v>
      </c>
      <c r="D4283" s="9" t="str">
        <f>IFERROR(__xludf.DUMMYFUNCTION("GOOGLETRANSLATE($A4283,""en"",""fr"")"),"Radenci")</f>
        <v>Radenci</v>
      </c>
      <c r="E4283" s="9" t="str">
        <f>IFERROR(__xludf.DUMMYFUNCTION("GOOGLETRANSLATE($A4283,""en"",""es"")"),"Radenci")</f>
        <v>Radenci</v>
      </c>
      <c r="F4283" s="9" t="str">
        <f>IFERROR(__xludf.DUMMYFUNCTION("GOOGLETRANSLATE($A4283,""en"",""it"")"),"Radenci")</f>
        <v>Radenci</v>
      </c>
      <c r="G4283" s="9" t="str">
        <f>IFERROR(__xludf.DUMMYFUNCTION("GOOGLETRANSLATE($A4283,""en"",""zh-cn"")"),"拉登奇")</f>
        <v>拉登奇</v>
      </c>
      <c r="H4283" s="9" t="str">
        <f>IFERROR(__xludf.DUMMYFUNCTION("GOOGLETRANSLATE($A4283,""en"",""ja"")"),"ラデンチ")</f>
        <v>ラデンチ</v>
      </c>
      <c r="I4283" s="9" t="str">
        <f>IFERROR(__xludf.DUMMYFUNCTION("GOOGLETRANSLATE($A4283,""en"",""ko"")"),"라덴치")</f>
        <v>라덴치</v>
      </c>
      <c r="J4283" s="9" t="str">
        <f>IFERROR(__xludf.DUMMYFUNCTION("GOOGLETRANSLATE($A4283,""en"",""pt-BR"")"),"Radenci")</f>
        <v>Radenci</v>
      </c>
    </row>
    <row r="4284">
      <c r="A4284" s="9" t="str">
        <f>IFERROR(__xludf.DUMMYFUNCTION("""COMPUTED_VALUE"""),"Radlje ob Dravi")</f>
        <v>Radlje ob Dravi</v>
      </c>
      <c r="B4284" s="9" t="str">
        <f>IFERROR(__xludf.DUMMYFUNCTION("""COMPUTED_VALUE"""),"si-101")</f>
        <v>si-101</v>
      </c>
      <c r="C4284" s="9" t="str">
        <f>IFERROR(__xludf.DUMMYFUNCTION("GOOGLETRANSLATE($A4284,""en"",""de"")"),"Radlje ob Dravi")</f>
        <v>Radlje ob Dravi</v>
      </c>
      <c r="D4284" s="9" t="str">
        <f>IFERROR(__xludf.DUMMYFUNCTION("GOOGLETRANSLATE($A4284,""en"",""fr"")"),"Radlje ob Dravi")</f>
        <v>Radlje ob Dravi</v>
      </c>
      <c r="E4284" s="9" t="str">
        <f>IFERROR(__xludf.DUMMYFUNCTION("GOOGLETRANSLATE($A4284,""en"",""es"")"),"Radlje ob Dravi")</f>
        <v>Radlje ob Dravi</v>
      </c>
      <c r="F4284" s="9" t="str">
        <f>IFERROR(__xludf.DUMMYFUNCTION("GOOGLETRANSLATE($A4284,""en"",""it"")"),"Radlje ob Dravi")</f>
        <v>Radlje ob Dravi</v>
      </c>
      <c r="G4284" s="9" t="str">
        <f>IFERROR(__xludf.DUMMYFUNCTION("GOOGLETRANSLATE($A4284,""en"",""zh-cn"")"),"拉德列·奥布·德拉维")</f>
        <v>拉德列·奥布·德拉维</v>
      </c>
      <c r="H4284" s="9" t="str">
        <f>IFERROR(__xludf.DUMMYFUNCTION("GOOGLETRANSLATE($A4284,""en"",""ja"")"),"ラドリエ・オブ・ドラヴィ")</f>
        <v>ラドリエ・オブ・ドラヴィ</v>
      </c>
      <c r="I4284" s="9" t="str">
        <f>IFERROR(__xludf.DUMMYFUNCTION("GOOGLETRANSLATE($A4284,""en"",""ko"")"),"라들리에 옵 드라비")</f>
        <v>라들리에 옵 드라비</v>
      </c>
      <c r="J4284" s="9" t="str">
        <f>IFERROR(__xludf.DUMMYFUNCTION("GOOGLETRANSLATE($A4284,""en"",""pt-BR"")"),"Radlje ob Dravi")</f>
        <v>Radlje ob Dravi</v>
      </c>
    </row>
    <row r="4285">
      <c r="A4285" s="9" t="str">
        <f>IFERROR(__xludf.DUMMYFUNCTION("""COMPUTED_VALUE"""),"Radovljica")</f>
        <v>Radovljica</v>
      </c>
      <c r="B4285" s="9" t="str">
        <f>IFERROR(__xludf.DUMMYFUNCTION("""COMPUTED_VALUE"""),"si-102")</f>
        <v>si-102</v>
      </c>
      <c r="C4285" s="9" t="str">
        <f>IFERROR(__xludf.DUMMYFUNCTION("GOOGLETRANSLATE($A4285,""en"",""de"")"),"Radovljica")</f>
        <v>Radovljica</v>
      </c>
      <c r="D4285" s="9" t="str">
        <f>IFERROR(__xludf.DUMMYFUNCTION("GOOGLETRANSLATE($A4285,""en"",""fr"")"),"Radovljica")</f>
        <v>Radovljica</v>
      </c>
      <c r="E4285" s="9" t="str">
        <f>IFERROR(__xludf.DUMMYFUNCTION("GOOGLETRANSLATE($A4285,""en"",""es"")"),"Radovljica")</f>
        <v>Radovljica</v>
      </c>
      <c r="F4285" s="9" t="str">
        <f>IFERROR(__xludf.DUMMYFUNCTION("GOOGLETRANSLATE($A4285,""en"",""it"")"),"Radovljica")</f>
        <v>Radovljica</v>
      </c>
      <c r="G4285" s="9" t="str">
        <f>IFERROR(__xludf.DUMMYFUNCTION("GOOGLETRANSLATE($A4285,""en"",""zh-cn"")"),"拉多夫利察")</f>
        <v>拉多夫利察</v>
      </c>
      <c r="H4285" s="9" t="str">
        <f>IFERROR(__xludf.DUMMYFUNCTION("GOOGLETRANSLATE($A4285,""en"",""ja"")"),"ラドブリツァ")</f>
        <v>ラドブリツァ</v>
      </c>
      <c r="I4285" s="9" t="str">
        <f>IFERROR(__xludf.DUMMYFUNCTION("GOOGLETRANSLATE($A4285,""en"",""ko"")"),"라도블리차")</f>
        <v>라도블리차</v>
      </c>
      <c r="J4285" s="9" t="str">
        <f>IFERROR(__xludf.DUMMYFUNCTION("GOOGLETRANSLATE($A4285,""en"",""pt-BR"")"),"Radovljica")</f>
        <v>Radovljica</v>
      </c>
    </row>
    <row r="4286">
      <c r="A4286" s="9" t="str">
        <f>IFERROR(__xludf.DUMMYFUNCTION("""COMPUTED_VALUE"""),"Prevalje")</f>
        <v>Prevalje</v>
      </c>
      <c r="B4286" s="9" t="str">
        <f>IFERROR(__xludf.DUMMYFUNCTION("""COMPUTED_VALUE"""),"si-175")</f>
        <v>si-175</v>
      </c>
      <c r="C4286" s="9" t="str">
        <f>IFERROR(__xludf.DUMMYFUNCTION("GOOGLETRANSLATE($A4286,""en"",""de"")"),"Prävalje")</f>
        <v>Prävalje</v>
      </c>
      <c r="D4286" s="9" t="str">
        <f>IFERROR(__xludf.DUMMYFUNCTION("GOOGLETRANSLATE($A4286,""en"",""fr"")"),"Prévalje")</f>
        <v>Prévalje</v>
      </c>
      <c r="E4286" s="9" t="str">
        <f>IFERROR(__xludf.DUMMYFUNCTION("GOOGLETRANSLATE($A4286,""en"",""es"")"),"Prevalje")</f>
        <v>Prevalje</v>
      </c>
      <c r="F4286" s="9" t="str">
        <f>IFERROR(__xludf.DUMMYFUNCTION("GOOGLETRANSLATE($A4286,""en"",""it"")"),"Prevalje")</f>
        <v>Prevalje</v>
      </c>
      <c r="G4286" s="9" t="str">
        <f>IFERROR(__xludf.DUMMYFUNCTION("GOOGLETRANSLATE($A4286,""en"",""zh-cn"")"),"普雷瓦列")</f>
        <v>普雷瓦列</v>
      </c>
      <c r="H4286" s="9" t="str">
        <f>IFERROR(__xludf.DUMMYFUNCTION("GOOGLETRANSLATE($A4286,""en"",""ja"")"),"プレヴァリエ")</f>
        <v>プレヴァリエ</v>
      </c>
      <c r="I4286" s="9" t="str">
        <f>IFERROR(__xludf.DUMMYFUNCTION("GOOGLETRANSLATE($A4286,""en"",""ko"")"),"프레발예")</f>
        <v>프레발예</v>
      </c>
      <c r="J4286" s="9" t="str">
        <f>IFERROR(__xludf.DUMMYFUNCTION("GOOGLETRANSLATE($A4286,""en"",""pt-BR"")"),"Prevalje")</f>
        <v>Prevalje</v>
      </c>
    </row>
    <row r="4287">
      <c r="A4287" s="9" t="str">
        <f>IFERROR(__xludf.DUMMYFUNCTION("""COMPUTED_VALUE"""),"Ptuj")</f>
        <v>Ptuj</v>
      </c>
      <c r="B4287" s="9" t="str">
        <f>IFERROR(__xludf.DUMMYFUNCTION("""COMPUTED_VALUE"""),"si-096")</f>
        <v>si-096</v>
      </c>
      <c r="C4287" s="9" t="str">
        <f>IFERROR(__xludf.DUMMYFUNCTION("GOOGLETRANSLATE($A4287,""en"",""de"")"),"Ptuj")</f>
        <v>Ptuj</v>
      </c>
      <c r="D4287" s="9" t="str">
        <f>IFERROR(__xludf.DUMMYFUNCTION("GOOGLETRANSLATE($A4287,""en"",""fr"")"),"Ptuj")</f>
        <v>Ptuj</v>
      </c>
      <c r="E4287" s="9" t="str">
        <f>IFERROR(__xludf.DUMMYFUNCTION("GOOGLETRANSLATE($A4287,""en"",""es"")"),"Ptuj")</f>
        <v>Ptuj</v>
      </c>
      <c r="F4287" s="9" t="str">
        <f>IFERROR(__xludf.DUMMYFUNCTION("GOOGLETRANSLATE($A4287,""en"",""it"")"),"Ptuj")</f>
        <v>Ptuj</v>
      </c>
      <c r="G4287" s="9" t="str">
        <f>IFERROR(__xludf.DUMMYFUNCTION("GOOGLETRANSLATE($A4287,""en"",""zh-cn"")"),"普图伊")</f>
        <v>普图伊</v>
      </c>
      <c r="H4287" s="9" t="str">
        <f>IFERROR(__xludf.DUMMYFUNCTION("GOOGLETRANSLATE($A4287,""en"",""ja"")"),"プトゥジ")</f>
        <v>プトゥジ</v>
      </c>
      <c r="I4287" s="9" t="str">
        <f>IFERROR(__xludf.DUMMYFUNCTION("GOOGLETRANSLATE($A4287,""en"",""ko"")"),"프투이")</f>
        <v>프투이</v>
      </c>
      <c r="J4287" s="9" t="str">
        <f>IFERROR(__xludf.DUMMYFUNCTION("GOOGLETRANSLATE($A4287,""en"",""pt-BR"")"),"Ptuj")</f>
        <v>Ptuj</v>
      </c>
    </row>
    <row r="4288">
      <c r="A4288" s="9" t="str">
        <f>IFERROR(__xludf.DUMMYFUNCTION("""COMPUTED_VALUE"""),"Puconci")</f>
        <v>Puconci</v>
      </c>
      <c r="B4288" s="9" t="str">
        <f>IFERROR(__xludf.DUMMYFUNCTION("""COMPUTED_VALUE"""),"si-097")</f>
        <v>si-097</v>
      </c>
      <c r="C4288" s="9" t="str">
        <f>IFERROR(__xludf.DUMMYFUNCTION("GOOGLETRANSLATE($A4288,""en"",""de"")"),"Puconci")</f>
        <v>Puconci</v>
      </c>
      <c r="D4288" s="9" t="str">
        <f>IFERROR(__xludf.DUMMYFUNCTION("GOOGLETRANSLATE($A4288,""en"",""fr"")"),"Puconci")</f>
        <v>Puconci</v>
      </c>
      <c r="E4288" s="9" t="str">
        <f>IFERROR(__xludf.DUMMYFUNCTION("GOOGLETRANSLATE($A4288,""en"",""es"")"),"Puconci")</f>
        <v>Puconci</v>
      </c>
      <c r="F4288" s="9" t="str">
        <f>IFERROR(__xludf.DUMMYFUNCTION("GOOGLETRANSLATE($A4288,""en"",""it"")"),"Puconci")</f>
        <v>Puconci</v>
      </c>
      <c r="G4288" s="9" t="str">
        <f>IFERROR(__xludf.DUMMYFUNCTION("GOOGLETRANSLATE($A4288,""en"",""zh-cn"")"),"普孔奇")</f>
        <v>普孔奇</v>
      </c>
      <c r="H4288" s="9" t="str">
        <f>IFERROR(__xludf.DUMMYFUNCTION("GOOGLETRANSLATE($A4288,""en"",""ja"")"),"プコンチ")</f>
        <v>プコンチ</v>
      </c>
      <c r="I4288" s="9" t="str">
        <f>IFERROR(__xludf.DUMMYFUNCTION("GOOGLETRANSLATE($A4288,""en"",""ko"")"),"푸콘치")</f>
        <v>푸콘치</v>
      </c>
      <c r="J4288" s="9" t="str">
        <f>IFERROR(__xludf.DUMMYFUNCTION("GOOGLETRANSLATE($A4288,""en"",""pt-BR"")"),"Puconci")</f>
        <v>Puconci</v>
      </c>
    </row>
    <row r="4289">
      <c r="A4289" s="9" t="str">
        <f>IFERROR(__xludf.DUMMYFUNCTION("""COMPUTED_VALUE"""),"Rače-Fram")</f>
        <v>Rače-Fram</v>
      </c>
      <c r="B4289" s="9" t="str">
        <f>IFERROR(__xludf.DUMMYFUNCTION("""COMPUTED_VALUE"""),"si-098")</f>
        <v>si-098</v>
      </c>
      <c r="C4289" s="9" t="str">
        <f>IFERROR(__xludf.DUMMYFUNCTION("GOOGLETRANSLATE($A4289,""en"",""de"")"),"Rače-Fram")</f>
        <v>Rače-Fram</v>
      </c>
      <c r="D4289" s="9" t="str">
        <f>IFERROR(__xludf.DUMMYFUNCTION("GOOGLETRANSLATE($A4289,""en"",""fr"")"),"Course-Fram")</f>
        <v>Course-Fram</v>
      </c>
      <c r="E4289" s="9" t="str">
        <f>IFERROR(__xludf.DUMMYFUNCTION("GOOGLETRANSLATE($A4289,""en"",""es"")"),"Rače-Fram")</f>
        <v>Rače-Fram</v>
      </c>
      <c r="F4289" s="9" t="str">
        <f>IFERROR(__xludf.DUMMYFUNCTION("GOOGLETRANSLATE($A4289,""en"",""it"")"),"Rače-Fram")</f>
        <v>Rače-Fram</v>
      </c>
      <c r="G4289" s="9" t="str">
        <f>IFERROR(__xludf.DUMMYFUNCTION("GOOGLETRANSLATE($A4289,""en"",""zh-cn"")"),"拉切弗拉姆")</f>
        <v>拉切弗拉姆</v>
      </c>
      <c r="H4289" s="9" t="str">
        <f>IFERROR(__xludf.DUMMYFUNCTION("GOOGLETRANSLATE($A4289,""en"",""ja"")"),"ラチェ・フラム")</f>
        <v>ラチェ・フラム</v>
      </c>
      <c r="I4289" s="9" t="str">
        <f>IFERROR(__xludf.DUMMYFUNCTION("GOOGLETRANSLATE($A4289,""en"",""ko"")"),"라체-프람")</f>
        <v>라체-프람</v>
      </c>
      <c r="J4289" s="9" t="str">
        <f>IFERROR(__xludf.DUMMYFUNCTION("GOOGLETRANSLATE($A4289,""en"",""pt-BR"")"),"Rače-Fram")</f>
        <v>Rače-Fram</v>
      </c>
    </row>
    <row r="4290">
      <c r="A4290" s="9" t="str">
        <f>IFERROR(__xludf.DUMMYFUNCTION("""COMPUTED_VALUE"""),"Polzela")</f>
        <v>Polzela</v>
      </c>
      <c r="B4290" s="9" t="str">
        <f>IFERROR(__xludf.DUMMYFUNCTION("""COMPUTED_VALUE"""),"si-173")</f>
        <v>si-173</v>
      </c>
      <c r="C4290" s="9" t="str">
        <f>IFERROR(__xludf.DUMMYFUNCTION("GOOGLETRANSLATE($A4290,""en"",""de"")"),"Polzela")</f>
        <v>Polzela</v>
      </c>
      <c r="D4290" s="9" t="str">
        <f>IFERROR(__xludf.DUMMYFUNCTION("GOOGLETRANSLATE($A4290,""en"",""fr"")"),"Polzela")</f>
        <v>Polzela</v>
      </c>
      <c r="E4290" s="9" t="str">
        <f>IFERROR(__xludf.DUMMYFUNCTION("GOOGLETRANSLATE($A4290,""en"",""es"")"),"Polzela")</f>
        <v>Polzela</v>
      </c>
      <c r="F4290" s="9" t="str">
        <f>IFERROR(__xludf.DUMMYFUNCTION("GOOGLETRANSLATE($A4290,""en"",""it"")"),"Polzela")</f>
        <v>Polzela</v>
      </c>
      <c r="G4290" s="9" t="str">
        <f>IFERROR(__xludf.DUMMYFUNCTION("GOOGLETRANSLATE($A4290,""en"",""zh-cn"")"),"波尔泽拉")</f>
        <v>波尔泽拉</v>
      </c>
      <c r="H4290" s="9" t="str">
        <f>IFERROR(__xludf.DUMMYFUNCTION("GOOGLETRANSLATE($A4290,""en"",""ja"")"),"ポルゼラ")</f>
        <v>ポルゼラ</v>
      </c>
      <c r="I4290" s="9" t="str">
        <f>IFERROR(__xludf.DUMMYFUNCTION("GOOGLETRANSLATE($A4290,""en"",""ko"")"),"폴젤라")</f>
        <v>폴젤라</v>
      </c>
      <c r="J4290" s="9" t="str">
        <f>IFERROR(__xludf.DUMMYFUNCTION("GOOGLETRANSLATE($A4290,""en"",""pt-BR"")"),"Polzela")</f>
        <v>Polzela</v>
      </c>
    </row>
    <row r="4291">
      <c r="A4291" s="9" t="str">
        <f>IFERROR(__xludf.DUMMYFUNCTION("""COMPUTED_VALUE"""),"Postojna")</f>
        <v>Postojna</v>
      </c>
      <c r="B4291" s="9" t="str">
        <f>IFERROR(__xludf.DUMMYFUNCTION("""COMPUTED_VALUE"""),"si-094")</f>
        <v>si-094</v>
      </c>
      <c r="C4291" s="9" t="str">
        <f>IFERROR(__xludf.DUMMYFUNCTION("GOOGLETRANSLATE($A4291,""en"",""de"")"),"Postojna")</f>
        <v>Postojna</v>
      </c>
      <c r="D4291" s="9" t="str">
        <f>IFERROR(__xludf.DUMMYFUNCTION("GOOGLETRANSLATE($A4291,""en"",""fr"")"),"Postojna")</f>
        <v>Postojna</v>
      </c>
      <c r="E4291" s="9" t="str">
        <f>IFERROR(__xludf.DUMMYFUNCTION("GOOGLETRANSLATE($A4291,""en"",""es"")"),"Postoina")</f>
        <v>Postoina</v>
      </c>
      <c r="F4291" s="9" t="str">
        <f>IFERROR(__xludf.DUMMYFUNCTION("GOOGLETRANSLATE($A4291,""en"",""it"")"),"Postumia")</f>
        <v>Postumia</v>
      </c>
      <c r="G4291" s="9" t="str">
        <f>IFERROR(__xludf.DUMMYFUNCTION("GOOGLETRANSLATE($A4291,""en"",""zh-cn"")"),"波斯托伊纳")</f>
        <v>波斯托伊纳</v>
      </c>
      <c r="H4291" s="9" t="str">
        <f>IFERROR(__xludf.DUMMYFUNCTION("GOOGLETRANSLATE($A4291,""en"",""ja"")"),"ポストイナ")</f>
        <v>ポストイナ</v>
      </c>
      <c r="I4291" s="9" t="str">
        <f>IFERROR(__xludf.DUMMYFUNCTION("GOOGLETRANSLATE($A4291,""en"",""ko"")"),"포스토이나")</f>
        <v>포스토이나</v>
      </c>
      <c r="J4291" s="9" t="str">
        <f>IFERROR(__xludf.DUMMYFUNCTION("GOOGLETRANSLATE($A4291,""en"",""pt-BR"")"),"Postojna")</f>
        <v>Postojna</v>
      </c>
    </row>
    <row r="4292">
      <c r="A4292" s="9" t="str">
        <f>IFERROR(__xludf.DUMMYFUNCTION("""COMPUTED_VALUE"""),"Prebold")</f>
        <v>Prebold</v>
      </c>
      <c r="B4292" s="9" t="str">
        <f>IFERROR(__xludf.DUMMYFUNCTION("""COMPUTED_VALUE"""),"si-174")</f>
        <v>si-174</v>
      </c>
      <c r="C4292" s="9" t="str">
        <f>IFERROR(__xludf.DUMMYFUNCTION("GOOGLETRANSLATE($A4292,""en"",""de"")"),"Prebold")</f>
        <v>Prebold</v>
      </c>
      <c r="D4292" s="9" t="str">
        <f>IFERROR(__xludf.DUMMYFUNCTION("GOOGLETRANSLATE($A4292,""en"",""fr"")"),"Pré-gras")</f>
        <v>Pré-gras</v>
      </c>
      <c r="E4292" s="9" t="str">
        <f>IFERROR(__xludf.DUMMYFUNCTION("GOOGLETRANSLATE($A4292,""en"",""es"")"),"Prenegrita")</f>
        <v>Prenegrita</v>
      </c>
      <c r="F4292" s="9" t="str">
        <f>IFERROR(__xludf.DUMMYFUNCTION("GOOGLETRANSLATE($A4292,""en"",""it"")"),"Pregrassetto")</f>
        <v>Pregrassetto</v>
      </c>
      <c r="G4292" s="9" t="str">
        <f>IFERROR(__xludf.DUMMYFUNCTION("GOOGLETRANSLATE($A4292,""en"",""zh-cn"")"),"普雷博尔德")</f>
        <v>普雷博尔德</v>
      </c>
      <c r="H4292" s="9" t="str">
        <f>IFERROR(__xludf.DUMMYFUNCTION("GOOGLETRANSLATE($A4292,""en"",""ja"")"),"プレボールド")</f>
        <v>プレボールド</v>
      </c>
      <c r="I4292" s="9" t="str">
        <f>IFERROR(__xludf.DUMMYFUNCTION("GOOGLETRANSLATE($A4292,""en"",""ko"")"),"굵은 글씨체")</f>
        <v>굵은 글씨체</v>
      </c>
      <c r="J4292" s="9" t="str">
        <f>IFERROR(__xludf.DUMMYFUNCTION("GOOGLETRANSLATE($A4292,""en"",""pt-BR"")"),"Prenegrito")</f>
        <v>Prenegrito</v>
      </c>
    </row>
    <row r="4293">
      <c r="A4293" s="9" t="str">
        <f>IFERROR(__xludf.DUMMYFUNCTION("""COMPUTED_VALUE"""),"Preddvor")</f>
        <v>Preddvor</v>
      </c>
      <c r="B4293" s="9" t="str">
        <f>IFERROR(__xludf.DUMMYFUNCTION("""COMPUTED_VALUE"""),"si-095")</f>
        <v>si-095</v>
      </c>
      <c r="C4293" s="9" t="str">
        <f>IFERROR(__xludf.DUMMYFUNCTION("GOOGLETRANSLATE($A4293,""en"",""de"")"),"Preddvor")</f>
        <v>Preddvor</v>
      </c>
      <c r="D4293" s="9" t="str">
        <f>IFERROR(__xludf.DUMMYFUNCTION("GOOGLETRANSLATE($A4293,""en"",""fr"")"),"Prédvor")</f>
        <v>Prédvor</v>
      </c>
      <c r="E4293" s="9" t="str">
        <f>IFERROR(__xludf.DUMMYFUNCTION("GOOGLETRANSLATE($A4293,""en"",""es"")"),"Preddvor")</f>
        <v>Preddvor</v>
      </c>
      <c r="F4293" s="9" t="str">
        <f>IFERROR(__xludf.DUMMYFUNCTION("GOOGLETRANSLATE($A4293,""en"",""it"")"),"Preddvor")</f>
        <v>Preddvor</v>
      </c>
      <c r="G4293" s="9" t="str">
        <f>IFERROR(__xludf.DUMMYFUNCTION("GOOGLETRANSLATE($A4293,""en"",""zh-cn"")"),"普雷德沃尔")</f>
        <v>普雷德沃尔</v>
      </c>
      <c r="H4293" s="9" t="str">
        <f>IFERROR(__xludf.DUMMYFUNCTION("GOOGLETRANSLATE($A4293,""en"",""ja"")"),"プレドヴォル")</f>
        <v>プレドヴォル</v>
      </c>
      <c r="I4293" s="9" t="str">
        <f>IFERROR(__xludf.DUMMYFUNCTION("GOOGLETRANSLATE($A4293,""en"",""ko"")"),"프레드보르")</f>
        <v>프레드보르</v>
      </c>
      <c r="J4293" s="9" t="str">
        <f>IFERROR(__xludf.DUMMYFUNCTION("GOOGLETRANSLATE($A4293,""en"",""pt-BR"")"),"Preddvor")</f>
        <v>Preddvor</v>
      </c>
    </row>
    <row r="4294">
      <c r="A4294" s="9" t="str">
        <f>IFERROR(__xludf.DUMMYFUNCTION("""COMPUTED_VALUE"""),"Slovenske Konjice")</f>
        <v>Slovenske Konjice</v>
      </c>
      <c r="B4294" s="9" t="str">
        <f>IFERROR(__xludf.DUMMYFUNCTION("""COMPUTED_VALUE"""),"si-114")</f>
        <v>si-114</v>
      </c>
      <c r="C4294" s="9" t="str">
        <f>IFERROR(__xludf.DUMMYFUNCTION("GOOGLETRANSLATE($A4294,""en"",""de"")"),"Slovenske Konjice")</f>
        <v>Slovenske Konjice</v>
      </c>
      <c r="D4294" s="9" t="str">
        <f>IFERROR(__xludf.DUMMYFUNCTION("GOOGLETRANSLATE($A4294,""en"",""fr"")"),"Slovène Konjice")</f>
        <v>Slovène Konjice</v>
      </c>
      <c r="E4294" s="9" t="str">
        <f>IFERROR(__xludf.DUMMYFUNCTION("GOOGLETRANSLATE($A4294,""en"",""es"")"),"Slovenské Konjice")</f>
        <v>Slovenské Konjice</v>
      </c>
      <c r="F4294" s="9" t="str">
        <f>IFERROR(__xludf.DUMMYFUNCTION("GOOGLETRANSLATE($A4294,""en"",""it"")"),"Slovenske Konjice")</f>
        <v>Slovenske Konjice</v>
      </c>
      <c r="G4294" s="9" t="str">
        <f>IFERROR(__xludf.DUMMYFUNCTION("GOOGLETRANSLATE($A4294,""en"",""zh-cn"")"),"斯洛文尼亚孔吉采")</f>
        <v>斯洛文尼亚孔吉采</v>
      </c>
      <c r="H4294" s="9" t="str">
        <f>IFERROR(__xludf.DUMMYFUNCTION("GOOGLETRANSLATE($A4294,""en"",""ja"")"),"スロベンスケ・コンジツェ")</f>
        <v>スロベンスケ・コンジツェ</v>
      </c>
      <c r="I4294" s="9" t="str">
        <f>IFERROR(__xludf.DUMMYFUNCTION("GOOGLETRANSLATE($A4294,""en"",""ko"")"),"슬로벤스케 콘지체")</f>
        <v>슬로벤스케 콘지체</v>
      </c>
      <c r="J4294" s="9" t="str">
        <f>IFERROR(__xludf.DUMMYFUNCTION("GOOGLETRANSLATE($A4294,""en"",""pt-BR"")"),"Esloveno Konjice")</f>
        <v>Esloveno Konjice</v>
      </c>
    </row>
    <row r="4295">
      <c r="A4295" s="9" t="str">
        <f>IFERROR(__xludf.DUMMYFUNCTION("""COMPUTED_VALUE"""),"Sevnica")</f>
        <v>Sevnica</v>
      </c>
      <c r="B4295" s="9" t="str">
        <f>IFERROR(__xludf.DUMMYFUNCTION("""COMPUTED_VALUE"""),"si-110")</f>
        <v>si-110</v>
      </c>
      <c r="C4295" s="9" t="str">
        <f>IFERROR(__xludf.DUMMYFUNCTION("GOOGLETRANSLATE($A4295,""en"",""de"")"),"Sevnica")</f>
        <v>Sevnica</v>
      </c>
      <c r="D4295" s="9" t="str">
        <f>IFERROR(__xludf.DUMMYFUNCTION("GOOGLETRANSLATE($A4295,""en"",""fr"")"),"Sevnica")</f>
        <v>Sevnica</v>
      </c>
      <c r="E4295" s="9" t="str">
        <f>IFERROR(__xludf.DUMMYFUNCTION("GOOGLETRANSLATE($A4295,""en"",""es"")"),"Ševnica")</f>
        <v>Ševnica</v>
      </c>
      <c r="F4295" s="9" t="str">
        <f>IFERROR(__xludf.DUMMYFUNCTION("GOOGLETRANSLATE($A4295,""en"",""it"")"),"Sevnica")</f>
        <v>Sevnica</v>
      </c>
      <c r="G4295" s="9" t="str">
        <f>IFERROR(__xludf.DUMMYFUNCTION("GOOGLETRANSLATE($A4295,""en"",""zh-cn"")"),"塞夫尼察")</f>
        <v>塞夫尼察</v>
      </c>
      <c r="H4295" s="9" t="str">
        <f>IFERROR(__xludf.DUMMYFUNCTION("GOOGLETRANSLATE($A4295,""en"",""ja"")"),"セヴニツァ")</f>
        <v>セヴニツァ</v>
      </c>
      <c r="I4295" s="9" t="str">
        <f>IFERROR(__xludf.DUMMYFUNCTION("GOOGLETRANSLATE($A4295,""en"",""ko"")"),"세브니차")</f>
        <v>세브니차</v>
      </c>
      <c r="J4295" s="9" t="str">
        <f>IFERROR(__xludf.DUMMYFUNCTION("GOOGLETRANSLATE($A4295,""en"",""pt-BR"")"),"Sevnica")</f>
        <v>Sevnica</v>
      </c>
    </row>
    <row r="4296">
      <c r="A4296" s="9" t="str">
        <f>IFERROR(__xludf.DUMMYFUNCTION("""COMPUTED_VALUE"""),"Sežana")</f>
        <v>Sežana</v>
      </c>
      <c r="B4296" s="9" t="str">
        <f>IFERROR(__xludf.DUMMYFUNCTION("""COMPUTED_VALUE"""),"si-111")</f>
        <v>si-111</v>
      </c>
      <c r="C4296" s="9" t="str">
        <f>IFERROR(__xludf.DUMMYFUNCTION("GOOGLETRANSLATE($A4296,""en"",""de"")"),"Sežana")</f>
        <v>Sežana</v>
      </c>
      <c r="D4296" s="9" t="str">
        <f>IFERROR(__xludf.DUMMYFUNCTION("GOOGLETRANSLATE($A4296,""en"",""fr"")"),"Sežana")</f>
        <v>Sežana</v>
      </c>
      <c r="E4296" s="9" t="str">
        <f>IFERROR(__xludf.DUMMYFUNCTION("GOOGLETRANSLATE($A4296,""en"",""es"")"),"Sežana")</f>
        <v>Sežana</v>
      </c>
      <c r="F4296" s="9" t="str">
        <f>IFERROR(__xludf.DUMMYFUNCTION("GOOGLETRANSLATE($A4296,""en"",""it"")"),"Sesana")</f>
        <v>Sesana</v>
      </c>
      <c r="G4296" s="9" t="str">
        <f>IFERROR(__xludf.DUMMYFUNCTION("GOOGLETRANSLATE($A4296,""en"",""zh-cn"")"),"塞扎纳")</f>
        <v>塞扎纳</v>
      </c>
      <c r="H4296" s="9" t="str">
        <f>IFERROR(__xludf.DUMMYFUNCTION("GOOGLETRANSLATE($A4296,""en"",""ja"")"),"セジャーナ")</f>
        <v>セジャーナ</v>
      </c>
      <c r="I4296" s="9" t="str">
        <f>IFERROR(__xludf.DUMMYFUNCTION("GOOGLETRANSLATE($A4296,""en"",""ko"")"),"세자나")</f>
        <v>세자나</v>
      </c>
      <c r="J4296" s="9" t="str">
        <f>IFERROR(__xludf.DUMMYFUNCTION("GOOGLETRANSLATE($A4296,""en"",""pt-BR"")"),"Sežana")</f>
        <v>Sežana</v>
      </c>
    </row>
    <row r="4297">
      <c r="A4297" s="9" t="str">
        <f>IFERROR(__xludf.DUMMYFUNCTION("""COMPUTED_VALUE"""),"Slovenj Gradec")</f>
        <v>Slovenj Gradec</v>
      </c>
      <c r="B4297" s="9" t="str">
        <f>IFERROR(__xludf.DUMMYFUNCTION("""COMPUTED_VALUE"""),"si-112")</f>
        <v>si-112</v>
      </c>
      <c r="C4297" s="9" t="str">
        <f>IFERROR(__xludf.DUMMYFUNCTION("GOOGLETRANSLATE($A4297,""en"",""de"")"),"Slovenj Gradec")</f>
        <v>Slovenj Gradec</v>
      </c>
      <c r="D4297" s="9" t="str">
        <f>IFERROR(__xludf.DUMMYFUNCTION("GOOGLETRANSLATE($A4297,""en"",""fr"")"),"Slovène Gradec")</f>
        <v>Slovène Gradec</v>
      </c>
      <c r="E4297" s="9" t="str">
        <f>IFERROR(__xludf.DUMMYFUNCTION("GOOGLETRANSLATE($A4297,""en"",""es"")"),"esloveno Gradec")</f>
        <v>esloveno Gradec</v>
      </c>
      <c r="F4297" s="9" t="str">
        <f>IFERROR(__xludf.DUMMYFUNCTION("GOOGLETRANSLATE($A4297,""en"",""it"")"),"Sloveno Gradec")</f>
        <v>Sloveno Gradec</v>
      </c>
      <c r="G4297" s="9" t="str">
        <f>IFERROR(__xludf.DUMMYFUNCTION("GOOGLETRANSLATE($A4297,""en"",""zh-cn"")"),"斯洛文尼亚格拉德茨")</f>
        <v>斯洛文尼亚格拉德茨</v>
      </c>
      <c r="H4297" s="9" t="str">
        <f>IFERROR(__xludf.DUMMYFUNCTION("GOOGLETRANSLATE($A4297,""en"",""ja"")"),"スロベニ・グラデツ")</f>
        <v>スロベニ・グラデツ</v>
      </c>
      <c r="I4297" s="9" t="str">
        <f>IFERROR(__xludf.DUMMYFUNCTION("GOOGLETRANSLATE($A4297,""en"",""ko"")"),"슬로베니 그라데츠")</f>
        <v>슬로베니 그라데츠</v>
      </c>
      <c r="J4297" s="9" t="str">
        <f>IFERROR(__xludf.DUMMYFUNCTION("GOOGLETRANSLATE($A4297,""en"",""pt-BR"")"),"Eslovênia Gradec")</f>
        <v>Eslovênia Gradec</v>
      </c>
    </row>
    <row r="4298">
      <c r="A4298" s="9" t="str">
        <f>IFERROR(__xludf.DUMMYFUNCTION("""COMPUTED_VALUE"""),"Slovenska Bistrica")</f>
        <v>Slovenska Bistrica</v>
      </c>
      <c r="B4298" s="9" t="str">
        <f>IFERROR(__xludf.DUMMYFUNCTION("""COMPUTED_VALUE"""),"si-113")</f>
        <v>si-113</v>
      </c>
      <c r="C4298" s="9" t="str">
        <f>IFERROR(__xludf.DUMMYFUNCTION("GOOGLETRANSLATE($A4298,""en"",""de"")"),"Slovenska Bistrica")</f>
        <v>Slovenska Bistrica</v>
      </c>
      <c r="D4298" s="9" t="str">
        <f>IFERROR(__xludf.DUMMYFUNCTION("GOOGLETRANSLATE($A4298,""en"",""fr"")"),"Slovaquie-Bistrica")</f>
        <v>Slovaquie-Bistrica</v>
      </c>
      <c r="E4298" s="9" t="str">
        <f>IFERROR(__xludf.DUMMYFUNCTION("GOOGLETRANSLATE($A4298,""en"",""es"")"),"Bistrica eslovena")</f>
        <v>Bistrica eslovena</v>
      </c>
      <c r="F4298" s="9" t="str">
        <f>IFERROR(__xludf.DUMMYFUNCTION("GOOGLETRANSLATE($A4298,""en"",""it"")"),"Slovenska Bistrica")</f>
        <v>Slovenska Bistrica</v>
      </c>
      <c r="G4298" s="9" t="str">
        <f>IFERROR(__xludf.DUMMYFUNCTION("GOOGLETRANSLATE($A4298,""en"",""zh-cn"")"),"斯洛文尼亚比斯特里察")</f>
        <v>斯洛文尼亚比斯特里察</v>
      </c>
      <c r="H4298" s="9" t="str">
        <f>IFERROR(__xludf.DUMMYFUNCTION("GOOGLETRANSLATE($A4298,""en"",""ja"")"),"スロヴェンスカ・ビストリツァ")</f>
        <v>スロヴェンスカ・ビストリツァ</v>
      </c>
      <c r="I4298" s="9" t="str">
        <f>IFERROR(__xludf.DUMMYFUNCTION("GOOGLETRANSLATE($A4298,""en"",""ko"")"),"슬로벤스카 비스트리차")</f>
        <v>슬로벤스카 비스트리차</v>
      </c>
      <c r="J4298" s="9" t="str">
        <f>IFERROR(__xludf.DUMMYFUNCTION("GOOGLETRANSLATE($A4298,""en"",""pt-BR"")"),"Slovenska Bistrica")</f>
        <v>Slovenska Bistrica</v>
      </c>
    </row>
    <row r="4299">
      <c r="A4299" s="9" t="str">
        <f>IFERROR(__xludf.DUMMYFUNCTION("""COMPUTED_VALUE"""),"Rogatec")</f>
        <v>Rogatec</v>
      </c>
      <c r="B4299" s="9" t="str">
        <f>IFERROR(__xludf.DUMMYFUNCTION("""COMPUTED_VALUE"""),"si-107")</f>
        <v>si-107</v>
      </c>
      <c r="C4299" s="9" t="str">
        <f>IFERROR(__xludf.DUMMYFUNCTION("GOOGLETRANSLATE($A4299,""en"",""de"")"),"Rogatec")</f>
        <v>Rogatec</v>
      </c>
      <c r="D4299" s="9" t="str">
        <f>IFERROR(__xludf.DUMMYFUNCTION("GOOGLETRANSLATE($A4299,""en"",""fr"")"),"Rogatec")</f>
        <v>Rogatec</v>
      </c>
      <c r="E4299" s="9" t="str">
        <f>IFERROR(__xludf.DUMMYFUNCTION("GOOGLETRANSLATE($A4299,""en"",""es"")"),"Rogatec")</f>
        <v>Rogatec</v>
      </c>
      <c r="F4299" s="9" t="str">
        <f>IFERROR(__xludf.DUMMYFUNCTION("GOOGLETRANSLATE($A4299,""en"",""it"")"),"Rogatec")</f>
        <v>Rogatec</v>
      </c>
      <c r="G4299" s="9" t="str">
        <f>IFERROR(__xludf.DUMMYFUNCTION("GOOGLETRANSLATE($A4299,""en"",""zh-cn"")"),"罗加泰克")</f>
        <v>罗加泰克</v>
      </c>
      <c r="H4299" s="9" t="str">
        <f>IFERROR(__xludf.DUMMYFUNCTION("GOOGLETRANSLATE($A4299,""en"",""ja"")"),"ロガテック")</f>
        <v>ロガテック</v>
      </c>
      <c r="I4299" s="9" t="str">
        <f>IFERROR(__xludf.DUMMYFUNCTION("GOOGLETRANSLATE($A4299,""en"",""ko"")"),"로가텍")</f>
        <v>로가텍</v>
      </c>
      <c r="J4299" s="9" t="str">
        <f>IFERROR(__xludf.DUMMYFUNCTION("GOOGLETRANSLATE($A4299,""en"",""pt-BR"")"),"Rogatec")</f>
        <v>Rogatec</v>
      </c>
    </row>
    <row r="4300">
      <c r="A4300" s="9" t="str">
        <f>IFERROR(__xludf.DUMMYFUNCTION("""COMPUTED_VALUE"""),"Ruše")</f>
        <v>Ruše</v>
      </c>
      <c r="B4300" s="9" t="str">
        <f>IFERROR(__xludf.DUMMYFUNCTION("""COMPUTED_VALUE"""),"si-108")</f>
        <v>si-108</v>
      </c>
      <c r="C4300" s="9" t="str">
        <f>IFERROR(__xludf.DUMMYFUNCTION("GOOGLETRANSLATE($A4300,""en"",""de"")"),"List")</f>
        <v>List</v>
      </c>
      <c r="D4300" s="9" t="str">
        <f>IFERROR(__xludf.DUMMYFUNCTION("GOOGLETRANSLATE($A4300,""en"",""fr"")"),"Ruse")</f>
        <v>Ruse</v>
      </c>
      <c r="E4300" s="9" t="str">
        <f>IFERROR(__xludf.DUMMYFUNCTION("GOOGLETRANSLATE($A4300,""en"",""es"")"),"Ardid")</f>
        <v>Ardid</v>
      </c>
      <c r="F4300" s="9" t="str">
        <f>IFERROR(__xludf.DUMMYFUNCTION("GOOGLETRANSLATE($A4300,""en"",""it"")"),"Ruše")</f>
        <v>Ruše</v>
      </c>
      <c r="G4300" s="9" t="str">
        <f>IFERROR(__xludf.DUMMYFUNCTION("GOOGLETRANSLATE($A4300,""en"",""zh-cn"")"),"鲁塞")</f>
        <v>鲁塞</v>
      </c>
      <c r="H4300" s="9" t="str">
        <f>IFERROR(__xludf.DUMMYFUNCTION("GOOGLETRANSLATE($A4300,""en"",""ja"")"),"ルシェ")</f>
        <v>ルシェ</v>
      </c>
      <c r="I4300" s="9" t="str">
        <f>IFERROR(__xludf.DUMMYFUNCTION("GOOGLETRANSLATE($A4300,""en"",""ko"")"),"책략")</f>
        <v>책략</v>
      </c>
      <c r="J4300" s="9" t="str">
        <f>IFERROR(__xludf.DUMMYFUNCTION("GOOGLETRANSLATE($A4300,""en"",""pt-BR"")"),"Ruše")</f>
        <v>Ruše</v>
      </c>
    </row>
    <row r="4301">
      <c r="A4301" s="9" t="str">
        <f>IFERROR(__xludf.DUMMYFUNCTION("""COMPUTED_VALUE"""),"Selnica ob Dravi")</f>
        <v>Selnica ob Dravi</v>
      </c>
      <c r="B4301" s="9" t="str">
        <f>IFERROR(__xludf.DUMMYFUNCTION("""COMPUTED_VALUE"""),"si-178")</f>
        <v>si-178</v>
      </c>
      <c r="C4301" s="9" t="str">
        <f>IFERROR(__xludf.DUMMYFUNCTION("GOOGLETRANSLATE($A4301,""en"",""de"")"),"Selnica ob Dravi")</f>
        <v>Selnica ob Dravi</v>
      </c>
      <c r="D4301" s="9" t="str">
        <f>IFERROR(__xludf.DUMMYFUNCTION("GOOGLETRANSLATE($A4301,""en"",""fr"")"),"Selnica sur Dravi")</f>
        <v>Selnica sur Dravi</v>
      </c>
      <c r="E4301" s="9" t="str">
        <f>IFERROR(__xludf.DUMMYFUNCTION("GOOGLETRANSLATE($A4301,""en"",""es"")"),"Selnica ob Dravi")</f>
        <v>Selnica ob Dravi</v>
      </c>
      <c r="F4301" s="9" t="str">
        <f>IFERROR(__xludf.DUMMYFUNCTION("GOOGLETRANSLATE($A4301,""en"",""it"")"),"Selnica ob Dravi")</f>
        <v>Selnica ob Dravi</v>
      </c>
      <c r="G4301" s="9" t="str">
        <f>IFERROR(__xludf.DUMMYFUNCTION("GOOGLETRANSLATE($A4301,""en"",""zh-cn"")"),"德拉维塞尔尼察")</f>
        <v>德拉维塞尔尼察</v>
      </c>
      <c r="H4301" s="9" t="str">
        <f>IFERROR(__xludf.DUMMYFUNCTION("GOOGLETRANSLATE($A4301,""en"",""ja"")"),"セルニカ オブ ドラヴィ")</f>
        <v>セルニカ オブ ドラヴィ</v>
      </c>
      <c r="I4301" s="9" t="str">
        <f>IFERROR(__xludf.DUMMYFUNCTION("GOOGLETRANSLATE($A4301,""en"",""ko"")"),"셀니카 옵 드라비")</f>
        <v>셀니카 옵 드라비</v>
      </c>
      <c r="J4301" s="9" t="str">
        <f>IFERROR(__xludf.DUMMYFUNCTION("GOOGLETRANSLATE($A4301,""en"",""pt-BR"")"),"Selnica ob Dravi")</f>
        <v>Selnica ob Dravi</v>
      </c>
    </row>
    <row r="4302">
      <c r="A4302" s="9" t="str">
        <f>IFERROR(__xludf.DUMMYFUNCTION("""COMPUTED_VALUE"""),"Semič")</f>
        <v>Semič</v>
      </c>
      <c r="B4302" s="9" t="str">
        <f>IFERROR(__xludf.DUMMYFUNCTION("""COMPUTED_VALUE"""),"si-109")</f>
        <v>si-109</v>
      </c>
      <c r="C4302" s="9" t="str">
        <f>IFERROR(__xludf.DUMMYFUNCTION("GOOGLETRANSLATE($A4302,""en"",""de"")"),"Semič")</f>
        <v>Semič</v>
      </c>
      <c r="D4302" s="9" t="str">
        <f>IFERROR(__xludf.DUMMYFUNCTION("GOOGLETRANSLATE($A4302,""en"",""fr"")"),"Semič")</f>
        <v>Semič</v>
      </c>
      <c r="E4302" s="9" t="str">
        <f>IFERROR(__xludf.DUMMYFUNCTION("GOOGLETRANSLATE($A4302,""en"",""es"")"),"Semič")</f>
        <v>Semič</v>
      </c>
      <c r="F4302" s="9" t="str">
        <f>IFERROR(__xludf.DUMMYFUNCTION("GOOGLETRANSLATE($A4302,""en"",""it"")"),"Semič")</f>
        <v>Semič</v>
      </c>
      <c r="G4302" s="9" t="str">
        <f>IFERROR(__xludf.DUMMYFUNCTION("GOOGLETRANSLATE($A4302,""en"",""zh-cn"")"),"塞米奇")</f>
        <v>塞米奇</v>
      </c>
      <c r="H4302" s="9" t="str">
        <f>IFERROR(__xludf.DUMMYFUNCTION("GOOGLETRANSLATE($A4302,""en"",""ja"")"),"セミチ")</f>
        <v>セミチ</v>
      </c>
      <c r="I4302" s="9" t="str">
        <f>IFERROR(__xludf.DUMMYFUNCTION("GOOGLETRANSLATE($A4302,""en"",""ko"")"),"세미치")</f>
        <v>세미치</v>
      </c>
      <c r="J4302" s="9" t="str">
        <f>IFERROR(__xludf.DUMMYFUNCTION("GOOGLETRANSLATE($A4302,""en"",""pt-BR"")"),"Semič")</f>
        <v>Semič</v>
      </c>
    </row>
    <row r="4303">
      <c r="A4303" s="9" t="str">
        <f>IFERROR(__xludf.DUMMYFUNCTION("""COMPUTED_VALUE"""),"Ribnica")</f>
        <v>Ribnica</v>
      </c>
      <c r="B4303" s="9" t="str">
        <f>IFERROR(__xludf.DUMMYFUNCTION("""COMPUTED_VALUE"""),"si-104")</f>
        <v>si-104</v>
      </c>
      <c r="C4303" s="9" t="str">
        <f>IFERROR(__xludf.DUMMYFUNCTION("GOOGLETRANSLATE($A4303,""en"",""de"")"),"Ribnica")</f>
        <v>Ribnica</v>
      </c>
      <c r="D4303" s="9" t="str">
        <f>IFERROR(__xludf.DUMMYFUNCTION("GOOGLETRANSLATE($A4303,""en"",""fr"")"),"Ribnica")</f>
        <v>Ribnica</v>
      </c>
      <c r="E4303" s="9" t="str">
        <f>IFERROR(__xludf.DUMMYFUNCTION("GOOGLETRANSLATE($A4303,""en"",""es"")"),"Ribnica")</f>
        <v>Ribnica</v>
      </c>
      <c r="F4303" s="9" t="str">
        <f>IFERROR(__xludf.DUMMYFUNCTION("GOOGLETRANSLATE($A4303,""en"",""it"")"),"Ribnica")</f>
        <v>Ribnica</v>
      </c>
      <c r="G4303" s="9" t="str">
        <f>IFERROR(__xludf.DUMMYFUNCTION("GOOGLETRANSLATE($A4303,""en"",""zh-cn"")"),"里布尼察")</f>
        <v>里布尼察</v>
      </c>
      <c r="H4303" s="9" t="str">
        <f>IFERROR(__xludf.DUMMYFUNCTION("GOOGLETRANSLATE($A4303,""en"",""ja"")"),"リブニカ")</f>
        <v>リブニカ</v>
      </c>
      <c r="I4303" s="9" t="str">
        <f>IFERROR(__xludf.DUMMYFUNCTION("GOOGLETRANSLATE($A4303,""en"",""ko"")"),"리브니차")</f>
        <v>리브니차</v>
      </c>
      <c r="J4303" s="9" t="str">
        <f>IFERROR(__xludf.DUMMYFUNCTION("GOOGLETRANSLATE($A4303,""en"",""pt-BR"")"),"Ribnica")</f>
        <v>Ribnica</v>
      </c>
    </row>
    <row r="4304">
      <c r="A4304" s="9" t="str">
        <f>IFERROR(__xludf.DUMMYFUNCTION("""COMPUTED_VALUE"""),"Ribnica na Pohorju")</f>
        <v>Ribnica na Pohorju</v>
      </c>
      <c r="B4304" s="9" t="str">
        <f>IFERROR(__xludf.DUMMYFUNCTION("""COMPUTED_VALUE"""),"si-177")</f>
        <v>si-177</v>
      </c>
      <c r="C4304" s="9" t="str">
        <f>IFERROR(__xludf.DUMMYFUNCTION("GOOGLETRANSLATE($A4304,""en"",""de"")"),"Ribnica na Pohorju")</f>
        <v>Ribnica na Pohorju</v>
      </c>
      <c r="D4304" s="9" t="str">
        <f>IFERROR(__xludf.DUMMYFUNCTION("GOOGLETRANSLATE($A4304,""en"",""fr"")"),"Ribnica na Pohorju")</f>
        <v>Ribnica na Pohorju</v>
      </c>
      <c r="E4304" s="9" t="str">
        <f>IFERROR(__xludf.DUMMYFUNCTION("GOOGLETRANSLATE($A4304,""en"",""es"")"),"Ribnica na Pohorju")</f>
        <v>Ribnica na Pohorju</v>
      </c>
      <c r="F4304" s="9" t="str">
        <f>IFERROR(__xludf.DUMMYFUNCTION("GOOGLETRANSLATE($A4304,""en"",""it"")"),"Ribnica na Pohorju")</f>
        <v>Ribnica na Pohorju</v>
      </c>
      <c r="G4304" s="9" t="str">
        <f>IFERROR(__xludf.DUMMYFUNCTION("GOOGLETRANSLATE($A4304,""en"",""zh-cn"")"),"里布尼察·纳·波霍尔尤")</f>
        <v>里布尼察·纳·波霍尔尤</v>
      </c>
      <c r="H4304" s="9" t="str">
        <f>IFERROR(__xludf.DUMMYFUNCTION("GOOGLETRANSLATE($A4304,""en"",""ja"")"),"リブニカ ナ ポホルジュ")</f>
        <v>リブニカ ナ ポホルジュ</v>
      </c>
      <c r="I4304" s="9" t="str">
        <f>IFERROR(__xludf.DUMMYFUNCTION("GOOGLETRANSLATE($A4304,""en"",""ko"")"),"리브니카 나 포호르주")</f>
        <v>리브니카 나 포호르주</v>
      </c>
      <c r="J4304" s="9" t="str">
        <f>IFERROR(__xludf.DUMMYFUNCTION("GOOGLETRANSLATE($A4304,""en"",""pt-BR"")"),"Ribnica na Pohorju")</f>
        <v>Ribnica na Pohorju</v>
      </c>
    </row>
    <row r="4305">
      <c r="A4305" s="9" t="str">
        <f>IFERROR(__xludf.DUMMYFUNCTION("""COMPUTED_VALUE"""),"Rogaška Slatina")</f>
        <v>Rogaška Slatina</v>
      </c>
      <c r="B4305" s="9" t="str">
        <f>IFERROR(__xludf.DUMMYFUNCTION("""COMPUTED_VALUE"""),"si-106")</f>
        <v>si-106</v>
      </c>
      <c r="C4305" s="9" t="str">
        <f>IFERROR(__xludf.DUMMYFUNCTION("GOOGLETRANSLATE($A4305,""en"",""de"")"),"Rogaska Slatina")</f>
        <v>Rogaska Slatina</v>
      </c>
      <c r="D4305" s="9" t="str">
        <f>IFERROR(__xludf.DUMMYFUNCTION("GOOGLETRANSLATE($A4305,""en"",""fr"")"),"Rogaska Slatina")</f>
        <v>Rogaska Slatina</v>
      </c>
      <c r="E4305" s="9" t="str">
        <f>IFERROR(__xludf.DUMMYFUNCTION("GOOGLETRANSLATE($A4305,""en"",""es"")"),"Rogaška Slatina")</f>
        <v>Rogaška Slatina</v>
      </c>
      <c r="F4305" s="9" t="str">
        <f>IFERROR(__xludf.DUMMYFUNCTION("GOOGLETRANSLATE($A4305,""en"",""it"")"),"Rogaška Slatina")</f>
        <v>Rogaška Slatina</v>
      </c>
      <c r="G4305" s="9" t="str">
        <f>IFERROR(__xludf.DUMMYFUNCTION("GOOGLETRANSLATE($A4305,""en"",""zh-cn"")"),"罗加什卡·斯拉蒂娜")</f>
        <v>罗加什卡·斯拉蒂娜</v>
      </c>
      <c r="H4305" s="9" t="str">
        <f>IFERROR(__xludf.DUMMYFUNCTION("GOOGLETRANSLATE($A4305,""en"",""ja"")"),"ロガシュカ スラティナ")</f>
        <v>ロガシュカ スラティナ</v>
      </c>
      <c r="I4305" s="9" t="str">
        <f>IFERROR(__xludf.DUMMYFUNCTION("GOOGLETRANSLATE($A4305,""en"",""ko"")"),"로가슈카 슬라티나")</f>
        <v>로가슈카 슬라티나</v>
      </c>
      <c r="J4305" s="9" t="str">
        <f>IFERROR(__xludf.DUMMYFUNCTION("GOOGLETRANSLATE($A4305,""en"",""pt-BR"")"),"Rogaska Slatina")</f>
        <v>Rogaska Slatina</v>
      </c>
    </row>
    <row r="4306">
      <c r="A4306" s="9" t="str">
        <f>IFERROR(__xludf.DUMMYFUNCTION("""COMPUTED_VALUE"""),"Rogašovci")</f>
        <v>Rogašovci</v>
      </c>
      <c r="B4306" s="9" t="str">
        <f>IFERROR(__xludf.DUMMYFUNCTION("""COMPUTED_VALUE"""),"si-105")</f>
        <v>si-105</v>
      </c>
      <c r="C4306" s="9" t="str">
        <f>IFERROR(__xludf.DUMMYFUNCTION("GOOGLETRANSLATE($A4306,""en"",""de"")"),"Rogašovci")</f>
        <v>Rogašovci</v>
      </c>
      <c r="D4306" s="9" t="str">
        <f>IFERROR(__xludf.DUMMYFUNCTION("GOOGLETRANSLATE($A4306,""en"",""fr"")"),"Rogasovci")</f>
        <v>Rogasovci</v>
      </c>
      <c r="E4306" s="9" t="str">
        <f>IFERROR(__xludf.DUMMYFUNCTION("GOOGLETRANSLATE($A4306,""en"",""es"")"),"Rogasovci")</f>
        <v>Rogasovci</v>
      </c>
      <c r="F4306" s="9" t="str">
        <f>IFERROR(__xludf.DUMMYFUNCTION("GOOGLETRANSLATE($A4306,""en"",""it"")"),"Rogašovci")</f>
        <v>Rogašovci</v>
      </c>
      <c r="G4306" s="9" t="str">
        <f>IFERROR(__xludf.DUMMYFUNCTION("GOOGLETRANSLATE($A4306,""en"",""zh-cn"")"),"罗加绍夫齐")</f>
        <v>罗加绍夫齐</v>
      </c>
      <c r="H4306" s="9" t="str">
        <f>IFERROR(__xludf.DUMMYFUNCTION("GOOGLETRANSLATE($A4306,""en"",""ja"")"),"ロガショフツィ")</f>
        <v>ロガショフツィ</v>
      </c>
      <c r="I4306" s="9" t="str">
        <f>IFERROR(__xludf.DUMMYFUNCTION("GOOGLETRANSLATE($A4306,""en"",""ko"")"),"로가쇼브치")</f>
        <v>로가쇼브치</v>
      </c>
      <c r="J4306" s="9" t="str">
        <f>IFERROR(__xludf.DUMMYFUNCTION("GOOGLETRANSLATE($A4306,""en"",""pt-BR"")"),"Rogašovci")</f>
        <v>Rogašovci</v>
      </c>
    </row>
    <row r="4307">
      <c r="A4307" s="9" t="str">
        <f>IFERROR(__xludf.DUMMYFUNCTION("""COMPUTED_VALUE"""),"Medvode")</f>
        <v>Medvode</v>
      </c>
      <c r="B4307" s="9" t="str">
        <f>IFERROR(__xludf.DUMMYFUNCTION("""COMPUTED_VALUE"""),"si-071")</f>
        <v>si-071</v>
      </c>
      <c r="C4307" s="9" t="str">
        <f>IFERROR(__xludf.DUMMYFUNCTION("GOOGLETRANSLATE($A4307,""en"",""de"")"),"Medvode")</f>
        <v>Medvode</v>
      </c>
      <c r="D4307" s="9" t="str">
        <f>IFERROR(__xludf.DUMMYFUNCTION("GOOGLETRANSLATE($A4307,""en"",""fr"")"),"Medvodé")</f>
        <v>Medvodé</v>
      </c>
      <c r="E4307" s="9" t="str">
        <f>IFERROR(__xludf.DUMMYFUNCTION("GOOGLETRANSLATE($A4307,""en"",""es"")"),"medvode")</f>
        <v>medvode</v>
      </c>
      <c r="F4307" s="9" t="str">
        <f>IFERROR(__xludf.DUMMYFUNCTION("GOOGLETRANSLATE($A4307,""en"",""it"")"),"Medvode")</f>
        <v>Medvode</v>
      </c>
      <c r="G4307" s="9" t="str">
        <f>IFERROR(__xludf.DUMMYFUNCTION("GOOGLETRANSLATE($A4307,""en"",""zh-cn"")"),"梅德沃德")</f>
        <v>梅德沃德</v>
      </c>
      <c r="H4307" s="9" t="str">
        <f>IFERROR(__xludf.DUMMYFUNCTION("GOOGLETRANSLATE($A4307,""en"",""ja"")"),"メドヴォデ")</f>
        <v>メドヴォデ</v>
      </c>
      <c r="I4307" s="9" t="str">
        <f>IFERROR(__xludf.DUMMYFUNCTION("GOOGLETRANSLATE($A4307,""en"",""ko"")"),"메드보드")</f>
        <v>메드보드</v>
      </c>
      <c r="J4307" s="9" t="str">
        <f>IFERROR(__xludf.DUMMYFUNCTION("GOOGLETRANSLATE($A4307,""en"",""pt-BR"")"),"Medvode")</f>
        <v>Medvode</v>
      </c>
    </row>
    <row r="4308">
      <c r="A4308" s="9" t="str">
        <f>IFERROR(__xludf.DUMMYFUNCTION("""COMPUTED_VALUE"""),"Mengeš")</f>
        <v>Mengeš</v>
      </c>
      <c r="B4308" s="9" t="str">
        <f>IFERROR(__xludf.DUMMYFUNCTION("""COMPUTED_VALUE"""),"si-072")</f>
        <v>si-072</v>
      </c>
      <c r="C4308" s="9" t="str">
        <f>IFERROR(__xludf.DUMMYFUNCTION("GOOGLETRANSLATE($A4308,""en"",""de"")"),"Mengeš")</f>
        <v>Mengeš</v>
      </c>
      <c r="D4308" s="9" t="str">
        <f>IFERROR(__xludf.DUMMYFUNCTION("GOOGLETRANSLATE($A4308,""en"",""fr"")"),"Menges")</f>
        <v>Menges</v>
      </c>
      <c r="E4308" s="9" t="str">
        <f>IFERROR(__xludf.DUMMYFUNCTION("GOOGLETRANSLATE($A4308,""en"",""es"")"),"mengeš")</f>
        <v>mengeš</v>
      </c>
      <c r="F4308" s="9" t="str">
        <f>IFERROR(__xludf.DUMMYFUNCTION("GOOGLETRANSLATE($A4308,""en"",""it"")"),"Menges")</f>
        <v>Menges</v>
      </c>
      <c r="G4308" s="9" t="str">
        <f>IFERROR(__xludf.DUMMYFUNCTION("GOOGLETRANSLATE($A4308,""en"",""zh-cn"")"),"门格斯")</f>
        <v>门格斯</v>
      </c>
      <c r="H4308" s="9" t="str">
        <f>IFERROR(__xludf.DUMMYFUNCTION("GOOGLETRANSLATE($A4308,""en"",""ja"")"),"メンゲシュ")</f>
        <v>メンゲシュ</v>
      </c>
      <c r="I4308" s="9" t="str">
        <f>IFERROR(__xludf.DUMMYFUNCTION("GOOGLETRANSLATE($A4308,""en"",""ko"")"),"멘게시")</f>
        <v>멘게시</v>
      </c>
      <c r="J4308" s="9" t="str">
        <f>IFERROR(__xludf.DUMMYFUNCTION("GOOGLETRANSLATE($A4308,""en"",""pt-BR"")"),"Mengeš")</f>
        <v>Mengeš</v>
      </c>
    </row>
    <row r="4309">
      <c r="A4309" s="9" t="str">
        <f>IFERROR(__xludf.DUMMYFUNCTION("""COMPUTED_VALUE"""),"Metlika")</f>
        <v>Metlika</v>
      </c>
      <c r="B4309" s="9" t="str">
        <f>IFERROR(__xludf.DUMMYFUNCTION("""COMPUTED_VALUE"""),"si-073")</f>
        <v>si-073</v>
      </c>
      <c r="C4309" s="9" t="str">
        <f>IFERROR(__xludf.DUMMYFUNCTION("GOOGLETRANSLATE($A4309,""en"",""de"")"),"Metlika")</f>
        <v>Metlika</v>
      </c>
      <c r="D4309" s="9" t="str">
        <f>IFERROR(__xludf.DUMMYFUNCTION("GOOGLETRANSLATE($A4309,""en"",""fr"")"),"Metlika")</f>
        <v>Metlika</v>
      </c>
      <c r="E4309" s="9" t="str">
        <f>IFERROR(__xludf.DUMMYFUNCTION("GOOGLETRANSLATE($A4309,""en"",""es"")"),"Metlika")</f>
        <v>Metlika</v>
      </c>
      <c r="F4309" s="9" t="str">
        <f>IFERROR(__xludf.DUMMYFUNCTION("GOOGLETRANSLATE($A4309,""en"",""it"")"),"Metlika")</f>
        <v>Metlika</v>
      </c>
      <c r="G4309" s="9" t="str">
        <f>IFERROR(__xludf.DUMMYFUNCTION("GOOGLETRANSLATE($A4309,""en"",""zh-cn"")"),"梅特里卡")</f>
        <v>梅特里卡</v>
      </c>
      <c r="H4309" s="9" t="str">
        <f>IFERROR(__xludf.DUMMYFUNCTION("GOOGLETRANSLATE($A4309,""en"",""ja"")"),"メトリカ")</f>
        <v>メトリカ</v>
      </c>
      <c r="I4309" s="9" t="str">
        <f>IFERROR(__xludf.DUMMYFUNCTION("GOOGLETRANSLATE($A4309,""en"",""ko"")"),"메틀리카")</f>
        <v>메틀리카</v>
      </c>
      <c r="J4309" s="9" t="str">
        <f>IFERROR(__xludf.DUMMYFUNCTION("GOOGLETRANSLATE($A4309,""en"",""pt-BR"")"),"Metlica")</f>
        <v>Metlica</v>
      </c>
    </row>
    <row r="4310">
      <c r="A4310" s="9" t="str">
        <f>IFERROR(__xludf.DUMMYFUNCTION("""COMPUTED_VALUE"""),"Mežica")</f>
        <v>Mežica</v>
      </c>
      <c r="B4310" s="9" t="str">
        <f>IFERROR(__xludf.DUMMYFUNCTION("""COMPUTED_VALUE"""),"si-074")</f>
        <v>si-074</v>
      </c>
      <c r="C4310" s="9" t="str">
        <f>IFERROR(__xludf.DUMMYFUNCTION("GOOGLETRANSLATE($A4310,""en"",""de"")"),"Mežica")</f>
        <v>Mežica</v>
      </c>
      <c r="D4310" s="9" t="str">
        <f>IFERROR(__xludf.DUMMYFUNCTION("GOOGLETRANSLATE($A4310,""en"",""fr"")"),"Mežica")</f>
        <v>Mežica</v>
      </c>
      <c r="E4310" s="9" t="str">
        <f>IFERROR(__xludf.DUMMYFUNCTION("GOOGLETRANSLATE($A4310,""en"",""es"")"),"Mežica")</f>
        <v>Mežica</v>
      </c>
      <c r="F4310" s="9" t="str">
        <f>IFERROR(__xludf.DUMMYFUNCTION("GOOGLETRANSLATE($A4310,""en"",""it"")"),"Mežica")</f>
        <v>Mežica</v>
      </c>
      <c r="G4310" s="9" t="str">
        <f>IFERROR(__xludf.DUMMYFUNCTION("GOOGLETRANSLATE($A4310,""en"",""zh-cn"")"),"梅日卡")</f>
        <v>梅日卡</v>
      </c>
      <c r="H4310" s="9" t="str">
        <f>IFERROR(__xludf.DUMMYFUNCTION("GOOGLETRANSLATE($A4310,""en"",""ja"")"),"メジツァ")</f>
        <v>メジツァ</v>
      </c>
      <c r="I4310" s="9" t="str">
        <f>IFERROR(__xludf.DUMMYFUNCTION("GOOGLETRANSLATE($A4310,""en"",""ko"")"),"메지카")</f>
        <v>메지카</v>
      </c>
      <c r="J4310" s="9" t="str">
        <f>IFERROR(__xludf.DUMMYFUNCTION("GOOGLETRANSLATE($A4310,""en"",""pt-BR"")"),"Mežica")</f>
        <v>Mežica</v>
      </c>
    </row>
    <row r="4311">
      <c r="A4311" s="9" t="str">
        <f>IFERROR(__xludf.DUMMYFUNCTION("""COMPUTED_VALUE"""),"Majšperk")</f>
        <v>Majšperk</v>
      </c>
      <c r="B4311" s="9" t="str">
        <f>IFERROR(__xludf.DUMMYFUNCTION("""COMPUTED_VALUE"""),"si-069")</f>
        <v>si-069</v>
      </c>
      <c r="C4311" s="9" t="str">
        <f>IFERROR(__xludf.DUMMYFUNCTION("GOOGLETRANSLATE($A4311,""en"",""de"")"),"Majšperk")</f>
        <v>Majšperk</v>
      </c>
      <c r="D4311" s="9" t="str">
        <f>IFERROR(__xludf.DUMMYFUNCTION("GOOGLETRANSLATE($A4311,""en"",""fr"")"),"Majšperk")</f>
        <v>Majšperk</v>
      </c>
      <c r="E4311" s="9" t="str">
        <f>IFERROR(__xludf.DUMMYFUNCTION("GOOGLETRANSLATE($A4311,""en"",""es"")"),"Majšperk")</f>
        <v>Majšperk</v>
      </c>
      <c r="F4311" s="9" t="str">
        <f>IFERROR(__xludf.DUMMYFUNCTION("GOOGLETRANSLATE($A4311,""en"",""it"")"),"Majšperk")</f>
        <v>Majšperk</v>
      </c>
      <c r="G4311" s="9" t="str">
        <f>IFERROR(__xludf.DUMMYFUNCTION("GOOGLETRANSLATE($A4311,""en"",""zh-cn"")"),"马耶什佩尔克")</f>
        <v>马耶什佩尔克</v>
      </c>
      <c r="H4311" s="9" t="str">
        <f>IFERROR(__xludf.DUMMYFUNCTION("GOOGLETRANSLATE($A4311,""en"",""ja"")"),"マイシュペルク")</f>
        <v>マイシュペルク</v>
      </c>
      <c r="I4311" s="9" t="str">
        <f>IFERROR(__xludf.DUMMYFUNCTION("GOOGLETRANSLATE($A4311,""en"",""ko"")"),"마이슈페르크")</f>
        <v>마이슈페르크</v>
      </c>
      <c r="J4311" s="9" t="str">
        <f>IFERROR(__xludf.DUMMYFUNCTION("GOOGLETRANSLATE($A4311,""en"",""pt-BR"")"),"Majšperk")</f>
        <v>Majšperk</v>
      </c>
    </row>
    <row r="4312">
      <c r="A4312" s="9" t="str">
        <f>IFERROR(__xludf.DUMMYFUNCTION("""COMPUTED_VALUE"""),"Makole")</f>
        <v>Makole</v>
      </c>
      <c r="B4312" s="9" t="str">
        <f>IFERROR(__xludf.DUMMYFUNCTION("""COMPUTED_VALUE"""),"si-198")</f>
        <v>si-198</v>
      </c>
      <c r="C4312" s="9" t="str">
        <f>IFERROR(__xludf.DUMMYFUNCTION("GOOGLETRANSLATE($A4312,""en"",""de"")"),"Makole")</f>
        <v>Makole</v>
      </c>
      <c r="D4312" s="9" t="str">
        <f>IFERROR(__xludf.DUMMYFUNCTION("GOOGLETRANSLATE($A4312,""en"",""fr"")"),"Makolé")</f>
        <v>Makolé</v>
      </c>
      <c r="E4312" s="9" t="str">
        <f>IFERROR(__xludf.DUMMYFUNCTION("GOOGLETRANSLATE($A4312,""en"",""es"")"),"makole")</f>
        <v>makole</v>
      </c>
      <c r="F4312" s="9" t="str">
        <f>IFERROR(__xludf.DUMMYFUNCTION("GOOGLETRANSLATE($A4312,""en"",""it"")"),"Makole")</f>
        <v>Makole</v>
      </c>
      <c r="G4312" s="9" t="str">
        <f>IFERROR(__xludf.DUMMYFUNCTION("GOOGLETRANSLATE($A4312,""en"",""zh-cn"")"),"马科莱")</f>
        <v>马科莱</v>
      </c>
      <c r="H4312" s="9" t="str">
        <f>IFERROR(__xludf.DUMMYFUNCTION("GOOGLETRANSLATE($A4312,""en"",""ja"")"),"マコレ")</f>
        <v>マコレ</v>
      </c>
      <c r="I4312" s="9" t="str">
        <f>IFERROR(__xludf.DUMMYFUNCTION("GOOGLETRANSLATE($A4312,""en"",""ko"")"),"마콜레")</f>
        <v>마콜레</v>
      </c>
      <c r="J4312" s="9" t="str">
        <f>IFERROR(__xludf.DUMMYFUNCTION("GOOGLETRANSLATE($A4312,""en"",""pt-BR"")"),"Makole")</f>
        <v>Makole</v>
      </c>
    </row>
    <row r="4313">
      <c r="A4313" s="9" t="str">
        <f>IFERROR(__xludf.DUMMYFUNCTION("""COMPUTED_VALUE"""),"Maribor")</f>
        <v>Maribor</v>
      </c>
      <c r="B4313" s="9" t="str">
        <f>IFERROR(__xludf.DUMMYFUNCTION("""COMPUTED_VALUE"""),"si-070")</f>
        <v>si-070</v>
      </c>
      <c r="C4313" s="9" t="str">
        <f>IFERROR(__xludf.DUMMYFUNCTION("GOOGLETRANSLATE($A4313,""en"",""de"")"),"Maribor")</f>
        <v>Maribor</v>
      </c>
      <c r="D4313" s="9" t="str">
        <f>IFERROR(__xludf.DUMMYFUNCTION("GOOGLETRANSLATE($A4313,""en"",""fr"")"),"Maribor")</f>
        <v>Maribor</v>
      </c>
      <c r="E4313" s="9" t="str">
        <f>IFERROR(__xludf.DUMMYFUNCTION("GOOGLETRANSLATE($A4313,""en"",""es"")"),"Máribor")</f>
        <v>Máribor</v>
      </c>
      <c r="F4313" s="9" t="str">
        <f>IFERROR(__xludf.DUMMYFUNCTION("GOOGLETRANSLATE($A4313,""en"",""it"")"),"Maribor")</f>
        <v>Maribor</v>
      </c>
      <c r="G4313" s="9" t="str">
        <f>IFERROR(__xludf.DUMMYFUNCTION("GOOGLETRANSLATE($A4313,""en"",""zh-cn"")"),"马里博尔")</f>
        <v>马里博尔</v>
      </c>
      <c r="H4313" s="9" t="str">
        <f>IFERROR(__xludf.DUMMYFUNCTION("GOOGLETRANSLATE($A4313,""en"",""ja"")"),"マリボル")</f>
        <v>マリボル</v>
      </c>
      <c r="I4313" s="9" t="str">
        <f>IFERROR(__xludf.DUMMYFUNCTION("GOOGLETRANSLATE($A4313,""en"",""ko"")"),"마리보르")</f>
        <v>마리보르</v>
      </c>
      <c r="J4313" s="9" t="str">
        <f>IFERROR(__xludf.DUMMYFUNCTION("GOOGLETRANSLATE($A4313,""en"",""pt-BR"")"),"Maribor")</f>
        <v>Maribor</v>
      </c>
    </row>
    <row r="4314">
      <c r="A4314" s="9" t="str">
        <f>IFERROR(__xludf.DUMMYFUNCTION("""COMPUTED_VALUE"""),"Markovci")</f>
        <v>Markovci</v>
      </c>
      <c r="B4314" s="9" t="str">
        <f>IFERROR(__xludf.DUMMYFUNCTION("""COMPUTED_VALUE"""),"si-168")</f>
        <v>si-168</v>
      </c>
      <c r="C4314" s="9" t="str">
        <f>IFERROR(__xludf.DUMMYFUNCTION("GOOGLETRANSLATE($A4314,""en"",""de"")"),"Markovci")</f>
        <v>Markovci</v>
      </c>
      <c r="D4314" s="9" t="str">
        <f>IFERROR(__xludf.DUMMYFUNCTION("GOOGLETRANSLATE($A4314,""en"",""fr"")"),"Markovci")</f>
        <v>Markovci</v>
      </c>
      <c r="E4314" s="9" t="str">
        <f>IFERROR(__xludf.DUMMYFUNCTION("GOOGLETRANSLATE($A4314,""en"",""es"")"),"Markovci")</f>
        <v>Markovci</v>
      </c>
      <c r="F4314" s="9" t="str">
        <f>IFERROR(__xludf.DUMMYFUNCTION("GOOGLETRANSLATE($A4314,""en"",""it"")"),"Markovci")</f>
        <v>Markovci</v>
      </c>
      <c r="G4314" s="9" t="str">
        <f>IFERROR(__xludf.DUMMYFUNCTION("GOOGLETRANSLATE($A4314,""en"",""zh-cn"")"),"马尔科夫齐")</f>
        <v>马尔科夫齐</v>
      </c>
      <c r="H4314" s="9" t="str">
        <f>IFERROR(__xludf.DUMMYFUNCTION("GOOGLETRANSLATE($A4314,""en"",""ja"")"),"マルコフチ")</f>
        <v>マルコフチ</v>
      </c>
      <c r="I4314" s="9" t="str">
        <f>IFERROR(__xludf.DUMMYFUNCTION("GOOGLETRANSLATE($A4314,""en"",""ko"")"),"마르코프치")</f>
        <v>마르코프치</v>
      </c>
      <c r="J4314" s="9" t="str">
        <f>IFERROR(__xludf.DUMMYFUNCTION("GOOGLETRANSLATE($A4314,""en"",""pt-BR"")"),"Markovci")</f>
        <v>Markovci</v>
      </c>
    </row>
    <row r="4315">
      <c r="A4315" s="9" t="str">
        <f>IFERROR(__xludf.DUMMYFUNCTION("""COMPUTED_VALUE"""),"Loški Potok")</f>
        <v>Loški Potok</v>
      </c>
      <c r="B4315" s="9" t="str">
        <f>IFERROR(__xludf.DUMMYFUNCTION("""COMPUTED_VALUE"""),"si-066")</f>
        <v>si-066</v>
      </c>
      <c r="C4315" s="9" t="str">
        <f>IFERROR(__xludf.DUMMYFUNCTION("GOOGLETRANSLATE($A4315,""en"",""de"")"),"Loski Potok")</f>
        <v>Loski Potok</v>
      </c>
      <c r="D4315" s="9" t="str">
        <f>IFERROR(__xludf.DUMMYFUNCTION("GOOGLETRANSLATE($A4315,""en"",""fr"")"),"Loski Potok")</f>
        <v>Loski Potok</v>
      </c>
      <c r="E4315" s="9" t="str">
        <f>IFERROR(__xludf.DUMMYFUNCTION("GOOGLETRANSLATE($A4315,""en"",""es"")"),"Loski Potok")</f>
        <v>Loski Potok</v>
      </c>
      <c r="F4315" s="9" t="str">
        <f>IFERROR(__xludf.DUMMYFUNCTION("GOOGLETRANSLATE($A4315,""en"",""it"")"),"Loški Potok")</f>
        <v>Loški Potok</v>
      </c>
      <c r="G4315" s="9" t="str">
        <f>IFERROR(__xludf.DUMMYFUNCTION("GOOGLETRANSLATE($A4315,""en"",""zh-cn"")"),"洛斯基·波托克")</f>
        <v>洛斯基·波托克</v>
      </c>
      <c r="H4315" s="9" t="str">
        <f>IFERROR(__xludf.DUMMYFUNCTION("GOOGLETRANSLATE($A4315,""en"",""ja"")"),"ロシュキ ポトク")</f>
        <v>ロシュキ ポトク</v>
      </c>
      <c r="I4315" s="9" t="str">
        <f>IFERROR(__xludf.DUMMYFUNCTION("GOOGLETRANSLATE($A4315,""en"",""ko"")"),"로스키 포토크")</f>
        <v>로스키 포토크</v>
      </c>
      <c r="J4315" s="9" t="str">
        <f>IFERROR(__xludf.DUMMYFUNCTION("GOOGLETRANSLATE($A4315,""en"",""pt-BR"")"),"Loski Potok")</f>
        <v>Loski Potok</v>
      </c>
    </row>
    <row r="4316">
      <c r="A4316" s="9" t="str">
        <f>IFERROR(__xludf.DUMMYFUNCTION("""COMPUTED_VALUE"""),"Lovrenc na Pohorju")</f>
        <v>Lovrenc na Pohorju</v>
      </c>
      <c r="B4316" s="9" t="str">
        <f>IFERROR(__xludf.DUMMYFUNCTION("""COMPUTED_VALUE"""),"si-167")</f>
        <v>si-167</v>
      </c>
      <c r="C4316" s="9" t="str">
        <f>IFERROR(__xludf.DUMMYFUNCTION("GOOGLETRANSLATE($A4316,""en"",""de"")"),"Lovrenc na Pohorju")</f>
        <v>Lovrenc na Pohorju</v>
      </c>
      <c r="D4316" s="9" t="str">
        <f>IFERROR(__xludf.DUMMYFUNCTION("GOOGLETRANSLATE($A4316,""en"",""fr"")"),"Lovrenc na Pohorju")</f>
        <v>Lovrenc na Pohorju</v>
      </c>
      <c r="E4316" s="9" t="str">
        <f>IFERROR(__xludf.DUMMYFUNCTION("GOOGLETRANSLATE($A4316,""en"",""es"")"),"Lovrenc na Pohorju")</f>
        <v>Lovrenc na Pohorju</v>
      </c>
      <c r="F4316" s="9" t="str">
        <f>IFERROR(__xludf.DUMMYFUNCTION("GOOGLETRANSLATE($A4316,""en"",""it"")"),"Lovrenc na Pohorju")</f>
        <v>Lovrenc na Pohorju</v>
      </c>
      <c r="G4316" s="9" t="str">
        <f>IFERROR(__xludf.DUMMYFUNCTION("GOOGLETRANSLATE($A4316,""en"",""zh-cn"")"),"洛夫伦茨·纳·波霍尔尤")</f>
        <v>洛夫伦茨·纳·波霍尔尤</v>
      </c>
      <c r="H4316" s="9" t="str">
        <f>IFERROR(__xludf.DUMMYFUNCTION("GOOGLETRANSLATE($A4316,""en"",""ja"")"),"ロヴレンツ・ナ・ポホルジュ")</f>
        <v>ロヴレンツ・ナ・ポホルジュ</v>
      </c>
      <c r="I4316" s="9" t="str">
        <f>IFERROR(__xludf.DUMMYFUNCTION("GOOGLETRANSLATE($A4316,""en"",""ko"")"),"로브렌츠 나 포호르주")</f>
        <v>로브렌츠 나 포호르주</v>
      </c>
      <c r="J4316" s="9" t="str">
        <f>IFERROR(__xludf.DUMMYFUNCTION("GOOGLETRANSLATE($A4316,""en"",""pt-BR"")"),"Lovrenc na Pohorju")</f>
        <v>Lovrenc na Pohorju</v>
      </c>
    </row>
    <row r="4317">
      <c r="A4317" s="9" t="str">
        <f>IFERROR(__xludf.DUMMYFUNCTION("""COMPUTED_VALUE"""),"Luče")</f>
        <v>Luče</v>
      </c>
      <c r="B4317" s="9" t="str">
        <f>IFERROR(__xludf.DUMMYFUNCTION("""COMPUTED_VALUE"""),"si-067")</f>
        <v>si-067</v>
      </c>
      <c r="C4317" s="9" t="str">
        <f>IFERROR(__xludf.DUMMYFUNCTION("GOOGLETRANSLATE($A4317,""en"",""de"")"),"Luče")</f>
        <v>Luče</v>
      </c>
      <c r="D4317" s="9" t="str">
        <f>IFERROR(__xludf.DUMMYFUNCTION("GOOGLETRANSLATE($A4317,""en"",""fr"")"),"Luce")</f>
        <v>Luce</v>
      </c>
      <c r="E4317" s="9" t="str">
        <f>IFERROR(__xludf.DUMMYFUNCTION("GOOGLETRANSLATE($A4317,""en"",""es"")"),"luče")</f>
        <v>luče</v>
      </c>
      <c r="F4317" s="9" t="str">
        <f>IFERROR(__xludf.DUMMYFUNCTION("GOOGLETRANSLATE($A4317,""en"",""it"")"),"Luce")</f>
        <v>Luce</v>
      </c>
      <c r="G4317" s="9" t="str">
        <f>IFERROR(__xludf.DUMMYFUNCTION("GOOGLETRANSLATE($A4317,""en"",""zh-cn"")"),"卢切")</f>
        <v>卢切</v>
      </c>
      <c r="H4317" s="9" t="str">
        <f>IFERROR(__xludf.DUMMYFUNCTION("GOOGLETRANSLATE($A4317,""en"",""ja"")"),"ルチェ")</f>
        <v>ルチェ</v>
      </c>
      <c r="I4317" s="9" t="str">
        <f>IFERROR(__xludf.DUMMYFUNCTION("GOOGLETRANSLATE($A4317,""en"",""ko"")"),"창꼬치")</f>
        <v>창꼬치</v>
      </c>
      <c r="J4317" s="9" t="str">
        <f>IFERROR(__xludf.DUMMYFUNCTION("GOOGLETRANSLATE($A4317,""en"",""pt-BR"")"),"Luče")</f>
        <v>Luče</v>
      </c>
    </row>
    <row r="4318">
      <c r="A4318" s="9" t="str">
        <f>IFERROR(__xludf.DUMMYFUNCTION("""COMPUTED_VALUE"""),"Lukovica")</f>
        <v>Lukovica</v>
      </c>
      <c r="B4318" s="9" t="str">
        <f>IFERROR(__xludf.DUMMYFUNCTION("""COMPUTED_VALUE"""),"si-068")</f>
        <v>si-068</v>
      </c>
      <c r="C4318" s="9" t="str">
        <f>IFERROR(__xludf.DUMMYFUNCTION("GOOGLETRANSLATE($A4318,""en"",""de"")"),"Lukovica")</f>
        <v>Lukovica</v>
      </c>
      <c r="D4318" s="9" t="str">
        <f>IFERROR(__xludf.DUMMYFUNCTION("GOOGLETRANSLATE($A4318,""en"",""fr"")"),"Lukovica")</f>
        <v>Lukovica</v>
      </c>
      <c r="E4318" s="9" t="str">
        <f>IFERROR(__xludf.DUMMYFUNCTION("GOOGLETRANSLATE($A4318,""en"",""es"")"),"Lukovica")</f>
        <v>Lukovica</v>
      </c>
      <c r="F4318" s="9" t="str">
        <f>IFERROR(__xludf.DUMMYFUNCTION("GOOGLETRANSLATE($A4318,""en"",""it"")"),"Lukovica")</f>
        <v>Lukovica</v>
      </c>
      <c r="G4318" s="9" t="str">
        <f>IFERROR(__xludf.DUMMYFUNCTION("GOOGLETRANSLATE($A4318,""en"",""zh-cn"")"),"卢科维察")</f>
        <v>卢科维察</v>
      </c>
      <c r="H4318" s="9" t="str">
        <f>IFERROR(__xludf.DUMMYFUNCTION("GOOGLETRANSLATE($A4318,""en"",""ja"")"),"ルコヴィツァ")</f>
        <v>ルコヴィツァ</v>
      </c>
      <c r="I4318" s="9" t="str">
        <f>IFERROR(__xludf.DUMMYFUNCTION("GOOGLETRANSLATE($A4318,""en"",""ko"")"),"루코비카")</f>
        <v>루코비카</v>
      </c>
      <c r="J4318" s="9" t="str">
        <f>IFERROR(__xludf.DUMMYFUNCTION("GOOGLETRANSLATE($A4318,""en"",""pt-BR"")"),"Lukovica")</f>
        <v>Lukovica</v>
      </c>
    </row>
    <row r="4319">
      <c r="A4319" s="9" t="str">
        <f>IFERROR(__xludf.DUMMYFUNCTION("""COMPUTED_VALUE"""),"Ljutomer")</f>
        <v>Ljutomer</v>
      </c>
      <c r="B4319" s="9" t="str">
        <f>IFERROR(__xludf.DUMMYFUNCTION("""COMPUTED_VALUE"""),"si-063")</f>
        <v>si-063</v>
      </c>
      <c r="C4319" s="9" t="str">
        <f>IFERROR(__xludf.DUMMYFUNCTION("GOOGLETRANSLATE($A4319,""en"",""de"")"),"Ljutomer")</f>
        <v>Ljutomer</v>
      </c>
      <c r="D4319" s="9" t="str">
        <f>IFERROR(__xludf.DUMMYFUNCTION("GOOGLETRANSLATE($A4319,""en"",""fr"")"),"Ljutomer")</f>
        <v>Ljutomer</v>
      </c>
      <c r="E4319" s="9" t="str">
        <f>IFERROR(__xludf.DUMMYFUNCTION("GOOGLETRANSLATE($A4319,""en"",""es"")"),"Ljutomer")</f>
        <v>Ljutomer</v>
      </c>
      <c r="F4319" s="9" t="str">
        <f>IFERROR(__xludf.DUMMYFUNCTION("GOOGLETRANSLATE($A4319,""en"",""it"")"),"Ljutomer")</f>
        <v>Ljutomer</v>
      </c>
      <c r="G4319" s="9" t="str">
        <f>IFERROR(__xludf.DUMMYFUNCTION("GOOGLETRANSLATE($A4319,""en"",""zh-cn"")"),"柳托梅尔")</f>
        <v>柳托梅尔</v>
      </c>
      <c r="H4319" s="9" t="str">
        <f>IFERROR(__xludf.DUMMYFUNCTION("GOOGLETRANSLATE($A4319,""en"",""ja"")"),"リュトメル")</f>
        <v>リュトメル</v>
      </c>
      <c r="I4319" s="9" t="str">
        <f>IFERROR(__xludf.DUMMYFUNCTION("GOOGLETRANSLATE($A4319,""en"",""ko"")"),"류토머")</f>
        <v>류토머</v>
      </c>
      <c r="J4319" s="9" t="str">
        <f>IFERROR(__xludf.DUMMYFUNCTION("GOOGLETRANSLATE($A4319,""en"",""pt-BR"")"),"Ljutomer")</f>
        <v>Ljutomer</v>
      </c>
    </row>
    <row r="4320">
      <c r="A4320" s="9" t="str">
        <f>IFERROR(__xludf.DUMMYFUNCTION("""COMPUTED_VALUE"""),"Logatec")</f>
        <v>Logatec</v>
      </c>
      <c r="B4320" s="9" t="str">
        <f>IFERROR(__xludf.DUMMYFUNCTION("""COMPUTED_VALUE"""),"si-064")</f>
        <v>si-064</v>
      </c>
      <c r="C4320" s="9" t="str">
        <f>IFERROR(__xludf.DUMMYFUNCTION("GOOGLETRANSLATE($A4320,""en"",""de"")"),"Logatec")</f>
        <v>Logatec</v>
      </c>
      <c r="D4320" s="9" t="str">
        <f>IFERROR(__xludf.DUMMYFUNCTION("GOOGLETRANSLATE($A4320,""en"",""fr"")"),"Logatec")</f>
        <v>Logatec</v>
      </c>
      <c r="E4320" s="9" t="str">
        <f>IFERROR(__xludf.DUMMYFUNCTION("GOOGLETRANSLATE($A4320,""en"",""es"")"),"Logatec")</f>
        <v>Logatec</v>
      </c>
      <c r="F4320" s="9" t="str">
        <f>IFERROR(__xludf.DUMMYFUNCTION("GOOGLETRANSLATE($A4320,""en"",""it"")"),"Logatec")</f>
        <v>Logatec</v>
      </c>
      <c r="G4320" s="9" t="str">
        <f>IFERROR(__xludf.DUMMYFUNCTION("GOOGLETRANSLATE($A4320,""en"",""zh-cn"")"),"洛加泰克")</f>
        <v>洛加泰克</v>
      </c>
      <c r="H4320" s="9" t="str">
        <f>IFERROR(__xludf.DUMMYFUNCTION("GOOGLETRANSLATE($A4320,""en"",""ja"")"),"ロガテック")</f>
        <v>ロガテック</v>
      </c>
      <c r="I4320" s="9" t="str">
        <f>IFERROR(__xludf.DUMMYFUNCTION("GOOGLETRANSLATE($A4320,""en"",""ko"")"),"로가텍")</f>
        <v>로가텍</v>
      </c>
      <c r="J4320" s="9" t="str">
        <f>IFERROR(__xludf.DUMMYFUNCTION("GOOGLETRANSLATE($A4320,""en"",""pt-BR"")"),"Logatec")</f>
        <v>Logatec</v>
      </c>
    </row>
    <row r="4321">
      <c r="A4321" s="9" t="str">
        <f>IFERROR(__xludf.DUMMYFUNCTION("""COMPUTED_VALUE"""),"Log-Dragomer")</f>
        <v>Log-Dragomer</v>
      </c>
      <c r="B4321" s="9" t="str">
        <f>IFERROR(__xludf.DUMMYFUNCTION("""COMPUTED_VALUE"""),"si-208")</f>
        <v>si-208</v>
      </c>
      <c r="C4321" s="9" t="str">
        <f>IFERROR(__xludf.DUMMYFUNCTION("GOOGLETRANSLATE($A4321,""en"",""de"")"),"Log-Dragomer")</f>
        <v>Log-Dragomer</v>
      </c>
      <c r="D4321" s="9" t="str">
        <f>IFERROR(__xludf.DUMMYFUNCTION("GOOGLETRANSLATE($A4321,""en"",""fr"")"),"Log-Dragomer")</f>
        <v>Log-Dragomer</v>
      </c>
      <c r="E4321" s="9" t="str">
        <f>IFERROR(__xludf.DUMMYFUNCTION("GOOGLETRANSLATE($A4321,""en"",""es"")"),"Dragomero de troncos")</f>
        <v>Dragomero de troncos</v>
      </c>
      <c r="F4321" s="9" t="str">
        <f>IFERROR(__xludf.DUMMYFUNCTION("GOOGLETRANSLATE($A4321,""en"",""it"")"),"Log-Dragomero")</f>
        <v>Log-Dragomero</v>
      </c>
      <c r="G4321" s="9" t="str">
        <f>IFERROR(__xludf.DUMMYFUNCTION("GOOGLETRANSLATE($A4321,""en"",""zh-cn"")"),"日志德拉戈默")</f>
        <v>日志德拉戈默</v>
      </c>
      <c r="H4321" s="9" t="str">
        <f>IFERROR(__xludf.DUMMYFUNCTION("GOOGLETRANSLATE($A4321,""en"",""ja"")"),"ログドラゴマー")</f>
        <v>ログドラゴマー</v>
      </c>
      <c r="I4321" s="9" t="str">
        <f>IFERROR(__xludf.DUMMYFUNCTION("GOOGLETRANSLATE($A4321,""en"",""ko"")"),"로그 드라고머")</f>
        <v>로그 드라고머</v>
      </c>
      <c r="J4321" s="9" t="str">
        <f>IFERROR(__xludf.DUMMYFUNCTION("GOOGLETRANSLATE($A4321,""en"",""pt-BR"")"),"Log-Dragômer")</f>
        <v>Log-Dragômer</v>
      </c>
    </row>
    <row r="4322">
      <c r="A4322" s="9" t="str">
        <f>IFERROR(__xludf.DUMMYFUNCTION("""COMPUTED_VALUE"""),"Loška Dolina")</f>
        <v>Loška Dolina</v>
      </c>
      <c r="B4322" s="9" t="str">
        <f>IFERROR(__xludf.DUMMYFUNCTION("""COMPUTED_VALUE"""),"si-065")</f>
        <v>si-065</v>
      </c>
      <c r="C4322" s="9" t="str">
        <f>IFERROR(__xludf.DUMMYFUNCTION("GOOGLETRANSLATE($A4322,""en"",""de"")"),"Loska Dolina")</f>
        <v>Loska Dolina</v>
      </c>
      <c r="D4322" s="9" t="str">
        <f>IFERROR(__xludf.DUMMYFUNCTION("GOOGLETRANSLATE($A4322,""en"",""fr"")"),"Loska Dolina")</f>
        <v>Loska Dolina</v>
      </c>
      <c r="E4322" s="9" t="str">
        <f>IFERROR(__xludf.DUMMYFUNCTION("GOOGLETRANSLATE($A4322,""en"",""es"")"),"Loška Dolina")</f>
        <v>Loška Dolina</v>
      </c>
      <c r="F4322" s="9" t="str">
        <f>IFERROR(__xludf.DUMMYFUNCTION("GOOGLETRANSLATE($A4322,""en"",""it"")"),"Loska Dolina")</f>
        <v>Loska Dolina</v>
      </c>
      <c r="G4322" s="9" t="str">
        <f>IFERROR(__xludf.DUMMYFUNCTION("GOOGLETRANSLATE($A4322,""en"",""zh-cn"")"),"洛斯卡·多利纳")</f>
        <v>洛斯卡·多利纳</v>
      </c>
      <c r="H4322" s="9" t="str">
        <f>IFERROR(__xludf.DUMMYFUNCTION("GOOGLETRANSLATE($A4322,""en"",""ja"")"),"ロシュカ・ドリーナ")</f>
        <v>ロシュカ・ドリーナ</v>
      </c>
      <c r="I4322" s="9" t="str">
        <f>IFERROR(__xludf.DUMMYFUNCTION("GOOGLETRANSLATE($A4322,""en"",""ko"")"),"로스카 돌리나")</f>
        <v>로스카 돌리나</v>
      </c>
      <c r="J4322" s="9" t="str">
        <f>IFERROR(__xludf.DUMMYFUNCTION("GOOGLETRANSLATE($A4322,""en"",""pt-BR"")"),"Loška Dolina")</f>
        <v>Loška Dolina</v>
      </c>
    </row>
    <row r="4323">
      <c r="A4323" s="9" t="str">
        <f>IFERROR(__xludf.DUMMYFUNCTION("""COMPUTED_VALUE"""),"Nova Gorica")</f>
        <v>Nova Gorica</v>
      </c>
      <c r="B4323" s="9" t="str">
        <f>IFERROR(__xludf.DUMMYFUNCTION("""COMPUTED_VALUE"""),"si-084")</f>
        <v>si-084</v>
      </c>
      <c r="C4323" s="9" t="str">
        <f>IFERROR(__xludf.DUMMYFUNCTION("GOOGLETRANSLATE($A4323,""en"",""de"")"),"Nova Gorica")</f>
        <v>Nova Gorica</v>
      </c>
      <c r="D4323" s="9" t="str">
        <f>IFERROR(__xludf.DUMMYFUNCTION("GOOGLETRANSLATE($A4323,""en"",""fr"")"),"Nova Gorica")</f>
        <v>Nova Gorica</v>
      </c>
      <c r="E4323" s="9" t="str">
        <f>IFERROR(__xludf.DUMMYFUNCTION("GOOGLETRANSLATE($A4323,""en"",""es"")"),"Nova Gorica")</f>
        <v>Nova Gorica</v>
      </c>
      <c r="F4323" s="9" t="str">
        <f>IFERROR(__xludf.DUMMYFUNCTION("GOOGLETRANSLATE($A4323,""en"",""it"")"),"Nova Gorica")</f>
        <v>Nova Gorica</v>
      </c>
      <c r="G4323" s="9" t="str">
        <f>IFERROR(__xludf.DUMMYFUNCTION("GOOGLETRANSLATE($A4323,""en"",""zh-cn"")"),"新戈里察")</f>
        <v>新戈里察</v>
      </c>
      <c r="H4323" s="9" t="str">
        <f>IFERROR(__xludf.DUMMYFUNCTION("GOOGLETRANSLATE($A4323,""en"",""ja"")"),"ノヴァ ゴリツァ")</f>
        <v>ノヴァ ゴリツァ</v>
      </c>
      <c r="I4323" s="9" t="str">
        <f>IFERROR(__xludf.DUMMYFUNCTION("GOOGLETRANSLATE($A4323,""en"",""ko"")"),"노바 고리차")</f>
        <v>노바 고리차</v>
      </c>
      <c r="J4323" s="9" t="str">
        <f>IFERROR(__xludf.DUMMYFUNCTION("GOOGLETRANSLATE($A4323,""en"",""pt-BR"")"),"Nova Gorica")</f>
        <v>Nova Gorica</v>
      </c>
    </row>
    <row r="4324">
      <c r="A4324" s="9" t="str">
        <f>IFERROR(__xludf.DUMMYFUNCTION("""COMPUTED_VALUE"""),"Novo Mesto")</f>
        <v>Novo Mesto</v>
      </c>
      <c r="B4324" s="9" t="str">
        <f>IFERROR(__xludf.DUMMYFUNCTION("""COMPUTED_VALUE"""),"si-085")</f>
        <v>si-085</v>
      </c>
      <c r="C4324" s="9" t="str">
        <f>IFERROR(__xludf.DUMMYFUNCTION("GOOGLETRANSLATE($A4324,""en"",""de"")"),"Novo Mesto")</f>
        <v>Novo Mesto</v>
      </c>
      <c r="D4324" s="9" t="str">
        <f>IFERROR(__xludf.DUMMYFUNCTION("GOOGLETRANSLATE($A4324,""en"",""fr"")"),"Novo Mesto")</f>
        <v>Novo Mesto</v>
      </c>
      <c r="E4324" s="9" t="str">
        <f>IFERROR(__xludf.DUMMYFUNCTION("GOOGLETRANSLATE($A4324,""en"",""es"")"),"Novo mesto")</f>
        <v>Novo mesto</v>
      </c>
      <c r="F4324" s="9" t="str">
        <f>IFERROR(__xludf.DUMMYFUNCTION("GOOGLETRANSLATE($A4324,""en"",""it"")"),"Novo Mesto")</f>
        <v>Novo Mesto</v>
      </c>
      <c r="G4324" s="9" t="str">
        <f>IFERROR(__xludf.DUMMYFUNCTION("GOOGLETRANSLATE($A4324,""en"",""zh-cn"")"),"新梅斯托")</f>
        <v>新梅斯托</v>
      </c>
      <c r="H4324" s="9" t="str">
        <f>IFERROR(__xludf.DUMMYFUNCTION("GOOGLETRANSLATE($A4324,""en"",""ja"")"),"ノボ メスト")</f>
        <v>ノボ メスト</v>
      </c>
      <c r="I4324" s="9" t="str">
        <f>IFERROR(__xludf.DUMMYFUNCTION("GOOGLETRANSLATE($A4324,""en"",""ko"")"),"노보메스토")</f>
        <v>노보메스토</v>
      </c>
      <c r="J4324" s="9" t="str">
        <f>IFERROR(__xludf.DUMMYFUNCTION("GOOGLETRANSLATE($A4324,""en"",""pt-BR"")"),"Novo Mesto")</f>
        <v>Novo Mesto</v>
      </c>
    </row>
    <row r="4325">
      <c r="A4325" s="9" t="str">
        <f>IFERROR(__xludf.DUMMYFUNCTION("""COMPUTED_VALUE"""),"Odranci")</f>
        <v>Odranci</v>
      </c>
      <c r="B4325" s="9" t="str">
        <f>IFERROR(__xludf.DUMMYFUNCTION("""COMPUTED_VALUE"""),"si-086")</f>
        <v>si-086</v>
      </c>
      <c r="C4325" s="9" t="str">
        <f>IFERROR(__xludf.DUMMYFUNCTION("GOOGLETRANSLATE($A4325,""en"",""de"")"),"Odranci")</f>
        <v>Odranci</v>
      </c>
      <c r="D4325" s="9" t="str">
        <f>IFERROR(__xludf.DUMMYFUNCTION("GOOGLETRANSLATE($A4325,""en"",""fr"")"),"Odrance")</f>
        <v>Odrance</v>
      </c>
      <c r="E4325" s="9" t="str">
        <f>IFERROR(__xludf.DUMMYFUNCTION("GOOGLETRANSLATE($A4325,""en"",""es"")"),"Odranci")</f>
        <v>Odranci</v>
      </c>
      <c r="F4325" s="9" t="str">
        <f>IFERROR(__xludf.DUMMYFUNCTION("GOOGLETRANSLATE($A4325,""en"",""it"")"),"Odranci")</f>
        <v>Odranci</v>
      </c>
      <c r="G4325" s="9" t="str">
        <f>IFERROR(__xludf.DUMMYFUNCTION("GOOGLETRANSLATE($A4325,""en"",""zh-cn"")"),"奥德兰奇")</f>
        <v>奥德兰奇</v>
      </c>
      <c r="H4325" s="9" t="str">
        <f>IFERROR(__xludf.DUMMYFUNCTION("GOOGLETRANSLATE($A4325,""en"",""ja"")"),"オドランチ")</f>
        <v>オドランチ</v>
      </c>
      <c r="I4325" s="9" t="str">
        <f>IFERROR(__xludf.DUMMYFUNCTION("GOOGLETRANSLATE($A4325,""en"",""ko"")"),"오드란시")</f>
        <v>오드란시</v>
      </c>
      <c r="J4325" s="9" t="str">
        <f>IFERROR(__xludf.DUMMYFUNCTION("GOOGLETRANSLATE($A4325,""en"",""pt-BR"")"),"Odranci")</f>
        <v>Odranci</v>
      </c>
    </row>
    <row r="4326">
      <c r="A4326" s="9" t="str">
        <f>IFERROR(__xludf.DUMMYFUNCTION("""COMPUTED_VALUE"""),"Oplotnica")</f>
        <v>Oplotnica</v>
      </c>
      <c r="B4326" s="9" t="str">
        <f>IFERROR(__xludf.DUMMYFUNCTION("""COMPUTED_VALUE"""),"si-171")</f>
        <v>si-171</v>
      </c>
      <c r="C4326" s="9" t="str">
        <f>IFERROR(__xludf.DUMMYFUNCTION("GOOGLETRANSLATE($A4326,""en"",""de"")"),"Oplotnica")</f>
        <v>Oplotnica</v>
      </c>
      <c r="D4326" s="9" t="str">
        <f>IFERROR(__xludf.DUMMYFUNCTION("GOOGLETRANSLATE($A4326,""en"",""fr"")"),"Oplotnica")</f>
        <v>Oplotnica</v>
      </c>
      <c r="E4326" s="9" t="str">
        <f>IFERROR(__xludf.DUMMYFUNCTION("GOOGLETRANSLATE($A4326,""en"",""es"")"),"oplotnica")</f>
        <v>oplotnica</v>
      </c>
      <c r="F4326" s="9" t="str">
        <f>IFERROR(__xludf.DUMMYFUNCTION("GOOGLETRANSLATE($A4326,""en"",""it"")"),"Oplotnica")</f>
        <v>Oplotnica</v>
      </c>
      <c r="G4326" s="9" t="str">
        <f>IFERROR(__xludf.DUMMYFUNCTION("GOOGLETRANSLATE($A4326,""en"",""zh-cn"")"),"奥普洛特尼卡")</f>
        <v>奥普洛特尼卡</v>
      </c>
      <c r="H4326" s="9" t="str">
        <f>IFERROR(__xludf.DUMMYFUNCTION("GOOGLETRANSLATE($A4326,""en"",""ja"")"),"オプロニカ")</f>
        <v>オプロニカ</v>
      </c>
      <c r="I4326" s="9" t="str">
        <f>IFERROR(__xludf.DUMMYFUNCTION("GOOGLETRANSLATE($A4326,""en"",""ko"")"),"오플로트니차")</f>
        <v>오플로트니차</v>
      </c>
      <c r="J4326" s="9" t="str">
        <f>IFERROR(__xludf.DUMMYFUNCTION("GOOGLETRANSLATE($A4326,""en"",""pt-BR"")"),"Oplotnica")</f>
        <v>Oplotnica</v>
      </c>
    </row>
    <row r="4327">
      <c r="A4327" s="9" t="str">
        <f>IFERROR(__xludf.DUMMYFUNCTION("""COMPUTED_VALUE"""),"Murska Sobota")</f>
        <v>Murska Sobota</v>
      </c>
      <c r="B4327" s="9" t="str">
        <f>IFERROR(__xludf.DUMMYFUNCTION("""COMPUTED_VALUE"""),"si-080")</f>
        <v>si-080</v>
      </c>
      <c r="C4327" s="9" t="str">
        <f>IFERROR(__xludf.DUMMYFUNCTION("GOOGLETRANSLATE($A4327,""en"",""de"")"),"Murska Sobota")</f>
        <v>Murska Sobota</v>
      </c>
      <c r="D4327" s="9" t="str">
        <f>IFERROR(__xludf.DUMMYFUNCTION("GOOGLETRANSLATE($A4327,""en"",""fr"")"),"Murska Sobota")</f>
        <v>Murska Sobota</v>
      </c>
      <c r="E4327" s="9" t="str">
        <f>IFERROR(__xludf.DUMMYFUNCTION("GOOGLETRANSLATE($A4327,""en"",""es"")"),"Murska Sobota")</f>
        <v>Murska Sobota</v>
      </c>
      <c r="F4327" s="9" t="str">
        <f>IFERROR(__xludf.DUMMYFUNCTION("GOOGLETRANSLATE($A4327,""en"",""it"")"),"Murska Sobota")</f>
        <v>Murska Sobota</v>
      </c>
      <c r="G4327" s="9" t="str">
        <f>IFERROR(__xludf.DUMMYFUNCTION("GOOGLETRANSLATE($A4327,""en"",""zh-cn"")"),"穆斯卡·索博塔")</f>
        <v>穆斯卡·索博塔</v>
      </c>
      <c r="H4327" s="9" t="str">
        <f>IFERROR(__xludf.DUMMYFUNCTION("GOOGLETRANSLATE($A4327,""en"",""ja"")"),"ムルスカ・ソボタ")</f>
        <v>ムルスカ・ソボタ</v>
      </c>
      <c r="I4327" s="9" t="str">
        <f>IFERROR(__xludf.DUMMYFUNCTION("GOOGLETRANSLATE($A4327,""en"",""ko"")"),"무르스카 소보타")</f>
        <v>무르스카 소보타</v>
      </c>
      <c r="J4327" s="9" t="str">
        <f>IFERROR(__xludf.DUMMYFUNCTION("GOOGLETRANSLATE($A4327,""en"",""pt-BR"")"),"Murska Sobota")</f>
        <v>Murska Sobota</v>
      </c>
    </row>
    <row r="4328">
      <c r="A4328" s="9" t="str">
        <f>IFERROR(__xludf.DUMMYFUNCTION("""COMPUTED_VALUE"""),"Muta")</f>
        <v>Muta</v>
      </c>
      <c r="B4328" s="9" t="str">
        <f>IFERROR(__xludf.DUMMYFUNCTION("""COMPUTED_VALUE"""),"si-081")</f>
        <v>si-081</v>
      </c>
      <c r="C4328" s="9" t="str">
        <f>IFERROR(__xludf.DUMMYFUNCTION("GOOGLETRANSLATE($A4328,""en"",""de"")"),"Muta")</f>
        <v>Muta</v>
      </c>
      <c r="D4328" s="9" t="str">
        <f>IFERROR(__xludf.DUMMYFUNCTION("GOOGLETRANSLATE($A4328,""en"",""fr"")"),"Muta")</f>
        <v>Muta</v>
      </c>
      <c r="E4328" s="9" t="str">
        <f>IFERROR(__xludf.DUMMYFUNCTION("GOOGLETRANSLATE($A4328,""en"",""es"")"),"muta")</f>
        <v>muta</v>
      </c>
      <c r="F4328" s="9" t="str">
        <f>IFERROR(__xludf.DUMMYFUNCTION("GOOGLETRANSLATE($A4328,""en"",""it"")"),"Muta")</f>
        <v>Muta</v>
      </c>
      <c r="G4328" s="9" t="str">
        <f>IFERROR(__xludf.DUMMYFUNCTION("GOOGLETRANSLATE($A4328,""en"",""zh-cn"")"),"穆塔")</f>
        <v>穆塔</v>
      </c>
      <c r="H4328" s="9" t="str">
        <f>IFERROR(__xludf.DUMMYFUNCTION("GOOGLETRANSLATE($A4328,""en"",""ja"")"),"牟田")</f>
        <v>牟田</v>
      </c>
      <c r="I4328" s="9" t="str">
        <f>IFERROR(__xludf.DUMMYFUNCTION("GOOGLETRANSLATE($A4328,""en"",""ko"")"),"무타")</f>
        <v>무타</v>
      </c>
      <c r="J4328" s="9" t="str">
        <f>IFERROR(__xludf.DUMMYFUNCTION("GOOGLETRANSLATE($A4328,""en"",""pt-BR"")"),"Muta")</f>
        <v>Muta</v>
      </c>
    </row>
    <row r="4329">
      <c r="A4329" s="9" t="str">
        <f>IFERROR(__xludf.DUMMYFUNCTION("""COMPUTED_VALUE"""),"Naklo")</f>
        <v>Naklo</v>
      </c>
      <c r="B4329" s="9" t="str">
        <f>IFERROR(__xludf.DUMMYFUNCTION("""COMPUTED_VALUE"""),"si-082")</f>
        <v>si-082</v>
      </c>
      <c r="C4329" s="9" t="str">
        <f>IFERROR(__xludf.DUMMYFUNCTION("GOOGLETRANSLATE($A4329,""en"",""de"")"),"Naklo")</f>
        <v>Naklo</v>
      </c>
      <c r="D4329" s="9" t="str">
        <f>IFERROR(__xludf.DUMMYFUNCTION("GOOGLETRANSLATE($A4329,""en"",""fr"")"),"Naklo")</f>
        <v>Naklo</v>
      </c>
      <c r="E4329" s="9" t="str">
        <f>IFERROR(__xludf.DUMMYFUNCTION("GOOGLETRANSLATE($A4329,""en"",""es"")"),"Nakló")</f>
        <v>Nakló</v>
      </c>
      <c r="F4329" s="9" t="str">
        <f>IFERROR(__xludf.DUMMYFUNCTION("GOOGLETRANSLATE($A4329,""en"",""it"")"),"Naklo")</f>
        <v>Naklo</v>
      </c>
      <c r="G4329" s="9" t="str">
        <f>IFERROR(__xludf.DUMMYFUNCTION("GOOGLETRANSLATE($A4329,""en"",""zh-cn"")"),"纳克洛")</f>
        <v>纳克洛</v>
      </c>
      <c r="H4329" s="9" t="str">
        <f>IFERROR(__xludf.DUMMYFUNCTION("GOOGLETRANSLATE($A4329,""en"",""ja"")"),"ナクロ")</f>
        <v>ナクロ</v>
      </c>
      <c r="I4329" s="9" t="str">
        <f>IFERROR(__xludf.DUMMYFUNCTION("GOOGLETRANSLATE($A4329,""en"",""ko"")"),"나클로")</f>
        <v>나클로</v>
      </c>
      <c r="J4329" s="9" t="str">
        <f>IFERROR(__xludf.DUMMYFUNCTION("GOOGLETRANSLATE($A4329,""en"",""pt-BR"")"),"Naklo")</f>
        <v>Naklo</v>
      </c>
    </row>
    <row r="4330">
      <c r="A4330" s="9" t="str">
        <f>IFERROR(__xludf.DUMMYFUNCTION("""COMPUTED_VALUE"""),"Nazarje")</f>
        <v>Nazarje</v>
      </c>
      <c r="B4330" s="9" t="str">
        <f>IFERROR(__xludf.DUMMYFUNCTION("""COMPUTED_VALUE"""),"si-083")</f>
        <v>si-083</v>
      </c>
      <c r="C4330" s="9" t="str">
        <f>IFERROR(__xludf.DUMMYFUNCTION("GOOGLETRANSLATE($A4330,""en"",""de"")"),"Nazarje")</f>
        <v>Nazarje</v>
      </c>
      <c r="D4330" s="9" t="str">
        <f>IFERROR(__xludf.DUMMYFUNCTION("GOOGLETRANSLATE($A4330,""en"",""fr"")"),"Nazarjé")</f>
        <v>Nazarjé</v>
      </c>
      <c r="E4330" s="9" t="str">
        <f>IFERROR(__xludf.DUMMYFUNCTION("GOOGLETRANSLATE($A4330,""en"",""es"")"),"Nazarje")</f>
        <v>Nazarje</v>
      </c>
      <c r="F4330" s="9" t="str">
        <f>IFERROR(__xludf.DUMMYFUNCTION("GOOGLETRANSLATE($A4330,""en"",""it"")"),"Nazarje")</f>
        <v>Nazarje</v>
      </c>
      <c r="G4330" s="9" t="str">
        <f>IFERROR(__xludf.DUMMYFUNCTION("GOOGLETRANSLATE($A4330,""en"",""zh-cn"")"),"纳扎列")</f>
        <v>纳扎列</v>
      </c>
      <c r="H4330" s="9" t="str">
        <f>IFERROR(__xludf.DUMMYFUNCTION("GOOGLETRANSLATE($A4330,""en"",""ja"")"),"ナザリェ")</f>
        <v>ナザリェ</v>
      </c>
      <c r="I4330" s="9" t="str">
        <f>IFERROR(__xludf.DUMMYFUNCTION("GOOGLETRANSLATE($A4330,""en"",""ko"")"),"나자르예")</f>
        <v>나자르예</v>
      </c>
      <c r="J4330" s="9" t="str">
        <f>IFERROR(__xludf.DUMMYFUNCTION("GOOGLETRANSLATE($A4330,""en"",""pt-BR"")"),"Nazarje")</f>
        <v>Nazarje</v>
      </c>
    </row>
    <row r="4331">
      <c r="A4331" s="9" t="str">
        <f>IFERROR(__xludf.DUMMYFUNCTION("""COMPUTED_VALUE"""),"Mokronog-Trebelno")</f>
        <v>Mokronog-Trebelno</v>
      </c>
      <c r="B4331" s="9" t="str">
        <f>IFERROR(__xludf.DUMMYFUNCTION("""COMPUTED_VALUE"""),"si-199")</f>
        <v>si-199</v>
      </c>
      <c r="C4331" s="9" t="str">
        <f>IFERROR(__xludf.DUMMYFUNCTION("GOOGLETRANSLATE($A4331,""en"",""de"")"),"Mokronog-Trebelno")</f>
        <v>Mokronog-Trebelno</v>
      </c>
      <c r="D4331" s="9" t="str">
        <f>IFERROR(__xludf.DUMMYFUNCTION("GOOGLETRANSLATE($A4331,""en"",""fr"")"),"Mokronog-Trebelno")</f>
        <v>Mokronog-Trebelno</v>
      </c>
      <c r="E4331" s="9" t="str">
        <f>IFERROR(__xludf.DUMMYFUNCTION("GOOGLETRANSLATE($A4331,""en"",""es"")"),"Mokronog-Trebelno")</f>
        <v>Mokronog-Trebelno</v>
      </c>
      <c r="F4331" s="9" t="str">
        <f>IFERROR(__xludf.DUMMYFUNCTION("GOOGLETRANSLATE($A4331,""en"",""it"")"),"Mokronog-Trebelno")</f>
        <v>Mokronog-Trebelno</v>
      </c>
      <c r="G4331" s="9" t="str">
        <f>IFERROR(__xludf.DUMMYFUNCTION("GOOGLETRANSLATE($A4331,""en"",""zh-cn"")"),"莫克罗诺格-特雷贝尔诺")</f>
        <v>莫克罗诺格-特雷贝尔诺</v>
      </c>
      <c r="H4331" s="9" t="str">
        <f>IFERROR(__xludf.DUMMYFUNCTION("GOOGLETRANSLATE($A4331,""en"",""ja"")"),"モクロノグ・トレベルノ")</f>
        <v>モクロノグ・トレベルノ</v>
      </c>
      <c r="I4331" s="9" t="str">
        <f>IFERROR(__xludf.DUMMYFUNCTION("GOOGLETRANSLATE($A4331,""en"",""ko"")"),"모크로노그-트레벨노")</f>
        <v>모크로노그-트레벨노</v>
      </c>
      <c r="J4331" s="9" t="str">
        <f>IFERROR(__xludf.DUMMYFUNCTION("GOOGLETRANSLATE($A4331,""en"",""pt-BR"")"),"Mokronog-Trebelno")</f>
        <v>Mokronog-Trebelno</v>
      </c>
    </row>
    <row r="4332">
      <c r="A4332" s="9" t="str">
        <f>IFERROR(__xludf.DUMMYFUNCTION("""COMPUTED_VALUE"""),"Moravče")</f>
        <v>Moravče</v>
      </c>
      <c r="B4332" s="9" t="str">
        <f>IFERROR(__xludf.DUMMYFUNCTION("""COMPUTED_VALUE"""),"si-077")</f>
        <v>si-077</v>
      </c>
      <c r="C4332" s="9" t="str">
        <f>IFERROR(__xludf.DUMMYFUNCTION("GOOGLETRANSLATE($A4332,""en"",""de"")"),"Moravče")</f>
        <v>Moravče</v>
      </c>
      <c r="D4332" s="9" t="str">
        <f>IFERROR(__xludf.DUMMYFUNCTION("GOOGLETRANSLATE($A4332,""en"",""fr"")"),"Moravče")</f>
        <v>Moravče</v>
      </c>
      <c r="E4332" s="9" t="str">
        <f>IFERROR(__xludf.DUMMYFUNCTION("GOOGLETRANSLATE($A4332,""en"",""es"")"),"Moravče")</f>
        <v>Moravče</v>
      </c>
      <c r="F4332" s="9" t="str">
        <f>IFERROR(__xludf.DUMMYFUNCTION("GOOGLETRANSLATE($A4332,""en"",""it"")"),"Moravče")</f>
        <v>Moravče</v>
      </c>
      <c r="G4332" s="9" t="str">
        <f>IFERROR(__xludf.DUMMYFUNCTION("GOOGLETRANSLATE($A4332,""en"",""zh-cn"")"),"莫拉夫切")</f>
        <v>莫拉夫切</v>
      </c>
      <c r="H4332" s="9" t="str">
        <f>IFERROR(__xludf.DUMMYFUNCTION("GOOGLETRANSLATE($A4332,""en"",""ja"")"),"モラヴチェ")</f>
        <v>モラヴチェ</v>
      </c>
      <c r="I4332" s="9" t="str">
        <f>IFERROR(__xludf.DUMMYFUNCTION("GOOGLETRANSLATE($A4332,""en"",""ko"")"),"모라브체")</f>
        <v>모라브체</v>
      </c>
      <c r="J4332" s="9" t="str">
        <f>IFERROR(__xludf.DUMMYFUNCTION("GOOGLETRANSLATE($A4332,""en"",""pt-BR"")"),"Moravce")</f>
        <v>Moravce</v>
      </c>
    </row>
    <row r="4333">
      <c r="A4333" s="9" t="str">
        <f>IFERROR(__xludf.DUMMYFUNCTION("""COMPUTED_VALUE"""),"Moravske Toplice")</f>
        <v>Moravske Toplice</v>
      </c>
      <c r="B4333" s="9" t="str">
        <f>IFERROR(__xludf.DUMMYFUNCTION("""COMPUTED_VALUE"""),"si-078")</f>
        <v>si-078</v>
      </c>
      <c r="C4333" s="9" t="str">
        <f>IFERROR(__xludf.DUMMYFUNCTION("GOOGLETRANSLATE($A4333,""en"",""de"")"),"Moravske Toplice")</f>
        <v>Moravske Toplice</v>
      </c>
      <c r="D4333" s="9" t="str">
        <f>IFERROR(__xludf.DUMMYFUNCTION("GOOGLETRANSLATE($A4333,""en"",""fr"")"),"Moravske Toplice")</f>
        <v>Moravske Toplice</v>
      </c>
      <c r="E4333" s="9" t="str">
        <f>IFERROR(__xludf.DUMMYFUNCTION("GOOGLETRANSLATE($A4333,""en"",""es"")"),"Moravské Toplice")</f>
        <v>Moravské Toplice</v>
      </c>
      <c r="F4333" s="9" t="str">
        <f>IFERROR(__xludf.DUMMYFUNCTION("GOOGLETRANSLATE($A4333,""en"",""it"")"),"Moravske Toplice")</f>
        <v>Moravske Toplice</v>
      </c>
      <c r="G4333" s="9" t="str">
        <f>IFERROR(__xludf.DUMMYFUNCTION("GOOGLETRANSLATE($A4333,""en"",""zh-cn"")"),"摩拉瓦托普利采")</f>
        <v>摩拉瓦托普利采</v>
      </c>
      <c r="H4333" s="9" t="str">
        <f>IFERROR(__xludf.DUMMYFUNCTION("GOOGLETRANSLATE($A4333,""en"",""ja"")"),"モラフスケ・トプリツェ")</f>
        <v>モラフスケ・トプリツェ</v>
      </c>
      <c r="I4333" s="9" t="str">
        <f>IFERROR(__xludf.DUMMYFUNCTION("GOOGLETRANSLATE($A4333,""en"",""ko"")"),"모라브스케 토플리체")</f>
        <v>모라브스케 토플리체</v>
      </c>
      <c r="J4333" s="9" t="str">
        <f>IFERROR(__xludf.DUMMYFUNCTION("GOOGLETRANSLATE($A4333,""en"",""pt-BR"")"),"Moravske Toplice")</f>
        <v>Moravske Toplice</v>
      </c>
    </row>
    <row r="4334">
      <c r="A4334" s="9" t="str">
        <f>IFERROR(__xludf.DUMMYFUNCTION("""COMPUTED_VALUE"""),"Mozirje")</f>
        <v>Mozirje</v>
      </c>
      <c r="B4334" s="9" t="str">
        <f>IFERROR(__xludf.DUMMYFUNCTION("""COMPUTED_VALUE"""),"si-079")</f>
        <v>si-079</v>
      </c>
      <c r="C4334" s="9" t="str">
        <f>IFERROR(__xludf.DUMMYFUNCTION("GOOGLETRANSLATE($A4334,""en"",""de"")"),"Mozirje")</f>
        <v>Mozirje</v>
      </c>
      <c r="D4334" s="9" t="str">
        <f>IFERROR(__xludf.DUMMYFUNCTION("GOOGLETRANSLATE($A4334,""en"",""fr"")"),"Možirje")</f>
        <v>Možirje</v>
      </c>
      <c r="E4334" s="9" t="str">
        <f>IFERROR(__xludf.DUMMYFUNCTION("GOOGLETRANSLATE($A4334,""en"",""es"")"),"Mozirje")</f>
        <v>Mozirje</v>
      </c>
      <c r="F4334" s="9" t="str">
        <f>IFERROR(__xludf.DUMMYFUNCTION("GOOGLETRANSLATE($A4334,""en"",""it"")"),"Mozirje")</f>
        <v>Mozirje</v>
      </c>
      <c r="G4334" s="9" t="str">
        <f>IFERROR(__xludf.DUMMYFUNCTION("GOOGLETRANSLATE($A4334,""en"",""zh-cn"")"),"莫济列")</f>
        <v>莫济列</v>
      </c>
      <c r="H4334" s="9" t="str">
        <f>IFERROR(__xludf.DUMMYFUNCTION("GOOGLETRANSLATE($A4334,""en"",""ja"")"),"モジリェ")</f>
        <v>モジリェ</v>
      </c>
      <c r="I4334" s="9" t="str">
        <f>IFERROR(__xludf.DUMMYFUNCTION("GOOGLETRANSLATE($A4334,""en"",""ko"")"),"모지리에")</f>
        <v>모지리에</v>
      </c>
      <c r="J4334" s="9" t="str">
        <f>IFERROR(__xludf.DUMMYFUNCTION("GOOGLETRANSLATE($A4334,""en"",""pt-BR"")"),"Mozirje")</f>
        <v>Mozirje</v>
      </c>
    </row>
    <row r="4335">
      <c r="A4335" s="9" t="str">
        <f>IFERROR(__xludf.DUMMYFUNCTION("""COMPUTED_VALUE"""),"Miklavž na Dravskem Polju")</f>
        <v>Miklavž na Dravskem Polju</v>
      </c>
      <c r="B4335" s="9" t="str">
        <f>IFERROR(__xludf.DUMMYFUNCTION("""COMPUTED_VALUE"""),"si-169")</f>
        <v>si-169</v>
      </c>
      <c r="C4335" s="9" t="str">
        <f>IFERROR(__xludf.DUMMYFUNCTION("GOOGLETRANSLATE($A4335,""en"",""de"")"),"Miklavž na Dravskem Polju")</f>
        <v>Miklavž na Dravskem Polju</v>
      </c>
      <c r="D4335" s="9" t="str">
        <f>IFERROR(__xludf.DUMMYFUNCTION("GOOGLETRANSLATE($A4335,""en"",""fr"")"),"Miklavž na Dravskem Polju")</f>
        <v>Miklavž na Dravskem Polju</v>
      </c>
      <c r="E4335" s="9" t="str">
        <f>IFERROR(__xludf.DUMMYFUNCTION("GOOGLETRANSLATE($A4335,""en"",""es"")"),"Miklavž na Dravskem Polju")</f>
        <v>Miklavž na Dravskem Polju</v>
      </c>
      <c r="F4335" s="9" t="str">
        <f>IFERROR(__xludf.DUMMYFUNCTION("GOOGLETRANSLATE($A4335,""en"",""it"")"),"Miklavž na Dravskem Polju")</f>
        <v>Miklavž na Dravskem Polju</v>
      </c>
      <c r="G4335" s="9" t="str">
        <f>IFERROR(__xludf.DUMMYFUNCTION("GOOGLETRANSLATE($A4335,""en"",""zh-cn"")"),"米克拉夫兹·纳·德拉夫斯肯·波尔尤")</f>
        <v>米克拉夫兹·纳·德拉夫斯肯·波尔尤</v>
      </c>
      <c r="H4335" s="9" t="str">
        <f>IFERROR(__xludf.DUMMYFUNCTION("GOOGLETRANSLATE($A4335,""en"",""ja"")"),"ミクラヴシュ・ナ・ドラヴスケム・ポリュ")</f>
        <v>ミクラヴシュ・ナ・ドラヴスケム・ポリュ</v>
      </c>
      <c r="I4335" s="9" t="str">
        <f>IFERROR(__xludf.DUMMYFUNCTION("GOOGLETRANSLATE($A4335,""en"",""ko"")"),"Miklavž na Dravskem Polju")</f>
        <v>Miklavž na Dravskem Polju</v>
      </c>
      <c r="J4335" s="9" t="str">
        <f>IFERROR(__xludf.DUMMYFUNCTION("GOOGLETRANSLATE($A4335,""en"",""pt-BR"")"),"Miklavž na Dravskem Polju")</f>
        <v>Miklavž na Dravskem Polju</v>
      </c>
    </row>
    <row r="4336">
      <c r="A4336" s="9" t="str">
        <f>IFERROR(__xludf.DUMMYFUNCTION("""COMPUTED_VALUE"""),"Miren-Kostanjevica")</f>
        <v>Miren-Kostanjevica</v>
      </c>
      <c r="B4336" s="9" t="str">
        <f>IFERROR(__xludf.DUMMYFUNCTION("""COMPUTED_VALUE"""),"si-075")</f>
        <v>si-075</v>
      </c>
      <c r="C4336" s="9" t="str">
        <f>IFERROR(__xludf.DUMMYFUNCTION("GOOGLETRANSLATE($A4336,""en"",""de"")"),"Miren-Kostanjevica")</f>
        <v>Miren-Kostanjevica</v>
      </c>
      <c r="D4336" s="9" t="str">
        <f>IFERROR(__xludf.DUMMYFUNCTION("GOOGLETRANSLATE($A4336,""en"",""fr"")"),"Miren-Kostanjevica")</f>
        <v>Miren-Kostanjevica</v>
      </c>
      <c r="E4336" s="9" t="str">
        <f>IFERROR(__xludf.DUMMYFUNCTION("GOOGLETRANSLATE($A4336,""en"",""es"")"),"Miren-Kostanjevica")</f>
        <v>Miren-Kostanjevica</v>
      </c>
      <c r="F4336" s="9" t="str">
        <f>IFERROR(__xludf.DUMMYFUNCTION("GOOGLETRANSLATE($A4336,""en"",""it"")"),"Miren-Kostanjevica")</f>
        <v>Miren-Kostanjevica</v>
      </c>
      <c r="G4336" s="9" t="str">
        <f>IFERROR(__xludf.DUMMYFUNCTION("GOOGLETRANSLATE($A4336,""en"",""zh-cn"")"),"米伦-科斯坦耶维察")</f>
        <v>米伦-科斯坦耶维察</v>
      </c>
      <c r="H4336" s="9" t="str">
        <f>IFERROR(__xludf.DUMMYFUNCTION("GOOGLETRANSLATE($A4336,""en"",""ja"")"),"ミレン・コスタニェヴィツァ")</f>
        <v>ミレン・コスタニェヴィツァ</v>
      </c>
      <c r="I4336" s="9" t="str">
        <f>IFERROR(__xludf.DUMMYFUNCTION("GOOGLETRANSLATE($A4336,""en"",""ko"")"),"미렌-코스탄예비차")</f>
        <v>미렌-코스탄예비차</v>
      </c>
      <c r="J4336" s="9" t="str">
        <f>IFERROR(__xludf.DUMMYFUNCTION("GOOGLETRANSLATE($A4336,""en"",""pt-BR"")"),"Miren-Kostanjevica")</f>
        <v>Miren-Kostanjevica</v>
      </c>
    </row>
    <row r="4337">
      <c r="A4337" s="9" t="str">
        <f>IFERROR(__xludf.DUMMYFUNCTION("""COMPUTED_VALUE"""),"Mirna Peč")</f>
        <v>Mirna Peč</v>
      </c>
      <c r="B4337" s="9" t="str">
        <f>IFERROR(__xludf.DUMMYFUNCTION("""COMPUTED_VALUE"""),"si-170")</f>
        <v>si-170</v>
      </c>
      <c r="C4337" s="9" t="str">
        <f>IFERROR(__xludf.DUMMYFUNCTION("GOOGLETRANSLATE($A4337,""en"",""de"")"),"Mirna Peč")</f>
        <v>Mirna Peč</v>
      </c>
      <c r="D4337" s="9" t="str">
        <f>IFERROR(__xludf.DUMMYFUNCTION("GOOGLETRANSLATE($A4337,""en"",""fr"")"),"Mirna Peč")</f>
        <v>Mirna Peč</v>
      </c>
      <c r="E4337" s="9" t="str">
        <f>IFERROR(__xludf.DUMMYFUNCTION("GOOGLETRANSLATE($A4337,""en"",""es"")"),"Mirna Peč")</f>
        <v>Mirna Peč</v>
      </c>
      <c r="F4337" s="9" t="str">
        <f>IFERROR(__xludf.DUMMYFUNCTION("GOOGLETRANSLATE($A4337,""en"",""it"")"),"Mirna Peč")</f>
        <v>Mirna Peč</v>
      </c>
      <c r="G4337" s="9" t="str">
        <f>IFERROR(__xludf.DUMMYFUNCTION("GOOGLETRANSLATE($A4337,""en"",""zh-cn"")"),"米尔娜·佩奇")</f>
        <v>米尔娜·佩奇</v>
      </c>
      <c r="H4337" s="9" t="str">
        <f>IFERROR(__xludf.DUMMYFUNCTION("GOOGLETRANSLATE($A4337,""en"",""ja"")"),"ミルナ・ペチ")</f>
        <v>ミルナ・ペチ</v>
      </c>
      <c r="I4337" s="9" t="str">
        <f>IFERROR(__xludf.DUMMYFUNCTION("GOOGLETRANSLATE($A4337,""en"",""ko"")"),"미르나 페치")</f>
        <v>미르나 페치</v>
      </c>
      <c r="J4337" s="9" t="str">
        <f>IFERROR(__xludf.DUMMYFUNCTION("GOOGLETRANSLATE($A4337,""en"",""pt-BR"")"),"Mirna Peč")</f>
        <v>Mirna Peč</v>
      </c>
    </row>
    <row r="4338">
      <c r="A4338" s="9" t="str">
        <f>IFERROR(__xludf.DUMMYFUNCTION("""COMPUTED_VALUE"""),"Mislinja")</f>
        <v>Mislinja</v>
      </c>
      <c r="B4338" s="9" t="str">
        <f>IFERROR(__xludf.DUMMYFUNCTION("""COMPUTED_VALUE"""),"si-076")</f>
        <v>si-076</v>
      </c>
      <c r="C4338" s="9" t="str">
        <f>IFERROR(__xludf.DUMMYFUNCTION("GOOGLETRANSLATE($A4338,""en"",""de"")"),"Mislinja")</f>
        <v>Mislinja</v>
      </c>
      <c r="D4338" s="9" t="str">
        <f>IFERROR(__xludf.DUMMYFUNCTION("GOOGLETRANSLATE($A4338,""en"",""fr"")"),"Mislinja")</f>
        <v>Mislinja</v>
      </c>
      <c r="E4338" s="9" t="str">
        <f>IFERROR(__xludf.DUMMYFUNCTION("GOOGLETRANSLATE($A4338,""en"",""es"")"),"Mislinja")</f>
        <v>Mislinja</v>
      </c>
      <c r="F4338" s="9" t="str">
        <f>IFERROR(__xludf.DUMMYFUNCTION("GOOGLETRANSLATE($A4338,""en"",""it"")"),"Mislinja")</f>
        <v>Mislinja</v>
      </c>
      <c r="G4338" s="9" t="str">
        <f>IFERROR(__xludf.DUMMYFUNCTION("GOOGLETRANSLATE($A4338,""en"",""zh-cn"")"),"米斯林贾")</f>
        <v>米斯林贾</v>
      </c>
      <c r="H4338" s="9" t="str">
        <f>IFERROR(__xludf.DUMMYFUNCTION("GOOGLETRANSLATE($A4338,""en"",""ja"")"),"ミスリンジャ")</f>
        <v>ミスリンジャ</v>
      </c>
      <c r="I4338" s="9" t="str">
        <f>IFERROR(__xludf.DUMMYFUNCTION("GOOGLETRANSLATE($A4338,""en"",""ko"")"),"미슬린야")</f>
        <v>미슬린야</v>
      </c>
      <c r="J4338" s="9" t="str">
        <f>IFERROR(__xludf.DUMMYFUNCTION("GOOGLETRANSLATE($A4338,""en"",""pt-BR"")"),"Mislinja")</f>
        <v>Mislinja</v>
      </c>
    </row>
    <row r="4339">
      <c r="A4339" s="9" t="str">
        <f>IFERROR(__xludf.DUMMYFUNCTION("""COMPUTED_VALUE"""),"Poljčane")</f>
        <v>Poljčane</v>
      </c>
      <c r="B4339" s="9" t="str">
        <f>IFERROR(__xludf.DUMMYFUNCTION("""COMPUTED_VALUE"""),"si-200")</f>
        <v>si-200</v>
      </c>
      <c r="C4339" s="9" t="str">
        <f>IFERROR(__xludf.DUMMYFUNCTION("GOOGLETRANSLATE($A4339,""en"",""de"")"),"Poljčane")</f>
        <v>Poljčane</v>
      </c>
      <c r="D4339" s="9" t="str">
        <f>IFERROR(__xludf.DUMMYFUNCTION("GOOGLETRANSLATE($A4339,""en"",""fr"")"),"Poljcane")</f>
        <v>Poljcane</v>
      </c>
      <c r="E4339" s="9" t="str">
        <f>IFERROR(__xludf.DUMMYFUNCTION("GOOGLETRANSLATE($A4339,""en"",""es"")"),"Poljčane")</f>
        <v>Poljčane</v>
      </c>
      <c r="F4339" s="9" t="str">
        <f>IFERROR(__xludf.DUMMYFUNCTION("GOOGLETRANSLATE($A4339,""en"",""it"")"),"Poljčane")</f>
        <v>Poljčane</v>
      </c>
      <c r="G4339" s="9" t="str">
        <f>IFERROR(__xludf.DUMMYFUNCTION("GOOGLETRANSLATE($A4339,""en"",""zh-cn"")"),"波利查内")</f>
        <v>波利查内</v>
      </c>
      <c r="H4339" s="9" t="str">
        <f>IFERROR(__xludf.DUMMYFUNCTION("GOOGLETRANSLATE($A4339,""en"",""ja"")"),"ポリチャネ")</f>
        <v>ポリチャネ</v>
      </c>
      <c r="I4339" s="9" t="str">
        <f>IFERROR(__xludf.DUMMYFUNCTION("GOOGLETRANSLATE($A4339,""en"",""ko"")"),"폴리차네")</f>
        <v>폴리차네</v>
      </c>
      <c r="J4339" s="9" t="str">
        <f>IFERROR(__xludf.DUMMYFUNCTION("GOOGLETRANSLATE($A4339,""en"",""pt-BR"")"),"Poljčane")</f>
        <v>Poljčane</v>
      </c>
    </row>
    <row r="4340">
      <c r="A4340" s="9" t="str">
        <f>IFERROR(__xludf.DUMMYFUNCTION("""COMPUTED_VALUE"""),"Pivka")</f>
        <v>Pivka</v>
      </c>
      <c r="B4340" s="9" t="str">
        <f>IFERROR(__xludf.DUMMYFUNCTION("""COMPUTED_VALUE"""),"si-091")</f>
        <v>si-091</v>
      </c>
      <c r="C4340" s="9" t="str">
        <f>IFERROR(__xludf.DUMMYFUNCTION("GOOGLETRANSLATE($A4340,""en"",""de"")"),"Pivka")</f>
        <v>Pivka</v>
      </c>
      <c r="D4340" s="9" t="str">
        <f>IFERROR(__xludf.DUMMYFUNCTION("GOOGLETRANSLATE($A4340,""en"",""fr"")"),"Pivka")</f>
        <v>Pivka</v>
      </c>
      <c r="E4340" s="9" t="str">
        <f>IFERROR(__xludf.DUMMYFUNCTION("GOOGLETRANSLATE($A4340,""en"",""es"")"),"Pivká")</f>
        <v>Pivká</v>
      </c>
      <c r="F4340" s="9" t="str">
        <f>IFERROR(__xludf.DUMMYFUNCTION("GOOGLETRANSLATE($A4340,""en"",""it"")"),"Pivka")</f>
        <v>Pivka</v>
      </c>
      <c r="G4340" s="9" t="str">
        <f>IFERROR(__xludf.DUMMYFUNCTION("GOOGLETRANSLATE($A4340,""en"",""zh-cn"")"),"皮夫卡")</f>
        <v>皮夫卡</v>
      </c>
      <c r="H4340" s="9" t="str">
        <f>IFERROR(__xludf.DUMMYFUNCTION("GOOGLETRANSLATE($A4340,""en"",""ja"")"),"ピフカ")</f>
        <v>ピフカ</v>
      </c>
      <c r="I4340" s="9" t="str">
        <f>IFERROR(__xludf.DUMMYFUNCTION("GOOGLETRANSLATE($A4340,""en"",""ko"")"),"피브카")</f>
        <v>피브카</v>
      </c>
      <c r="J4340" s="9" t="str">
        <f>IFERROR(__xludf.DUMMYFUNCTION("GOOGLETRANSLATE($A4340,""en"",""pt-BR"")"),"Pivka")</f>
        <v>Pivka</v>
      </c>
    </row>
    <row r="4341">
      <c r="A4341" s="9" t="str">
        <f>IFERROR(__xludf.DUMMYFUNCTION("""COMPUTED_VALUE"""),"Podčetrtek")</f>
        <v>Podčetrtek</v>
      </c>
      <c r="B4341" s="9" t="str">
        <f>IFERROR(__xludf.DUMMYFUNCTION("""COMPUTED_VALUE"""),"si-092")</f>
        <v>si-092</v>
      </c>
      <c r="C4341" s="9" t="str">
        <f>IFERROR(__xludf.DUMMYFUNCTION("GOOGLETRANSLATE($A4341,""en"",""de"")"),"Podčetrtek")</f>
        <v>Podčetrtek</v>
      </c>
      <c r="D4341" s="9" t="str">
        <f>IFERROR(__xludf.DUMMYFUNCTION("GOOGLETRANSLATE($A4341,""en"",""fr"")"),"Podčetrtek")</f>
        <v>Podčetrtek</v>
      </c>
      <c r="E4341" s="9" t="str">
        <f>IFERROR(__xludf.DUMMYFUNCTION("GOOGLETRANSLATE($A4341,""en"",""es"")"),"Podčetrtek")</f>
        <v>Podčetrtek</v>
      </c>
      <c r="F4341" s="9" t="str">
        <f>IFERROR(__xludf.DUMMYFUNCTION("GOOGLETRANSLATE($A4341,""en"",""it"")"),"Podčetrtek")</f>
        <v>Podčetrtek</v>
      </c>
      <c r="G4341" s="9" t="str">
        <f>IFERROR(__xludf.DUMMYFUNCTION("GOOGLETRANSLATE($A4341,""en"",""zh-cn"")"),"波德切特克")</f>
        <v>波德切特克</v>
      </c>
      <c r="H4341" s="9" t="str">
        <f>IFERROR(__xludf.DUMMYFUNCTION("GOOGLETRANSLATE($A4341,""en"",""ja"")"),"ポッチェトルテク")</f>
        <v>ポッチェトルテク</v>
      </c>
      <c r="I4341" s="9" t="str">
        <f>IFERROR(__xludf.DUMMYFUNCTION("GOOGLETRANSLATE($A4341,""en"",""ko"")"),"포드체트텍")</f>
        <v>포드체트텍</v>
      </c>
      <c r="J4341" s="9" t="str">
        <f>IFERROR(__xludf.DUMMYFUNCTION("GOOGLETRANSLATE($A4341,""en"",""pt-BR"")"),"Podčetrtek")</f>
        <v>Podčetrtek</v>
      </c>
    </row>
    <row r="4342">
      <c r="A4342" s="9" t="str">
        <f>IFERROR(__xludf.DUMMYFUNCTION("""COMPUTED_VALUE"""),"Podlehnik")</f>
        <v>Podlehnik</v>
      </c>
      <c r="B4342" s="9" t="str">
        <f>IFERROR(__xludf.DUMMYFUNCTION("""COMPUTED_VALUE"""),"si-172")</f>
        <v>si-172</v>
      </c>
      <c r="C4342" s="9" t="str">
        <f>IFERROR(__xludf.DUMMYFUNCTION("GOOGLETRANSLATE($A4342,""en"",""de"")"),"Podlehnik")</f>
        <v>Podlehnik</v>
      </c>
      <c r="D4342" s="9" t="str">
        <f>IFERROR(__xludf.DUMMYFUNCTION("GOOGLETRANSLATE($A4342,""en"",""fr"")"),"Podlehnik")</f>
        <v>Podlehnik</v>
      </c>
      <c r="E4342" s="9" t="str">
        <f>IFERROR(__xludf.DUMMYFUNCTION("GOOGLETRANSLATE($A4342,""en"",""es"")"),"podlehnik")</f>
        <v>podlehnik</v>
      </c>
      <c r="F4342" s="9" t="str">
        <f>IFERROR(__xludf.DUMMYFUNCTION("GOOGLETRANSLATE($A4342,""en"",""it"")"),"Podlehnik")</f>
        <v>Podlehnik</v>
      </c>
      <c r="G4342" s="9" t="str">
        <f>IFERROR(__xludf.DUMMYFUNCTION("GOOGLETRANSLATE($A4342,""en"",""zh-cn"")"),"波德莱尼克")</f>
        <v>波德莱尼克</v>
      </c>
      <c r="H4342" s="9" t="str">
        <f>IFERROR(__xludf.DUMMYFUNCTION("GOOGLETRANSLATE($A4342,""en"",""ja"")"),"ポドレーニク")</f>
        <v>ポドレーニク</v>
      </c>
      <c r="I4342" s="9" t="str">
        <f>IFERROR(__xludf.DUMMYFUNCTION("GOOGLETRANSLATE($A4342,""en"",""ko"")"),"포들레닉")</f>
        <v>포들레닉</v>
      </c>
      <c r="J4342" s="9" t="str">
        <f>IFERROR(__xludf.DUMMYFUNCTION("GOOGLETRANSLATE($A4342,""en"",""pt-BR"")"),"Podlehnik")</f>
        <v>Podlehnik</v>
      </c>
    </row>
    <row r="4343">
      <c r="A4343" s="9" t="str">
        <f>IFERROR(__xludf.DUMMYFUNCTION("""COMPUTED_VALUE"""),"Podvelka")</f>
        <v>Podvelka</v>
      </c>
      <c r="B4343" s="9" t="str">
        <f>IFERROR(__xludf.DUMMYFUNCTION("""COMPUTED_VALUE"""),"si-093")</f>
        <v>si-093</v>
      </c>
      <c r="C4343" s="9" t="str">
        <f>IFERROR(__xludf.DUMMYFUNCTION("GOOGLETRANSLATE($A4343,""en"",""de"")"),"Podvelka")</f>
        <v>Podvelka</v>
      </c>
      <c r="D4343" s="9" t="str">
        <f>IFERROR(__xludf.DUMMYFUNCTION("GOOGLETRANSLATE($A4343,""en"",""fr"")"),"Podvelka")</f>
        <v>Podvelka</v>
      </c>
      <c r="E4343" s="9" t="str">
        <f>IFERROR(__xludf.DUMMYFUNCTION("GOOGLETRANSLATE($A4343,""en"",""es"")"),"Podvelka")</f>
        <v>Podvelka</v>
      </c>
      <c r="F4343" s="9" t="str">
        <f>IFERROR(__xludf.DUMMYFUNCTION("GOOGLETRANSLATE($A4343,""en"",""it"")"),"Podvelka")</f>
        <v>Podvelka</v>
      </c>
      <c r="G4343" s="9" t="str">
        <f>IFERROR(__xludf.DUMMYFUNCTION("GOOGLETRANSLATE($A4343,""en"",""zh-cn"")"),"波德韦尔卡")</f>
        <v>波德韦尔卡</v>
      </c>
      <c r="H4343" s="9" t="str">
        <f>IFERROR(__xludf.DUMMYFUNCTION("GOOGLETRANSLATE($A4343,""en"",""ja"")"),"ポドヴェルカ")</f>
        <v>ポドヴェルカ</v>
      </c>
      <c r="I4343" s="9" t="str">
        <f>IFERROR(__xludf.DUMMYFUNCTION("GOOGLETRANSLATE($A4343,""en"",""ko"")"),"포드벨카")</f>
        <v>포드벨카</v>
      </c>
      <c r="J4343" s="9" t="str">
        <f>IFERROR(__xludf.DUMMYFUNCTION("GOOGLETRANSLATE($A4343,""en"",""pt-BR"")"),"Podvelka")</f>
        <v>Podvelka</v>
      </c>
    </row>
    <row r="4344">
      <c r="A4344" s="9" t="str">
        <f>IFERROR(__xludf.DUMMYFUNCTION("""COMPUTED_VALUE"""),"Ormož")</f>
        <v>Ormož</v>
      </c>
      <c r="B4344" s="9" t="str">
        <f>IFERROR(__xludf.DUMMYFUNCTION("""COMPUTED_VALUE"""),"si-087")</f>
        <v>si-087</v>
      </c>
      <c r="C4344" s="9" t="str">
        <f>IFERROR(__xludf.DUMMYFUNCTION("GOOGLETRANSLATE($A4344,""en"",""de"")"),"Ormož")</f>
        <v>Ormož</v>
      </c>
      <c r="D4344" s="9" t="str">
        <f>IFERROR(__xludf.DUMMYFUNCTION("GOOGLETRANSLATE($A4344,""en"",""fr"")"),"Ormož")</f>
        <v>Ormož</v>
      </c>
      <c r="E4344" s="9" t="str">
        <f>IFERROR(__xludf.DUMMYFUNCTION("GOOGLETRANSLATE($A4344,""en"",""es"")"),"Ormož")</f>
        <v>Ormož</v>
      </c>
      <c r="F4344" s="9" t="str">
        <f>IFERROR(__xludf.DUMMYFUNCTION("GOOGLETRANSLATE($A4344,""en"",""it"")"),"Ormoz")</f>
        <v>Ormoz</v>
      </c>
      <c r="G4344" s="9" t="str">
        <f>IFERROR(__xludf.DUMMYFUNCTION("GOOGLETRANSLATE($A4344,""en"",""zh-cn"")"),"奥尔莫兹")</f>
        <v>奥尔莫兹</v>
      </c>
      <c r="H4344" s="9" t="str">
        <f>IFERROR(__xludf.DUMMYFUNCTION("GOOGLETRANSLATE($A4344,""en"",""ja"")"),"オルモス")</f>
        <v>オルモス</v>
      </c>
      <c r="I4344" s="9" t="str">
        <f>IFERROR(__xludf.DUMMYFUNCTION("GOOGLETRANSLATE($A4344,""en"",""ko"")"),"오르모즈")</f>
        <v>오르모즈</v>
      </c>
      <c r="J4344" s="9" t="str">
        <f>IFERROR(__xludf.DUMMYFUNCTION("GOOGLETRANSLATE($A4344,""en"",""pt-BR"")"),"Ormož")</f>
        <v>Ormož</v>
      </c>
    </row>
    <row r="4345">
      <c r="A4345" s="9" t="str">
        <f>IFERROR(__xludf.DUMMYFUNCTION("""COMPUTED_VALUE"""),"Osilnica")</f>
        <v>Osilnica</v>
      </c>
      <c r="B4345" s="9" t="str">
        <f>IFERROR(__xludf.DUMMYFUNCTION("""COMPUTED_VALUE"""),"si-088")</f>
        <v>si-088</v>
      </c>
      <c r="C4345" s="9" t="str">
        <f>IFERROR(__xludf.DUMMYFUNCTION("GOOGLETRANSLATE($A4345,""en"",""de"")"),"Ossilnica")</f>
        <v>Ossilnica</v>
      </c>
      <c r="D4345" s="9" t="str">
        <f>IFERROR(__xludf.DUMMYFUNCTION("GOOGLETRANSLATE($A4345,""en"",""fr"")"),"Osilnica")</f>
        <v>Osilnica</v>
      </c>
      <c r="E4345" s="9" t="str">
        <f>IFERROR(__xludf.DUMMYFUNCTION("GOOGLETRANSLATE($A4345,""en"",""es"")"),"Osilnica")</f>
        <v>Osilnica</v>
      </c>
      <c r="F4345" s="9" t="str">
        <f>IFERROR(__xludf.DUMMYFUNCTION("GOOGLETRANSLATE($A4345,""en"",""it"")"),"Osilnica")</f>
        <v>Osilnica</v>
      </c>
      <c r="G4345" s="9" t="str">
        <f>IFERROR(__xludf.DUMMYFUNCTION("GOOGLETRANSLATE($A4345,""en"",""zh-cn"")"),"奥西尔尼察")</f>
        <v>奥西尔尼察</v>
      </c>
      <c r="H4345" s="9" t="str">
        <f>IFERROR(__xludf.DUMMYFUNCTION("GOOGLETRANSLATE($A4345,""en"",""ja"")"),"オシルニカ")</f>
        <v>オシルニカ</v>
      </c>
      <c r="I4345" s="9" t="str">
        <f>IFERROR(__xludf.DUMMYFUNCTION("GOOGLETRANSLATE($A4345,""en"",""ko"")"),"오실니카")</f>
        <v>오실니카</v>
      </c>
      <c r="J4345" s="9" t="str">
        <f>IFERROR(__xludf.DUMMYFUNCTION("GOOGLETRANSLATE($A4345,""en"",""pt-BR"")"),"Osilnica")</f>
        <v>Osilnica</v>
      </c>
    </row>
    <row r="4346">
      <c r="A4346" s="9" t="str">
        <f>IFERROR(__xludf.DUMMYFUNCTION("""COMPUTED_VALUE"""),"Pesnica")</f>
        <v>Pesnica</v>
      </c>
      <c r="B4346" s="9" t="str">
        <f>IFERROR(__xludf.DUMMYFUNCTION("""COMPUTED_VALUE"""),"si-089")</f>
        <v>si-089</v>
      </c>
      <c r="C4346" s="9" t="str">
        <f>IFERROR(__xludf.DUMMYFUNCTION("GOOGLETRANSLATE($A4346,""en"",""de"")"),"Pesnica")</f>
        <v>Pesnica</v>
      </c>
      <c r="D4346" s="9" t="str">
        <f>IFERROR(__xludf.DUMMYFUNCTION("GOOGLETRANSLATE($A4346,""en"",""fr"")"),"Pesnica")</f>
        <v>Pesnica</v>
      </c>
      <c r="E4346" s="9" t="str">
        <f>IFERROR(__xludf.DUMMYFUNCTION("GOOGLETRANSLATE($A4346,""en"",""es"")"),"Pesnica")</f>
        <v>Pesnica</v>
      </c>
      <c r="F4346" s="9" t="str">
        <f>IFERROR(__xludf.DUMMYFUNCTION("GOOGLETRANSLATE($A4346,""en"",""it"")"),"Pesnica")</f>
        <v>Pesnica</v>
      </c>
      <c r="G4346" s="9" t="str">
        <f>IFERROR(__xludf.DUMMYFUNCTION("GOOGLETRANSLATE($A4346,""en"",""zh-cn"")"),"佩斯尼察")</f>
        <v>佩斯尼察</v>
      </c>
      <c r="H4346" s="9" t="str">
        <f>IFERROR(__xludf.DUMMYFUNCTION("GOOGLETRANSLATE($A4346,""en"",""ja"")"),"ペスニカ")</f>
        <v>ペスニカ</v>
      </c>
      <c r="I4346" s="9" t="str">
        <f>IFERROR(__xludf.DUMMYFUNCTION("GOOGLETRANSLATE($A4346,""en"",""ko"")"),"페스니카")</f>
        <v>페스니카</v>
      </c>
      <c r="J4346" s="9" t="str">
        <f>IFERROR(__xludf.DUMMYFUNCTION("GOOGLETRANSLATE($A4346,""en"",""pt-BR"")"),"Pesnica")</f>
        <v>Pesnica</v>
      </c>
    </row>
    <row r="4347">
      <c r="A4347" s="9" t="str">
        <f>IFERROR(__xludf.DUMMYFUNCTION("""COMPUTED_VALUE"""),"Piran")</f>
        <v>Piran</v>
      </c>
      <c r="B4347" s="9" t="str">
        <f>IFERROR(__xludf.DUMMYFUNCTION("""COMPUTED_VALUE"""),"si-090")</f>
        <v>si-090</v>
      </c>
      <c r="C4347" s="9" t="str">
        <f>IFERROR(__xludf.DUMMYFUNCTION("GOOGLETRANSLATE($A4347,""en"",""de"")"),"Piran")</f>
        <v>Piran</v>
      </c>
      <c r="D4347" s="9" t="str">
        <f>IFERROR(__xludf.DUMMYFUNCTION("GOOGLETRANSLATE($A4347,""en"",""fr"")"),"Piran")</f>
        <v>Piran</v>
      </c>
      <c r="E4347" s="9" t="str">
        <f>IFERROR(__xludf.DUMMYFUNCTION("GOOGLETRANSLATE($A4347,""en"",""es"")"),"Pirán")</f>
        <v>Pirán</v>
      </c>
      <c r="F4347" s="9" t="str">
        <f>IFERROR(__xludf.DUMMYFUNCTION("GOOGLETRANSLATE($A4347,""en"",""it"")"),"Pirano")</f>
        <v>Pirano</v>
      </c>
      <c r="G4347" s="9" t="str">
        <f>IFERROR(__xludf.DUMMYFUNCTION("GOOGLETRANSLATE($A4347,""en"",""zh-cn"")"),"皮兰")</f>
        <v>皮兰</v>
      </c>
      <c r="H4347" s="9" t="str">
        <f>IFERROR(__xludf.DUMMYFUNCTION("GOOGLETRANSLATE($A4347,""en"",""ja"")"),"ピラン")</f>
        <v>ピラン</v>
      </c>
      <c r="I4347" s="9" t="str">
        <f>IFERROR(__xludf.DUMMYFUNCTION("GOOGLETRANSLATE($A4347,""en"",""ko"")"),"피란")</f>
        <v>피란</v>
      </c>
      <c r="J4347" s="9" t="str">
        <f>IFERROR(__xludf.DUMMYFUNCTION("GOOGLETRANSLATE($A4347,""en"",""pt-BR"")"),"Piran")</f>
        <v>Piran</v>
      </c>
    </row>
    <row r="4348">
      <c r="A4348" s="9" t="str">
        <f>IFERROR(__xludf.DUMMYFUNCTION("""COMPUTED_VALUE"""),"Ilirska Bistrica")</f>
        <v>Ilirska Bistrica</v>
      </c>
      <c r="B4348" s="9" t="str">
        <f>IFERROR(__xludf.DUMMYFUNCTION("""COMPUTED_VALUE"""),"si-038")</f>
        <v>si-038</v>
      </c>
      <c r="C4348" s="9" t="str">
        <f>IFERROR(__xludf.DUMMYFUNCTION("GOOGLETRANSLATE($A4348,""en"",""de"")"),"Ilirska Bistrica")</f>
        <v>Ilirska Bistrica</v>
      </c>
      <c r="D4348" s="9" t="str">
        <f>IFERROR(__xludf.DUMMYFUNCTION("GOOGLETRANSLATE($A4348,""en"",""fr"")"),"Ilirska Bistrica")</f>
        <v>Ilirska Bistrica</v>
      </c>
      <c r="E4348" s="9" t="str">
        <f>IFERROR(__xludf.DUMMYFUNCTION("GOOGLETRANSLATE($A4348,""en"",""es"")"),"Ilirska Bistrica")</f>
        <v>Ilirska Bistrica</v>
      </c>
      <c r="F4348" s="9" t="str">
        <f>IFERROR(__xludf.DUMMYFUNCTION("GOOGLETRANSLATE($A4348,""en"",""it"")"),"Ilirska Bistrica")</f>
        <v>Ilirska Bistrica</v>
      </c>
      <c r="G4348" s="9" t="str">
        <f>IFERROR(__xludf.DUMMYFUNCTION("GOOGLETRANSLATE($A4348,""en"",""zh-cn"")"),"伊利尔斯卡比斯特里察")</f>
        <v>伊利尔斯卡比斯特里察</v>
      </c>
      <c r="H4348" s="9" t="str">
        <f>IFERROR(__xludf.DUMMYFUNCTION("GOOGLETRANSLATE($A4348,""en"",""ja"")"),"イリルスカ・ビストリツァ")</f>
        <v>イリルスカ・ビストリツァ</v>
      </c>
      <c r="I4348" s="9" t="str">
        <f>IFERROR(__xludf.DUMMYFUNCTION("GOOGLETRANSLATE($A4348,""en"",""ko"")"),"일리르스카 비스트리차")</f>
        <v>일리르스카 비스트리차</v>
      </c>
      <c r="J4348" s="9" t="str">
        <f>IFERROR(__xludf.DUMMYFUNCTION("GOOGLETRANSLATE($A4348,""en"",""pt-BR"")"),"Ilirska Bistrica")</f>
        <v>Ilirska Bistrica</v>
      </c>
    </row>
    <row r="4349">
      <c r="A4349" s="9" t="str">
        <f>IFERROR(__xludf.DUMMYFUNCTION("""COMPUTED_VALUE"""),"Ivančna Gorica")</f>
        <v>Ivančna Gorica</v>
      </c>
      <c r="B4349" s="9" t="str">
        <f>IFERROR(__xludf.DUMMYFUNCTION("""COMPUTED_VALUE"""),"si-039")</f>
        <v>si-039</v>
      </c>
      <c r="C4349" s="9" t="str">
        <f>IFERROR(__xludf.DUMMYFUNCTION("GOOGLETRANSLATE($A4349,""en"",""de"")"),"Ivančna Gorica")</f>
        <v>Ivančna Gorica</v>
      </c>
      <c r="D4349" s="9" t="str">
        <f>IFERROR(__xludf.DUMMYFUNCTION("GOOGLETRANSLATE($A4349,""en"",""fr"")"),"Ivančna Gorica")</f>
        <v>Ivančna Gorica</v>
      </c>
      <c r="E4349" s="9" t="str">
        <f>IFERROR(__xludf.DUMMYFUNCTION("GOOGLETRANSLATE($A4349,""en"",""es"")"),"Ivančna Gorica")</f>
        <v>Ivančna Gorica</v>
      </c>
      <c r="F4349" s="9" t="str">
        <f>IFERROR(__xludf.DUMMYFUNCTION("GOOGLETRANSLATE($A4349,""en"",""it"")"),"Ivančna Gorica")</f>
        <v>Ivančna Gorica</v>
      </c>
      <c r="G4349" s="9" t="str">
        <f>IFERROR(__xludf.DUMMYFUNCTION("GOOGLETRANSLATE($A4349,""en"",""zh-cn"")"),"伊万奇纳·戈里察")</f>
        <v>伊万奇纳·戈里察</v>
      </c>
      <c r="H4349" s="9" t="str">
        <f>IFERROR(__xludf.DUMMYFUNCTION("GOOGLETRANSLATE($A4349,""en"",""ja"")"),"イヴァンチナ・ゴリツァ")</f>
        <v>イヴァンチナ・ゴリツァ</v>
      </c>
      <c r="I4349" s="9" t="str">
        <f>IFERROR(__xludf.DUMMYFUNCTION("GOOGLETRANSLATE($A4349,""en"",""ko"")"),"이반치나 고리차")</f>
        <v>이반치나 고리차</v>
      </c>
      <c r="J4349" s="9" t="str">
        <f>IFERROR(__xludf.DUMMYFUNCTION("GOOGLETRANSLATE($A4349,""en"",""pt-BR"")"),"Ivančna Gorica")</f>
        <v>Ivančna Gorica</v>
      </c>
    </row>
    <row r="4350">
      <c r="A4350" s="9" t="str">
        <f>IFERROR(__xludf.DUMMYFUNCTION("""COMPUTED_VALUE"""),"Izola")</f>
        <v>Izola</v>
      </c>
      <c r="B4350" s="9" t="str">
        <f>IFERROR(__xludf.DUMMYFUNCTION("""COMPUTED_VALUE"""),"si-040")</f>
        <v>si-040</v>
      </c>
      <c r="C4350" s="9" t="str">
        <f>IFERROR(__xludf.DUMMYFUNCTION("GOOGLETRANSLATE($A4350,""en"",""de"")"),"Izola")</f>
        <v>Izola</v>
      </c>
      <c r="D4350" s="9" t="str">
        <f>IFERROR(__xludf.DUMMYFUNCTION("GOOGLETRANSLATE($A4350,""en"",""fr"")"),"Izola")</f>
        <v>Izola</v>
      </c>
      <c r="E4350" s="9" t="str">
        <f>IFERROR(__xludf.DUMMYFUNCTION("GOOGLETRANSLATE($A4350,""en"",""es"")"),"isola")</f>
        <v>isola</v>
      </c>
      <c r="F4350" s="9" t="str">
        <f>IFERROR(__xludf.DUMMYFUNCTION("GOOGLETRANSLATE($A4350,""en"",""it"")"),"Isola")</f>
        <v>Isola</v>
      </c>
      <c r="G4350" s="9" t="str">
        <f>IFERROR(__xludf.DUMMYFUNCTION("GOOGLETRANSLATE($A4350,""en"",""zh-cn"")"),"伊佐拉")</f>
        <v>伊佐拉</v>
      </c>
      <c r="H4350" s="9" t="str">
        <f>IFERROR(__xludf.DUMMYFUNCTION("GOOGLETRANSLATE($A4350,""en"",""ja"")"),"イゾラ")</f>
        <v>イゾラ</v>
      </c>
      <c r="I4350" s="9" t="str">
        <f>IFERROR(__xludf.DUMMYFUNCTION("GOOGLETRANSLATE($A4350,""en"",""ko"")"),"이졸라")</f>
        <v>이졸라</v>
      </c>
      <c r="J4350" s="9" t="str">
        <f>IFERROR(__xludf.DUMMYFUNCTION("GOOGLETRANSLATE($A4350,""en"",""pt-BR"")"),"Izola")</f>
        <v>Izola</v>
      </c>
    </row>
    <row r="4351">
      <c r="A4351" s="9" t="str">
        <f>IFERROR(__xludf.DUMMYFUNCTION("""COMPUTED_VALUE"""),"Jesenice")</f>
        <v>Jesenice</v>
      </c>
      <c r="B4351" s="9" t="str">
        <f>IFERROR(__xludf.DUMMYFUNCTION("""COMPUTED_VALUE"""),"si-041")</f>
        <v>si-041</v>
      </c>
      <c r="C4351" s="9" t="str">
        <f>IFERROR(__xludf.DUMMYFUNCTION("GOOGLETRANSLATE($A4351,""en"",""de"")"),"Jesenice")</f>
        <v>Jesenice</v>
      </c>
      <c r="D4351" s="9" t="str">
        <f>IFERROR(__xludf.DUMMYFUNCTION("GOOGLETRANSLATE($A4351,""en"",""fr"")"),"Jesenice")</f>
        <v>Jesenice</v>
      </c>
      <c r="E4351" s="9" t="str">
        <f>IFERROR(__xludf.DUMMYFUNCTION("GOOGLETRANSLATE($A4351,""en"",""es"")"),"jesenice")</f>
        <v>jesenice</v>
      </c>
      <c r="F4351" s="9" t="str">
        <f>IFERROR(__xludf.DUMMYFUNCTION("GOOGLETRANSLATE($A4351,""en"",""it"")"),"Jesenice")</f>
        <v>Jesenice</v>
      </c>
      <c r="G4351" s="9" t="str">
        <f>IFERROR(__xludf.DUMMYFUNCTION("GOOGLETRANSLATE($A4351,""en"",""zh-cn"")"),"耶塞尼采")</f>
        <v>耶塞尼采</v>
      </c>
      <c r="H4351" s="9" t="str">
        <f>IFERROR(__xludf.DUMMYFUNCTION("GOOGLETRANSLATE($A4351,""en"",""ja"")"),"イェセニツェ")</f>
        <v>イェセニツェ</v>
      </c>
      <c r="I4351" s="9" t="str">
        <f>IFERROR(__xludf.DUMMYFUNCTION("GOOGLETRANSLATE($A4351,""en"",""ko"")"),"예세니체")</f>
        <v>예세니체</v>
      </c>
      <c r="J4351" s="9" t="str">
        <f>IFERROR(__xludf.DUMMYFUNCTION("GOOGLETRANSLATE($A4351,""en"",""pt-BR"")"),"Jesenice")</f>
        <v>Jesenice</v>
      </c>
    </row>
    <row r="4352">
      <c r="A4352" s="9" t="str">
        <f>IFERROR(__xludf.DUMMYFUNCTION("""COMPUTED_VALUE"""),"Hrastnik")</f>
        <v>Hrastnik</v>
      </c>
      <c r="B4352" s="9" t="str">
        <f>IFERROR(__xludf.DUMMYFUNCTION("""COMPUTED_VALUE"""),"si-034")</f>
        <v>si-034</v>
      </c>
      <c r="C4352" s="9" t="str">
        <f>IFERROR(__xludf.DUMMYFUNCTION("GOOGLETRANSLATE($A4352,""en"",""de"")"),"Hrastnik")</f>
        <v>Hrastnik</v>
      </c>
      <c r="D4352" s="9" t="str">
        <f>IFERROR(__xludf.DUMMYFUNCTION("GOOGLETRANSLATE($A4352,""en"",""fr"")"),"Hrastnik")</f>
        <v>Hrastnik</v>
      </c>
      <c r="E4352" s="9" t="str">
        <f>IFERROR(__xludf.DUMMYFUNCTION("GOOGLETRANSLATE($A4352,""en"",""es"")"),"Hrastnik")</f>
        <v>Hrastnik</v>
      </c>
      <c r="F4352" s="9" t="str">
        <f>IFERROR(__xludf.DUMMYFUNCTION("GOOGLETRANSLATE($A4352,""en"",""it"")"),"Hrastnik")</f>
        <v>Hrastnik</v>
      </c>
      <c r="G4352" s="9" t="str">
        <f>IFERROR(__xludf.DUMMYFUNCTION("GOOGLETRANSLATE($A4352,""en"",""zh-cn"")"),"赫拉斯特尼克")</f>
        <v>赫拉斯特尼克</v>
      </c>
      <c r="H4352" s="9" t="str">
        <f>IFERROR(__xludf.DUMMYFUNCTION("GOOGLETRANSLATE($A4352,""en"",""ja"")"),"フラストニク")</f>
        <v>フラストニク</v>
      </c>
      <c r="I4352" s="9" t="str">
        <f>IFERROR(__xludf.DUMMYFUNCTION("GOOGLETRANSLATE($A4352,""en"",""ko"")"),"흐라스트니크")</f>
        <v>흐라스트니크</v>
      </c>
      <c r="J4352" s="9" t="str">
        <f>IFERROR(__xludf.DUMMYFUNCTION("GOOGLETRANSLATE($A4352,""en"",""pt-BR"")"),"Hrastnik")</f>
        <v>Hrastnik</v>
      </c>
    </row>
    <row r="4353">
      <c r="A4353" s="9" t="str">
        <f>IFERROR(__xludf.DUMMYFUNCTION("""COMPUTED_VALUE"""),"Hrpelje-Kozina")</f>
        <v>Hrpelje-Kozina</v>
      </c>
      <c r="B4353" s="9" t="str">
        <f>IFERROR(__xludf.DUMMYFUNCTION("""COMPUTED_VALUE"""),"si-035")</f>
        <v>si-035</v>
      </c>
      <c r="C4353" s="9" t="str">
        <f>IFERROR(__xludf.DUMMYFUNCTION("GOOGLETRANSLATE($A4353,""en"",""de"")"),"Hrpelje-Kozina")</f>
        <v>Hrpelje-Kozina</v>
      </c>
      <c r="D4353" s="9" t="str">
        <f>IFERROR(__xludf.DUMMYFUNCTION("GOOGLETRANSLATE($A4353,""en"",""fr"")"),"Hrpelje-Kozina")</f>
        <v>Hrpelje-Kozina</v>
      </c>
      <c r="E4353" s="9" t="str">
        <f>IFERROR(__xludf.DUMMYFUNCTION("GOOGLETRANSLATE($A4353,""en"",""es"")"),"Hrpelje-Kozina")</f>
        <v>Hrpelje-Kozina</v>
      </c>
      <c r="F4353" s="9" t="str">
        <f>IFERROR(__xludf.DUMMYFUNCTION("GOOGLETRANSLATE($A4353,""en"",""it"")"),"Hrpelje-Kozina")</f>
        <v>Hrpelje-Kozina</v>
      </c>
      <c r="G4353" s="9" t="str">
        <f>IFERROR(__xludf.DUMMYFUNCTION("GOOGLETRANSLATE($A4353,""en"",""zh-cn"")"),"赫尔佩列-科齐纳")</f>
        <v>赫尔佩列-科齐纳</v>
      </c>
      <c r="H4353" s="9" t="str">
        <f>IFERROR(__xludf.DUMMYFUNCTION("GOOGLETRANSLATE($A4353,""en"",""ja"")"),"ハルペリエ コジナ")</f>
        <v>ハルペリエ コジナ</v>
      </c>
      <c r="I4353" s="9" t="str">
        <f>IFERROR(__xludf.DUMMYFUNCTION("GOOGLETRANSLATE($A4353,""en"",""ko"")"),"흐르펠리에-코지나")</f>
        <v>흐르펠리에-코지나</v>
      </c>
      <c r="J4353" s="9" t="str">
        <f>IFERROR(__xludf.DUMMYFUNCTION("GOOGLETRANSLATE($A4353,""en"",""pt-BR"")"),"Hrpelje-Kozina")</f>
        <v>Hrpelje-Kozina</v>
      </c>
    </row>
    <row r="4354">
      <c r="A4354" s="9" t="str">
        <f>IFERROR(__xludf.DUMMYFUNCTION("""COMPUTED_VALUE"""),"Idrija")</f>
        <v>Idrija</v>
      </c>
      <c r="B4354" s="9" t="str">
        <f>IFERROR(__xludf.DUMMYFUNCTION("""COMPUTED_VALUE"""),"si-036")</f>
        <v>si-036</v>
      </c>
      <c r="C4354" s="9" t="str">
        <f>IFERROR(__xludf.DUMMYFUNCTION("GOOGLETRANSLATE($A4354,""en"",""de"")"),"Idrija")</f>
        <v>Idrija</v>
      </c>
      <c r="D4354" s="9" t="str">
        <f>IFERROR(__xludf.DUMMYFUNCTION("GOOGLETRANSLATE($A4354,""en"",""fr"")"),"Idrija")</f>
        <v>Idrija</v>
      </c>
      <c r="E4354" s="9" t="str">
        <f>IFERROR(__xludf.DUMMYFUNCTION("GOOGLETRANSLATE($A4354,""en"",""es"")"),"Idrija")</f>
        <v>Idrija</v>
      </c>
      <c r="F4354" s="9" t="str">
        <f>IFERROR(__xludf.DUMMYFUNCTION("GOOGLETRANSLATE($A4354,""en"",""it"")"),"Idrija")</f>
        <v>Idrija</v>
      </c>
      <c r="G4354" s="9" t="str">
        <f>IFERROR(__xludf.DUMMYFUNCTION("GOOGLETRANSLATE($A4354,""en"",""zh-cn"")"),"伊德里亚")</f>
        <v>伊德里亚</v>
      </c>
      <c r="H4354" s="9" t="str">
        <f>IFERROR(__xludf.DUMMYFUNCTION("GOOGLETRANSLATE($A4354,""en"",""ja"")"),"イドリヤ")</f>
        <v>イドリヤ</v>
      </c>
      <c r="I4354" s="9" t="str">
        <f>IFERROR(__xludf.DUMMYFUNCTION("GOOGLETRANSLATE($A4354,""en"",""ko"")"),"이드리야")</f>
        <v>이드리야</v>
      </c>
      <c r="J4354" s="9" t="str">
        <f>IFERROR(__xludf.DUMMYFUNCTION("GOOGLETRANSLATE($A4354,""en"",""pt-BR"")"),"Idrija")</f>
        <v>Idrija</v>
      </c>
    </row>
    <row r="4355">
      <c r="A4355" s="9" t="str">
        <f>IFERROR(__xludf.DUMMYFUNCTION("""COMPUTED_VALUE"""),"Ig")</f>
        <v>Ig</v>
      </c>
      <c r="B4355" s="9" t="str">
        <f>IFERROR(__xludf.DUMMYFUNCTION("""COMPUTED_VALUE"""),"si-037")</f>
        <v>si-037</v>
      </c>
      <c r="C4355" s="9" t="str">
        <f>IFERROR(__xludf.DUMMYFUNCTION("GOOGLETRANSLATE($A4355,""en"",""de"")"),"Ich G")</f>
        <v>Ich G</v>
      </c>
      <c r="D4355" s="9" t="str">
        <f>IFERROR(__xludf.DUMMYFUNCTION("GOOGLETRANSLATE($A4355,""en"",""fr"")"),"Ig")</f>
        <v>Ig</v>
      </c>
      <c r="E4355" s="9" t="str">
        <f>IFERROR(__xludf.DUMMYFUNCTION("GOOGLETRANSLATE($A4355,""en"",""es"")"),"yo")</f>
        <v>yo</v>
      </c>
      <c r="F4355" s="9" t="str">
        <f>IFERROR(__xludf.DUMMYFUNCTION("GOOGLETRANSLATE($A4355,""en"",""it"")"),"Ig")</f>
        <v>Ig</v>
      </c>
      <c r="G4355" s="9" t="str">
        <f>IFERROR(__xludf.DUMMYFUNCTION("GOOGLETRANSLATE($A4355,""en"",""zh-cn"")"),"免疫球蛋白")</f>
        <v>免疫球蛋白</v>
      </c>
      <c r="H4355" s="9" t="str">
        <f>IFERROR(__xludf.DUMMYFUNCTION("GOOGLETRANSLATE($A4355,""en"",""ja"")"),"イグ")</f>
        <v>イグ</v>
      </c>
      <c r="I4355" s="9" t="str">
        <f>IFERROR(__xludf.DUMMYFUNCTION("GOOGLETRANSLATE($A4355,""en"",""ko"")"),"이그")</f>
        <v>이그</v>
      </c>
      <c r="J4355" s="9" t="str">
        <f>IFERROR(__xludf.DUMMYFUNCTION("GOOGLETRANSLATE($A4355,""en"",""pt-BR"")"),"Ig")</f>
        <v>Ig</v>
      </c>
    </row>
    <row r="4356">
      <c r="A4356" s="9" t="str">
        <f>IFERROR(__xludf.DUMMYFUNCTION("""COMPUTED_VALUE"""),"Hajdina")</f>
        <v>Hajdina</v>
      </c>
      <c r="B4356" s="9" t="str">
        <f>IFERROR(__xludf.DUMMYFUNCTION("""COMPUTED_VALUE"""),"si-159")</f>
        <v>si-159</v>
      </c>
      <c r="C4356" s="9" t="str">
        <f>IFERROR(__xludf.DUMMYFUNCTION("GOOGLETRANSLATE($A4356,""en"",""de"")"),"Hajdina")</f>
        <v>Hajdina</v>
      </c>
      <c r="D4356" s="9" t="str">
        <f>IFERROR(__xludf.DUMMYFUNCTION("GOOGLETRANSLATE($A4356,""en"",""fr"")"),"Hajdina")</f>
        <v>Hajdina</v>
      </c>
      <c r="E4356" s="9" t="str">
        <f>IFERROR(__xludf.DUMMYFUNCTION("GOOGLETRANSLATE($A4356,""en"",""es"")"),"Hajdina")</f>
        <v>Hajdina</v>
      </c>
      <c r="F4356" s="9" t="str">
        <f>IFERROR(__xludf.DUMMYFUNCTION("GOOGLETRANSLATE($A4356,""en"",""it"")"),"Hajdina")</f>
        <v>Hajdina</v>
      </c>
      <c r="G4356" s="9" t="str">
        <f>IFERROR(__xludf.DUMMYFUNCTION("GOOGLETRANSLATE($A4356,""en"",""zh-cn"")"),"哈伊迪纳")</f>
        <v>哈伊迪纳</v>
      </c>
      <c r="H4356" s="9" t="str">
        <f>IFERROR(__xludf.DUMMYFUNCTION("GOOGLETRANSLATE($A4356,""en"",""ja"")"),"ハイディナ")</f>
        <v>ハイディナ</v>
      </c>
      <c r="I4356" s="9" t="str">
        <f>IFERROR(__xludf.DUMMYFUNCTION("GOOGLETRANSLATE($A4356,""en"",""ko"")"),"하지나")</f>
        <v>하지나</v>
      </c>
      <c r="J4356" s="9" t="str">
        <f>IFERROR(__xludf.DUMMYFUNCTION("GOOGLETRANSLATE($A4356,""en"",""pt-BR"")"),"Hajdina")</f>
        <v>Hajdina</v>
      </c>
    </row>
    <row r="4357">
      <c r="A4357" s="9" t="str">
        <f>IFERROR(__xludf.DUMMYFUNCTION("""COMPUTED_VALUE"""),"Hoče-Slivnica")</f>
        <v>Hoče-Slivnica</v>
      </c>
      <c r="B4357" s="9" t="str">
        <f>IFERROR(__xludf.DUMMYFUNCTION("""COMPUTED_VALUE"""),"si-160")</f>
        <v>si-160</v>
      </c>
      <c r="C4357" s="9" t="str">
        <f>IFERROR(__xludf.DUMMYFUNCTION("GOOGLETRANSLATE($A4357,""en"",""de"")"),"Hoče-Slivnica")</f>
        <v>Hoče-Slivnica</v>
      </c>
      <c r="D4357" s="9" t="str">
        <f>IFERROR(__xludf.DUMMYFUNCTION("GOOGLETRANSLATE($A4357,""en"",""fr"")"),"Hoče-Slivnica")</f>
        <v>Hoče-Slivnica</v>
      </c>
      <c r="E4357" s="9" t="str">
        <f>IFERROR(__xludf.DUMMYFUNCTION("GOOGLETRANSLATE($A4357,""en"",""es"")"),"Hoče-Slivnica")</f>
        <v>Hoče-Slivnica</v>
      </c>
      <c r="F4357" s="9" t="str">
        <f>IFERROR(__xludf.DUMMYFUNCTION("GOOGLETRANSLATE($A4357,""en"",""it"")"),"Hoče-Slivnica")</f>
        <v>Hoče-Slivnica</v>
      </c>
      <c r="G4357" s="9" t="str">
        <f>IFERROR(__xludf.DUMMYFUNCTION("GOOGLETRANSLATE($A4357,""en"",""zh-cn"")"),"霍切-斯利夫尼察")</f>
        <v>霍切-斯利夫尼察</v>
      </c>
      <c r="H4357" s="9" t="str">
        <f>IFERROR(__xludf.DUMMYFUNCTION("GOOGLETRANSLATE($A4357,""en"",""ja"")"),"ホッチェ・スリヴニツァ")</f>
        <v>ホッチェ・スリヴニツァ</v>
      </c>
      <c r="I4357" s="9" t="str">
        <f>IFERROR(__xludf.DUMMYFUNCTION("GOOGLETRANSLATE($A4357,""en"",""ko"")"),"호체-슬리브니차")</f>
        <v>호체-슬리브니차</v>
      </c>
      <c r="J4357" s="9" t="str">
        <f>IFERROR(__xludf.DUMMYFUNCTION("GOOGLETRANSLATE($A4357,""en"",""pt-BR"")"),"Hoče-Slivnica")</f>
        <v>Hoče-Slivnica</v>
      </c>
    </row>
    <row r="4358">
      <c r="A4358" s="9" t="str">
        <f>IFERROR(__xludf.DUMMYFUNCTION("""COMPUTED_VALUE"""),"Hodoš")</f>
        <v>Hodoš</v>
      </c>
      <c r="B4358" s="9" t="str">
        <f>IFERROR(__xludf.DUMMYFUNCTION("""COMPUTED_VALUE"""),"si-161")</f>
        <v>si-161</v>
      </c>
      <c r="C4358" s="9" t="str">
        <f>IFERROR(__xludf.DUMMYFUNCTION("GOOGLETRANSLATE($A4358,""en"",""de"")"),"Hodoš")</f>
        <v>Hodoš</v>
      </c>
      <c r="D4358" s="9" t="str">
        <f>IFERROR(__xludf.DUMMYFUNCTION("GOOGLETRANSLATE($A4358,""en"",""fr"")"),"Hodos")</f>
        <v>Hodos</v>
      </c>
      <c r="E4358" s="9" t="str">
        <f>IFERROR(__xludf.DUMMYFUNCTION("GOOGLETRANSLATE($A4358,""en"",""es"")"),"Hodoš")</f>
        <v>Hodoš</v>
      </c>
      <c r="F4358" s="9" t="str">
        <f>IFERROR(__xludf.DUMMYFUNCTION("GOOGLETRANSLATE($A4358,""en"",""it"")"),"Hodos")</f>
        <v>Hodos</v>
      </c>
      <c r="G4358" s="9" t="str">
        <f>IFERROR(__xludf.DUMMYFUNCTION("GOOGLETRANSLATE($A4358,""en"",""zh-cn"")"),"霍多什")</f>
        <v>霍多什</v>
      </c>
      <c r="H4358" s="9" t="str">
        <f>IFERROR(__xludf.DUMMYFUNCTION("GOOGLETRANSLATE($A4358,""en"",""ja"")"),"ホドシュ")</f>
        <v>ホドシュ</v>
      </c>
      <c r="I4358" s="9" t="str">
        <f>IFERROR(__xludf.DUMMYFUNCTION("GOOGLETRANSLATE($A4358,""en"",""ko"")"),"호도시")</f>
        <v>호도시</v>
      </c>
      <c r="J4358" s="9" t="str">
        <f>IFERROR(__xludf.DUMMYFUNCTION("GOOGLETRANSLATE($A4358,""en"",""pt-BR"")"),"Hodoš")</f>
        <v>Hodoš</v>
      </c>
    </row>
    <row r="4359">
      <c r="A4359" s="9" t="str">
        <f>IFERROR(__xludf.DUMMYFUNCTION("""COMPUTED_VALUE"""),"Horjul")</f>
        <v>Horjul</v>
      </c>
      <c r="B4359" s="9" t="str">
        <f>IFERROR(__xludf.DUMMYFUNCTION("""COMPUTED_VALUE"""),"si-162")</f>
        <v>si-162</v>
      </c>
      <c r="C4359" s="9" t="str">
        <f>IFERROR(__xludf.DUMMYFUNCTION("GOOGLETRANSLATE($A4359,""en"",""de"")"),"Horjul")</f>
        <v>Horjul</v>
      </c>
      <c r="D4359" s="9" t="str">
        <f>IFERROR(__xludf.DUMMYFUNCTION("GOOGLETRANSLATE($A4359,""en"",""fr"")"),"Horjul")</f>
        <v>Horjul</v>
      </c>
      <c r="E4359" s="9" t="str">
        <f>IFERROR(__xludf.DUMMYFUNCTION("GOOGLETRANSLATE($A4359,""en"",""es"")"),"Horjul")</f>
        <v>Horjul</v>
      </c>
      <c r="F4359" s="9" t="str">
        <f>IFERROR(__xludf.DUMMYFUNCTION("GOOGLETRANSLATE($A4359,""en"",""it"")"),"Horjul")</f>
        <v>Horjul</v>
      </c>
      <c r="G4359" s="9" t="str">
        <f>IFERROR(__xludf.DUMMYFUNCTION("GOOGLETRANSLATE($A4359,""en"",""zh-cn"")"),"霍尔朱尔")</f>
        <v>霍尔朱尔</v>
      </c>
      <c r="H4359" s="9" t="str">
        <f>IFERROR(__xludf.DUMMYFUNCTION("GOOGLETRANSLATE($A4359,""en"",""ja"")"),"ホルジュル")</f>
        <v>ホルジュル</v>
      </c>
      <c r="I4359" s="9" t="str">
        <f>IFERROR(__xludf.DUMMYFUNCTION("GOOGLETRANSLATE($A4359,""en"",""ko"")"),"호줄")</f>
        <v>호줄</v>
      </c>
      <c r="J4359" s="9" t="str">
        <f>IFERROR(__xludf.DUMMYFUNCTION("GOOGLETRANSLATE($A4359,""en"",""pt-BR"")"),"Horjul")</f>
        <v>Horjul</v>
      </c>
    </row>
    <row r="4360">
      <c r="A4360" s="9" t="str">
        <f>IFERROR(__xludf.DUMMYFUNCTION("""COMPUTED_VALUE"""),"Gornji Grad")</f>
        <v>Gornji Grad</v>
      </c>
      <c r="B4360" s="9" t="str">
        <f>IFERROR(__xludf.DUMMYFUNCTION("""COMPUTED_VALUE"""),"si-030")</f>
        <v>si-030</v>
      </c>
      <c r="C4360" s="9" t="str">
        <f>IFERROR(__xludf.DUMMYFUNCTION("GOOGLETRANSLATE($A4360,""en"",""de"")"),"Gornji Grad")</f>
        <v>Gornji Grad</v>
      </c>
      <c r="D4360" s="9" t="str">
        <f>IFERROR(__xludf.DUMMYFUNCTION("GOOGLETRANSLATE($A4360,""en"",""fr"")"),"Gornji Grad")</f>
        <v>Gornji Grad</v>
      </c>
      <c r="E4360" s="9" t="str">
        <f>IFERROR(__xludf.DUMMYFUNCTION("GOOGLETRANSLATE($A4360,""en"",""es"")"),"Gornji Grad")</f>
        <v>Gornji Grad</v>
      </c>
      <c r="F4360" s="9" t="str">
        <f>IFERROR(__xludf.DUMMYFUNCTION("GOOGLETRANSLATE($A4360,""en"",""it"")"),"Gornji Grad")</f>
        <v>Gornji Grad</v>
      </c>
      <c r="G4360" s="9" t="str">
        <f>IFERROR(__xludf.DUMMYFUNCTION("GOOGLETRANSLATE($A4360,""en"",""zh-cn"")"),"戈尔尼毕业")</f>
        <v>戈尔尼毕业</v>
      </c>
      <c r="H4360" s="9" t="str">
        <f>IFERROR(__xludf.DUMMYFUNCTION("GOOGLETRANSLATE($A4360,""en"",""ja"")"),"ゴルニ・グラッド")</f>
        <v>ゴルニ・グラッド</v>
      </c>
      <c r="I4360" s="9" t="str">
        <f>IFERROR(__xludf.DUMMYFUNCTION("GOOGLETRANSLATE($A4360,""en"",""ko"")"),"고르니 그라드")</f>
        <v>고르니 그라드</v>
      </c>
      <c r="J4360" s="9" t="str">
        <f>IFERROR(__xludf.DUMMYFUNCTION("GOOGLETRANSLATE($A4360,""en"",""pt-BR"")"),"Graduado em Gornji")</f>
        <v>Graduado em Gornji</v>
      </c>
    </row>
    <row r="4361">
      <c r="A4361" s="9" t="str">
        <f>IFERROR(__xludf.DUMMYFUNCTION("""COMPUTED_VALUE"""),"Gornji Petrovci")</f>
        <v>Gornji Petrovci</v>
      </c>
      <c r="B4361" s="9" t="str">
        <f>IFERROR(__xludf.DUMMYFUNCTION("""COMPUTED_VALUE"""),"si-031")</f>
        <v>si-031</v>
      </c>
      <c r="C4361" s="9" t="str">
        <f>IFERROR(__xludf.DUMMYFUNCTION("GOOGLETRANSLATE($A4361,""en"",""de"")"),"Gornji Petrovci")</f>
        <v>Gornji Petrovci</v>
      </c>
      <c r="D4361" s="9" t="str">
        <f>IFERROR(__xludf.DUMMYFUNCTION("GOOGLETRANSLATE($A4361,""en"",""fr"")"),"Gornji Petrovci")</f>
        <v>Gornji Petrovci</v>
      </c>
      <c r="E4361" s="9" t="str">
        <f>IFERROR(__xludf.DUMMYFUNCTION("GOOGLETRANSLATE($A4361,""en"",""es"")"),"Gornji Petrovci")</f>
        <v>Gornji Petrovci</v>
      </c>
      <c r="F4361" s="9" t="str">
        <f>IFERROR(__xludf.DUMMYFUNCTION("GOOGLETRANSLATE($A4361,""en"",""it"")"),"Gornji Petrovci")</f>
        <v>Gornji Petrovci</v>
      </c>
      <c r="G4361" s="9" t="str">
        <f>IFERROR(__xludf.DUMMYFUNCTION("GOOGLETRANSLATE($A4361,""en"",""zh-cn"")"),"戈尔尼·彼得罗夫奇")</f>
        <v>戈尔尼·彼得罗夫奇</v>
      </c>
      <c r="H4361" s="9" t="str">
        <f>IFERROR(__xludf.DUMMYFUNCTION("GOOGLETRANSLATE($A4361,""en"",""ja"")"),"ゴルニ・ペトロヴシ")</f>
        <v>ゴルニ・ペトロヴシ</v>
      </c>
      <c r="I4361" s="9" t="str">
        <f>IFERROR(__xludf.DUMMYFUNCTION("GOOGLETRANSLATE($A4361,""en"",""ko"")"),"고르니 페트로프치")</f>
        <v>고르니 페트로프치</v>
      </c>
      <c r="J4361" s="9" t="str">
        <f>IFERROR(__xludf.DUMMYFUNCTION("GOOGLETRANSLATE($A4361,""en"",""pt-BR"")"),"Gornji Petrovci")</f>
        <v>Gornji Petrovci</v>
      </c>
    </row>
    <row r="4362">
      <c r="A4362" s="9" t="str">
        <f>IFERROR(__xludf.DUMMYFUNCTION("""COMPUTED_VALUE"""),"Grad")</f>
        <v>Grad</v>
      </c>
      <c r="B4362" s="9" t="str">
        <f>IFERROR(__xludf.DUMMYFUNCTION("""COMPUTED_VALUE"""),"si-158")</f>
        <v>si-158</v>
      </c>
      <c r="C4362" s="9" t="str">
        <f>IFERROR(__xludf.DUMMYFUNCTION("GOOGLETRANSLATE($A4362,""en"",""de"")"),"Grad")</f>
        <v>Grad</v>
      </c>
      <c r="D4362" s="9" t="str">
        <f>IFERROR(__xludf.DUMMYFUNCTION("GOOGLETRANSLATE($A4362,""en"",""fr"")"),"Diplômé")</f>
        <v>Diplômé</v>
      </c>
      <c r="E4362" s="9" t="str">
        <f>IFERROR(__xludf.DUMMYFUNCTION("GOOGLETRANSLATE($A4362,""en"",""es"")"),"Graduado")</f>
        <v>Graduado</v>
      </c>
      <c r="F4362" s="9" t="str">
        <f>IFERROR(__xludf.DUMMYFUNCTION("GOOGLETRANSLATE($A4362,""en"",""it"")"),"Laureato")</f>
        <v>Laureato</v>
      </c>
      <c r="G4362" s="9" t="str">
        <f>IFERROR(__xludf.DUMMYFUNCTION("GOOGLETRANSLATE($A4362,""en"",""zh-cn"")"),"毕业生")</f>
        <v>毕业生</v>
      </c>
      <c r="H4362" s="9" t="str">
        <f>IFERROR(__xludf.DUMMYFUNCTION("GOOGLETRANSLATE($A4362,""en"",""ja"")"),"卒業生")</f>
        <v>卒業生</v>
      </c>
      <c r="I4362" s="9" t="str">
        <f>IFERROR(__xludf.DUMMYFUNCTION("GOOGLETRANSLATE($A4362,""en"",""ko"")"),"그라드")</f>
        <v>그라드</v>
      </c>
      <c r="J4362" s="9" t="str">
        <f>IFERROR(__xludf.DUMMYFUNCTION("GOOGLETRANSLATE($A4362,""en"",""pt-BR"")"),"Graduado")</f>
        <v>Graduado</v>
      </c>
    </row>
    <row r="4363">
      <c r="A4363" s="9" t="str">
        <f>IFERROR(__xludf.DUMMYFUNCTION("""COMPUTED_VALUE"""),"Grosuplje")</f>
        <v>Grosuplje</v>
      </c>
      <c r="B4363" s="9" t="str">
        <f>IFERROR(__xludf.DUMMYFUNCTION("""COMPUTED_VALUE"""),"si-032")</f>
        <v>si-032</v>
      </c>
      <c r="C4363" s="9" t="str">
        <f>IFERROR(__xludf.DUMMYFUNCTION("GOOGLETRANSLATE($A4363,""en"",""de"")"),"Grosuplje")</f>
        <v>Grosuplje</v>
      </c>
      <c r="D4363" s="9" t="str">
        <f>IFERROR(__xludf.DUMMYFUNCTION("GOOGLETRANSLATE($A4363,""en"",""fr"")"),"Grosuplje")</f>
        <v>Grosuplje</v>
      </c>
      <c r="E4363" s="9" t="str">
        <f>IFERROR(__xludf.DUMMYFUNCTION("GOOGLETRANSLATE($A4363,""en"",""es"")"),"Grosuplje")</f>
        <v>Grosuplje</v>
      </c>
      <c r="F4363" s="9" t="str">
        <f>IFERROR(__xludf.DUMMYFUNCTION("GOOGLETRANSLATE($A4363,""en"",""it"")"),"Grosuplje")</f>
        <v>Grosuplje</v>
      </c>
      <c r="G4363" s="9" t="str">
        <f>IFERROR(__xludf.DUMMYFUNCTION("GOOGLETRANSLATE($A4363,""en"",""zh-cn"")"),"格罗苏普列")</f>
        <v>格罗苏普列</v>
      </c>
      <c r="H4363" s="9" t="str">
        <f>IFERROR(__xludf.DUMMYFUNCTION("GOOGLETRANSLATE($A4363,""en"",""ja"")"),"グロスプリェ")</f>
        <v>グロスプリェ</v>
      </c>
      <c r="I4363" s="9" t="str">
        <f>IFERROR(__xludf.DUMMYFUNCTION("GOOGLETRANSLATE($A4363,""en"",""ko"")"),"그로수플예")</f>
        <v>그로수플예</v>
      </c>
      <c r="J4363" s="9" t="str">
        <f>IFERROR(__xludf.DUMMYFUNCTION("GOOGLETRANSLATE($A4363,""en"",""pt-BR"")"),"Grupo Grosuplje")</f>
        <v>Grupo Grosuplje</v>
      </c>
    </row>
    <row r="4364">
      <c r="A4364" s="9" t="str">
        <f>IFERROR(__xludf.DUMMYFUNCTION("""COMPUTED_VALUE"""),"Kostel")</f>
        <v>Kostel</v>
      </c>
      <c r="B4364" s="9" t="str">
        <f>IFERROR(__xludf.DUMMYFUNCTION("""COMPUTED_VALUE"""),"si-165")</f>
        <v>si-165</v>
      </c>
      <c r="C4364" s="9" t="str">
        <f>IFERROR(__xludf.DUMMYFUNCTION("GOOGLETRANSLATE($A4364,""en"",""de"")"),"Kostel")</f>
        <v>Kostel</v>
      </c>
      <c r="D4364" s="9" t="str">
        <f>IFERROR(__xludf.DUMMYFUNCTION("GOOGLETRANSLATE($A4364,""en"",""fr"")"),"Kostel")</f>
        <v>Kostel</v>
      </c>
      <c r="E4364" s="9" t="str">
        <f>IFERROR(__xludf.DUMMYFUNCTION("GOOGLETRANSLATE($A4364,""en"",""es"")"),"Kostel")</f>
        <v>Kostel</v>
      </c>
      <c r="F4364" s="9" t="str">
        <f>IFERROR(__xludf.DUMMYFUNCTION("GOOGLETRANSLATE($A4364,""en"",""it"")"),"Kostel")</f>
        <v>Kostel</v>
      </c>
      <c r="G4364" s="9" t="str">
        <f>IFERROR(__xludf.DUMMYFUNCTION("GOOGLETRANSLATE($A4364,""en"",""zh-cn"")"),"科斯特尔")</f>
        <v>科斯特尔</v>
      </c>
      <c r="H4364" s="9" t="str">
        <f>IFERROR(__xludf.DUMMYFUNCTION("GOOGLETRANSLATE($A4364,""en"",""ja"")"),"コステル")</f>
        <v>コステル</v>
      </c>
      <c r="I4364" s="9" t="str">
        <f>IFERROR(__xludf.DUMMYFUNCTION("GOOGLETRANSLATE($A4364,""en"",""ko"")"),"코스텔")</f>
        <v>코스텔</v>
      </c>
      <c r="J4364" s="9" t="str">
        <f>IFERROR(__xludf.DUMMYFUNCTION("GOOGLETRANSLATE($A4364,""en"",""pt-BR"")"),"Kostel")</f>
        <v>Kostel</v>
      </c>
    </row>
    <row r="4365">
      <c r="A4365" s="9" t="str">
        <f>IFERROR(__xludf.DUMMYFUNCTION("""COMPUTED_VALUE"""),"Kozje")</f>
        <v>Kozje</v>
      </c>
      <c r="B4365" s="9" t="str">
        <f>IFERROR(__xludf.DUMMYFUNCTION("""COMPUTED_VALUE"""),"si-051")</f>
        <v>si-051</v>
      </c>
      <c r="C4365" s="9" t="str">
        <f>IFERROR(__xludf.DUMMYFUNCTION("GOOGLETRANSLATE($A4365,""en"",""de"")"),"Kozje")</f>
        <v>Kozje</v>
      </c>
      <c r="D4365" s="9" t="str">
        <f>IFERROR(__xludf.DUMMYFUNCTION("GOOGLETRANSLATE($A4365,""en"",""fr"")"),"Kozjé")</f>
        <v>Kozjé</v>
      </c>
      <c r="E4365" s="9" t="str">
        <f>IFERROR(__xludf.DUMMYFUNCTION("GOOGLETRANSLATE($A4365,""en"",""es"")"),"Kožje")</f>
        <v>Kožje</v>
      </c>
      <c r="F4365" s="9" t="str">
        <f>IFERROR(__xludf.DUMMYFUNCTION("GOOGLETRANSLATE($A4365,""en"",""it"")"),"Kozje")</f>
        <v>Kozje</v>
      </c>
      <c r="G4365" s="9" t="str">
        <f>IFERROR(__xludf.DUMMYFUNCTION("GOOGLETRANSLATE($A4365,""en"",""zh-cn"")"),"科兹耶")</f>
        <v>科兹耶</v>
      </c>
      <c r="H4365" s="9" t="str">
        <f>IFERROR(__xludf.DUMMYFUNCTION("GOOGLETRANSLATE($A4365,""en"",""ja"")"),"コジェ")</f>
        <v>コジェ</v>
      </c>
      <c r="I4365" s="9" t="str">
        <f>IFERROR(__xludf.DUMMYFUNCTION("GOOGLETRANSLATE($A4365,""en"",""ko"")"),"코제")</f>
        <v>코제</v>
      </c>
      <c r="J4365" s="9" t="str">
        <f>IFERROR(__xludf.DUMMYFUNCTION("GOOGLETRANSLATE($A4365,""en"",""pt-BR"")"),"Kozje")</f>
        <v>Kozje</v>
      </c>
    </row>
    <row r="4366">
      <c r="A4366" s="9" t="str">
        <f>IFERROR(__xludf.DUMMYFUNCTION("""COMPUTED_VALUE"""),"Kranj")</f>
        <v>Kranj</v>
      </c>
      <c r="B4366" s="9" t="str">
        <f>IFERROR(__xludf.DUMMYFUNCTION("""COMPUTED_VALUE"""),"si-052")</f>
        <v>si-052</v>
      </c>
      <c r="C4366" s="9" t="str">
        <f>IFERROR(__xludf.DUMMYFUNCTION("GOOGLETRANSLATE($A4366,""en"",""de"")"),"Kranj")</f>
        <v>Kranj</v>
      </c>
      <c r="D4366" s="9" t="str">
        <f>IFERROR(__xludf.DUMMYFUNCTION("GOOGLETRANSLATE($A4366,""en"",""fr"")"),"Kranj")</f>
        <v>Kranj</v>
      </c>
      <c r="E4366" s="9" t="str">
        <f>IFERROR(__xludf.DUMMYFUNCTION("GOOGLETRANSLATE($A4366,""en"",""es"")"),"Kranj")</f>
        <v>Kranj</v>
      </c>
      <c r="F4366" s="9" t="str">
        <f>IFERROR(__xludf.DUMMYFUNCTION("GOOGLETRANSLATE($A4366,""en"",""it"")"),"Kranj")</f>
        <v>Kranj</v>
      </c>
      <c r="G4366" s="9" t="str">
        <f>IFERROR(__xludf.DUMMYFUNCTION("GOOGLETRANSLATE($A4366,""en"",""zh-cn"")"),"克拉尼")</f>
        <v>克拉尼</v>
      </c>
      <c r="H4366" s="9" t="str">
        <f>IFERROR(__xludf.DUMMYFUNCTION("GOOGLETRANSLATE($A4366,""en"",""ja"")"),"クラーニ")</f>
        <v>クラーニ</v>
      </c>
      <c r="I4366" s="9" t="str">
        <f>IFERROR(__xludf.DUMMYFUNCTION("GOOGLETRANSLATE($A4366,""en"",""ko"")"),"크란")</f>
        <v>크란</v>
      </c>
      <c r="J4366" s="9" t="str">
        <f>IFERROR(__xludf.DUMMYFUNCTION("GOOGLETRANSLATE($A4366,""en"",""pt-BR"")"),"Kranj")</f>
        <v>Kranj</v>
      </c>
    </row>
    <row r="4367">
      <c r="A4367" s="9" t="str">
        <f>IFERROR(__xludf.DUMMYFUNCTION("""COMPUTED_VALUE"""),"Kranjska Gora")</f>
        <v>Kranjska Gora</v>
      </c>
      <c r="B4367" s="9" t="str">
        <f>IFERROR(__xludf.DUMMYFUNCTION("""COMPUTED_VALUE"""),"si-053")</f>
        <v>si-053</v>
      </c>
      <c r="C4367" s="9" t="str">
        <f>IFERROR(__xludf.DUMMYFUNCTION("GOOGLETRANSLATE($A4367,""en"",""de"")"),"Kranjska Gora")</f>
        <v>Kranjska Gora</v>
      </c>
      <c r="D4367" s="9" t="str">
        <f>IFERROR(__xludf.DUMMYFUNCTION("GOOGLETRANSLATE($A4367,""en"",""fr"")"),"Kranjska Gora")</f>
        <v>Kranjska Gora</v>
      </c>
      <c r="E4367" s="9" t="str">
        <f>IFERROR(__xludf.DUMMYFUNCTION("GOOGLETRANSLATE($A4367,""en"",""es"")"),"Kranjska Gora")</f>
        <v>Kranjska Gora</v>
      </c>
      <c r="F4367" s="9" t="str">
        <f>IFERROR(__xludf.DUMMYFUNCTION("GOOGLETRANSLATE($A4367,""en"",""it"")"),"Kranjska Gora")</f>
        <v>Kranjska Gora</v>
      </c>
      <c r="G4367" s="9" t="str">
        <f>IFERROR(__xludf.DUMMYFUNCTION("GOOGLETRANSLATE($A4367,""en"",""zh-cn"")"),"克拉尼斯卡戈拉")</f>
        <v>克拉尼斯卡戈拉</v>
      </c>
      <c r="H4367" s="9" t="str">
        <f>IFERROR(__xludf.DUMMYFUNCTION("GOOGLETRANSLATE($A4367,""en"",""ja"")"),"クランスカゴーラ")</f>
        <v>クランスカゴーラ</v>
      </c>
      <c r="I4367" s="9" t="str">
        <f>IFERROR(__xludf.DUMMYFUNCTION("GOOGLETRANSLATE($A4367,""en"",""ko"")"),"크란스카 고라")</f>
        <v>크란스카 고라</v>
      </c>
      <c r="J4367" s="9" t="str">
        <f>IFERROR(__xludf.DUMMYFUNCTION("GOOGLETRANSLATE($A4367,""en"",""pt-BR"")"),"Kranjska Gora")</f>
        <v>Kranjska Gora</v>
      </c>
    </row>
    <row r="4368">
      <c r="A4368" s="9" t="str">
        <f>IFERROR(__xludf.DUMMYFUNCTION("""COMPUTED_VALUE"""),"Komen")</f>
        <v>Komen</v>
      </c>
      <c r="B4368" s="9" t="str">
        <f>IFERROR(__xludf.DUMMYFUNCTION("""COMPUTED_VALUE"""),"si-049")</f>
        <v>si-049</v>
      </c>
      <c r="C4368" s="9" t="str">
        <f>IFERROR(__xludf.DUMMYFUNCTION("GOOGLETRANSLATE($A4368,""en"",""de"")"),"Komen")</f>
        <v>Komen</v>
      </c>
      <c r="D4368" s="9" t="str">
        <f>IFERROR(__xludf.DUMMYFUNCTION("GOOGLETRANSLATE($A4368,""en"",""fr"")"),"Komen")</f>
        <v>Komen</v>
      </c>
      <c r="E4368" s="9" t="str">
        <f>IFERROR(__xludf.DUMMYFUNCTION("GOOGLETRANSLATE($A4368,""en"",""es"")"),"komen")</f>
        <v>komen</v>
      </c>
      <c r="F4368" s="9" t="str">
        <f>IFERROR(__xludf.DUMMYFUNCTION("GOOGLETRANSLATE($A4368,""en"",""it"")"),"Comen")</f>
        <v>Comen</v>
      </c>
      <c r="G4368" s="9" t="str">
        <f>IFERROR(__xludf.DUMMYFUNCTION("GOOGLETRANSLATE($A4368,""en"",""zh-cn"")"),"科曼")</f>
        <v>科曼</v>
      </c>
      <c r="H4368" s="9" t="str">
        <f>IFERROR(__xludf.DUMMYFUNCTION("GOOGLETRANSLATE($A4368,""en"",""ja"")"),"コメン")</f>
        <v>コメン</v>
      </c>
      <c r="I4368" s="9" t="str">
        <f>IFERROR(__xludf.DUMMYFUNCTION("GOOGLETRANSLATE($A4368,""en"",""ko"")"),"코멘")</f>
        <v>코멘</v>
      </c>
      <c r="J4368" s="9" t="str">
        <f>IFERROR(__xludf.DUMMYFUNCTION("GOOGLETRANSLATE($A4368,""en"",""pt-BR"")"),"Komen")</f>
        <v>Komen</v>
      </c>
    </row>
    <row r="4369">
      <c r="A4369" s="9" t="str">
        <f>IFERROR(__xludf.DUMMYFUNCTION("""COMPUTED_VALUE"""),"Komenda")</f>
        <v>Komenda</v>
      </c>
      <c r="B4369" s="9" t="str">
        <f>IFERROR(__xludf.DUMMYFUNCTION("""COMPUTED_VALUE"""),"si-164")</f>
        <v>si-164</v>
      </c>
      <c r="C4369" s="9" t="str">
        <f>IFERROR(__xludf.DUMMYFUNCTION("GOOGLETRANSLATE($A4369,""en"",""de"")"),"Komenda")</f>
        <v>Komenda</v>
      </c>
      <c r="D4369" s="9" t="str">
        <f>IFERROR(__xludf.DUMMYFUNCTION("GOOGLETRANSLATE($A4369,""en"",""fr"")"),"Komenda")</f>
        <v>Komenda</v>
      </c>
      <c r="E4369" s="9" t="str">
        <f>IFERROR(__xludf.DUMMYFUNCTION("GOOGLETRANSLATE($A4369,""en"",""es"")"),"komenda")</f>
        <v>komenda</v>
      </c>
      <c r="F4369" s="9" t="str">
        <f>IFERROR(__xludf.DUMMYFUNCTION("GOOGLETRANSLATE($A4369,""en"",""it"")"),"Komenda")</f>
        <v>Komenda</v>
      </c>
      <c r="G4369" s="9" t="str">
        <f>IFERROR(__xludf.DUMMYFUNCTION("GOOGLETRANSLATE($A4369,""en"",""zh-cn"")"),"科门达")</f>
        <v>科门达</v>
      </c>
      <c r="H4369" s="9" t="str">
        <f>IFERROR(__xludf.DUMMYFUNCTION("GOOGLETRANSLATE($A4369,""en"",""ja"")"),"コメンダ")</f>
        <v>コメンダ</v>
      </c>
      <c r="I4369" s="9" t="str">
        <f>IFERROR(__xludf.DUMMYFUNCTION("GOOGLETRANSLATE($A4369,""en"",""ko"")"),"코멘다")</f>
        <v>코멘다</v>
      </c>
      <c r="J4369" s="9" t="str">
        <f>IFERROR(__xludf.DUMMYFUNCTION("GOOGLETRANSLATE($A4369,""en"",""pt-BR"")"),"Komenda")</f>
        <v>Komenda</v>
      </c>
    </row>
    <row r="4370">
      <c r="A4370" s="9" t="str">
        <f>IFERROR(__xludf.DUMMYFUNCTION("""COMPUTED_VALUE"""),"Koper")</f>
        <v>Koper</v>
      </c>
      <c r="B4370" s="9" t="str">
        <f>IFERROR(__xludf.DUMMYFUNCTION("""COMPUTED_VALUE"""),"si-050")</f>
        <v>si-050</v>
      </c>
      <c r="C4370" s="9" t="str">
        <f>IFERROR(__xludf.DUMMYFUNCTION("GOOGLETRANSLATE($A4370,""en"",""de"")"),"Koper")</f>
        <v>Koper</v>
      </c>
      <c r="D4370" s="9" t="str">
        <f>IFERROR(__xludf.DUMMYFUNCTION("GOOGLETRANSLATE($A4370,""en"",""fr"")"),"Koper")</f>
        <v>Koper</v>
      </c>
      <c r="E4370" s="9" t="str">
        <f>IFERROR(__xludf.DUMMYFUNCTION("GOOGLETRANSLATE($A4370,""en"",""es"")"),"cobre")</f>
        <v>cobre</v>
      </c>
      <c r="F4370" s="9" t="str">
        <f>IFERROR(__xludf.DUMMYFUNCTION("GOOGLETRANSLATE($A4370,""en"",""it"")"),"Capodistria")</f>
        <v>Capodistria</v>
      </c>
      <c r="G4370" s="9" t="str">
        <f>IFERROR(__xludf.DUMMYFUNCTION("GOOGLETRANSLATE($A4370,""en"",""zh-cn"")"),"科佩尔")</f>
        <v>科佩尔</v>
      </c>
      <c r="H4370" s="9" t="str">
        <f>IFERROR(__xludf.DUMMYFUNCTION("GOOGLETRANSLATE($A4370,""en"",""ja"")"),"コペル")</f>
        <v>コペル</v>
      </c>
      <c r="I4370" s="9" t="str">
        <f>IFERROR(__xludf.DUMMYFUNCTION("GOOGLETRANSLATE($A4370,""en"",""ko"")"),"코페르")</f>
        <v>코페르</v>
      </c>
      <c r="J4370" s="9" t="str">
        <f>IFERROR(__xludf.DUMMYFUNCTION("GOOGLETRANSLATE($A4370,""en"",""pt-BR"")"),"Koper")</f>
        <v>Koper</v>
      </c>
    </row>
    <row r="4371">
      <c r="A4371" s="9" t="str">
        <f>IFERROR(__xludf.DUMMYFUNCTION("""COMPUTED_VALUE"""),"Kosanjevica na Krki")</f>
        <v>Kosanjevica na Krki</v>
      </c>
      <c r="B4371" s="9" t="str">
        <f>IFERROR(__xludf.DUMMYFUNCTION("""COMPUTED_VALUE"""),"si-197")</f>
        <v>si-197</v>
      </c>
      <c r="C4371" s="9" t="str">
        <f>IFERROR(__xludf.DUMMYFUNCTION("GOOGLETRANSLATE($A4371,""en"",""de"")"),"Kosanjevica na Krki")</f>
        <v>Kosanjevica na Krki</v>
      </c>
      <c r="D4371" s="9" t="str">
        <f>IFERROR(__xludf.DUMMYFUNCTION("GOOGLETRANSLATE($A4371,""en"",""fr"")"),"Kosanjevica sur Krki")</f>
        <v>Kosanjevica sur Krki</v>
      </c>
      <c r="E4371" s="9" t="str">
        <f>IFERROR(__xludf.DUMMYFUNCTION("GOOGLETRANSLATE($A4371,""en"",""es"")"),"Kosanjevica na Krki")</f>
        <v>Kosanjevica na Krki</v>
      </c>
      <c r="F4371" s="9" t="str">
        <f>IFERROR(__xludf.DUMMYFUNCTION("GOOGLETRANSLATE($A4371,""en"",""it"")"),"Kosanjevica na Krki")</f>
        <v>Kosanjevica na Krki</v>
      </c>
      <c r="G4371" s="9" t="str">
        <f>IFERROR(__xludf.DUMMYFUNCTION("GOOGLETRANSLATE($A4371,""en"",""zh-cn"")"),"科桑杰维察·纳克尔基")</f>
        <v>科桑杰维察·纳克尔基</v>
      </c>
      <c r="H4371" s="9" t="str">
        <f>IFERROR(__xludf.DUMMYFUNCTION("GOOGLETRANSLATE($A4371,""en"",""ja"")"),"コサンジェヴィツァ ナ クルキ")</f>
        <v>コサンジェヴィツァ ナ クルキ</v>
      </c>
      <c r="I4371" s="9" t="str">
        <f>IFERROR(__xludf.DUMMYFUNCTION("GOOGLETRANSLATE($A4371,""en"",""ko"")"),"코산예비차 나 크르키")</f>
        <v>코산예비차 나 크르키</v>
      </c>
      <c r="J4371" s="9" t="str">
        <f>IFERROR(__xludf.DUMMYFUNCTION("GOOGLETRANSLATE($A4371,""en"",""pt-BR"")"),"Kosanjevica na Krki")</f>
        <v>Kosanjevica na Krki</v>
      </c>
    </row>
    <row r="4372">
      <c r="A4372" s="9" t="str">
        <f>IFERROR(__xludf.DUMMYFUNCTION("""COMPUTED_VALUE"""),"Kidričevo")</f>
        <v>Kidričevo</v>
      </c>
      <c r="B4372" s="9" t="str">
        <f>IFERROR(__xludf.DUMMYFUNCTION("""COMPUTED_VALUE"""),"si-045")</f>
        <v>si-045</v>
      </c>
      <c r="C4372" s="9" t="str">
        <f>IFERROR(__xludf.DUMMYFUNCTION("GOOGLETRANSLATE($A4372,""en"",""de"")"),"Kidričevo")</f>
        <v>Kidričevo</v>
      </c>
      <c r="D4372" s="9" t="str">
        <f>IFERROR(__xludf.DUMMYFUNCTION("GOOGLETRANSLATE($A4372,""en"",""fr"")"),"Kidricevo")</f>
        <v>Kidricevo</v>
      </c>
      <c r="E4372" s="9" t="str">
        <f>IFERROR(__xludf.DUMMYFUNCTION("GOOGLETRANSLATE($A4372,""en"",""es"")"),"Kidričevo")</f>
        <v>Kidričevo</v>
      </c>
      <c r="F4372" s="9" t="str">
        <f>IFERROR(__xludf.DUMMYFUNCTION("GOOGLETRANSLATE($A4372,""en"",""it"")"),"Kidricevo")</f>
        <v>Kidricevo</v>
      </c>
      <c r="G4372" s="9" t="str">
        <f>IFERROR(__xludf.DUMMYFUNCTION("GOOGLETRANSLATE($A4372,""en"",""zh-cn"")"),"基德里切沃")</f>
        <v>基德里切沃</v>
      </c>
      <c r="H4372" s="9" t="str">
        <f>IFERROR(__xludf.DUMMYFUNCTION("GOOGLETRANSLATE($A4372,""en"",""ja"")"),"キドリチェヴォ")</f>
        <v>キドリチェヴォ</v>
      </c>
      <c r="I4372" s="9" t="str">
        <f>IFERROR(__xludf.DUMMYFUNCTION("GOOGLETRANSLATE($A4372,""en"",""ko"")"),"키드리체보")</f>
        <v>키드리체보</v>
      </c>
      <c r="J4372" s="9" t="str">
        <f>IFERROR(__xludf.DUMMYFUNCTION("GOOGLETRANSLATE($A4372,""en"",""pt-BR"")"),"Kidričevo")</f>
        <v>Kidričevo</v>
      </c>
    </row>
    <row r="4373">
      <c r="A4373" s="9" t="str">
        <f>IFERROR(__xludf.DUMMYFUNCTION("""COMPUTED_VALUE"""),"Kobarid")</f>
        <v>Kobarid</v>
      </c>
      <c r="B4373" s="9" t="str">
        <f>IFERROR(__xludf.DUMMYFUNCTION("""COMPUTED_VALUE"""),"si-046")</f>
        <v>si-046</v>
      </c>
      <c r="C4373" s="9" t="str">
        <f>IFERROR(__xludf.DUMMYFUNCTION("GOOGLETRANSLATE($A4373,""en"",""de"")"),"Kobarid")</f>
        <v>Kobarid</v>
      </c>
      <c r="D4373" s="9" t="str">
        <f>IFERROR(__xludf.DUMMYFUNCTION("GOOGLETRANSLATE($A4373,""en"",""fr"")"),"Kobarid")</f>
        <v>Kobarid</v>
      </c>
      <c r="E4373" s="9" t="str">
        <f>IFERROR(__xludf.DUMMYFUNCTION("GOOGLETRANSLATE($A4373,""en"",""es"")"),"Kobarid")</f>
        <v>Kobarid</v>
      </c>
      <c r="F4373" s="9" t="str">
        <f>IFERROR(__xludf.DUMMYFUNCTION("GOOGLETRANSLATE($A4373,""en"",""it"")"),"Caporetto")</f>
        <v>Caporetto</v>
      </c>
      <c r="G4373" s="9" t="str">
        <f>IFERROR(__xludf.DUMMYFUNCTION("GOOGLETRANSLATE($A4373,""en"",""zh-cn"")"),"科巴里德")</f>
        <v>科巴里德</v>
      </c>
      <c r="H4373" s="9" t="str">
        <f>IFERROR(__xludf.DUMMYFUNCTION("GOOGLETRANSLATE($A4373,""en"",""ja"")"),"コバリード")</f>
        <v>コバリード</v>
      </c>
      <c r="I4373" s="9" t="str">
        <f>IFERROR(__xludf.DUMMYFUNCTION("GOOGLETRANSLATE($A4373,""en"",""ko"")"),"코바리드")</f>
        <v>코바리드</v>
      </c>
      <c r="J4373" s="9" t="str">
        <f>IFERROR(__xludf.DUMMYFUNCTION("GOOGLETRANSLATE($A4373,""en"",""pt-BR"")"),"Kobarida")</f>
        <v>Kobarida</v>
      </c>
    </row>
    <row r="4374">
      <c r="A4374" s="9" t="str">
        <f>IFERROR(__xludf.DUMMYFUNCTION("""COMPUTED_VALUE"""),"Kobilje")</f>
        <v>Kobilje</v>
      </c>
      <c r="B4374" s="9" t="str">
        <f>IFERROR(__xludf.DUMMYFUNCTION("""COMPUTED_VALUE"""),"si-047")</f>
        <v>si-047</v>
      </c>
      <c r="C4374" s="9" t="str">
        <f>IFERROR(__xludf.DUMMYFUNCTION("GOOGLETRANSLATE($A4374,""en"",""de"")"),"Kobilje")</f>
        <v>Kobilje</v>
      </c>
      <c r="D4374" s="9" t="str">
        <f>IFERROR(__xludf.DUMMYFUNCTION("GOOGLETRANSLATE($A4374,""en"",""fr"")"),"Kobilje")</f>
        <v>Kobilje</v>
      </c>
      <c r="E4374" s="9" t="str">
        <f>IFERROR(__xludf.DUMMYFUNCTION("GOOGLETRANSLATE($A4374,""en"",""es"")"),"Kobilje")</f>
        <v>Kobilje</v>
      </c>
      <c r="F4374" s="9" t="str">
        <f>IFERROR(__xludf.DUMMYFUNCTION("GOOGLETRANSLATE($A4374,""en"",""it"")"),"Kobilje")</f>
        <v>Kobilje</v>
      </c>
      <c r="G4374" s="9" t="str">
        <f>IFERROR(__xludf.DUMMYFUNCTION("GOOGLETRANSLATE($A4374,""en"",""zh-cn"")"),"科比列")</f>
        <v>科比列</v>
      </c>
      <c r="H4374" s="9" t="str">
        <f>IFERROR(__xludf.DUMMYFUNCTION("GOOGLETRANSLATE($A4374,""en"",""ja"")"),"コビリェ")</f>
        <v>コビリェ</v>
      </c>
      <c r="I4374" s="9" t="str">
        <f>IFERROR(__xludf.DUMMYFUNCTION("GOOGLETRANSLATE($A4374,""en"",""ko"")"),"코빌예")</f>
        <v>코빌예</v>
      </c>
      <c r="J4374" s="9" t="str">
        <f>IFERROR(__xludf.DUMMYFUNCTION("GOOGLETRANSLATE($A4374,""en"",""pt-BR"")"),"Kobilje")</f>
        <v>Kobilje</v>
      </c>
    </row>
    <row r="4375">
      <c r="A4375" s="9" t="str">
        <f>IFERROR(__xludf.DUMMYFUNCTION("""COMPUTED_VALUE"""),"Kočevje")</f>
        <v>Kočevje</v>
      </c>
      <c r="B4375" s="9" t="str">
        <f>IFERROR(__xludf.DUMMYFUNCTION("""COMPUTED_VALUE"""),"si-048")</f>
        <v>si-048</v>
      </c>
      <c r="C4375" s="9" t="str">
        <f>IFERROR(__xludf.DUMMYFUNCTION("GOOGLETRANSLATE($A4375,""en"",""de"")"),"Kočevje")</f>
        <v>Kočevje</v>
      </c>
      <c r="D4375" s="9" t="str">
        <f>IFERROR(__xludf.DUMMYFUNCTION("GOOGLETRANSLATE($A4375,""en"",""fr"")"),"Kočevje")</f>
        <v>Kočevje</v>
      </c>
      <c r="E4375" s="9" t="str">
        <f>IFERROR(__xludf.DUMMYFUNCTION("GOOGLETRANSLATE($A4375,""en"",""es"")"),"Kočevje")</f>
        <v>Kočevje</v>
      </c>
      <c r="F4375" s="9" t="str">
        <f>IFERROR(__xludf.DUMMYFUNCTION("GOOGLETRANSLATE($A4375,""en"",""it"")"),"Kočevje")</f>
        <v>Kočevje</v>
      </c>
      <c r="G4375" s="9" t="str">
        <f>IFERROR(__xludf.DUMMYFUNCTION("GOOGLETRANSLATE($A4375,""en"",""zh-cn"")"),"科切维耶")</f>
        <v>科切维耶</v>
      </c>
      <c r="H4375" s="9" t="str">
        <f>IFERROR(__xludf.DUMMYFUNCTION("GOOGLETRANSLATE($A4375,""en"",""ja"")"),"コチェヴィエ")</f>
        <v>コチェヴィエ</v>
      </c>
      <c r="I4375" s="9" t="str">
        <f>IFERROR(__xludf.DUMMYFUNCTION("GOOGLETRANSLATE($A4375,""en"",""ko"")"),"코체브예")</f>
        <v>코체브예</v>
      </c>
      <c r="J4375" s="9" t="str">
        <f>IFERROR(__xludf.DUMMYFUNCTION("GOOGLETRANSLATE($A4375,""en"",""pt-BR"")"),"Kočevje")</f>
        <v>Kočevje</v>
      </c>
    </row>
    <row r="4376">
      <c r="A4376" s="9" t="str">
        <f>IFERROR(__xludf.DUMMYFUNCTION("""COMPUTED_VALUE"""),"Jezersko")</f>
        <v>Jezersko</v>
      </c>
      <c r="B4376" s="9" t="str">
        <f>IFERROR(__xludf.DUMMYFUNCTION("""COMPUTED_VALUE"""),"si-163")</f>
        <v>si-163</v>
      </c>
      <c r="C4376" s="9" t="str">
        <f>IFERROR(__xludf.DUMMYFUNCTION("GOOGLETRANSLATE($A4376,""en"",""de"")"),"Jezersko")</f>
        <v>Jezersko</v>
      </c>
      <c r="D4376" s="9" t="str">
        <f>IFERROR(__xludf.DUMMYFUNCTION("GOOGLETRANSLATE($A4376,""en"",""fr"")"),"Jezersko")</f>
        <v>Jezersko</v>
      </c>
      <c r="E4376" s="9" t="str">
        <f>IFERROR(__xludf.DUMMYFUNCTION("GOOGLETRANSLATE($A4376,""en"",""es"")"),"Jezersko")</f>
        <v>Jezersko</v>
      </c>
      <c r="F4376" s="9" t="str">
        <f>IFERROR(__xludf.DUMMYFUNCTION("GOOGLETRANSLATE($A4376,""en"",""it"")"),"Jezersko")</f>
        <v>Jezersko</v>
      </c>
      <c r="G4376" s="9" t="str">
        <f>IFERROR(__xludf.DUMMYFUNCTION("GOOGLETRANSLATE($A4376,""en"",""zh-cn"")"),"耶泽尔斯科")</f>
        <v>耶泽尔斯科</v>
      </c>
      <c r="H4376" s="9" t="str">
        <f>IFERROR(__xludf.DUMMYFUNCTION("GOOGLETRANSLATE($A4376,""en"",""ja"")"),"ジェゼルスコ")</f>
        <v>ジェゼルスコ</v>
      </c>
      <c r="I4376" s="9" t="str">
        <f>IFERROR(__xludf.DUMMYFUNCTION("GOOGLETRANSLATE($A4376,""en"",""ko"")"),"예제르스코")</f>
        <v>예제르스코</v>
      </c>
      <c r="J4376" s="9" t="str">
        <f>IFERROR(__xludf.DUMMYFUNCTION("GOOGLETRANSLATE($A4376,""en"",""pt-BR"")"),"Jezersko")</f>
        <v>Jezersko</v>
      </c>
    </row>
    <row r="4377">
      <c r="A4377" s="9" t="str">
        <f>IFERROR(__xludf.DUMMYFUNCTION("""COMPUTED_VALUE"""),"Juršinci")</f>
        <v>Juršinci</v>
      </c>
      <c r="B4377" s="9" t="str">
        <f>IFERROR(__xludf.DUMMYFUNCTION("""COMPUTED_VALUE"""),"si-042")</f>
        <v>si-042</v>
      </c>
      <c r="C4377" s="9" t="str">
        <f>IFERROR(__xludf.DUMMYFUNCTION("GOOGLETRANSLATE($A4377,""en"",""de"")"),"Juršinci")</f>
        <v>Juršinci</v>
      </c>
      <c r="D4377" s="9" t="str">
        <f>IFERROR(__xludf.DUMMYFUNCTION("GOOGLETRANSLATE($A4377,""en"",""fr"")"),"Juršinci")</f>
        <v>Juršinci</v>
      </c>
      <c r="E4377" s="9" t="str">
        <f>IFERROR(__xludf.DUMMYFUNCTION("GOOGLETRANSLATE($A4377,""en"",""es"")"),"Juršinci")</f>
        <v>Juršinci</v>
      </c>
      <c r="F4377" s="9" t="str">
        <f>IFERROR(__xludf.DUMMYFUNCTION("GOOGLETRANSLATE($A4377,""en"",""it"")"),"Jursinci")</f>
        <v>Jursinci</v>
      </c>
      <c r="G4377" s="9" t="str">
        <f>IFERROR(__xludf.DUMMYFUNCTION("GOOGLETRANSLATE($A4377,""en"",""zh-cn"")"),"尤尔辛奇")</f>
        <v>尤尔辛奇</v>
      </c>
      <c r="H4377" s="9" t="str">
        <f>IFERROR(__xludf.DUMMYFUNCTION("GOOGLETRANSLATE($A4377,""en"",""ja"")"),"ユルシンチ")</f>
        <v>ユルシンチ</v>
      </c>
      <c r="I4377" s="9" t="str">
        <f>IFERROR(__xludf.DUMMYFUNCTION("GOOGLETRANSLATE($A4377,""en"",""ko"")"),"유르신치")</f>
        <v>유르신치</v>
      </c>
      <c r="J4377" s="9" t="str">
        <f>IFERROR(__xludf.DUMMYFUNCTION("GOOGLETRANSLATE($A4377,""en"",""pt-BR"")"),"Juršinci")</f>
        <v>Juršinci</v>
      </c>
    </row>
    <row r="4378">
      <c r="A4378" s="9" t="str">
        <f>IFERROR(__xludf.DUMMYFUNCTION("""COMPUTED_VALUE"""),"Kamnik")</f>
        <v>Kamnik</v>
      </c>
      <c r="B4378" s="9" t="str">
        <f>IFERROR(__xludf.DUMMYFUNCTION("""COMPUTED_VALUE"""),"si-043")</f>
        <v>si-043</v>
      </c>
      <c r="C4378" s="9" t="str">
        <f>IFERROR(__xludf.DUMMYFUNCTION("GOOGLETRANSLATE($A4378,""en"",""de"")"),"Kamnik")</f>
        <v>Kamnik</v>
      </c>
      <c r="D4378" s="9" t="str">
        <f>IFERROR(__xludf.DUMMYFUNCTION("GOOGLETRANSLATE($A4378,""en"",""fr"")"),"Kamnik")</f>
        <v>Kamnik</v>
      </c>
      <c r="E4378" s="9" t="str">
        <f>IFERROR(__xludf.DUMMYFUNCTION("GOOGLETRANSLATE($A4378,""en"",""es"")"),"Kamnik")</f>
        <v>Kamnik</v>
      </c>
      <c r="F4378" s="9" t="str">
        <f>IFERROR(__xludf.DUMMYFUNCTION("GOOGLETRANSLATE($A4378,""en"",""it"")"),"Kamnik")</f>
        <v>Kamnik</v>
      </c>
      <c r="G4378" s="9" t="str">
        <f>IFERROR(__xludf.DUMMYFUNCTION("GOOGLETRANSLATE($A4378,""en"",""zh-cn"")"),"卡姆尼克")</f>
        <v>卡姆尼克</v>
      </c>
      <c r="H4378" s="9" t="str">
        <f>IFERROR(__xludf.DUMMYFUNCTION("GOOGLETRANSLATE($A4378,""en"",""ja"")"),"カムニク")</f>
        <v>カムニク</v>
      </c>
      <c r="I4378" s="9" t="str">
        <f>IFERROR(__xludf.DUMMYFUNCTION("GOOGLETRANSLATE($A4378,""en"",""ko"")"),"캄니크")</f>
        <v>캄니크</v>
      </c>
      <c r="J4378" s="9" t="str">
        <f>IFERROR(__xludf.DUMMYFUNCTION("GOOGLETRANSLATE($A4378,""en"",""pt-BR"")"),"Kamnik")</f>
        <v>Kamnik</v>
      </c>
    </row>
    <row r="4379">
      <c r="A4379" s="9" t="str">
        <f>IFERROR(__xludf.DUMMYFUNCTION("""COMPUTED_VALUE"""),"Kanal")</f>
        <v>Kanal</v>
      </c>
      <c r="B4379" s="9" t="str">
        <f>IFERROR(__xludf.DUMMYFUNCTION("""COMPUTED_VALUE"""),"si-044")</f>
        <v>si-044</v>
      </c>
      <c r="C4379" s="9" t="str">
        <f>IFERROR(__xludf.DUMMYFUNCTION("GOOGLETRANSLATE($A4379,""en"",""de"")"),"Kanal")</f>
        <v>Kanal</v>
      </c>
      <c r="D4379" s="9" t="str">
        <f>IFERROR(__xludf.DUMMYFUNCTION("GOOGLETRANSLATE($A4379,""en"",""fr"")"),"Canal")</f>
        <v>Canal</v>
      </c>
      <c r="E4379" s="9" t="str">
        <f>IFERROR(__xludf.DUMMYFUNCTION("GOOGLETRANSLATE($A4379,""en"",""es"")"),"canal")</f>
        <v>canal</v>
      </c>
      <c r="F4379" s="9" t="str">
        <f>IFERROR(__xludf.DUMMYFUNCTION("GOOGLETRANSLATE($A4379,""en"",""it"")"),"Canale")</f>
        <v>Canale</v>
      </c>
      <c r="G4379" s="9" t="str">
        <f>IFERROR(__xludf.DUMMYFUNCTION("GOOGLETRANSLATE($A4379,""en"",""zh-cn"")"),"运河")</f>
        <v>运河</v>
      </c>
      <c r="H4379" s="9" t="str">
        <f>IFERROR(__xludf.DUMMYFUNCTION("GOOGLETRANSLATE($A4379,""en"",""ja"")"),"カナル")</f>
        <v>カナル</v>
      </c>
      <c r="I4379" s="9" t="str">
        <f>IFERROR(__xludf.DUMMYFUNCTION("GOOGLETRANSLATE($A4379,""en"",""ko"")"),"운하")</f>
        <v>운하</v>
      </c>
      <c r="J4379" s="9" t="str">
        <f>IFERROR(__xludf.DUMMYFUNCTION("GOOGLETRANSLATE($A4379,""en"",""pt-BR"")"),"Canal")</f>
        <v>Canal</v>
      </c>
    </row>
    <row r="4380">
      <c r="A4380" s="9" t="str">
        <f>IFERROR(__xludf.DUMMYFUNCTION("""COMPUTED_VALUE"""),"Ljubljana")</f>
        <v>Ljubljana</v>
      </c>
      <c r="B4380" s="9" t="str">
        <f>IFERROR(__xludf.DUMMYFUNCTION("""COMPUTED_VALUE"""),"si-061")</f>
        <v>si-061</v>
      </c>
      <c r="C4380" s="9" t="str">
        <f>IFERROR(__xludf.DUMMYFUNCTION("GOOGLETRANSLATE($A4380,""en"",""de"")"),"Ljubljana")</f>
        <v>Ljubljana</v>
      </c>
      <c r="D4380" s="9" t="str">
        <f>IFERROR(__xludf.DUMMYFUNCTION("GOOGLETRANSLATE($A4380,""en"",""fr"")"),"Ljubljana")</f>
        <v>Ljubljana</v>
      </c>
      <c r="E4380" s="9" t="str">
        <f>IFERROR(__xludf.DUMMYFUNCTION("GOOGLETRANSLATE($A4380,""en"",""es"")"),"Liubliana")</f>
        <v>Liubliana</v>
      </c>
      <c r="F4380" s="9" t="str">
        <f>IFERROR(__xludf.DUMMYFUNCTION("GOOGLETRANSLATE($A4380,""en"",""it"")"),"Lubiana")</f>
        <v>Lubiana</v>
      </c>
      <c r="G4380" s="9" t="str">
        <f>IFERROR(__xludf.DUMMYFUNCTION("GOOGLETRANSLATE($A4380,""en"",""zh-cn"")"),"卢布尔雅那")</f>
        <v>卢布尔雅那</v>
      </c>
      <c r="H4380" s="9" t="str">
        <f>IFERROR(__xludf.DUMMYFUNCTION("GOOGLETRANSLATE($A4380,""en"",""ja"")"),"リュブリャナ")</f>
        <v>リュブリャナ</v>
      </c>
      <c r="I4380" s="9" t="str">
        <f>IFERROR(__xludf.DUMMYFUNCTION("GOOGLETRANSLATE($A4380,""en"",""ko"")"),"류블랴나")</f>
        <v>류블랴나</v>
      </c>
      <c r="J4380" s="9" t="str">
        <f>IFERROR(__xludf.DUMMYFUNCTION("GOOGLETRANSLATE($A4380,""en"",""pt-BR"")"),"Liubliana")</f>
        <v>Liubliana</v>
      </c>
    </row>
    <row r="4381">
      <c r="A4381" s="9" t="str">
        <f>IFERROR(__xludf.DUMMYFUNCTION("""COMPUTED_VALUE"""),"Ljubno")</f>
        <v>Ljubno</v>
      </c>
      <c r="B4381" s="9" t="str">
        <f>IFERROR(__xludf.DUMMYFUNCTION("""COMPUTED_VALUE"""),"si-062")</f>
        <v>si-062</v>
      </c>
      <c r="C4381" s="9" t="str">
        <f>IFERROR(__xludf.DUMMYFUNCTION("GOOGLETRANSLATE($A4381,""en"",""de"")"),"Ljubno")</f>
        <v>Ljubno</v>
      </c>
      <c r="D4381" s="9" t="str">
        <f>IFERROR(__xludf.DUMMYFUNCTION("GOOGLETRANSLATE($A4381,""en"",""fr"")"),"Ljubno")</f>
        <v>Ljubno</v>
      </c>
      <c r="E4381" s="9" t="str">
        <f>IFERROR(__xludf.DUMMYFUNCTION("GOOGLETRANSLATE($A4381,""en"",""es"")"),"Ljubno")</f>
        <v>Ljubno</v>
      </c>
      <c r="F4381" s="9" t="str">
        <f>IFERROR(__xludf.DUMMYFUNCTION("GOOGLETRANSLATE($A4381,""en"",""it"")"),"Ljubno")</f>
        <v>Ljubno</v>
      </c>
      <c r="G4381" s="9" t="str">
        <f>IFERROR(__xludf.DUMMYFUNCTION("GOOGLETRANSLATE($A4381,""en"",""zh-cn"")"),"柳布诺")</f>
        <v>柳布诺</v>
      </c>
      <c r="H4381" s="9" t="str">
        <f>IFERROR(__xludf.DUMMYFUNCTION("GOOGLETRANSLATE($A4381,""en"",""ja"")"),"リュブノ")</f>
        <v>リュブノ</v>
      </c>
      <c r="I4381" s="9" t="str">
        <f>IFERROR(__xludf.DUMMYFUNCTION("GOOGLETRANSLATE($A4381,""en"",""ko"")"),"류브노")</f>
        <v>류브노</v>
      </c>
      <c r="J4381" s="9" t="str">
        <f>IFERROR(__xludf.DUMMYFUNCTION("GOOGLETRANSLATE($A4381,""en"",""pt-BR"")"),"Liubliana")</f>
        <v>Liubliana</v>
      </c>
    </row>
    <row r="4382">
      <c r="A4382" s="9" t="str">
        <f>IFERROR(__xludf.DUMMYFUNCTION("""COMPUTED_VALUE"""),"Laško")</f>
        <v>Laško</v>
      </c>
      <c r="B4382" s="9" t="str">
        <f>IFERROR(__xludf.DUMMYFUNCTION("""COMPUTED_VALUE"""),"si-057")</f>
        <v>si-057</v>
      </c>
      <c r="C4382" s="9" t="str">
        <f>IFERROR(__xludf.DUMMYFUNCTION("GOOGLETRANSLATE($A4382,""en"",""de"")"),"Laško")</f>
        <v>Laško</v>
      </c>
      <c r="D4382" s="9" t="str">
        <f>IFERROR(__xludf.DUMMYFUNCTION("GOOGLETRANSLATE($A4382,""en"",""fr"")"),"Laško")</f>
        <v>Laško</v>
      </c>
      <c r="E4382" s="9" t="str">
        <f>IFERROR(__xludf.DUMMYFUNCTION("GOOGLETRANSLATE($A4382,""en"",""es"")"),"Laško")</f>
        <v>Laško</v>
      </c>
      <c r="F4382" s="9" t="str">
        <f>IFERROR(__xludf.DUMMYFUNCTION("GOOGLETRANSLATE($A4382,""en"",""it"")"),"Laško")</f>
        <v>Laško</v>
      </c>
      <c r="G4382" s="9" t="str">
        <f>IFERROR(__xludf.DUMMYFUNCTION("GOOGLETRANSLATE($A4382,""en"",""zh-cn"")"),"拉什科")</f>
        <v>拉什科</v>
      </c>
      <c r="H4382" s="9" t="str">
        <f>IFERROR(__xludf.DUMMYFUNCTION("GOOGLETRANSLATE($A4382,""en"",""ja"")"),"ラシュコ")</f>
        <v>ラシュコ</v>
      </c>
      <c r="I4382" s="9" t="str">
        <f>IFERROR(__xludf.DUMMYFUNCTION("GOOGLETRANSLATE($A4382,""en"",""ko"")"),"라슈코")</f>
        <v>라슈코</v>
      </c>
      <c r="J4382" s="9" t="str">
        <f>IFERROR(__xludf.DUMMYFUNCTION("GOOGLETRANSLATE($A4382,""en"",""pt-BR"")"),"Laško")</f>
        <v>Laško</v>
      </c>
    </row>
    <row r="4383">
      <c r="A4383" s="9" t="str">
        <f>IFERROR(__xludf.DUMMYFUNCTION("""COMPUTED_VALUE"""),"Lenart")</f>
        <v>Lenart</v>
      </c>
      <c r="B4383" s="9" t="str">
        <f>IFERROR(__xludf.DUMMYFUNCTION("""COMPUTED_VALUE"""),"si-058")</f>
        <v>si-058</v>
      </c>
      <c r="C4383" s="9" t="str">
        <f>IFERROR(__xludf.DUMMYFUNCTION("GOOGLETRANSLATE($A4383,""en"",""de"")"),"Lenart")</f>
        <v>Lenart</v>
      </c>
      <c r="D4383" s="9" t="str">
        <f>IFERROR(__xludf.DUMMYFUNCTION("GOOGLETRANSLATE($A4383,""en"",""fr"")"),"Lénart")</f>
        <v>Lénart</v>
      </c>
      <c r="E4383" s="9" t="str">
        <f>IFERROR(__xludf.DUMMYFUNCTION("GOOGLETRANSLATE($A4383,""en"",""es"")"),"Lenart")</f>
        <v>Lenart</v>
      </c>
      <c r="F4383" s="9" t="str">
        <f>IFERROR(__xludf.DUMMYFUNCTION("GOOGLETRANSLATE($A4383,""en"",""it"")"),"Lenart")</f>
        <v>Lenart</v>
      </c>
      <c r="G4383" s="9" t="str">
        <f>IFERROR(__xludf.DUMMYFUNCTION("GOOGLETRANSLATE($A4383,""en"",""zh-cn"")"),"莱纳特")</f>
        <v>莱纳特</v>
      </c>
      <c r="H4383" s="9" t="str">
        <f>IFERROR(__xludf.DUMMYFUNCTION("GOOGLETRANSLATE($A4383,""en"",""ja"")"),"レナート")</f>
        <v>レナート</v>
      </c>
      <c r="I4383" s="9" t="str">
        <f>IFERROR(__xludf.DUMMYFUNCTION("GOOGLETRANSLATE($A4383,""en"",""ko"")"),"레나르트")</f>
        <v>레나르트</v>
      </c>
      <c r="J4383" s="9" t="str">
        <f>IFERROR(__xludf.DUMMYFUNCTION("GOOGLETRANSLATE($A4383,""en"",""pt-BR"")"),"Lenart")</f>
        <v>Lenart</v>
      </c>
    </row>
    <row r="4384">
      <c r="A4384" s="9" t="str">
        <f>IFERROR(__xludf.DUMMYFUNCTION("""COMPUTED_VALUE"""),"Lendava")</f>
        <v>Lendava</v>
      </c>
      <c r="B4384" s="9" t="str">
        <f>IFERROR(__xludf.DUMMYFUNCTION("""COMPUTED_VALUE"""),"si-059")</f>
        <v>si-059</v>
      </c>
      <c r="C4384" s="9" t="str">
        <f>IFERROR(__xludf.DUMMYFUNCTION("GOOGLETRANSLATE($A4384,""en"",""de"")"),"Lendava")</f>
        <v>Lendava</v>
      </c>
      <c r="D4384" s="9" t="str">
        <f>IFERROR(__xludf.DUMMYFUNCTION("GOOGLETRANSLATE($A4384,""en"",""fr"")"),"Lendava")</f>
        <v>Lendava</v>
      </c>
      <c r="E4384" s="9" t="str">
        <f>IFERROR(__xludf.DUMMYFUNCTION("GOOGLETRANSLATE($A4384,""en"",""es"")"),"Lendava")</f>
        <v>Lendava</v>
      </c>
      <c r="F4384" s="9" t="str">
        <f>IFERROR(__xludf.DUMMYFUNCTION("GOOGLETRANSLATE($A4384,""en"",""it"")"),"Lendava")</f>
        <v>Lendava</v>
      </c>
      <c r="G4384" s="9" t="str">
        <f>IFERROR(__xludf.DUMMYFUNCTION("GOOGLETRANSLATE($A4384,""en"",""zh-cn"")"),"伦达瓦")</f>
        <v>伦达瓦</v>
      </c>
      <c r="H4384" s="9" t="str">
        <f>IFERROR(__xludf.DUMMYFUNCTION("GOOGLETRANSLATE($A4384,""en"",""ja"")"),"レンダバ")</f>
        <v>レンダバ</v>
      </c>
      <c r="I4384" s="9" t="str">
        <f>IFERROR(__xludf.DUMMYFUNCTION("GOOGLETRANSLATE($A4384,""en"",""ko"")"),"렌다바")</f>
        <v>렌다바</v>
      </c>
      <c r="J4384" s="9" t="str">
        <f>IFERROR(__xludf.DUMMYFUNCTION("GOOGLETRANSLATE($A4384,""en"",""pt-BR"")"),"Lendava")</f>
        <v>Lendava</v>
      </c>
    </row>
    <row r="4385">
      <c r="A4385" s="9" t="str">
        <f>IFERROR(__xludf.DUMMYFUNCTION("""COMPUTED_VALUE"""),"Litija")</f>
        <v>Litija</v>
      </c>
      <c r="B4385" s="9" t="str">
        <f>IFERROR(__xludf.DUMMYFUNCTION("""COMPUTED_VALUE"""),"si-060")</f>
        <v>si-060</v>
      </c>
      <c r="C4385" s="9" t="str">
        <f>IFERROR(__xludf.DUMMYFUNCTION("GOOGLETRANSLATE($A4385,""en"",""de"")"),"Litija")</f>
        <v>Litija</v>
      </c>
      <c r="D4385" s="9" t="str">
        <f>IFERROR(__xludf.DUMMYFUNCTION("GOOGLETRANSLATE($A4385,""en"",""fr"")"),"Litija")</f>
        <v>Litija</v>
      </c>
      <c r="E4385" s="9" t="str">
        <f>IFERROR(__xludf.DUMMYFUNCTION("GOOGLETRANSLATE($A4385,""en"",""es"")"),"litija")</f>
        <v>litija</v>
      </c>
      <c r="F4385" s="9" t="str">
        <f>IFERROR(__xludf.DUMMYFUNCTION("GOOGLETRANSLATE($A4385,""en"",""it"")"),"Litija")</f>
        <v>Litija</v>
      </c>
      <c r="G4385" s="9" t="str">
        <f>IFERROR(__xludf.DUMMYFUNCTION("GOOGLETRANSLATE($A4385,""en"",""zh-cn"")"),"利蒂亚")</f>
        <v>利蒂亚</v>
      </c>
      <c r="H4385" s="9" t="str">
        <f>IFERROR(__xludf.DUMMYFUNCTION("GOOGLETRANSLATE($A4385,""en"",""ja"")"),"リティア")</f>
        <v>リティア</v>
      </c>
      <c r="I4385" s="9" t="str">
        <f>IFERROR(__xludf.DUMMYFUNCTION("GOOGLETRANSLATE($A4385,""en"",""ko"")"),"리티야")</f>
        <v>리티야</v>
      </c>
      <c r="J4385" s="9" t="str">
        <f>IFERROR(__xludf.DUMMYFUNCTION("GOOGLETRANSLATE($A4385,""en"",""pt-BR"")"),"Litija")</f>
        <v>Litija</v>
      </c>
    </row>
    <row r="4386">
      <c r="A4386" s="9" t="str">
        <f>IFERROR(__xludf.DUMMYFUNCTION("""COMPUTED_VALUE"""),"Križevci")</f>
        <v>Križevci</v>
      </c>
      <c r="B4386" s="9" t="str">
        <f>IFERROR(__xludf.DUMMYFUNCTION("""COMPUTED_VALUE"""),"si-166")</f>
        <v>si-166</v>
      </c>
      <c r="C4386" s="9" t="str">
        <f>IFERROR(__xludf.DUMMYFUNCTION("GOOGLETRANSLATE($A4386,""en"",""de"")"),"Križevci")</f>
        <v>Križevci</v>
      </c>
      <c r="D4386" s="9" t="str">
        <f>IFERROR(__xludf.DUMMYFUNCTION("GOOGLETRANSLATE($A4386,""en"",""fr"")"),"Križevci")</f>
        <v>Križevci</v>
      </c>
      <c r="E4386" s="9" t="str">
        <f>IFERROR(__xludf.DUMMYFUNCTION("GOOGLETRANSLATE($A4386,""en"",""es"")"),"Križevci")</f>
        <v>Križevci</v>
      </c>
      <c r="F4386" s="9" t="str">
        <f>IFERROR(__xludf.DUMMYFUNCTION("GOOGLETRANSLATE($A4386,""en"",""it"")"),"Krizevci")</f>
        <v>Krizevci</v>
      </c>
      <c r="G4386" s="9" t="str">
        <f>IFERROR(__xludf.DUMMYFUNCTION("GOOGLETRANSLATE($A4386,""en"",""zh-cn"")"),"克里热夫齐")</f>
        <v>克里热夫齐</v>
      </c>
      <c r="H4386" s="9" t="str">
        <f>IFERROR(__xludf.DUMMYFUNCTION("GOOGLETRANSLATE($A4386,""en"",""ja"")"),"クリジェヴツィ")</f>
        <v>クリジェヴツィ</v>
      </c>
      <c r="I4386" s="9" t="str">
        <f>IFERROR(__xludf.DUMMYFUNCTION("GOOGLETRANSLATE($A4386,""en"",""ko"")"),"크리제브치")</f>
        <v>크리제브치</v>
      </c>
      <c r="J4386" s="9" t="str">
        <f>IFERROR(__xludf.DUMMYFUNCTION("GOOGLETRANSLATE($A4386,""en"",""pt-BR"")"),"Krizevci")</f>
        <v>Krizevci</v>
      </c>
    </row>
    <row r="4387">
      <c r="A4387" s="9" t="str">
        <f>IFERROR(__xludf.DUMMYFUNCTION("""COMPUTED_VALUE"""),"Krško")</f>
        <v>Krško</v>
      </c>
      <c r="B4387" s="9" t="str">
        <f>IFERROR(__xludf.DUMMYFUNCTION("""COMPUTED_VALUE"""),"si-054")</f>
        <v>si-054</v>
      </c>
      <c r="C4387" s="9" t="str">
        <f>IFERROR(__xludf.DUMMYFUNCTION("GOOGLETRANSLATE($A4387,""en"",""de"")"),"Krško")</f>
        <v>Krško</v>
      </c>
      <c r="D4387" s="9" t="str">
        <f>IFERROR(__xludf.DUMMYFUNCTION("GOOGLETRANSLATE($A4387,""en"",""fr"")"),"Krško")</f>
        <v>Krško</v>
      </c>
      <c r="E4387" s="9" t="str">
        <f>IFERROR(__xludf.DUMMYFUNCTION("GOOGLETRANSLATE($A4387,""en"",""es"")"),"krško")</f>
        <v>krško</v>
      </c>
      <c r="F4387" s="9" t="str">
        <f>IFERROR(__xludf.DUMMYFUNCTION("GOOGLETRANSLATE($A4387,""en"",""it"")"),"Krško")</f>
        <v>Krško</v>
      </c>
      <c r="G4387" s="9" t="str">
        <f>IFERROR(__xludf.DUMMYFUNCTION("GOOGLETRANSLATE($A4387,""en"",""zh-cn"")"),"克尔什科")</f>
        <v>克尔什科</v>
      </c>
      <c r="H4387" s="9" t="str">
        <f>IFERROR(__xludf.DUMMYFUNCTION("GOOGLETRANSLATE($A4387,""en"",""ja"")"),"クルシュコ")</f>
        <v>クルシュコ</v>
      </c>
      <c r="I4387" s="9" t="str">
        <f>IFERROR(__xludf.DUMMYFUNCTION("GOOGLETRANSLATE($A4387,""en"",""ko"")"),"크르슈코")</f>
        <v>크르슈코</v>
      </c>
      <c r="J4387" s="9" t="str">
        <f>IFERROR(__xludf.DUMMYFUNCTION("GOOGLETRANSLATE($A4387,""en"",""pt-BR"")"),"Krško")</f>
        <v>Krško</v>
      </c>
    </row>
    <row r="4388">
      <c r="A4388" s="9" t="str">
        <f>IFERROR(__xludf.DUMMYFUNCTION("""COMPUTED_VALUE"""),"Kungota")</f>
        <v>Kungota</v>
      </c>
      <c r="B4388" s="9" t="str">
        <f>IFERROR(__xludf.DUMMYFUNCTION("""COMPUTED_VALUE"""),"si-055")</f>
        <v>si-055</v>
      </c>
      <c r="C4388" s="9" t="str">
        <f>IFERROR(__xludf.DUMMYFUNCTION("GOOGLETRANSLATE($A4388,""en"",""de"")"),"Kungota")</f>
        <v>Kungota</v>
      </c>
      <c r="D4388" s="9" t="str">
        <f>IFERROR(__xludf.DUMMYFUNCTION("GOOGLETRANSLATE($A4388,""en"",""fr"")"),"Kungota")</f>
        <v>Kungota</v>
      </c>
      <c r="E4388" s="9" t="str">
        <f>IFERROR(__xludf.DUMMYFUNCTION("GOOGLETRANSLATE($A4388,""en"",""es"")"),"kungota")</f>
        <v>kungota</v>
      </c>
      <c r="F4388" s="9" t="str">
        <f>IFERROR(__xludf.DUMMYFUNCTION("GOOGLETRANSLATE($A4388,""en"",""it"")"),"Kungota")</f>
        <v>Kungota</v>
      </c>
      <c r="G4388" s="9" t="str">
        <f>IFERROR(__xludf.DUMMYFUNCTION("GOOGLETRANSLATE($A4388,""en"",""zh-cn"")"),"贡戈塔")</f>
        <v>贡戈塔</v>
      </c>
      <c r="H4388" s="9" t="str">
        <f>IFERROR(__xludf.DUMMYFUNCTION("GOOGLETRANSLATE($A4388,""en"",""ja"")"),"クンゴタ")</f>
        <v>クンゴタ</v>
      </c>
      <c r="I4388" s="9" t="str">
        <f>IFERROR(__xludf.DUMMYFUNCTION("GOOGLETRANSLATE($A4388,""en"",""ko"")"),"쿵고타")</f>
        <v>쿵고타</v>
      </c>
      <c r="J4388" s="9" t="str">
        <f>IFERROR(__xludf.DUMMYFUNCTION("GOOGLETRANSLATE($A4388,""en"",""pt-BR"")"),"Kungota")</f>
        <v>Kungota</v>
      </c>
    </row>
    <row r="4389">
      <c r="A4389" s="9" t="str">
        <f>IFERROR(__xludf.DUMMYFUNCTION("""COMPUTED_VALUE"""),"Kuzma")</f>
        <v>Kuzma</v>
      </c>
      <c r="B4389" s="9" t="str">
        <f>IFERROR(__xludf.DUMMYFUNCTION("""COMPUTED_VALUE"""),"si-056")</f>
        <v>si-056</v>
      </c>
      <c r="C4389" s="9" t="str">
        <f>IFERROR(__xludf.DUMMYFUNCTION("GOOGLETRANSLATE($A4389,""en"",""de"")"),"Kuzma")</f>
        <v>Kuzma</v>
      </c>
      <c r="D4389" s="9" t="str">
        <f>IFERROR(__xludf.DUMMYFUNCTION("GOOGLETRANSLATE($A4389,""en"",""fr"")"),"Kouzma")</f>
        <v>Kouzma</v>
      </c>
      <c r="E4389" s="9" t="str">
        <f>IFERROR(__xludf.DUMMYFUNCTION("GOOGLETRANSLATE($A4389,""en"",""es"")"),"Kuzmá")</f>
        <v>Kuzmá</v>
      </c>
      <c r="F4389" s="9" t="str">
        <f>IFERROR(__xludf.DUMMYFUNCTION("GOOGLETRANSLATE($A4389,""en"",""it"")"),"Kuzma")</f>
        <v>Kuzma</v>
      </c>
      <c r="G4389" s="9" t="str">
        <f>IFERROR(__xludf.DUMMYFUNCTION("GOOGLETRANSLATE($A4389,""en"",""zh-cn"")"),"库兹马")</f>
        <v>库兹马</v>
      </c>
      <c r="H4389" s="9" t="str">
        <f>IFERROR(__xludf.DUMMYFUNCTION("GOOGLETRANSLATE($A4389,""en"",""ja"")"),"クズマ")</f>
        <v>クズマ</v>
      </c>
      <c r="I4389" s="9" t="str">
        <f>IFERROR(__xludf.DUMMYFUNCTION("GOOGLETRANSLATE($A4389,""en"",""ko"")"),"쿠즈마")</f>
        <v>쿠즈마</v>
      </c>
      <c r="J4389" s="9" t="str">
        <f>IFERROR(__xludf.DUMMYFUNCTION("GOOGLETRANSLATE($A4389,""en"",""pt-BR"")"),"Kuzma")</f>
        <v>Kuzma</v>
      </c>
    </row>
    <row r="4390">
      <c r="A4390" s="9" t="str">
        <f>IFERROR(__xludf.DUMMYFUNCTION("""COMPUTED_VALUE"""),"Cerklje na Gorenjskem")</f>
        <v>Cerklje na Gorenjskem</v>
      </c>
      <c r="B4390" s="9" t="str">
        <f>IFERROR(__xludf.DUMMYFUNCTION("""COMPUTED_VALUE"""),"si-012")</f>
        <v>si-012</v>
      </c>
      <c r="C4390" s="9" t="str">
        <f>IFERROR(__xludf.DUMMYFUNCTION("GOOGLETRANSLATE($A4390,""en"",""de"")"),"Cerklje na Gorenjskem")</f>
        <v>Cerklje na Gorenjskem</v>
      </c>
      <c r="D4390" s="9" t="str">
        <f>IFERROR(__xludf.DUMMYFUNCTION("GOOGLETRANSLATE($A4390,""en"",""fr"")"),"Cerklje na Gorenjskem")</f>
        <v>Cerklje na Gorenjskem</v>
      </c>
      <c r="E4390" s="9" t="str">
        <f>IFERROR(__xludf.DUMMYFUNCTION("GOOGLETRANSLATE($A4390,""en"",""es"")"),"Cerklje na Gorenjskem")</f>
        <v>Cerklje na Gorenjskem</v>
      </c>
      <c r="F4390" s="9" t="str">
        <f>IFERROR(__xludf.DUMMYFUNCTION("GOOGLETRANSLATE($A4390,""en"",""it"")"),"Cerklje na Gorenjskem")</f>
        <v>Cerklje na Gorenjskem</v>
      </c>
      <c r="G4390" s="9" t="str">
        <f>IFERROR(__xludf.DUMMYFUNCTION("GOOGLETRANSLATE($A4390,""en"",""zh-cn"")"),"戈伦尼斯凯姆")</f>
        <v>戈伦尼斯凯姆</v>
      </c>
      <c r="H4390" s="9" t="str">
        <f>IFERROR(__xludf.DUMMYFUNCTION("GOOGLETRANSLATE($A4390,""en"",""ja"")"),"ツェルクリエ ナ ゴレンジスケム")</f>
        <v>ツェルクリエ ナ ゴレンジスケム</v>
      </c>
      <c r="I4390" s="9" t="str">
        <f>IFERROR(__xludf.DUMMYFUNCTION("GOOGLETRANSLATE($A4390,""en"",""ko"")"),"Cerklje na Gorenjskem")</f>
        <v>Cerklje na Gorenjskem</v>
      </c>
      <c r="J4390" s="9" t="str">
        <f>IFERROR(__xludf.DUMMYFUNCTION("GOOGLETRANSLATE($A4390,""en"",""pt-BR"")"),"Cerklje na Gorenjskem")</f>
        <v>Cerklje na Gorenjskem</v>
      </c>
    </row>
    <row r="4391">
      <c r="A4391" s="9" t="str">
        <f>IFERROR(__xludf.DUMMYFUNCTION("""COMPUTED_VALUE"""),"Cerknica")</f>
        <v>Cerknica</v>
      </c>
      <c r="B4391" s="9" t="str">
        <f>IFERROR(__xludf.DUMMYFUNCTION("""COMPUTED_VALUE"""),"si-013")</f>
        <v>si-013</v>
      </c>
      <c r="C4391" s="9" t="str">
        <f>IFERROR(__xludf.DUMMYFUNCTION("GOOGLETRANSLATE($A4391,""en"",""de"")"),"Cerknica")</f>
        <v>Cerknica</v>
      </c>
      <c r="D4391" s="9" t="str">
        <f>IFERROR(__xludf.DUMMYFUNCTION("GOOGLETRANSLATE($A4391,""en"",""fr"")"),"Cerknica")</f>
        <v>Cerknica</v>
      </c>
      <c r="E4391" s="9" t="str">
        <f>IFERROR(__xludf.DUMMYFUNCTION("GOOGLETRANSLATE($A4391,""en"",""es"")"),"Cerknica")</f>
        <v>Cerknica</v>
      </c>
      <c r="F4391" s="9" t="str">
        <f>IFERROR(__xludf.DUMMYFUNCTION("GOOGLETRANSLATE($A4391,""en"",""it"")"),"Cerknica")</f>
        <v>Cerknica</v>
      </c>
      <c r="G4391" s="9" t="str">
        <f>IFERROR(__xludf.DUMMYFUNCTION("GOOGLETRANSLATE($A4391,""en"",""zh-cn"")"),"切尔克尼察")</f>
        <v>切尔克尼察</v>
      </c>
      <c r="H4391" s="9" t="str">
        <f>IFERROR(__xludf.DUMMYFUNCTION("GOOGLETRANSLATE($A4391,""en"",""ja"")"),"ツェルクニツァ")</f>
        <v>ツェルクニツァ</v>
      </c>
      <c r="I4391" s="9" t="str">
        <f>IFERROR(__xludf.DUMMYFUNCTION("GOOGLETRANSLATE($A4391,""en"",""ko"")"),"체르크니차")</f>
        <v>체르크니차</v>
      </c>
      <c r="J4391" s="9" t="str">
        <f>IFERROR(__xludf.DUMMYFUNCTION("GOOGLETRANSLATE($A4391,""en"",""pt-BR"")"),"Cerknica")</f>
        <v>Cerknica</v>
      </c>
    </row>
    <row r="4392">
      <c r="A4392" s="9" t="str">
        <f>IFERROR(__xludf.DUMMYFUNCTION("""COMPUTED_VALUE"""),"Cerkno")</f>
        <v>Cerkno</v>
      </c>
      <c r="B4392" s="9" t="str">
        <f>IFERROR(__xludf.DUMMYFUNCTION("""COMPUTED_VALUE"""),"si-014")</f>
        <v>si-014</v>
      </c>
      <c r="C4392" s="9" t="str">
        <f>IFERROR(__xludf.DUMMYFUNCTION("GOOGLETRANSLATE($A4392,""en"",""de"")"),"Cerkno")</f>
        <v>Cerkno</v>
      </c>
      <c r="D4392" s="9" t="str">
        <f>IFERROR(__xludf.DUMMYFUNCTION("GOOGLETRANSLATE($A4392,""en"",""fr"")"),"Cerkno")</f>
        <v>Cerkno</v>
      </c>
      <c r="E4392" s="9" t="str">
        <f>IFERROR(__xludf.DUMMYFUNCTION("GOOGLETRANSLATE($A4392,""en"",""es"")"),"Cerkno")</f>
        <v>Cerkno</v>
      </c>
      <c r="F4392" s="9" t="str">
        <f>IFERROR(__xludf.DUMMYFUNCTION("GOOGLETRANSLATE($A4392,""en"",""it"")"),"Cerkno")</f>
        <v>Cerkno</v>
      </c>
      <c r="G4392" s="9" t="str">
        <f>IFERROR(__xludf.DUMMYFUNCTION("GOOGLETRANSLATE($A4392,""en"",""zh-cn"")"),"采尔克诺")</f>
        <v>采尔克诺</v>
      </c>
      <c r="H4392" s="9" t="str">
        <f>IFERROR(__xludf.DUMMYFUNCTION("GOOGLETRANSLATE($A4392,""en"",""ja"")"),"チェルクノ")</f>
        <v>チェルクノ</v>
      </c>
      <c r="I4392" s="9" t="str">
        <f>IFERROR(__xludf.DUMMYFUNCTION("GOOGLETRANSLATE($A4392,""en"",""ko"")"),"체르크노")</f>
        <v>체르크노</v>
      </c>
      <c r="J4392" s="9" t="str">
        <f>IFERROR(__xludf.DUMMYFUNCTION("GOOGLETRANSLATE($A4392,""en"",""pt-BR"")"),"Cerkno")</f>
        <v>Cerkno</v>
      </c>
    </row>
    <row r="4393">
      <c r="A4393" s="9" t="str">
        <f>IFERROR(__xludf.DUMMYFUNCTION("""COMPUTED_VALUE"""),"Cerkvenjak")</f>
        <v>Cerkvenjak</v>
      </c>
      <c r="B4393" s="9" t="str">
        <f>IFERROR(__xludf.DUMMYFUNCTION("""COMPUTED_VALUE"""),"si-153")</f>
        <v>si-153</v>
      </c>
      <c r="C4393" s="9" t="str">
        <f>IFERROR(__xludf.DUMMYFUNCTION("GOOGLETRANSLATE($A4393,""en"",""de"")"),"Cerkvenjak")</f>
        <v>Cerkvenjak</v>
      </c>
      <c r="D4393" s="9" t="str">
        <f>IFERROR(__xludf.DUMMYFUNCTION("GOOGLETRANSLATE($A4393,""en"",""fr"")"),"Cerkvenjak")</f>
        <v>Cerkvenjak</v>
      </c>
      <c r="E4393" s="9" t="str">
        <f>IFERROR(__xludf.DUMMYFUNCTION("GOOGLETRANSLATE($A4393,""en"",""es"")"),"Cerkvenjak")</f>
        <v>Cerkvenjak</v>
      </c>
      <c r="F4393" s="9" t="str">
        <f>IFERROR(__xludf.DUMMYFUNCTION("GOOGLETRANSLATE($A4393,""en"",""it"")"),"Cerkvenjak")</f>
        <v>Cerkvenjak</v>
      </c>
      <c r="G4393" s="9" t="str">
        <f>IFERROR(__xludf.DUMMYFUNCTION("GOOGLETRANSLATE($A4393,""en"",""zh-cn"")"),"切尔克文雅克")</f>
        <v>切尔克文雅克</v>
      </c>
      <c r="H4393" s="9" t="str">
        <f>IFERROR(__xludf.DUMMYFUNCTION("GOOGLETRANSLATE($A4393,""en"",""ja"")"),"ツェルクベンジャック")</f>
        <v>ツェルクベンジャック</v>
      </c>
      <c r="I4393" s="9" t="str">
        <f>IFERROR(__xludf.DUMMYFUNCTION("GOOGLETRANSLATE($A4393,""en"",""ko"")"),"체르크벤약")</f>
        <v>체르크벤약</v>
      </c>
      <c r="J4393" s="9" t="str">
        <f>IFERROR(__xludf.DUMMYFUNCTION("GOOGLETRANSLATE($A4393,""en"",""pt-BR"")"),"Cerkvenjak")</f>
        <v>Cerkvenjak</v>
      </c>
    </row>
    <row r="4394">
      <c r="A4394" s="9" t="str">
        <f>IFERROR(__xludf.DUMMYFUNCTION("""COMPUTED_VALUE"""),"Brežice")</f>
        <v>Brežice</v>
      </c>
      <c r="B4394" s="9" t="str">
        <f>IFERROR(__xludf.DUMMYFUNCTION("""COMPUTED_VALUE"""),"si-009")</f>
        <v>si-009</v>
      </c>
      <c r="C4394" s="9" t="str">
        <f>IFERROR(__xludf.DUMMYFUNCTION("GOOGLETRANSLATE($A4394,""en"",""de"")"),"Brežice")</f>
        <v>Brežice</v>
      </c>
      <c r="D4394" s="9" t="str">
        <f>IFERROR(__xludf.DUMMYFUNCTION("GOOGLETRANSLATE($A4394,""en"",""fr"")"),"Brežice")</f>
        <v>Brežice</v>
      </c>
      <c r="E4394" s="9" t="str">
        <f>IFERROR(__xludf.DUMMYFUNCTION("GOOGLETRANSLATE($A4394,""en"",""es"")"),"Brežice")</f>
        <v>Brežice</v>
      </c>
      <c r="F4394" s="9" t="str">
        <f>IFERROR(__xludf.DUMMYFUNCTION("GOOGLETRANSLATE($A4394,""en"",""it"")"),"Brežice")</f>
        <v>Brežice</v>
      </c>
      <c r="G4394" s="9" t="str">
        <f>IFERROR(__xludf.DUMMYFUNCTION("GOOGLETRANSLATE($A4394,""en"",""zh-cn"")"),"布雷日采")</f>
        <v>布雷日采</v>
      </c>
      <c r="H4394" s="9" t="str">
        <f>IFERROR(__xludf.DUMMYFUNCTION("GOOGLETRANSLATE($A4394,""en"",""ja"")"),"ブレジツェ")</f>
        <v>ブレジツェ</v>
      </c>
      <c r="I4394" s="9" t="str">
        <f>IFERROR(__xludf.DUMMYFUNCTION("GOOGLETRANSLATE($A4394,""en"",""ko"")"),"브레지체")</f>
        <v>브레지체</v>
      </c>
      <c r="J4394" s="9" t="str">
        <f>IFERROR(__xludf.DUMMYFUNCTION("GOOGLETRANSLATE($A4394,""en"",""pt-BR"")"),"Brežice")</f>
        <v>Brežice</v>
      </c>
    </row>
    <row r="4395">
      <c r="A4395" s="9" t="str">
        <f>IFERROR(__xludf.DUMMYFUNCTION("""COMPUTED_VALUE"""),"Brezovica")</f>
        <v>Brezovica</v>
      </c>
      <c r="B4395" s="9" t="str">
        <f>IFERROR(__xludf.DUMMYFUNCTION("""COMPUTED_VALUE"""),"si-008")</f>
        <v>si-008</v>
      </c>
      <c r="C4395" s="9" t="str">
        <f>IFERROR(__xludf.DUMMYFUNCTION("GOOGLETRANSLATE($A4395,""en"",""de"")"),"Brezovica")</f>
        <v>Brezovica</v>
      </c>
      <c r="D4395" s="9" t="str">
        <f>IFERROR(__xludf.DUMMYFUNCTION("GOOGLETRANSLATE($A4395,""en"",""fr"")"),"Brezovica")</f>
        <v>Brezovica</v>
      </c>
      <c r="E4395" s="9" t="str">
        <f>IFERROR(__xludf.DUMMYFUNCTION("GOOGLETRANSLATE($A4395,""en"",""es"")"),"Brezovica")</f>
        <v>Brezovica</v>
      </c>
      <c r="F4395" s="9" t="str">
        <f>IFERROR(__xludf.DUMMYFUNCTION("GOOGLETRANSLATE($A4395,""en"",""it"")"),"Brezovica")</f>
        <v>Brezovica</v>
      </c>
      <c r="G4395" s="9" t="str">
        <f>IFERROR(__xludf.DUMMYFUNCTION("GOOGLETRANSLATE($A4395,""en"",""zh-cn"")"),"布雷佐维察")</f>
        <v>布雷佐维察</v>
      </c>
      <c r="H4395" s="9" t="str">
        <f>IFERROR(__xludf.DUMMYFUNCTION("GOOGLETRANSLATE($A4395,""en"",""ja"")"),"ブレゾヴィツァ")</f>
        <v>ブレゾヴィツァ</v>
      </c>
      <c r="I4395" s="9" t="str">
        <f>IFERROR(__xludf.DUMMYFUNCTION("GOOGLETRANSLATE($A4395,""en"",""ko"")"),"브레조비차")</f>
        <v>브레조비차</v>
      </c>
      <c r="J4395" s="9" t="str">
        <f>IFERROR(__xludf.DUMMYFUNCTION("GOOGLETRANSLATE($A4395,""en"",""pt-BR"")"),"Brezovica")</f>
        <v>Brezovica</v>
      </c>
    </row>
    <row r="4396">
      <c r="A4396" s="9" t="str">
        <f>IFERROR(__xludf.DUMMYFUNCTION("""COMPUTED_VALUE"""),"Cankova")</f>
        <v>Cankova</v>
      </c>
      <c r="B4396" s="9" t="str">
        <f>IFERROR(__xludf.DUMMYFUNCTION("""COMPUTED_VALUE"""),"si-152")</f>
        <v>si-152</v>
      </c>
      <c r="C4396" s="9" t="str">
        <f>IFERROR(__xludf.DUMMYFUNCTION("GOOGLETRANSLATE($A4396,""en"",""de"")"),"Cankova")</f>
        <v>Cankova</v>
      </c>
      <c r="D4396" s="9" t="str">
        <f>IFERROR(__xludf.DUMMYFUNCTION("GOOGLETRANSLATE($A4396,""en"",""fr"")"),"Cankova")</f>
        <v>Cankova</v>
      </c>
      <c r="E4396" s="9" t="str">
        <f>IFERROR(__xludf.DUMMYFUNCTION("GOOGLETRANSLATE($A4396,""en"",""es"")"),"Canková")</f>
        <v>Canková</v>
      </c>
      <c r="F4396" s="9" t="str">
        <f>IFERROR(__xludf.DUMMYFUNCTION("GOOGLETRANSLATE($A4396,""en"",""it"")"),"Cankova")</f>
        <v>Cankova</v>
      </c>
      <c r="G4396" s="9" t="str">
        <f>IFERROR(__xludf.DUMMYFUNCTION("GOOGLETRANSLATE($A4396,""en"",""zh-cn"")"),"坎科娃")</f>
        <v>坎科娃</v>
      </c>
      <c r="H4396" s="9" t="str">
        <f>IFERROR(__xludf.DUMMYFUNCTION("GOOGLETRANSLATE($A4396,""en"",""ja"")"),"カンコバ")</f>
        <v>カンコバ</v>
      </c>
      <c r="I4396" s="9" t="str">
        <f>IFERROR(__xludf.DUMMYFUNCTION("GOOGLETRANSLATE($A4396,""en"",""ko"")"),"칸코바")</f>
        <v>칸코바</v>
      </c>
      <c r="J4396" s="9" t="str">
        <f>IFERROR(__xludf.DUMMYFUNCTION("GOOGLETRANSLATE($A4396,""en"",""pt-BR"")"),"Cankova")</f>
        <v>Cankova</v>
      </c>
    </row>
    <row r="4397">
      <c r="A4397" s="9" t="str">
        <f>IFERROR(__xludf.DUMMYFUNCTION("""COMPUTED_VALUE"""),"Celje")</f>
        <v>Celje</v>
      </c>
      <c r="B4397" s="9" t="str">
        <f>IFERROR(__xludf.DUMMYFUNCTION("""COMPUTED_VALUE"""),"si-011")</f>
        <v>si-011</v>
      </c>
      <c r="C4397" s="9" t="str">
        <f>IFERROR(__xludf.DUMMYFUNCTION("GOOGLETRANSLATE($A4397,""en"",""de"")"),"Celje")</f>
        <v>Celje</v>
      </c>
      <c r="D4397" s="9" t="str">
        <f>IFERROR(__xludf.DUMMYFUNCTION("GOOGLETRANSLATE($A4397,""en"",""fr"")"),"Celje")</f>
        <v>Celje</v>
      </c>
      <c r="E4397" s="9" t="str">
        <f>IFERROR(__xludf.DUMMYFUNCTION("GOOGLETRANSLATE($A4397,""en"",""es"")"),"Celje")</f>
        <v>Celje</v>
      </c>
      <c r="F4397" s="9" t="str">
        <f>IFERROR(__xludf.DUMMYFUNCTION("GOOGLETRANSLATE($A4397,""en"",""it"")"),"Celje")</f>
        <v>Celje</v>
      </c>
      <c r="G4397" s="9" t="str">
        <f>IFERROR(__xludf.DUMMYFUNCTION("GOOGLETRANSLATE($A4397,""en"",""zh-cn"")"),"采列")</f>
        <v>采列</v>
      </c>
      <c r="H4397" s="9" t="str">
        <f>IFERROR(__xludf.DUMMYFUNCTION("GOOGLETRANSLATE($A4397,""en"",""ja"")"),"ツェリェ")</f>
        <v>ツェリェ</v>
      </c>
      <c r="I4397" s="9" t="str">
        <f>IFERROR(__xludf.DUMMYFUNCTION("GOOGLETRANSLATE($A4397,""en"",""ko"")"),"첼레")</f>
        <v>첼레</v>
      </c>
      <c r="J4397" s="9" t="str">
        <f>IFERROR(__xludf.DUMMYFUNCTION("GOOGLETRANSLATE($A4397,""en"",""pt-BR"")"),"Celje")</f>
        <v>Celje</v>
      </c>
    </row>
    <row r="4398">
      <c r="A4398" s="9" t="str">
        <f>IFERROR(__xludf.DUMMYFUNCTION("""COMPUTED_VALUE"""),"Borovnica")</f>
        <v>Borovnica</v>
      </c>
      <c r="B4398" s="9" t="str">
        <f>IFERROR(__xludf.DUMMYFUNCTION("""COMPUTED_VALUE"""),"si-005")</f>
        <v>si-005</v>
      </c>
      <c r="C4398" s="9" t="str">
        <f>IFERROR(__xludf.DUMMYFUNCTION("GOOGLETRANSLATE($A4398,""en"",""de"")"),"Borovnica")</f>
        <v>Borovnica</v>
      </c>
      <c r="D4398" s="9" t="str">
        <f>IFERROR(__xludf.DUMMYFUNCTION("GOOGLETRANSLATE($A4398,""en"",""fr"")"),"Borovnica")</f>
        <v>Borovnica</v>
      </c>
      <c r="E4398" s="9" t="str">
        <f>IFERROR(__xludf.DUMMYFUNCTION("GOOGLETRANSLATE($A4398,""en"",""es"")"),"Borovnica")</f>
        <v>Borovnica</v>
      </c>
      <c r="F4398" s="9" t="str">
        <f>IFERROR(__xludf.DUMMYFUNCTION("GOOGLETRANSLATE($A4398,""en"",""it"")"),"Borovnica")</f>
        <v>Borovnica</v>
      </c>
      <c r="G4398" s="9" t="str">
        <f>IFERROR(__xludf.DUMMYFUNCTION("GOOGLETRANSLATE($A4398,""en"",""zh-cn"")"),"博罗夫尼察")</f>
        <v>博罗夫尼察</v>
      </c>
      <c r="H4398" s="9" t="str">
        <f>IFERROR(__xludf.DUMMYFUNCTION("GOOGLETRANSLATE($A4398,""en"",""ja"")"),"ボロヴニツァ")</f>
        <v>ボロヴニツァ</v>
      </c>
      <c r="I4398" s="9" t="str">
        <f>IFERROR(__xludf.DUMMYFUNCTION("GOOGLETRANSLATE($A4398,""en"",""ko"")"),"보로브니차")</f>
        <v>보로브니차</v>
      </c>
      <c r="J4398" s="9" t="str">
        <f>IFERROR(__xludf.DUMMYFUNCTION("GOOGLETRANSLATE($A4398,""en"",""pt-BR"")"),"Borovnica")</f>
        <v>Borovnica</v>
      </c>
    </row>
    <row r="4399">
      <c r="A4399" s="9" t="str">
        <f>IFERROR(__xludf.DUMMYFUNCTION("""COMPUTED_VALUE"""),"Bovec")</f>
        <v>Bovec</v>
      </c>
      <c r="B4399" s="9" t="str">
        <f>IFERROR(__xludf.DUMMYFUNCTION("""COMPUTED_VALUE"""),"si-006")</f>
        <v>si-006</v>
      </c>
      <c r="C4399" s="9" t="str">
        <f>IFERROR(__xludf.DUMMYFUNCTION("GOOGLETRANSLATE($A4399,""en"",""de"")"),"Bovec")</f>
        <v>Bovec</v>
      </c>
      <c r="D4399" s="9" t="str">
        <f>IFERROR(__xludf.DUMMYFUNCTION("GOOGLETRANSLATE($A4399,""en"",""fr"")"),"Bovec")</f>
        <v>Bovec</v>
      </c>
      <c r="E4399" s="9" t="str">
        <f>IFERROR(__xludf.DUMMYFUNCTION("GOOGLETRANSLATE($A4399,""en"",""es"")"),"Bovec")</f>
        <v>Bovec</v>
      </c>
      <c r="F4399" s="9" t="str">
        <f>IFERROR(__xludf.DUMMYFUNCTION("GOOGLETRANSLATE($A4399,""en"",""it"")"),"Bovec")</f>
        <v>Bovec</v>
      </c>
      <c r="G4399" s="9" t="str">
        <f>IFERROR(__xludf.DUMMYFUNCTION("GOOGLETRANSLATE($A4399,""en"",""zh-cn"")"),"博韦茨")</f>
        <v>博韦茨</v>
      </c>
      <c r="H4399" s="9" t="str">
        <f>IFERROR(__xludf.DUMMYFUNCTION("GOOGLETRANSLATE($A4399,""en"",""ja"")"),"ボヴェツ")</f>
        <v>ボヴェツ</v>
      </c>
      <c r="I4399" s="9" t="str">
        <f>IFERROR(__xludf.DUMMYFUNCTION("GOOGLETRANSLATE($A4399,""en"",""ko"")"),"보베츠")</f>
        <v>보베츠</v>
      </c>
      <c r="J4399" s="9" t="str">
        <f>IFERROR(__xludf.DUMMYFUNCTION("GOOGLETRANSLATE($A4399,""en"",""pt-BR"")"),"Bovec")</f>
        <v>Bovec</v>
      </c>
    </row>
    <row r="4400">
      <c r="A4400" s="9" t="str">
        <f>IFERROR(__xludf.DUMMYFUNCTION("""COMPUTED_VALUE"""),"Braslovče")</f>
        <v>Braslovče</v>
      </c>
      <c r="B4400" s="9" t="str">
        <f>IFERROR(__xludf.DUMMYFUNCTION("""COMPUTED_VALUE"""),"si-151")</f>
        <v>si-151</v>
      </c>
      <c r="C4400" s="9" t="str">
        <f>IFERROR(__xludf.DUMMYFUNCTION("GOOGLETRANSLATE($A4400,""en"",""de"")"),"Braslovče")</f>
        <v>Braslovče</v>
      </c>
      <c r="D4400" s="9" t="str">
        <f>IFERROR(__xludf.DUMMYFUNCTION("GOOGLETRANSLATE($A4400,""en"",""fr"")"),"Braslovtché")</f>
        <v>Braslovtché</v>
      </c>
      <c r="E4400" s="9" t="str">
        <f>IFERROR(__xludf.DUMMYFUNCTION("GOOGLETRANSLATE($A4400,""en"",""es"")"),"Braslovče")</f>
        <v>Braslovče</v>
      </c>
      <c r="F4400" s="9" t="str">
        <f>IFERROR(__xludf.DUMMYFUNCTION("GOOGLETRANSLATE($A4400,""en"",""it"")"),"Braslovče")</f>
        <v>Braslovče</v>
      </c>
      <c r="G4400" s="9" t="str">
        <f>IFERROR(__xludf.DUMMYFUNCTION("GOOGLETRANSLATE($A4400,""en"",""zh-cn"")"),"布拉斯洛夫切")</f>
        <v>布拉斯洛夫切</v>
      </c>
      <c r="H4400" s="9" t="str">
        <f>IFERROR(__xludf.DUMMYFUNCTION("GOOGLETRANSLATE($A4400,""en"",""ja"")"),"ブラスロフチェ")</f>
        <v>ブラスロフチェ</v>
      </c>
      <c r="I4400" s="9" t="str">
        <f>IFERROR(__xludf.DUMMYFUNCTION("GOOGLETRANSLATE($A4400,""en"",""ko"")"),"브라슬로브체")</f>
        <v>브라슬로브체</v>
      </c>
      <c r="J4400" s="9" t="str">
        <f>IFERROR(__xludf.DUMMYFUNCTION("GOOGLETRANSLATE($A4400,""en"",""pt-BR"")"),"Braslovce")</f>
        <v>Braslovce</v>
      </c>
    </row>
    <row r="4401">
      <c r="A4401" s="9" t="str">
        <f>IFERROR(__xludf.DUMMYFUNCTION("""COMPUTED_VALUE"""),"Brda")</f>
        <v>Brda</v>
      </c>
      <c r="B4401" s="9" t="str">
        <f>IFERROR(__xludf.DUMMYFUNCTION("""COMPUTED_VALUE"""),"si-007")</f>
        <v>si-007</v>
      </c>
      <c r="C4401" s="9" t="str">
        <f>IFERROR(__xludf.DUMMYFUNCTION("GOOGLETRANSLATE($A4401,""en"",""de"")"),"Brda")</f>
        <v>Brda</v>
      </c>
      <c r="D4401" s="9" t="str">
        <f>IFERROR(__xludf.DUMMYFUNCTION("GOOGLETRANSLATE($A4401,""en"",""fr"")"),"Brda")</f>
        <v>Brda</v>
      </c>
      <c r="E4401" s="9" t="str">
        <f>IFERROR(__xludf.DUMMYFUNCTION("GOOGLETRANSLATE($A4401,""en"",""es"")"),"Brda")</f>
        <v>Brda</v>
      </c>
      <c r="F4401" s="9" t="str">
        <f>IFERROR(__xludf.DUMMYFUNCTION("GOOGLETRANSLATE($A4401,""en"",""it"")"),"Collio")</f>
        <v>Collio</v>
      </c>
      <c r="G4401" s="9" t="str">
        <f>IFERROR(__xludf.DUMMYFUNCTION("GOOGLETRANSLATE($A4401,""en"",""zh-cn"")"),"布尔达")</f>
        <v>布尔达</v>
      </c>
      <c r="H4401" s="9" t="str">
        <f>IFERROR(__xludf.DUMMYFUNCTION("GOOGLETRANSLATE($A4401,""en"",""ja"")"),"ブルダ")</f>
        <v>ブルダ</v>
      </c>
      <c r="I4401" s="9" t="str">
        <f>IFERROR(__xludf.DUMMYFUNCTION("GOOGLETRANSLATE($A4401,""en"",""ko"")"),"브르다")</f>
        <v>브르다</v>
      </c>
      <c r="J4401" s="9" t="str">
        <f>IFERROR(__xludf.DUMMYFUNCTION("GOOGLETRANSLATE($A4401,""en"",""pt-BR"")"),"Brda")</f>
        <v>Brda</v>
      </c>
    </row>
    <row r="4402">
      <c r="A4402" s="9" t="str">
        <f>IFERROR(__xludf.DUMMYFUNCTION("""COMPUTED_VALUE"""),"Bistrica ob Sotli")</f>
        <v>Bistrica ob Sotli</v>
      </c>
      <c r="B4402" s="9" t="str">
        <f>IFERROR(__xludf.DUMMYFUNCTION("""COMPUTED_VALUE"""),"si-149")</f>
        <v>si-149</v>
      </c>
      <c r="C4402" s="9" t="str">
        <f>IFERROR(__xludf.DUMMYFUNCTION("GOOGLETRANSLATE($A4402,""en"",""de"")"),"Bistrica ob Sotli")</f>
        <v>Bistrica ob Sotli</v>
      </c>
      <c r="D4402" s="9" t="str">
        <f>IFERROR(__xludf.DUMMYFUNCTION("GOOGLETRANSLATE($A4402,""en"",""fr"")"),"Bistrica ob Sotli")</f>
        <v>Bistrica ob Sotli</v>
      </c>
      <c r="E4402" s="9" t="str">
        <f>IFERROR(__xludf.DUMMYFUNCTION("GOOGLETRANSLATE($A4402,""en"",""es"")"),"Bistrica ob Sotli")</f>
        <v>Bistrica ob Sotli</v>
      </c>
      <c r="F4402" s="9" t="str">
        <f>IFERROR(__xludf.DUMMYFUNCTION("GOOGLETRANSLATE($A4402,""en"",""it"")"),"Bistrica ob Sotli")</f>
        <v>Bistrica ob Sotli</v>
      </c>
      <c r="G4402" s="9" t="str">
        <f>IFERROR(__xludf.DUMMYFUNCTION("GOOGLETRANSLATE($A4402,""en"",""zh-cn"")"),"索特利河畔比斯特里察")</f>
        <v>索特利河畔比斯特里察</v>
      </c>
      <c r="H4402" s="9" t="str">
        <f>IFERROR(__xludf.DUMMYFUNCTION("GOOGLETRANSLATE($A4402,""en"",""ja"")"),"ビストリツァ オブ ソトリ")</f>
        <v>ビストリツァ オブ ソトリ</v>
      </c>
      <c r="I4402" s="9" t="str">
        <f>IFERROR(__xludf.DUMMYFUNCTION("GOOGLETRANSLATE($A4402,""en"",""ko"")"),"비스트리카 옵 소틀리")</f>
        <v>비스트리카 옵 소틀리</v>
      </c>
      <c r="J4402" s="9" t="str">
        <f>IFERROR(__xludf.DUMMYFUNCTION("GOOGLETRANSLATE($A4402,""en"",""pt-BR"")"),"Bistrica ob Sotli")</f>
        <v>Bistrica ob Sotli</v>
      </c>
    </row>
    <row r="4403">
      <c r="A4403" s="9" t="str">
        <f>IFERROR(__xludf.DUMMYFUNCTION("""COMPUTED_VALUE"""),"Bled")</f>
        <v>Bled</v>
      </c>
      <c r="B4403" s="9" t="str">
        <f>IFERROR(__xludf.DUMMYFUNCTION("""COMPUTED_VALUE"""),"si-003")</f>
        <v>si-003</v>
      </c>
      <c r="C4403" s="9" t="str">
        <f>IFERROR(__xludf.DUMMYFUNCTION("GOOGLETRANSLATE($A4403,""en"",""de"")"),"Geblutet")</f>
        <v>Geblutet</v>
      </c>
      <c r="D4403" s="9" t="str">
        <f>IFERROR(__xludf.DUMMYFUNCTION("GOOGLETRANSLATE($A4403,""en"",""fr"")"),"Saigné")</f>
        <v>Saigné</v>
      </c>
      <c r="E4403" s="9" t="str">
        <f>IFERROR(__xludf.DUMMYFUNCTION("GOOGLETRANSLATE($A4403,""en"",""es"")"),"sangrado")</f>
        <v>sangrado</v>
      </c>
      <c r="F4403" s="9" t="str">
        <f>IFERROR(__xludf.DUMMYFUNCTION("GOOGLETRANSLATE($A4403,""en"",""it"")"),"Sanguinato")</f>
        <v>Sanguinato</v>
      </c>
      <c r="G4403" s="9" t="str">
        <f>IFERROR(__xludf.DUMMYFUNCTION("GOOGLETRANSLATE($A4403,""en"",""zh-cn"")"),"布莱德")</f>
        <v>布莱德</v>
      </c>
      <c r="H4403" s="9" t="str">
        <f>IFERROR(__xludf.DUMMYFUNCTION("GOOGLETRANSLATE($A4403,""en"",""ja"")"),"ブレッド")</f>
        <v>ブレッド</v>
      </c>
      <c r="I4403" s="9" t="str">
        <f>IFERROR(__xludf.DUMMYFUNCTION("GOOGLETRANSLATE($A4403,""en"",""ko"")"),"블레드")</f>
        <v>블레드</v>
      </c>
      <c r="J4403" s="9" t="str">
        <f>IFERROR(__xludf.DUMMYFUNCTION("GOOGLETRANSLATE($A4403,""en"",""pt-BR"")"),"Sangrou")</f>
        <v>Sangrou</v>
      </c>
    </row>
    <row r="4404">
      <c r="A4404" s="9" t="str">
        <f>IFERROR(__xludf.DUMMYFUNCTION("""COMPUTED_VALUE"""),"Bloke")</f>
        <v>Bloke</v>
      </c>
      <c r="B4404" s="9" t="str">
        <f>IFERROR(__xludf.DUMMYFUNCTION("""COMPUTED_VALUE"""),"si-150")</f>
        <v>si-150</v>
      </c>
      <c r="C4404" s="9" t="str">
        <f>IFERROR(__xludf.DUMMYFUNCTION("GOOGLETRANSLATE($A4404,""en"",""de"")"),"Kerl")</f>
        <v>Kerl</v>
      </c>
      <c r="D4404" s="9" t="str">
        <f>IFERROR(__xludf.DUMMYFUNCTION("GOOGLETRANSLATE($A4404,""en"",""fr"")"),"Type")</f>
        <v>Type</v>
      </c>
      <c r="E4404" s="9" t="str">
        <f>IFERROR(__xludf.DUMMYFUNCTION("GOOGLETRANSLATE($A4404,""en"",""es"")"),"Tipo de")</f>
        <v>Tipo de</v>
      </c>
      <c r="F4404" s="9" t="str">
        <f>IFERROR(__xludf.DUMMYFUNCTION("GOOGLETRANSLATE($A4404,""en"",""it"")"),"Tipo")</f>
        <v>Tipo</v>
      </c>
      <c r="G4404" s="9" t="str">
        <f>IFERROR(__xludf.DUMMYFUNCTION("GOOGLETRANSLATE($A4404,""en"",""zh-cn"")"),"家伙")</f>
        <v>家伙</v>
      </c>
      <c r="H4404" s="9" t="str">
        <f>IFERROR(__xludf.DUMMYFUNCTION("GOOGLETRANSLATE($A4404,""en"",""ja"")"),"ブローク")</f>
        <v>ブローク</v>
      </c>
      <c r="I4404" s="9" t="str">
        <f>IFERROR(__xludf.DUMMYFUNCTION("GOOGLETRANSLATE($A4404,""en"",""ko"")"),"놈")</f>
        <v>놈</v>
      </c>
      <c r="J4404" s="9" t="str">
        <f>IFERROR(__xludf.DUMMYFUNCTION("GOOGLETRANSLATE($A4404,""en"",""pt-BR"")"),"Cara")</f>
        <v>Cara</v>
      </c>
    </row>
    <row r="4405">
      <c r="A4405" s="9" t="str">
        <f>IFERROR(__xludf.DUMMYFUNCTION("""COMPUTED_VALUE"""),"Bohinj")</f>
        <v>Bohinj</v>
      </c>
      <c r="B4405" s="9" t="str">
        <f>IFERROR(__xludf.DUMMYFUNCTION("""COMPUTED_VALUE"""),"si-004")</f>
        <v>si-004</v>
      </c>
      <c r="C4405" s="9" t="str">
        <f>IFERROR(__xludf.DUMMYFUNCTION("GOOGLETRANSLATE($A4405,""en"",""de"")"),"Bohinj")</f>
        <v>Bohinj</v>
      </c>
      <c r="D4405" s="9" t="str">
        <f>IFERROR(__xludf.DUMMYFUNCTION("GOOGLETRANSLATE($A4405,""en"",""fr"")"),"Bohinj")</f>
        <v>Bohinj</v>
      </c>
      <c r="E4405" s="9" t="str">
        <f>IFERROR(__xludf.DUMMYFUNCTION("GOOGLETRANSLATE($A4405,""en"",""es"")"),"Bohinj")</f>
        <v>Bohinj</v>
      </c>
      <c r="F4405" s="9" t="str">
        <f>IFERROR(__xludf.DUMMYFUNCTION("GOOGLETRANSLATE($A4405,""en"",""it"")"),"Bohinj")</f>
        <v>Bohinj</v>
      </c>
      <c r="G4405" s="9" t="str">
        <f>IFERROR(__xludf.DUMMYFUNCTION("GOOGLETRANSLATE($A4405,""en"",""zh-cn"")"),"博希尼")</f>
        <v>博希尼</v>
      </c>
      <c r="H4405" s="9" t="str">
        <f>IFERROR(__xludf.DUMMYFUNCTION("GOOGLETRANSLATE($A4405,""en"",""ja"")"),"ボーヒニ")</f>
        <v>ボーヒニ</v>
      </c>
      <c r="I4405" s="9" t="str">
        <f>IFERROR(__xludf.DUMMYFUNCTION("GOOGLETRANSLATE($A4405,""en"",""ko"")"),"보히니")</f>
        <v>보히니</v>
      </c>
      <c r="J4405" s="9" t="str">
        <f>IFERROR(__xludf.DUMMYFUNCTION("GOOGLETRANSLATE($A4405,""en"",""pt-BR"")"),"Bohinj")</f>
        <v>Bohinj</v>
      </c>
    </row>
    <row r="4406">
      <c r="A4406" s="9" t="str">
        <f>IFERROR(__xludf.DUMMYFUNCTION("""COMPUTED_VALUE"""),"Dol pri Ljubljani")</f>
        <v>Dol pri Ljubljani</v>
      </c>
      <c r="B4406" s="9" t="str">
        <f>IFERROR(__xludf.DUMMYFUNCTION("""COMPUTED_VALUE"""),"si-022")</f>
        <v>si-022</v>
      </c>
      <c r="C4406" s="9" t="str">
        <f>IFERROR(__xludf.DUMMYFUNCTION("GOOGLETRANSLATE($A4406,""en"",""de"")"),"Dol pri Ljubljani")</f>
        <v>Dol pri Ljubljani</v>
      </c>
      <c r="D4406" s="9" t="str">
        <f>IFERROR(__xludf.DUMMYFUNCTION("GOOGLETRANSLATE($A4406,""en"",""fr"")"),"Dol pri Ljubljani")</f>
        <v>Dol pri Ljubljani</v>
      </c>
      <c r="E4406" s="9" t="str">
        <f>IFERROR(__xludf.DUMMYFUNCTION("GOOGLETRANSLATE($A4406,""en"",""es"")"),"Dol pri Ljubljani")</f>
        <v>Dol pri Ljubljani</v>
      </c>
      <c r="F4406" s="9" t="str">
        <f>IFERROR(__xludf.DUMMYFUNCTION("GOOGLETRANSLATE($A4406,""en"",""it"")"),"Dol pri Lubiana")</f>
        <v>Dol pri Lubiana</v>
      </c>
      <c r="G4406" s="9" t="str">
        <f>IFERROR(__xludf.DUMMYFUNCTION("GOOGLETRANSLATE($A4406,""en"",""zh-cn"")"),"卢布尔雅尼多尔普里")</f>
        <v>卢布尔雅尼多尔普里</v>
      </c>
      <c r="H4406" s="9" t="str">
        <f>IFERROR(__xludf.DUMMYFUNCTION("GOOGLETRANSLATE($A4406,""en"",""ja"")"),"ドル プリ リュブリャニ")</f>
        <v>ドル プリ リュブリャニ</v>
      </c>
      <c r="I4406" s="9" t="str">
        <f>IFERROR(__xludf.DUMMYFUNCTION("GOOGLETRANSLATE($A4406,""en"",""ko"")"),"돌 프리 류블랴니")</f>
        <v>돌 프리 류블랴니</v>
      </c>
      <c r="J4406" s="9" t="str">
        <f>IFERROR(__xludf.DUMMYFUNCTION("GOOGLETRANSLATE($A4406,""en"",""pt-BR"")"),"Dol pri Liubliana")</f>
        <v>Dol pri Liubliana</v>
      </c>
    </row>
    <row r="4407">
      <c r="A4407" s="9" t="str">
        <f>IFERROR(__xludf.DUMMYFUNCTION("""COMPUTED_VALUE"""),"Domžale")</f>
        <v>Domžale</v>
      </c>
      <c r="B4407" s="9" t="str">
        <f>IFERROR(__xludf.DUMMYFUNCTION("""COMPUTED_VALUE"""),"si-023")</f>
        <v>si-023</v>
      </c>
      <c r="C4407" s="9" t="str">
        <f>IFERROR(__xludf.DUMMYFUNCTION("GOOGLETRANSLATE($A4407,""en"",""de"")"),"Domžale")</f>
        <v>Domžale</v>
      </c>
      <c r="D4407" s="9" t="str">
        <f>IFERROR(__xludf.DUMMYFUNCTION("GOOGLETRANSLATE($A4407,""en"",""fr"")"),"Domžale")</f>
        <v>Domžale</v>
      </c>
      <c r="E4407" s="9" t="str">
        <f>IFERROR(__xludf.DUMMYFUNCTION("GOOGLETRANSLATE($A4407,""en"",""es"")"),"Domžale")</f>
        <v>Domžale</v>
      </c>
      <c r="F4407" s="9" t="str">
        <f>IFERROR(__xludf.DUMMYFUNCTION("GOOGLETRANSLATE($A4407,""en"",""it"")"),"Domzale")</f>
        <v>Domzale</v>
      </c>
      <c r="G4407" s="9" t="str">
        <f>IFERROR(__xludf.DUMMYFUNCTION("GOOGLETRANSLATE($A4407,""en"",""zh-cn"")"),"多姆扎莱")</f>
        <v>多姆扎莱</v>
      </c>
      <c r="H4407" s="9" t="str">
        <f>IFERROR(__xludf.DUMMYFUNCTION("GOOGLETRANSLATE($A4407,""en"",""ja"")"),"ドムジャレ")</f>
        <v>ドムジャレ</v>
      </c>
      <c r="I4407" s="9" t="str">
        <f>IFERROR(__xludf.DUMMYFUNCTION("GOOGLETRANSLATE($A4407,""en"",""ko"")"),"돔잘레")</f>
        <v>돔잘레</v>
      </c>
      <c r="J4407" s="9" t="str">
        <f>IFERROR(__xludf.DUMMYFUNCTION("GOOGLETRANSLATE($A4407,""en"",""pt-BR"")"),"Domzale")</f>
        <v>Domzale</v>
      </c>
    </row>
    <row r="4408">
      <c r="A4408" s="9" t="str">
        <f>IFERROR(__xludf.DUMMYFUNCTION("""COMPUTED_VALUE"""),"Dornava")</f>
        <v>Dornava</v>
      </c>
      <c r="B4408" s="9" t="str">
        <f>IFERROR(__xludf.DUMMYFUNCTION("""COMPUTED_VALUE"""),"si-024")</f>
        <v>si-024</v>
      </c>
      <c r="C4408" s="9" t="str">
        <f>IFERROR(__xludf.DUMMYFUNCTION("GOOGLETRANSLATE($A4408,""en"",""de"")"),"Dornava")</f>
        <v>Dornava</v>
      </c>
      <c r="D4408" s="9" t="str">
        <f>IFERROR(__xludf.DUMMYFUNCTION("GOOGLETRANSLATE($A4408,""en"",""fr"")"),"Dornava")</f>
        <v>Dornava</v>
      </c>
      <c r="E4408" s="9" t="str">
        <f>IFERROR(__xludf.DUMMYFUNCTION("GOOGLETRANSLATE($A4408,""en"",""es"")"),"Dornava")</f>
        <v>Dornava</v>
      </c>
      <c r="F4408" s="9" t="str">
        <f>IFERROR(__xludf.DUMMYFUNCTION("GOOGLETRANSLATE($A4408,""en"",""it"")"),"Dornava")</f>
        <v>Dornava</v>
      </c>
      <c r="G4408" s="9" t="str">
        <f>IFERROR(__xludf.DUMMYFUNCTION("GOOGLETRANSLATE($A4408,""en"",""zh-cn"")"),"多纳瓦")</f>
        <v>多纳瓦</v>
      </c>
      <c r="H4408" s="9" t="str">
        <f>IFERROR(__xludf.DUMMYFUNCTION("GOOGLETRANSLATE($A4408,""en"",""ja"")"),"ドルナヴァ")</f>
        <v>ドルナヴァ</v>
      </c>
      <c r="I4408" s="9" t="str">
        <f>IFERROR(__xludf.DUMMYFUNCTION("GOOGLETRANSLATE($A4408,""en"",""ko"")"),"도르나바")</f>
        <v>도르나바</v>
      </c>
      <c r="J4408" s="9" t="str">
        <f>IFERROR(__xludf.DUMMYFUNCTION("GOOGLETRANSLATE($A4408,""en"",""pt-BR"")"),"Dornava")</f>
        <v>Dornava</v>
      </c>
    </row>
    <row r="4409">
      <c r="A4409" s="9" t="str">
        <f>IFERROR(__xludf.DUMMYFUNCTION("""COMPUTED_VALUE"""),"Dravograd")</f>
        <v>Dravograd</v>
      </c>
      <c r="B4409" s="9" t="str">
        <f>IFERROR(__xludf.DUMMYFUNCTION("""COMPUTED_VALUE"""),"si-025")</f>
        <v>si-025</v>
      </c>
      <c r="C4409" s="9" t="str">
        <f>IFERROR(__xludf.DUMMYFUNCTION("GOOGLETRANSLATE($A4409,""en"",""de"")"),"Dravograd")</f>
        <v>Dravograd</v>
      </c>
      <c r="D4409" s="9" t="str">
        <f>IFERROR(__xludf.DUMMYFUNCTION("GOOGLETRANSLATE($A4409,""en"",""fr"")"),"Dravograd")</f>
        <v>Dravograd</v>
      </c>
      <c r="E4409" s="9" t="str">
        <f>IFERROR(__xludf.DUMMYFUNCTION("GOOGLETRANSLATE($A4409,""en"",""es"")"),"Dravogrado")</f>
        <v>Dravogrado</v>
      </c>
      <c r="F4409" s="9" t="str">
        <f>IFERROR(__xludf.DUMMYFUNCTION("GOOGLETRANSLATE($A4409,""en"",""it"")"),"Dravograd")</f>
        <v>Dravograd</v>
      </c>
      <c r="G4409" s="9" t="str">
        <f>IFERROR(__xludf.DUMMYFUNCTION("GOOGLETRANSLATE($A4409,""en"",""zh-cn"")"),"德拉沃格勒")</f>
        <v>德拉沃格勒</v>
      </c>
      <c r="H4409" s="9" t="str">
        <f>IFERROR(__xludf.DUMMYFUNCTION("GOOGLETRANSLATE($A4409,""en"",""ja"")"),"ドラボグラード")</f>
        <v>ドラボグラード</v>
      </c>
      <c r="I4409" s="9" t="str">
        <f>IFERROR(__xludf.DUMMYFUNCTION("GOOGLETRANSLATE($A4409,""en"",""ko"")"),"드라보그라드")</f>
        <v>드라보그라드</v>
      </c>
      <c r="J4409" s="9" t="str">
        <f>IFERROR(__xludf.DUMMYFUNCTION("GOOGLETRANSLATE($A4409,""en"",""pt-BR"")"),"Dravogrado")</f>
        <v>Dravogrado</v>
      </c>
    </row>
    <row r="4410">
      <c r="A4410" s="9" t="str">
        <f>IFERROR(__xludf.DUMMYFUNCTION("""COMPUTED_VALUE"""),"Dobrna")</f>
        <v>Dobrna</v>
      </c>
      <c r="B4410" s="9" t="str">
        <f>IFERROR(__xludf.DUMMYFUNCTION("""COMPUTED_VALUE"""),"si-155")</f>
        <v>si-155</v>
      </c>
      <c r="C4410" s="9" t="str">
        <f>IFERROR(__xludf.DUMMYFUNCTION("GOOGLETRANSLATE($A4410,""en"",""de"")"),"Dobrna")</f>
        <v>Dobrna</v>
      </c>
      <c r="D4410" s="9" t="str">
        <f>IFERROR(__xludf.DUMMYFUNCTION("GOOGLETRANSLATE($A4410,""en"",""fr"")"),"Dobrna")</f>
        <v>Dobrna</v>
      </c>
      <c r="E4410" s="9" t="str">
        <f>IFERROR(__xludf.DUMMYFUNCTION("GOOGLETRANSLATE($A4410,""en"",""es"")"),"Dobrná")</f>
        <v>Dobrná</v>
      </c>
      <c r="F4410" s="9" t="str">
        <f>IFERROR(__xludf.DUMMYFUNCTION("GOOGLETRANSLATE($A4410,""en"",""it"")"),"Dobrna")</f>
        <v>Dobrna</v>
      </c>
      <c r="G4410" s="9" t="str">
        <f>IFERROR(__xludf.DUMMYFUNCTION("GOOGLETRANSLATE($A4410,""en"",""zh-cn"")"),"多布尔纳")</f>
        <v>多布尔纳</v>
      </c>
      <c r="H4410" s="9" t="str">
        <f>IFERROR(__xludf.DUMMYFUNCTION("GOOGLETRANSLATE($A4410,""en"",""ja"")"),"ドブルナ")</f>
        <v>ドブルナ</v>
      </c>
      <c r="I4410" s="9" t="str">
        <f>IFERROR(__xludf.DUMMYFUNCTION("GOOGLETRANSLATE($A4410,""en"",""ko"")"),"도브르나")</f>
        <v>도브르나</v>
      </c>
      <c r="J4410" s="9" t="str">
        <f>IFERROR(__xludf.DUMMYFUNCTION("GOOGLETRANSLATE($A4410,""en"",""pt-BR"")"),"Dobrna")</f>
        <v>Dobrna</v>
      </c>
    </row>
    <row r="4411">
      <c r="A4411" s="9" t="str">
        <f>IFERROR(__xludf.DUMMYFUNCTION("""COMPUTED_VALUE"""),"Dobrova-Polhov Gradec")</f>
        <v>Dobrova-Polhov Gradec</v>
      </c>
      <c r="B4411" s="9" t="str">
        <f>IFERROR(__xludf.DUMMYFUNCTION("""COMPUTED_VALUE"""),"si-021")</f>
        <v>si-021</v>
      </c>
      <c r="C4411" s="9" t="str">
        <f>IFERROR(__xludf.DUMMYFUNCTION("GOOGLETRANSLATE($A4411,""en"",""de"")"),"Dobrova-Polhov Gradec")</f>
        <v>Dobrova-Polhov Gradec</v>
      </c>
      <c r="D4411" s="9" t="str">
        <f>IFERROR(__xludf.DUMMYFUNCTION("GOOGLETRANSLATE($A4411,""en"",""fr"")"),"Dobrova-Polhov Gradec")</f>
        <v>Dobrova-Polhov Gradec</v>
      </c>
      <c r="E4411" s="9" t="str">
        <f>IFERROR(__xludf.DUMMYFUNCTION("GOOGLETRANSLATE($A4411,""en"",""es"")"),"Dobrova-Polhov Gradec")</f>
        <v>Dobrova-Polhov Gradec</v>
      </c>
      <c r="F4411" s="9" t="str">
        <f>IFERROR(__xludf.DUMMYFUNCTION("GOOGLETRANSLATE($A4411,""en"",""it"")"),"Dobrova-Polhov Gradec")</f>
        <v>Dobrova-Polhov Gradec</v>
      </c>
      <c r="G4411" s="9" t="str">
        <f>IFERROR(__xludf.DUMMYFUNCTION("GOOGLETRANSLATE($A4411,""en"",""zh-cn"")"),"多布罗娃-波霍夫·格拉代茨")</f>
        <v>多布罗娃-波霍夫·格拉代茨</v>
      </c>
      <c r="H4411" s="9" t="str">
        <f>IFERROR(__xludf.DUMMYFUNCTION("GOOGLETRANSLATE($A4411,""en"",""ja"")"),"ドブロワ・ポーホフ・グラデツ")</f>
        <v>ドブロワ・ポーホフ・グラデツ</v>
      </c>
      <c r="I4411" s="9" t="str">
        <f>IFERROR(__xludf.DUMMYFUNCTION("GOOGLETRANSLATE($A4411,""en"",""ko"")"),"도브로바-폴호프 그라데츠")</f>
        <v>도브로바-폴호프 그라데츠</v>
      </c>
      <c r="J4411" s="9" t="str">
        <f>IFERROR(__xludf.DUMMYFUNCTION("GOOGLETRANSLATE($A4411,""en"",""pt-BR"")"),"Dobrova-Polhov Gradec")</f>
        <v>Dobrova-Polhov Gradec</v>
      </c>
    </row>
    <row r="4412">
      <c r="A4412" s="9" t="str">
        <f>IFERROR(__xludf.DUMMYFUNCTION("""COMPUTED_VALUE"""),"Dobrovnik")</f>
        <v>Dobrovnik</v>
      </c>
      <c r="B4412" s="9" t="str">
        <f>IFERROR(__xludf.DUMMYFUNCTION("""COMPUTED_VALUE"""),"si-156")</f>
        <v>si-156</v>
      </c>
      <c r="C4412" s="9" t="str">
        <f>IFERROR(__xludf.DUMMYFUNCTION("GOOGLETRANSLATE($A4412,""en"",""de"")"),"Dobrovnik")</f>
        <v>Dobrovnik</v>
      </c>
      <c r="D4412" s="9" t="str">
        <f>IFERROR(__xludf.DUMMYFUNCTION("GOOGLETRANSLATE($A4412,""en"",""fr"")"),"Dobrovnik")</f>
        <v>Dobrovnik</v>
      </c>
      <c r="E4412" s="9" t="str">
        <f>IFERROR(__xludf.DUMMYFUNCTION("GOOGLETRANSLATE($A4412,""en"",""es"")"),"Dobrovnik")</f>
        <v>Dobrovnik</v>
      </c>
      <c r="F4412" s="9" t="str">
        <f>IFERROR(__xludf.DUMMYFUNCTION("GOOGLETRANSLATE($A4412,""en"",""it"")"),"Dobrovnik")</f>
        <v>Dobrovnik</v>
      </c>
      <c r="G4412" s="9" t="str">
        <f>IFERROR(__xludf.DUMMYFUNCTION("GOOGLETRANSLATE($A4412,""en"",""zh-cn"")"),"多布罗夫尼克")</f>
        <v>多布罗夫尼克</v>
      </c>
      <c r="H4412" s="9" t="str">
        <f>IFERROR(__xludf.DUMMYFUNCTION("GOOGLETRANSLATE($A4412,""en"",""ja"")"),"ドブロヴニク")</f>
        <v>ドブロヴニク</v>
      </c>
      <c r="I4412" s="9" t="str">
        <f>IFERROR(__xludf.DUMMYFUNCTION("GOOGLETRANSLATE($A4412,""en"",""ko"")"),"도브로브니크")</f>
        <v>도브로브니크</v>
      </c>
      <c r="J4412" s="9" t="str">
        <f>IFERROR(__xludf.DUMMYFUNCTION("GOOGLETRANSLATE($A4412,""en"",""pt-BR"")"),"Dobrovnik")</f>
        <v>Dobrovnik</v>
      </c>
    </row>
    <row r="4413">
      <c r="A4413" s="9" t="str">
        <f>IFERROR(__xludf.DUMMYFUNCTION("""COMPUTED_VALUE"""),"Dolenjske Toplice")</f>
        <v>Dolenjske Toplice</v>
      </c>
      <c r="B4413" s="9" t="str">
        <f>IFERROR(__xludf.DUMMYFUNCTION("""COMPUTED_VALUE"""),"si-157")</f>
        <v>si-157</v>
      </c>
      <c r="C4413" s="9" t="str">
        <f>IFERROR(__xludf.DUMMYFUNCTION("GOOGLETRANSLATE($A4413,""en"",""de"")"),"Dolenjske Toplice")</f>
        <v>Dolenjske Toplice</v>
      </c>
      <c r="D4413" s="9" t="str">
        <f>IFERROR(__xludf.DUMMYFUNCTION("GOOGLETRANSLATE($A4413,""en"",""fr"")"),"Dolenjské Toplice")</f>
        <v>Dolenjské Toplice</v>
      </c>
      <c r="E4413" s="9" t="str">
        <f>IFERROR(__xludf.DUMMYFUNCTION("GOOGLETRANSLATE($A4413,""en"",""es"")"),"Dolenjské Toplice")</f>
        <v>Dolenjské Toplice</v>
      </c>
      <c r="F4413" s="9" t="str">
        <f>IFERROR(__xludf.DUMMYFUNCTION("GOOGLETRANSLATE($A4413,""en"",""it"")"),"Dolenjske Toplice")</f>
        <v>Dolenjske Toplice</v>
      </c>
      <c r="G4413" s="9" t="str">
        <f>IFERROR(__xludf.DUMMYFUNCTION("GOOGLETRANSLATE($A4413,""en"",""zh-cn"")"),"多莱尼斯凯托普利采")</f>
        <v>多莱尼斯凯托普利采</v>
      </c>
      <c r="H4413" s="9" t="str">
        <f>IFERROR(__xludf.DUMMYFUNCTION("GOOGLETRANSLATE($A4413,""en"",""ja"")"),"ドレンスケ・トプリツェ")</f>
        <v>ドレンスケ・トプリツェ</v>
      </c>
      <c r="I4413" s="9" t="str">
        <f>IFERROR(__xludf.DUMMYFUNCTION("GOOGLETRANSLATE($A4413,""en"",""ko"")"),"돌렌스케 토플리체")</f>
        <v>돌렌스케 토플리체</v>
      </c>
      <c r="J4413" s="9" t="str">
        <f>IFERROR(__xludf.DUMMYFUNCTION("GOOGLETRANSLATE($A4413,""en"",""pt-BR"")"),"Dolenjske Toplice")</f>
        <v>Dolenjske Toplice</v>
      </c>
    </row>
    <row r="4414">
      <c r="A4414" s="9" t="str">
        <f>IFERROR(__xludf.DUMMYFUNCTION("""COMPUTED_VALUE"""),"Destrnik")</f>
        <v>Destrnik</v>
      </c>
      <c r="B4414" s="9" t="str">
        <f>IFERROR(__xludf.DUMMYFUNCTION("""COMPUTED_VALUE"""),"si-018")</f>
        <v>si-018</v>
      </c>
      <c r="C4414" s="9" t="str">
        <f>IFERROR(__xludf.DUMMYFUNCTION("GOOGLETRANSLATE($A4414,""en"",""de"")"),"Destrnik")</f>
        <v>Destrnik</v>
      </c>
      <c r="D4414" s="9" t="str">
        <f>IFERROR(__xludf.DUMMYFUNCTION("GOOGLETRANSLATE($A4414,""en"",""fr"")"),"Destination")</f>
        <v>Destination</v>
      </c>
      <c r="E4414" s="9" t="str">
        <f>IFERROR(__xludf.DUMMYFUNCTION("GOOGLETRANSLATE($A4414,""en"",""es"")"),"Destrnik")</f>
        <v>Destrnik</v>
      </c>
      <c r="F4414" s="9" t="str">
        <f>IFERROR(__xludf.DUMMYFUNCTION("GOOGLETRANSLATE($A4414,""en"",""it"")"),"Destrnik")</f>
        <v>Destrnik</v>
      </c>
      <c r="G4414" s="9" t="str">
        <f>IFERROR(__xludf.DUMMYFUNCTION("GOOGLETRANSLATE($A4414,""en"",""zh-cn"")"),"德斯特尼克")</f>
        <v>德斯特尼克</v>
      </c>
      <c r="H4414" s="9" t="str">
        <f>IFERROR(__xludf.DUMMYFUNCTION("GOOGLETRANSLATE($A4414,""en"",""ja"")"),"デストルニク")</f>
        <v>デストルニク</v>
      </c>
      <c r="I4414" s="9" t="str">
        <f>IFERROR(__xludf.DUMMYFUNCTION("GOOGLETRANSLATE($A4414,""en"",""ko"")"),"데스트니크")</f>
        <v>데스트니크</v>
      </c>
      <c r="J4414" s="9" t="str">
        <f>IFERROR(__xludf.DUMMYFUNCTION("GOOGLETRANSLATE($A4414,""en"",""pt-BR"")"),"Destrnik")</f>
        <v>Destrnik</v>
      </c>
    </row>
    <row r="4415">
      <c r="A4415" s="9" t="str">
        <f>IFERROR(__xludf.DUMMYFUNCTION("""COMPUTED_VALUE"""),"Divača")</f>
        <v>Divača</v>
      </c>
      <c r="B4415" s="9" t="str">
        <f>IFERROR(__xludf.DUMMYFUNCTION("""COMPUTED_VALUE"""),"si-019")</f>
        <v>si-019</v>
      </c>
      <c r="C4415" s="9" t="str">
        <f>IFERROR(__xludf.DUMMYFUNCTION("GOOGLETRANSLATE($A4415,""en"",""de"")"),"Divača")</f>
        <v>Divača</v>
      </c>
      <c r="D4415" s="9" t="str">
        <f>IFERROR(__xludf.DUMMYFUNCTION("GOOGLETRANSLATE($A4415,""en"",""fr"")"),"Divaca")</f>
        <v>Divaca</v>
      </c>
      <c r="E4415" s="9" t="str">
        <f>IFERROR(__xludf.DUMMYFUNCTION("GOOGLETRANSLATE($A4415,""en"",""es"")"),"Divača")</f>
        <v>Divača</v>
      </c>
      <c r="F4415" s="9" t="str">
        <f>IFERROR(__xludf.DUMMYFUNCTION("GOOGLETRANSLATE($A4415,""en"",""it"")"),"Divača")</f>
        <v>Divača</v>
      </c>
      <c r="G4415" s="9" t="str">
        <f>IFERROR(__xludf.DUMMYFUNCTION("GOOGLETRANSLATE($A4415,""en"",""zh-cn"")"),"迪瓦查")</f>
        <v>迪瓦查</v>
      </c>
      <c r="H4415" s="9" t="str">
        <f>IFERROR(__xludf.DUMMYFUNCTION("GOOGLETRANSLATE($A4415,""en"",""ja"")"),"ディヴァチャ")</f>
        <v>ディヴァチャ</v>
      </c>
      <c r="I4415" s="9" t="str">
        <f>IFERROR(__xludf.DUMMYFUNCTION("GOOGLETRANSLATE($A4415,""en"",""ko"")"),"디바차")</f>
        <v>디바차</v>
      </c>
      <c r="J4415" s="9" t="str">
        <f>IFERROR(__xludf.DUMMYFUNCTION("GOOGLETRANSLATE($A4415,""en"",""pt-BR"")"),"Divaca")</f>
        <v>Divaca</v>
      </c>
    </row>
    <row r="4416">
      <c r="A4416" s="9" t="str">
        <f>IFERROR(__xludf.DUMMYFUNCTION("""COMPUTED_VALUE"""),"Dobje")</f>
        <v>Dobje</v>
      </c>
      <c r="B4416" s="9" t="str">
        <f>IFERROR(__xludf.DUMMYFUNCTION("""COMPUTED_VALUE"""),"si-154")</f>
        <v>si-154</v>
      </c>
      <c r="C4416" s="9" t="str">
        <f>IFERROR(__xludf.DUMMYFUNCTION("GOOGLETRANSLATE($A4416,""en"",""de"")"),"Dobje")</f>
        <v>Dobje</v>
      </c>
      <c r="D4416" s="9" t="str">
        <f>IFERROR(__xludf.DUMMYFUNCTION("GOOGLETRANSLATE($A4416,""en"",""fr"")"),"Dobjé")</f>
        <v>Dobjé</v>
      </c>
      <c r="E4416" s="9" t="str">
        <f>IFERROR(__xludf.DUMMYFUNCTION("GOOGLETRANSLATE($A4416,""en"",""es"")"),"Dobje")</f>
        <v>Dobje</v>
      </c>
      <c r="F4416" s="9" t="str">
        <f>IFERROR(__xludf.DUMMYFUNCTION("GOOGLETRANSLATE($A4416,""en"",""it"")"),"Dobje")</f>
        <v>Dobje</v>
      </c>
      <c r="G4416" s="9" t="str">
        <f>IFERROR(__xludf.DUMMYFUNCTION("GOOGLETRANSLATE($A4416,""en"",""zh-cn"")"),"多布耶")</f>
        <v>多布耶</v>
      </c>
      <c r="H4416" s="9" t="str">
        <f>IFERROR(__xludf.DUMMYFUNCTION("GOOGLETRANSLATE($A4416,""en"",""ja"")"),"ドブジェ")</f>
        <v>ドブジェ</v>
      </c>
      <c r="I4416" s="9" t="str">
        <f>IFERROR(__xludf.DUMMYFUNCTION("GOOGLETRANSLATE($A4416,""en"",""ko"")"),"도브제")</f>
        <v>도브제</v>
      </c>
      <c r="J4416" s="9" t="str">
        <f>IFERROR(__xludf.DUMMYFUNCTION("GOOGLETRANSLATE($A4416,""en"",""pt-BR"")"),"Dobje")</f>
        <v>Dobje</v>
      </c>
    </row>
    <row r="4417">
      <c r="A4417" s="9" t="str">
        <f>IFERROR(__xludf.DUMMYFUNCTION("""COMPUTED_VALUE"""),"Dobrepolje")</f>
        <v>Dobrepolje</v>
      </c>
      <c r="B4417" s="9" t="str">
        <f>IFERROR(__xludf.DUMMYFUNCTION("""COMPUTED_VALUE"""),"si-020")</f>
        <v>si-020</v>
      </c>
      <c r="C4417" s="9" t="str">
        <f>IFERROR(__xludf.DUMMYFUNCTION("GOOGLETRANSLATE($A4417,""en"",""de"")"),"Dobrepolje")</f>
        <v>Dobrepolje</v>
      </c>
      <c r="D4417" s="9" t="str">
        <f>IFERROR(__xludf.DUMMYFUNCTION("GOOGLETRANSLATE($A4417,""en"",""fr"")"),"Dobrépolje")</f>
        <v>Dobrépolje</v>
      </c>
      <c r="E4417" s="9" t="str">
        <f>IFERROR(__xludf.DUMMYFUNCTION("GOOGLETRANSLATE($A4417,""en"",""es"")"),"Dobrepolje")</f>
        <v>Dobrepolje</v>
      </c>
      <c r="F4417" s="9" t="str">
        <f>IFERROR(__xludf.DUMMYFUNCTION("GOOGLETRANSLATE($A4417,""en"",""it"")"),"Dobrepolje")</f>
        <v>Dobrepolje</v>
      </c>
      <c r="G4417" s="9" t="str">
        <f>IFERROR(__xludf.DUMMYFUNCTION("GOOGLETRANSLATE($A4417,""en"",""zh-cn"")"),"多布雷波列")</f>
        <v>多布雷波列</v>
      </c>
      <c r="H4417" s="9" t="str">
        <f>IFERROR(__xludf.DUMMYFUNCTION("GOOGLETRANSLATE($A4417,""en"",""ja"")"),"ドブレポリェ")</f>
        <v>ドブレポリェ</v>
      </c>
      <c r="I4417" s="9" t="str">
        <f>IFERROR(__xludf.DUMMYFUNCTION("GOOGLETRANSLATE($A4417,""en"",""ko"")"),"도브레폴예")</f>
        <v>도브레폴예</v>
      </c>
      <c r="J4417" s="9" t="str">
        <f>IFERROR(__xludf.DUMMYFUNCTION("GOOGLETRANSLATE($A4417,""en"",""pt-BR"")"),"Dobrepolje")</f>
        <v>Dobrepolje</v>
      </c>
    </row>
    <row r="4418">
      <c r="A4418" s="9" t="str">
        <f>IFERROR(__xludf.DUMMYFUNCTION("""COMPUTED_VALUE"""),"Cirkulane")</f>
        <v>Cirkulane</v>
      </c>
      <c r="B4418" s="9" t="str">
        <f>IFERROR(__xludf.DUMMYFUNCTION("""COMPUTED_VALUE"""),"si-196")</f>
        <v>si-196</v>
      </c>
      <c r="C4418" s="9" t="str">
        <f>IFERROR(__xludf.DUMMYFUNCTION("GOOGLETRANSLATE($A4418,""en"",""de"")"),"Zirkulan")</f>
        <v>Zirkulan</v>
      </c>
      <c r="D4418" s="9" t="str">
        <f>IFERROR(__xludf.DUMMYFUNCTION("GOOGLETRANSLATE($A4418,""en"",""fr"")"),"Circulane")</f>
        <v>Circulane</v>
      </c>
      <c r="E4418" s="9" t="str">
        <f>IFERROR(__xludf.DUMMYFUNCTION("GOOGLETRANSLATE($A4418,""en"",""es"")"),"circulano")</f>
        <v>circulano</v>
      </c>
      <c r="F4418" s="9" t="str">
        <f>IFERROR(__xludf.DUMMYFUNCTION("GOOGLETRANSLATE($A4418,""en"",""it"")"),"Cirkulane")</f>
        <v>Cirkulane</v>
      </c>
      <c r="G4418" s="9" t="str">
        <f>IFERROR(__xludf.DUMMYFUNCTION("GOOGLETRANSLATE($A4418,""en"",""zh-cn"")"),"瑟库兰")</f>
        <v>瑟库兰</v>
      </c>
      <c r="H4418" s="9" t="str">
        <f>IFERROR(__xludf.DUMMYFUNCTION("GOOGLETRANSLATE($A4418,""en"",""ja"")"),"サークレーン")</f>
        <v>サークレーン</v>
      </c>
      <c r="I4418" s="9" t="str">
        <f>IFERROR(__xludf.DUMMYFUNCTION("GOOGLETRANSLATE($A4418,""en"",""ko"")"),"Cirkulane")</f>
        <v>Cirkulane</v>
      </c>
      <c r="J4418" s="9" t="str">
        <f>IFERROR(__xludf.DUMMYFUNCTION("GOOGLETRANSLATE($A4418,""en"",""pt-BR"")"),"Circulano")</f>
        <v>Circulano</v>
      </c>
    </row>
    <row r="4419">
      <c r="A4419" s="9" t="str">
        <f>IFERROR(__xludf.DUMMYFUNCTION("""COMPUTED_VALUE"""),"Črenšovci")</f>
        <v>Črenšovci</v>
      </c>
      <c r="B4419" s="9" t="str">
        <f>IFERROR(__xludf.DUMMYFUNCTION("""COMPUTED_VALUE"""),"si-015")</f>
        <v>si-015</v>
      </c>
      <c r="C4419" s="9" t="str">
        <f>IFERROR(__xludf.DUMMYFUNCTION("GOOGLETRANSLATE($A4419,""en"",""de"")"),"Črenšovci")</f>
        <v>Črenšovci</v>
      </c>
      <c r="D4419" s="9" t="str">
        <f>IFERROR(__xludf.DUMMYFUNCTION("GOOGLETRANSLATE($A4419,""en"",""fr"")"),"Crenšovci")</f>
        <v>Crenšovci</v>
      </c>
      <c r="E4419" s="9" t="str">
        <f>IFERROR(__xludf.DUMMYFUNCTION("GOOGLETRANSLATE($A4419,""en"",""es"")"),"Črenšovci")</f>
        <v>Črenšovci</v>
      </c>
      <c r="F4419" s="9" t="str">
        <f>IFERROR(__xludf.DUMMYFUNCTION("GOOGLETRANSLATE($A4419,""en"",""it"")"),"Črenšovci")</f>
        <v>Črenšovci</v>
      </c>
      <c r="G4419" s="9" t="str">
        <f>IFERROR(__xludf.DUMMYFUNCTION("GOOGLETRANSLATE($A4419,""en"",""zh-cn"")"),"切伦绍夫齐")</f>
        <v>切伦绍夫齐</v>
      </c>
      <c r="H4419" s="9" t="str">
        <f>IFERROR(__xludf.DUMMYFUNCTION("GOOGLETRANSLATE($A4419,""en"",""ja"")"),"チェレンショフツィ")</f>
        <v>チェレンショフツィ</v>
      </c>
      <c r="I4419" s="9" t="str">
        <f>IFERROR(__xludf.DUMMYFUNCTION("GOOGLETRANSLATE($A4419,""en"",""ko"")"),"체렌쇼프치")</f>
        <v>체렌쇼프치</v>
      </c>
      <c r="J4419" s="9" t="str">
        <f>IFERROR(__xludf.DUMMYFUNCTION("GOOGLETRANSLATE($A4419,""en"",""pt-BR"")"),"Črenšovci")</f>
        <v>Črenšovci</v>
      </c>
    </row>
    <row r="4420">
      <c r="A4420" s="9" t="str">
        <f>IFERROR(__xludf.DUMMYFUNCTION("""COMPUTED_VALUE"""),"Črna na Koroškem")</f>
        <v>Črna na Koroškem</v>
      </c>
      <c r="B4420" s="9" t="str">
        <f>IFERROR(__xludf.DUMMYFUNCTION("""COMPUTED_VALUE"""),"si-016")</f>
        <v>si-016</v>
      </c>
      <c r="C4420" s="9" t="str">
        <f>IFERROR(__xludf.DUMMYFUNCTION("GOOGLETRANSLATE($A4420,""en"",""de"")"),"Črna na Koroškem")</f>
        <v>Črna na Koroškem</v>
      </c>
      <c r="D4420" s="9" t="str">
        <f>IFERROR(__xludf.DUMMYFUNCTION("GOOGLETRANSLATE($A4420,""en"",""fr"")"),"Crna na Koroskem")</f>
        <v>Crna na Koroskem</v>
      </c>
      <c r="E4420" s="9" t="str">
        <f>IFERROR(__xludf.DUMMYFUNCTION("GOOGLETRANSLATE($A4420,""en"",""es"")"),"Črna na Koroškem")</f>
        <v>Črna na Koroškem</v>
      </c>
      <c r="F4420" s="9" t="str">
        <f>IFERROR(__xludf.DUMMYFUNCTION("GOOGLETRANSLATE($A4420,""en"",""it"")"),"Črna na Koroškem")</f>
        <v>Črna na Koroškem</v>
      </c>
      <c r="G4420" s="9" t="str">
        <f>IFERROR(__xludf.DUMMYFUNCTION("GOOGLETRANSLATE($A4420,""en"",""zh-cn"")"),"科罗什肯")</f>
        <v>科罗什肯</v>
      </c>
      <c r="H4420" s="9" t="str">
        <f>IFERROR(__xludf.DUMMYFUNCTION("GOOGLETRANSLATE($A4420,""en"",""ja"")"),"チュルナ ナ コロシュケム")</f>
        <v>チュルナ ナ コロシュケム</v>
      </c>
      <c r="I4420" s="9" t="str">
        <f>IFERROR(__xludf.DUMMYFUNCTION("GOOGLETRANSLATE($A4420,""en"",""ko"")"),"체르나 나 코로스켐")</f>
        <v>체르나 나 코로스켐</v>
      </c>
      <c r="J4420" s="9" t="str">
        <f>IFERROR(__xludf.DUMMYFUNCTION("GOOGLETRANSLATE($A4420,""en"",""pt-BR"")"),"Črna na Koroškem")</f>
        <v>Črna na Koroškem</v>
      </c>
    </row>
    <row r="4421">
      <c r="A4421" s="9" t="str">
        <f>IFERROR(__xludf.DUMMYFUNCTION("""COMPUTED_VALUE"""),"Črnomelj")</f>
        <v>Črnomelj</v>
      </c>
      <c r="B4421" s="9" t="str">
        <f>IFERROR(__xludf.DUMMYFUNCTION("""COMPUTED_VALUE"""),"si-017")</f>
        <v>si-017</v>
      </c>
      <c r="C4421" s="9" t="str">
        <f>IFERROR(__xludf.DUMMYFUNCTION("GOOGLETRANSLATE($A4421,""en"",""de"")"),"Črnomelj")</f>
        <v>Črnomelj</v>
      </c>
      <c r="D4421" s="9" t="str">
        <f>IFERROR(__xludf.DUMMYFUNCTION("GOOGLETRANSLATE($A4421,""en"",""fr"")"),"Črnomelj")</f>
        <v>Črnomelj</v>
      </c>
      <c r="E4421" s="9" t="str">
        <f>IFERROR(__xludf.DUMMYFUNCTION("GOOGLETRANSLATE($A4421,""en"",""es"")"),"Črnomelj")</f>
        <v>Črnomelj</v>
      </c>
      <c r="F4421" s="9" t="str">
        <f>IFERROR(__xludf.DUMMYFUNCTION("GOOGLETRANSLATE($A4421,""en"",""it"")"),"Črnomelj")</f>
        <v>Črnomelj</v>
      </c>
      <c r="G4421" s="9" t="str">
        <f>IFERROR(__xludf.DUMMYFUNCTION("GOOGLETRANSLATE($A4421,""en"",""zh-cn"")"),"切尔诺梅利")</f>
        <v>切尔诺梅利</v>
      </c>
      <c r="H4421" s="9" t="str">
        <f>IFERROR(__xludf.DUMMYFUNCTION("GOOGLETRANSLATE($A4421,""en"",""ja"")"),"チェルノメリ")</f>
        <v>チェルノメリ</v>
      </c>
      <c r="I4421" s="9" t="str">
        <f>IFERROR(__xludf.DUMMYFUNCTION("GOOGLETRANSLATE($A4421,""en"",""ko"")"),"크르노멜리")</f>
        <v>크르노멜리</v>
      </c>
      <c r="J4421" s="9" t="str">
        <f>IFERROR(__xludf.DUMMYFUNCTION("GOOGLETRANSLATE($A4421,""en"",""pt-BR"")"),"Črnomelj")</f>
        <v>Črnomelj</v>
      </c>
    </row>
    <row r="4422">
      <c r="A4422" s="9" t="str">
        <f>IFERROR(__xludf.DUMMYFUNCTION("""COMPUTED_VALUE"""),"Gornja Radgona")</f>
        <v>Gornja Radgona</v>
      </c>
      <c r="B4422" s="9" t="str">
        <f>IFERROR(__xludf.DUMMYFUNCTION("""COMPUTED_VALUE"""),"si-029")</f>
        <v>si-029</v>
      </c>
      <c r="C4422" s="9" t="str">
        <f>IFERROR(__xludf.DUMMYFUNCTION("GOOGLETRANSLATE($A4422,""en"",""de"")"),"Gornja Radgona")</f>
        <v>Gornja Radgona</v>
      </c>
      <c r="D4422" s="9" t="str">
        <f>IFERROR(__xludf.DUMMYFUNCTION("GOOGLETRANSLATE($A4422,""en"",""fr"")"),"Gornja Radgona")</f>
        <v>Gornja Radgona</v>
      </c>
      <c r="E4422" s="9" t="str">
        <f>IFERROR(__xludf.DUMMYFUNCTION("GOOGLETRANSLATE($A4422,""en"",""es"")"),"Gornja Radgona")</f>
        <v>Gornja Radgona</v>
      </c>
      <c r="F4422" s="9" t="str">
        <f>IFERROR(__xludf.DUMMYFUNCTION("GOOGLETRANSLATE($A4422,""en"",""it"")"),"Gornja Radgona")</f>
        <v>Gornja Radgona</v>
      </c>
      <c r="G4422" s="9" t="str">
        <f>IFERROR(__xludf.DUMMYFUNCTION("GOOGLETRANSLATE($A4422,""en"",""zh-cn"")"),"古尼亚·拉德戈纳")</f>
        <v>古尼亚·拉德戈纳</v>
      </c>
      <c r="H4422" s="9" t="str">
        <f>IFERROR(__xludf.DUMMYFUNCTION("GOOGLETRANSLATE($A4422,""en"",""ja"")"),"ゴルニャ・ラドゴナ")</f>
        <v>ゴルニャ・ラドゴナ</v>
      </c>
      <c r="I4422" s="9" t="str">
        <f>IFERROR(__xludf.DUMMYFUNCTION("GOOGLETRANSLATE($A4422,""en"",""ko"")"),"고르냐 라드고나")</f>
        <v>고르냐 라드고나</v>
      </c>
      <c r="J4422" s="9" t="str">
        <f>IFERROR(__xludf.DUMMYFUNCTION("GOOGLETRANSLATE($A4422,""en"",""pt-BR"")"),"Gornja Radgona")</f>
        <v>Gornja Radgona</v>
      </c>
    </row>
    <row r="4423">
      <c r="A4423" s="9" t="str">
        <f>IFERROR(__xludf.DUMMYFUNCTION("""COMPUTED_VALUE"""),"Duplek")</f>
        <v>Duplek</v>
      </c>
      <c r="B4423" s="9" t="str">
        <f>IFERROR(__xludf.DUMMYFUNCTION("""COMPUTED_VALUE"""),"si-026")</f>
        <v>si-026</v>
      </c>
      <c r="C4423" s="9" t="str">
        <f>IFERROR(__xludf.DUMMYFUNCTION("GOOGLETRANSLATE($A4423,""en"",""de"")"),"Duplek")</f>
        <v>Duplek</v>
      </c>
      <c r="D4423" s="9" t="str">
        <f>IFERROR(__xludf.DUMMYFUNCTION("GOOGLETRANSLATE($A4423,""en"",""fr"")"),"Duplek")</f>
        <v>Duplek</v>
      </c>
      <c r="E4423" s="9" t="str">
        <f>IFERROR(__xludf.DUMMYFUNCTION("GOOGLETRANSLATE($A4423,""en"",""es"")"),"duplek")</f>
        <v>duplek</v>
      </c>
      <c r="F4423" s="9" t="str">
        <f>IFERROR(__xludf.DUMMYFUNCTION("GOOGLETRANSLATE($A4423,""en"",""it"")"),"Duplek")</f>
        <v>Duplek</v>
      </c>
      <c r="G4423" s="9" t="str">
        <f>IFERROR(__xludf.DUMMYFUNCTION("GOOGLETRANSLATE($A4423,""en"",""zh-cn"")"),"杜普莱克")</f>
        <v>杜普莱克</v>
      </c>
      <c r="H4423" s="9" t="str">
        <f>IFERROR(__xludf.DUMMYFUNCTION("GOOGLETRANSLATE($A4423,""en"",""ja"")"),"デュプレック")</f>
        <v>デュプレック</v>
      </c>
      <c r="I4423" s="9" t="str">
        <f>IFERROR(__xludf.DUMMYFUNCTION("GOOGLETRANSLATE($A4423,""en"",""ko"")"),"듀플렉")</f>
        <v>듀플렉</v>
      </c>
      <c r="J4423" s="9" t="str">
        <f>IFERROR(__xludf.DUMMYFUNCTION("GOOGLETRANSLATE($A4423,""en"",""pt-BR"")"),"Duplek")</f>
        <v>Duplek</v>
      </c>
    </row>
    <row r="4424">
      <c r="A4424" s="9" t="str">
        <f>IFERROR(__xludf.DUMMYFUNCTION("""COMPUTED_VALUE"""),"Gorenja vas-Poljane")</f>
        <v>Gorenja vas-Poljane</v>
      </c>
      <c r="B4424" s="9" t="str">
        <f>IFERROR(__xludf.DUMMYFUNCTION("""COMPUTED_VALUE"""),"si-027")</f>
        <v>si-027</v>
      </c>
      <c r="C4424" s="9" t="str">
        <f>IFERROR(__xludf.DUMMYFUNCTION("GOOGLETRANSLATE($A4424,""en"",""de"")"),"Gorenja vas-Poljane")</f>
        <v>Gorenja vas-Poljane</v>
      </c>
      <c r="D4424" s="9" t="str">
        <f>IFERROR(__xludf.DUMMYFUNCTION("GOOGLETRANSLATE($A4424,""en"",""fr"")"),"Gorenja vas-Poljane")</f>
        <v>Gorenja vas-Poljane</v>
      </c>
      <c r="E4424" s="9" t="str">
        <f>IFERROR(__xludf.DUMMYFUNCTION("GOOGLETRANSLATE($A4424,""en"",""es"")"),"Gorenja vas-Poljane")</f>
        <v>Gorenja vas-Poljane</v>
      </c>
      <c r="F4424" s="9" t="str">
        <f>IFERROR(__xludf.DUMMYFUNCTION("GOOGLETRANSLATE($A4424,""en"",""it"")"),"Gorenja vas-Poljane")</f>
        <v>Gorenja vas-Poljane</v>
      </c>
      <c r="G4424" s="9" t="str">
        <f>IFERROR(__xludf.DUMMYFUNCTION("GOOGLETRANSLATE($A4424,""en"",""zh-cn"")"),"戈雷尼亚·瓦斯-波简")</f>
        <v>戈雷尼亚·瓦斯-波简</v>
      </c>
      <c r="H4424" s="9" t="str">
        <f>IFERROR(__xludf.DUMMYFUNCTION("GOOGLETRANSLATE($A4424,""en"",""ja"")"),"ゴレンジャ・ヴァス・ポリャネ")</f>
        <v>ゴレンジャ・ヴァス・ポリャネ</v>
      </c>
      <c r="I4424" s="9" t="str">
        <f>IFERROR(__xludf.DUMMYFUNCTION("GOOGLETRANSLATE($A4424,""en"",""ko"")"),"고렌자 바스-폴랴네")</f>
        <v>고렌자 바스-폴랴네</v>
      </c>
      <c r="J4424" s="9" t="str">
        <f>IFERROR(__xludf.DUMMYFUNCTION("GOOGLETRANSLATE($A4424,""en"",""pt-BR"")"),"Gorenja vas-Poljane")</f>
        <v>Gorenja vas-Poljane</v>
      </c>
    </row>
    <row r="4425">
      <c r="A4425" s="9" t="str">
        <f>IFERROR(__xludf.DUMMYFUNCTION("""COMPUTED_VALUE"""),"Gorišnica")</f>
        <v>Gorišnica</v>
      </c>
      <c r="B4425" s="9" t="str">
        <f>IFERROR(__xludf.DUMMYFUNCTION("""COMPUTED_VALUE"""),"si-028")</f>
        <v>si-028</v>
      </c>
      <c r="C4425" s="9" t="str">
        <f>IFERROR(__xludf.DUMMYFUNCTION("GOOGLETRANSLATE($A4425,""en"",""de"")"),"Gorišnica")</f>
        <v>Gorišnica</v>
      </c>
      <c r="D4425" s="9" t="str">
        <f>IFERROR(__xludf.DUMMYFUNCTION("GOOGLETRANSLATE($A4425,""en"",""fr"")"),"Gorišnica")</f>
        <v>Gorišnica</v>
      </c>
      <c r="E4425" s="9" t="str">
        <f>IFERROR(__xludf.DUMMYFUNCTION("GOOGLETRANSLATE($A4425,""en"",""es"")"),"Gorišnica")</f>
        <v>Gorišnica</v>
      </c>
      <c r="F4425" s="9" t="str">
        <f>IFERROR(__xludf.DUMMYFUNCTION("GOOGLETRANSLATE($A4425,""en"",""it"")"),"Gorišnica")</f>
        <v>Gorišnica</v>
      </c>
      <c r="G4425" s="9" t="str">
        <f>IFERROR(__xludf.DUMMYFUNCTION("GOOGLETRANSLATE($A4425,""en"",""zh-cn"")"),"戈里什尼察")</f>
        <v>戈里什尼察</v>
      </c>
      <c r="H4425" s="9" t="str">
        <f>IFERROR(__xludf.DUMMYFUNCTION("GOOGLETRANSLATE($A4425,""en"",""ja"")"),"ゴリシュニツァ")</f>
        <v>ゴリシュニツァ</v>
      </c>
      <c r="I4425" s="9" t="str">
        <f>IFERROR(__xludf.DUMMYFUNCTION("GOOGLETRANSLATE($A4425,""en"",""ko"")"),"고리슈니차")</f>
        <v>고리슈니차</v>
      </c>
      <c r="J4425" s="9" t="str">
        <f>IFERROR(__xludf.DUMMYFUNCTION("GOOGLETRANSLATE($A4425,""en"",""pt-BR"")"),"Gorišnica")</f>
        <v>Gorišnica</v>
      </c>
    </row>
    <row r="4426">
      <c r="A4426" s="9" t="str">
        <f>IFERROR(__xludf.DUMMYFUNCTION("""COMPUTED_VALUE"""),"Gorje")</f>
        <v>Gorje</v>
      </c>
      <c r="B4426" s="9" t="str">
        <f>IFERROR(__xludf.DUMMYFUNCTION("""COMPUTED_VALUE"""),"si-207")</f>
        <v>si-207</v>
      </c>
      <c r="C4426" s="9" t="str">
        <f>IFERROR(__xludf.DUMMYFUNCTION("GOOGLETRANSLATE($A4426,""en"",""de"")"),"Gorje")</f>
        <v>Gorje</v>
      </c>
      <c r="D4426" s="9" t="str">
        <f>IFERROR(__xludf.DUMMYFUNCTION("GOOGLETRANSLATE($A4426,""en"",""fr"")"),"Gorje")</f>
        <v>Gorje</v>
      </c>
      <c r="E4426" s="9" t="str">
        <f>IFERROR(__xludf.DUMMYFUNCTION("GOOGLETRANSLATE($A4426,""en"",""es"")"),"Gorje")</f>
        <v>Gorje</v>
      </c>
      <c r="F4426" s="9" t="str">
        <f>IFERROR(__xludf.DUMMYFUNCTION("GOOGLETRANSLATE($A4426,""en"",""it"")"),"Gorje")</f>
        <v>Gorje</v>
      </c>
      <c r="G4426" s="9" t="str">
        <f>IFERROR(__xludf.DUMMYFUNCTION("GOOGLETRANSLATE($A4426,""en"",""zh-cn"")"),"戈尔杰")</f>
        <v>戈尔杰</v>
      </c>
      <c r="H4426" s="9" t="str">
        <f>IFERROR(__xludf.DUMMYFUNCTION("GOOGLETRANSLATE($A4426,""en"",""ja"")"),"ゴルジェ")</f>
        <v>ゴルジェ</v>
      </c>
      <c r="I4426" s="9" t="str">
        <f>IFERROR(__xludf.DUMMYFUNCTION("GOOGLETRANSLATE($A4426,""en"",""ko"")"),"고르예")</f>
        <v>고르예</v>
      </c>
      <c r="J4426" s="9" t="str">
        <f>IFERROR(__xludf.DUMMYFUNCTION("GOOGLETRANSLATE($A4426,""en"",""pt-BR"")"),"Gorje")</f>
        <v>Gorje</v>
      </c>
    </row>
    <row r="4427">
      <c r="A4427" s="9" t="str">
        <f>IFERROR(__xludf.DUMMYFUNCTION("""COMPUTED_VALUE"""),"Malaita")</f>
        <v>Malaita</v>
      </c>
      <c r="B4427" s="9" t="str">
        <f>IFERROR(__xludf.DUMMYFUNCTION("""COMPUTED_VALUE"""),"sb-ml")</f>
        <v>sb-ml</v>
      </c>
      <c r="C4427" s="9" t="str">
        <f>IFERROR(__xludf.DUMMYFUNCTION("GOOGLETRANSLATE($A4427,""en"",""de"")"),"Malaita")</f>
        <v>Malaita</v>
      </c>
      <c r="D4427" s="9" t="str">
        <f>IFERROR(__xludf.DUMMYFUNCTION("GOOGLETRANSLATE($A4427,""en"",""fr"")"),"Malaita")</f>
        <v>Malaita</v>
      </c>
      <c r="E4427" s="9" t="str">
        <f>IFERROR(__xludf.DUMMYFUNCTION("GOOGLETRANSLATE($A4427,""en"",""es"")"),"malaita")</f>
        <v>malaita</v>
      </c>
      <c r="F4427" s="9" t="str">
        <f>IFERROR(__xludf.DUMMYFUNCTION("GOOGLETRANSLATE($A4427,""en"",""it"")"),"Malaita")</f>
        <v>Malaita</v>
      </c>
      <c r="G4427" s="9" t="str">
        <f>IFERROR(__xludf.DUMMYFUNCTION("GOOGLETRANSLATE($A4427,""en"",""zh-cn"")"),"马莱塔")</f>
        <v>马莱塔</v>
      </c>
      <c r="H4427" s="9" t="str">
        <f>IFERROR(__xludf.DUMMYFUNCTION("GOOGLETRANSLATE($A4427,""en"",""ja"")"),"マライタ")</f>
        <v>マライタ</v>
      </c>
      <c r="I4427" s="9" t="str">
        <f>IFERROR(__xludf.DUMMYFUNCTION("GOOGLETRANSLATE($A4427,""en"",""ko"")"),"말라이타")</f>
        <v>말라이타</v>
      </c>
      <c r="J4427" s="9" t="str">
        <f>IFERROR(__xludf.DUMMYFUNCTION("GOOGLETRANSLATE($A4427,""en"",""pt-BR"")"),"Malaita")</f>
        <v>Malaita</v>
      </c>
    </row>
    <row r="4428">
      <c r="A4428" s="9" t="str">
        <f>IFERROR(__xludf.DUMMYFUNCTION("""COMPUTED_VALUE"""),"Western (SB)")</f>
        <v>Western (SB)</v>
      </c>
      <c r="B4428" s="9" t="str">
        <f>IFERROR(__xludf.DUMMYFUNCTION("""COMPUTED_VALUE"""),"sb-we")</f>
        <v>sb-we</v>
      </c>
      <c r="C4428" s="9" t="str">
        <f>IFERROR(__xludf.DUMMYFUNCTION("GOOGLETRANSLATE($A4428,""en"",""de"")"),"Western (SB)")</f>
        <v>Western (SB)</v>
      </c>
      <c r="D4428" s="9" t="str">
        <f>IFERROR(__xludf.DUMMYFUNCTION("GOOGLETRANSLATE($A4428,""en"",""fr"")"),"Ouest (SB)")</f>
        <v>Ouest (SB)</v>
      </c>
      <c r="E4428" s="9" t="str">
        <f>IFERROR(__xludf.DUMMYFUNCTION("GOOGLETRANSLATE($A4428,""en"",""es"")"),"Occidental (SB)")</f>
        <v>Occidental (SB)</v>
      </c>
      <c r="F4428" s="9" t="str">
        <f>IFERROR(__xludf.DUMMYFUNCTION("GOOGLETRANSLATE($A4428,""en"",""it"")"),"Occidentale (SB)")</f>
        <v>Occidentale (SB)</v>
      </c>
      <c r="G4428" s="9" t="str">
        <f>IFERROR(__xludf.DUMMYFUNCTION("GOOGLETRANSLATE($A4428,""en"",""zh-cn"")"),"西部 (SB)")</f>
        <v>西部 (SB)</v>
      </c>
      <c r="H4428" s="9" t="str">
        <f>IFERROR(__xludf.DUMMYFUNCTION("GOOGLETRANSLATE($A4428,""en"",""ja"")"),"ウエスタン（SB）")</f>
        <v>ウエスタン（SB）</v>
      </c>
      <c r="I4428" s="9" t="str">
        <f>IFERROR(__xludf.DUMMYFUNCTION("GOOGLETRANSLATE($A4428,""en"",""ko"")"),"서부(SB)")</f>
        <v>서부(SB)</v>
      </c>
      <c r="J4428" s="9" t="str">
        <f>IFERROR(__xludf.DUMMYFUNCTION("GOOGLETRANSLATE($A4428,""en"",""pt-BR"")"),"Ocidental (SB)")</f>
        <v>Ocidental (SB)</v>
      </c>
    </row>
    <row r="4429">
      <c r="A4429" s="9" t="str">
        <f>IFERROR(__xludf.DUMMYFUNCTION("""COMPUTED_VALUE"""),"Guadalcanal")</f>
        <v>Guadalcanal</v>
      </c>
      <c r="B4429" s="9" t="str">
        <f>IFERROR(__xludf.DUMMYFUNCTION("""COMPUTED_VALUE"""),"sb-gu")</f>
        <v>sb-gu</v>
      </c>
      <c r="C4429" s="9" t="str">
        <f>IFERROR(__xludf.DUMMYFUNCTION("GOOGLETRANSLATE($A4429,""en"",""de"")"),"Guadalcanal")</f>
        <v>Guadalcanal</v>
      </c>
      <c r="D4429" s="9" t="str">
        <f>IFERROR(__xludf.DUMMYFUNCTION("GOOGLETRANSLATE($A4429,""en"",""fr"")"),"Guadalcanal")</f>
        <v>Guadalcanal</v>
      </c>
      <c r="E4429" s="9" t="str">
        <f>IFERROR(__xludf.DUMMYFUNCTION("GOOGLETRANSLATE($A4429,""en"",""es"")"),"Guadalcanal")</f>
        <v>Guadalcanal</v>
      </c>
      <c r="F4429" s="9" t="str">
        <f>IFERROR(__xludf.DUMMYFUNCTION("GOOGLETRANSLATE($A4429,""en"",""it"")"),"Guadalcanal")</f>
        <v>Guadalcanal</v>
      </c>
      <c r="G4429" s="9" t="str">
        <f>IFERROR(__xludf.DUMMYFUNCTION("GOOGLETRANSLATE($A4429,""en"",""zh-cn"")"),"瓜岛")</f>
        <v>瓜岛</v>
      </c>
      <c r="H4429" s="9" t="str">
        <f>IFERROR(__xludf.DUMMYFUNCTION("GOOGLETRANSLATE($A4429,""en"",""ja"")"),"ガダルカナル島")</f>
        <v>ガダルカナル島</v>
      </c>
      <c r="I4429" s="9" t="str">
        <f>IFERROR(__xludf.DUMMYFUNCTION("GOOGLETRANSLATE($A4429,""en"",""ko"")"),"과달카날")</f>
        <v>과달카날</v>
      </c>
      <c r="J4429" s="9" t="str">
        <f>IFERROR(__xludf.DUMMYFUNCTION("GOOGLETRANSLATE($A4429,""en"",""pt-BR"")"),"Guadalcanal")</f>
        <v>Guadalcanal</v>
      </c>
    </row>
    <row r="4430">
      <c r="A4430" s="9" t="str">
        <f>IFERROR(__xludf.DUMMYFUNCTION("""COMPUTED_VALUE"""),"Isabel")</f>
        <v>Isabel</v>
      </c>
      <c r="B4430" s="9" t="str">
        <f>IFERROR(__xludf.DUMMYFUNCTION("""COMPUTED_VALUE"""),"sb-is")</f>
        <v>sb-is</v>
      </c>
      <c r="C4430" s="9" t="str">
        <f>IFERROR(__xludf.DUMMYFUNCTION("GOOGLETRANSLATE($A4430,""en"",""de"")"),"Isabel")</f>
        <v>Isabel</v>
      </c>
      <c r="D4430" s="9" t="str">
        <f>IFERROR(__xludf.DUMMYFUNCTION("GOOGLETRANSLATE($A4430,""en"",""fr"")"),"Isabelle")</f>
        <v>Isabelle</v>
      </c>
      <c r="E4430" s="9" t="str">
        <f>IFERROR(__xludf.DUMMYFUNCTION("GOOGLETRANSLATE($A4430,""en"",""es"")"),"Isabel")</f>
        <v>Isabel</v>
      </c>
      <c r="F4430" s="9" t="str">
        <f>IFERROR(__xludf.DUMMYFUNCTION("GOOGLETRANSLATE($A4430,""en"",""it"")"),"Isabella")</f>
        <v>Isabella</v>
      </c>
      <c r="G4430" s="9" t="str">
        <f>IFERROR(__xludf.DUMMYFUNCTION("GOOGLETRANSLATE($A4430,""en"",""zh-cn"")"),"伊莎贝尔")</f>
        <v>伊莎贝尔</v>
      </c>
      <c r="H4430" s="9" t="str">
        <f>IFERROR(__xludf.DUMMYFUNCTION("GOOGLETRANSLATE($A4430,""en"",""ja"")"),"イザベル")</f>
        <v>イザベル</v>
      </c>
      <c r="I4430" s="9" t="str">
        <f>IFERROR(__xludf.DUMMYFUNCTION("GOOGLETRANSLATE($A4430,""en"",""ko"")"),"여자 이름")</f>
        <v>여자 이름</v>
      </c>
      <c r="J4430" s="9" t="str">
        <f>IFERROR(__xludf.DUMMYFUNCTION("GOOGLETRANSLATE($A4430,""en"",""pt-BR"")"),"Isabel")</f>
        <v>Isabel</v>
      </c>
    </row>
    <row r="4431">
      <c r="A4431" s="9" t="str">
        <f>IFERROR(__xludf.DUMMYFUNCTION("""COMPUTED_VALUE"""),"Choiseul (SB)")</f>
        <v>Choiseul (SB)</v>
      </c>
      <c r="B4431" s="9" t="str">
        <f>IFERROR(__xludf.DUMMYFUNCTION("""COMPUTED_VALUE"""),"sb-ch")</f>
        <v>sb-ch</v>
      </c>
      <c r="C4431" s="9" t="str">
        <f>IFERROR(__xludf.DUMMYFUNCTION("GOOGLETRANSLATE($A4431,""en"",""de"")"),"Choiseul (SB)")</f>
        <v>Choiseul (SB)</v>
      </c>
      <c r="D4431" s="9" t="str">
        <f>IFERROR(__xludf.DUMMYFUNCTION("GOOGLETRANSLATE($A4431,""en"",""fr"")"),"Choiseul (SB)")</f>
        <v>Choiseul (SB)</v>
      </c>
      <c r="E4431" s="9" t="str">
        <f>IFERROR(__xludf.DUMMYFUNCTION("GOOGLETRANSLATE($A4431,""en"",""es"")"),"Choiseul (SB)")</f>
        <v>Choiseul (SB)</v>
      </c>
      <c r="F4431" s="9" t="str">
        <f>IFERROR(__xludf.DUMMYFUNCTION("GOOGLETRANSLATE($A4431,""en"",""it"")"),"Choiseul (SB)")</f>
        <v>Choiseul (SB)</v>
      </c>
      <c r="G4431" s="9" t="str">
        <f>IFERROR(__xludf.DUMMYFUNCTION("GOOGLETRANSLATE($A4431,""en"",""zh-cn"")"),"舒瓦瑟尔 (SB)")</f>
        <v>舒瓦瑟尔 (SB)</v>
      </c>
      <c r="H4431" s="9" t="str">
        <f>IFERROR(__xludf.DUMMYFUNCTION("GOOGLETRANSLATE($A4431,""en"",""ja"")"),"ショワズル(SB)")</f>
        <v>ショワズル(SB)</v>
      </c>
      <c r="I4431" s="9" t="str">
        <f>IFERROR(__xludf.DUMMYFUNCTION("GOOGLETRANSLATE($A4431,""en"",""ko"")"),"초이슬(SB)")</f>
        <v>초이슬(SB)</v>
      </c>
      <c r="J4431" s="9" t="str">
        <f>IFERROR(__xludf.DUMMYFUNCTION("GOOGLETRANSLATE($A4431,""en"",""pt-BR"")"),"Choiseul (SB)")</f>
        <v>Choiseul (SB)</v>
      </c>
    </row>
    <row r="4432">
      <c r="A4432" s="9" t="str">
        <f>IFERROR(__xludf.DUMMYFUNCTION("""COMPUTED_VALUE"""),"Capital Territory (Honiara)")</f>
        <v>Capital Territory (Honiara)</v>
      </c>
      <c r="B4432" s="9" t="str">
        <f>IFERROR(__xludf.DUMMYFUNCTION("""COMPUTED_VALUE"""),"sb-ct")</f>
        <v>sb-ct</v>
      </c>
      <c r="C4432" s="9" t="str">
        <f>IFERROR(__xludf.DUMMYFUNCTION("GOOGLETRANSLATE($A4432,""en"",""de"")"),"Hauptstadtterritorium (Honiara)")</f>
        <v>Hauptstadtterritorium (Honiara)</v>
      </c>
      <c r="D4432" s="9" t="str">
        <f>IFERROR(__xludf.DUMMYFUNCTION("GOOGLETRANSLATE($A4432,""en"",""fr"")"),"Territoire de la capitale (Honiara)")</f>
        <v>Territoire de la capitale (Honiara)</v>
      </c>
      <c r="E4432" s="9" t="str">
        <f>IFERROR(__xludf.DUMMYFUNCTION("GOOGLETRANSLATE($A4432,""en"",""es"")"),"Territorio de la Capital (Honiara)")</f>
        <v>Territorio de la Capital (Honiara)</v>
      </c>
      <c r="F4432" s="9" t="str">
        <f>IFERROR(__xludf.DUMMYFUNCTION("GOOGLETRANSLATE($A4432,""en"",""it"")"),"Territorio della Capitale (Honiara)")</f>
        <v>Territorio della Capitale (Honiara)</v>
      </c>
      <c r="G4432" s="9" t="str">
        <f>IFERROR(__xludf.DUMMYFUNCTION("GOOGLETRANSLATE($A4432,""en"",""zh-cn"")"),"首都地区（霍尼亚拉）")</f>
        <v>首都地区（霍尼亚拉）</v>
      </c>
      <c r="H4432" s="9" t="str">
        <f>IFERROR(__xludf.DUMMYFUNCTION("GOOGLETRANSLATE($A4432,""en"",""ja"")"),"首都特別地域 (ホニアラ)")</f>
        <v>首都特別地域 (ホニアラ)</v>
      </c>
      <c r="I4432" s="9" t="str">
        <f>IFERROR(__xludf.DUMMYFUNCTION("GOOGLETRANSLATE($A4432,""en"",""ko"")"),"수도 준주(호니아라)")</f>
        <v>수도 준주(호니아라)</v>
      </c>
      <c r="J4432" s="9" t="str">
        <f>IFERROR(__xludf.DUMMYFUNCTION("GOOGLETRANSLATE($A4432,""en"",""pt-BR"")"),"Território da Capital (Honiara)")</f>
        <v>Território da Capital (Honiara)</v>
      </c>
    </row>
    <row r="4433">
      <c r="A4433" s="9" t="str">
        <f>IFERROR(__xludf.DUMMYFUNCTION("""COMPUTED_VALUE"""),"Temotu")</f>
        <v>Temotu</v>
      </c>
      <c r="B4433" s="9" t="str">
        <f>IFERROR(__xludf.DUMMYFUNCTION("""COMPUTED_VALUE"""),"sb-te")</f>
        <v>sb-te</v>
      </c>
      <c r="C4433" s="9" t="str">
        <f>IFERROR(__xludf.DUMMYFUNCTION("GOOGLETRANSLATE($A4433,""en"",""de"")"),"Temotu")</f>
        <v>Temotu</v>
      </c>
      <c r="D4433" s="9" t="str">
        <f>IFERROR(__xludf.DUMMYFUNCTION("GOOGLETRANSLATE($A4433,""en"",""fr"")"),"Témotu")</f>
        <v>Témotu</v>
      </c>
      <c r="E4433" s="9" t="str">
        <f>IFERROR(__xludf.DUMMYFUNCTION("GOOGLETRANSLATE($A4433,""en"",""es"")"),"Temotu")</f>
        <v>Temotu</v>
      </c>
      <c r="F4433" s="9" t="str">
        <f>IFERROR(__xludf.DUMMYFUNCTION("GOOGLETRANSLATE($A4433,""en"",""it"")"),"Temotu")</f>
        <v>Temotu</v>
      </c>
      <c r="G4433" s="9" t="str">
        <f>IFERROR(__xludf.DUMMYFUNCTION("GOOGLETRANSLATE($A4433,""en"",""zh-cn"")"),"特莫图")</f>
        <v>特莫图</v>
      </c>
      <c r="H4433" s="9" t="str">
        <f>IFERROR(__xludf.DUMMYFUNCTION("GOOGLETRANSLATE($A4433,""en"",""ja"")"),"テモツ")</f>
        <v>テモツ</v>
      </c>
      <c r="I4433" s="9" t="str">
        <f>IFERROR(__xludf.DUMMYFUNCTION("GOOGLETRANSLATE($A4433,""en"",""ko"")"),"테모투")</f>
        <v>테모투</v>
      </c>
      <c r="J4433" s="9" t="str">
        <f>IFERROR(__xludf.DUMMYFUNCTION("GOOGLETRANSLATE($A4433,""en"",""pt-BR"")"),"Temotu")</f>
        <v>Temotu</v>
      </c>
    </row>
    <row r="4434">
      <c r="A4434" s="9" t="str">
        <f>IFERROR(__xludf.DUMMYFUNCTION("""COMPUTED_VALUE"""),"Central (SB)")</f>
        <v>Central (SB)</v>
      </c>
      <c r="B4434" s="9" t="str">
        <f>IFERROR(__xludf.DUMMYFUNCTION("""COMPUTED_VALUE"""),"sb-ce")</f>
        <v>sb-ce</v>
      </c>
      <c r="C4434" s="9" t="str">
        <f>IFERROR(__xludf.DUMMYFUNCTION("GOOGLETRANSLATE($A4434,""en"",""de"")"),"Zentral (SB)")</f>
        <v>Zentral (SB)</v>
      </c>
      <c r="D4434" s="9" t="str">
        <f>IFERROR(__xludf.DUMMYFUNCTION("GOOGLETRANSLATE($A4434,""en"",""fr"")"),"Centrale (SB)")</f>
        <v>Centrale (SB)</v>
      </c>
      <c r="E4434" s="9" t="str">
        <f>IFERROR(__xludf.DUMMYFUNCTION("GOOGLETRANSLATE($A4434,""en"",""es"")"),"Central (SB)")</f>
        <v>Central (SB)</v>
      </c>
      <c r="F4434" s="9" t="str">
        <f>IFERROR(__xludf.DUMMYFUNCTION("GOOGLETRANSLATE($A4434,""en"",""it"")"),"Centrale (SB)")</f>
        <v>Centrale (SB)</v>
      </c>
      <c r="G4434" s="9" t="str">
        <f>IFERROR(__xludf.DUMMYFUNCTION("GOOGLETRANSLATE($A4434,""en"",""zh-cn"")"),"中环 (SB)")</f>
        <v>中环 (SB)</v>
      </c>
      <c r="H4434" s="9" t="str">
        <f>IFERROR(__xludf.DUMMYFUNCTION("GOOGLETRANSLATE($A4434,""en"",""ja"")"),"セントラル (SB)")</f>
        <v>セントラル (SB)</v>
      </c>
      <c r="I4434" s="9" t="str">
        <f>IFERROR(__xludf.DUMMYFUNCTION("GOOGLETRANSLATE($A4434,""en"",""ko"")"),"센트럴(SB)")</f>
        <v>센트럴(SB)</v>
      </c>
      <c r="J4434" s="9" t="str">
        <f>IFERROR(__xludf.DUMMYFUNCTION("GOOGLETRANSLATE($A4434,""en"",""pt-BR"")"),"Central (SB)")</f>
        <v>Central (SB)</v>
      </c>
    </row>
    <row r="4435">
      <c r="A4435" s="9" t="str">
        <f>IFERROR(__xludf.DUMMYFUNCTION("""COMPUTED_VALUE"""),"Rennell and Bellona")</f>
        <v>Rennell and Bellona</v>
      </c>
      <c r="B4435" s="9" t="str">
        <f>IFERROR(__xludf.DUMMYFUNCTION("""COMPUTED_VALUE"""),"sb-rb")</f>
        <v>sb-rb</v>
      </c>
      <c r="C4435" s="9" t="str">
        <f>IFERROR(__xludf.DUMMYFUNCTION("GOOGLETRANSLATE($A4435,""en"",""de"")"),"Rennell und Bellona")</f>
        <v>Rennell und Bellona</v>
      </c>
      <c r="D4435" s="9" t="str">
        <f>IFERROR(__xludf.DUMMYFUNCTION("GOOGLETRANSLATE($A4435,""en"",""fr"")"),"Rennell et Bellona")</f>
        <v>Rennell et Bellona</v>
      </c>
      <c r="E4435" s="9" t="str">
        <f>IFERROR(__xludf.DUMMYFUNCTION("GOOGLETRANSLATE($A4435,""en"",""es"")"),"Rennell y Bellona")</f>
        <v>Rennell y Bellona</v>
      </c>
      <c r="F4435" s="9" t="str">
        <f>IFERROR(__xludf.DUMMYFUNCTION("GOOGLETRANSLATE($A4435,""en"",""it"")"),"Rennell e Bellona")</f>
        <v>Rennell e Bellona</v>
      </c>
      <c r="G4435" s="9" t="str">
        <f>IFERROR(__xludf.DUMMYFUNCTION("GOOGLETRANSLATE($A4435,""en"",""zh-cn"")"),"伦内尔和贝罗娜")</f>
        <v>伦内尔和贝罗娜</v>
      </c>
      <c r="H4435" s="9" t="str">
        <f>IFERROR(__xludf.DUMMYFUNCTION("GOOGLETRANSLATE($A4435,""en"",""ja"")"),"レンネルとベローナ")</f>
        <v>レンネルとベローナ</v>
      </c>
      <c r="I4435" s="9" t="str">
        <f>IFERROR(__xludf.DUMMYFUNCTION("GOOGLETRANSLATE($A4435,""en"",""ko"")"),"레넬과 벨로나")</f>
        <v>레넬과 벨로나</v>
      </c>
      <c r="J4435" s="9" t="str">
        <f>IFERROR(__xludf.DUMMYFUNCTION("GOOGLETRANSLATE($A4435,""en"",""pt-BR"")"),"Rennell e Bellona")</f>
        <v>Rennell e Bellona</v>
      </c>
    </row>
    <row r="4436">
      <c r="A4436" s="9" t="str">
        <f>IFERROR(__xludf.DUMMYFUNCTION("""COMPUTED_VALUE"""),"Makira")</f>
        <v>Makira</v>
      </c>
      <c r="B4436" s="9" t="str">
        <f>IFERROR(__xludf.DUMMYFUNCTION("""COMPUTED_VALUE"""),"sb-mk")</f>
        <v>sb-mk</v>
      </c>
      <c r="C4436" s="9" t="str">
        <f>IFERROR(__xludf.DUMMYFUNCTION("GOOGLETRANSLATE($A4436,""en"",""de"")"),"Makira")</f>
        <v>Makira</v>
      </c>
      <c r="D4436" s="9" t="str">
        <f>IFERROR(__xludf.DUMMYFUNCTION("GOOGLETRANSLATE($A4436,""en"",""fr"")"),"Makira")</f>
        <v>Makira</v>
      </c>
      <c r="E4436" s="9" t="str">
        <f>IFERROR(__xludf.DUMMYFUNCTION("GOOGLETRANSLATE($A4436,""en"",""es"")"),"makira")</f>
        <v>makira</v>
      </c>
      <c r="F4436" s="9" t="str">
        <f>IFERROR(__xludf.DUMMYFUNCTION("GOOGLETRANSLATE($A4436,""en"",""it"")"),"Makira")</f>
        <v>Makira</v>
      </c>
      <c r="G4436" s="9" t="str">
        <f>IFERROR(__xludf.DUMMYFUNCTION("GOOGLETRANSLATE($A4436,""en"",""zh-cn"")"),"马基拉")</f>
        <v>马基拉</v>
      </c>
      <c r="H4436" s="9" t="str">
        <f>IFERROR(__xludf.DUMMYFUNCTION("GOOGLETRANSLATE($A4436,""en"",""ja"")"),"マキラ")</f>
        <v>マキラ</v>
      </c>
      <c r="I4436" s="9" t="str">
        <f>IFERROR(__xludf.DUMMYFUNCTION("GOOGLETRANSLATE($A4436,""en"",""ko"")"),"마키라")</f>
        <v>마키라</v>
      </c>
      <c r="J4436" s="9" t="str">
        <f>IFERROR(__xludf.DUMMYFUNCTION("GOOGLETRANSLATE($A4436,""en"",""pt-BR"")"),"Makira")</f>
        <v>Makira</v>
      </c>
    </row>
    <row r="4437">
      <c r="A4437" s="9" t="str">
        <f>IFERROR(__xludf.DUMMYFUNCTION("""COMPUTED_VALUE"""),"Awdal")</f>
        <v>Awdal</v>
      </c>
      <c r="B4437" s="9" t="str">
        <f>IFERROR(__xludf.DUMMYFUNCTION("""COMPUTED_VALUE"""),"so-aw")</f>
        <v>so-aw</v>
      </c>
      <c r="C4437" s="9" t="str">
        <f>IFERROR(__xludf.DUMMYFUNCTION("GOOGLETRANSLATE($A4437,""en"",""de"")"),"Awdal")</f>
        <v>Awdal</v>
      </c>
      <c r="D4437" s="9" t="str">
        <f>IFERROR(__xludf.DUMMYFUNCTION("GOOGLETRANSLATE($A4437,""en"",""fr"")"),"Awdal")</f>
        <v>Awdal</v>
      </c>
      <c r="E4437" s="9" t="str">
        <f>IFERROR(__xludf.DUMMYFUNCTION("GOOGLETRANSLATE($A4437,""en"",""es"")"),"awdal")</f>
        <v>awdal</v>
      </c>
      <c r="F4437" s="9" t="str">
        <f>IFERROR(__xludf.DUMMYFUNCTION("GOOGLETRANSLATE($A4437,""en"",""it"")"),"Awdal")</f>
        <v>Awdal</v>
      </c>
      <c r="G4437" s="9" t="str">
        <f>IFERROR(__xludf.DUMMYFUNCTION("GOOGLETRANSLATE($A4437,""en"",""zh-cn"")"),"阿乌达尔")</f>
        <v>阿乌达尔</v>
      </c>
      <c r="H4437" s="9" t="str">
        <f>IFERROR(__xludf.DUMMYFUNCTION("GOOGLETRANSLATE($A4437,""en"",""ja"")"),"アウダル")</f>
        <v>アウダル</v>
      </c>
      <c r="I4437" s="9" t="str">
        <f>IFERROR(__xludf.DUMMYFUNCTION("GOOGLETRANSLATE($A4437,""en"",""ko"")"),"아우달")</f>
        <v>아우달</v>
      </c>
      <c r="J4437" s="9" t="str">
        <f>IFERROR(__xludf.DUMMYFUNCTION("GOOGLETRANSLATE($A4437,""en"",""pt-BR"")"),"Awdal")</f>
        <v>Awdal</v>
      </c>
    </row>
    <row r="4438">
      <c r="A4438" s="9" t="str">
        <f>IFERROR(__xludf.DUMMYFUNCTION("""COMPUTED_VALUE"""),"Jubbada Hoose")</f>
        <v>Jubbada Hoose</v>
      </c>
      <c r="B4438" s="9" t="str">
        <f>IFERROR(__xludf.DUMMYFUNCTION("""COMPUTED_VALUE"""),"so-jh")</f>
        <v>so-jh</v>
      </c>
      <c r="C4438" s="9" t="str">
        <f>IFERROR(__xludf.DUMMYFUNCTION("GOOGLETRANSLATE($A4438,""en"",""de"")"),"Jubbada Hoose")</f>
        <v>Jubbada Hoose</v>
      </c>
      <c r="D4438" s="9" t="str">
        <f>IFERROR(__xludf.DUMMYFUNCTION("GOOGLETRANSLATE($A4438,""en"",""fr"")"),"Jubbada Hoose")</f>
        <v>Jubbada Hoose</v>
      </c>
      <c r="E4438" s="9" t="str">
        <f>IFERROR(__xludf.DUMMYFUNCTION("GOOGLETRANSLATE($A4438,""en"",""es"")"),"Casa Jubbada")</f>
        <v>Casa Jubbada</v>
      </c>
      <c r="F4438" s="9" t="str">
        <f>IFERROR(__xludf.DUMMYFUNCTION("GOOGLETRANSLATE($A4438,""en"",""it"")"),"Jubbada Hoose")</f>
        <v>Jubbada Hoose</v>
      </c>
      <c r="G4438" s="9" t="str">
        <f>IFERROR(__xludf.DUMMYFUNCTION("GOOGLETRANSLATE($A4438,""en"",""zh-cn"")"),"朱巴达·胡斯")</f>
        <v>朱巴达·胡斯</v>
      </c>
      <c r="H4438" s="9" t="str">
        <f>IFERROR(__xludf.DUMMYFUNCTION("GOOGLETRANSLATE($A4438,""en"",""ja"")"),"ジュバダ・ホース")</f>
        <v>ジュバダ・ホース</v>
      </c>
      <c r="I4438" s="9" t="str">
        <f>IFERROR(__xludf.DUMMYFUNCTION("GOOGLETRANSLATE($A4438,""en"",""ko"")"),"주바다 호스")</f>
        <v>주바다 호스</v>
      </c>
      <c r="J4438" s="9" t="str">
        <f>IFERROR(__xludf.DUMMYFUNCTION("GOOGLETRANSLATE($A4438,""en"",""pt-BR"")"),"Jubbada Hoose")</f>
        <v>Jubbada Hoose</v>
      </c>
    </row>
    <row r="4439">
      <c r="A4439" s="9" t="str">
        <f>IFERROR(__xludf.DUMMYFUNCTION("""COMPUTED_VALUE"""),"Togdheer")</f>
        <v>Togdheer</v>
      </c>
      <c r="B4439" s="9" t="str">
        <f>IFERROR(__xludf.DUMMYFUNCTION("""COMPUTED_VALUE"""),"so-to")</f>
        <v>so-to</v>
      </c>
      <c r="C4439" s="9" t="str">
        <f>IFERROR(__xludf.DUMMYFUNCTION("GOOGLETRANSLATE($A4439,""en"",""de"")"),"Togdheer")</f>
        <v>Togdheer</v>
      </c>
      <c r="D4439" s="9" t="str">
        <f>IFERROR(__xludf.DUMMYFUNCTION("GOOGLETRANSLATE($A4439,""en"",""fr"")"),"Togdheer")</f>
        <v>Togdheer</v>
      </c>
      <c r="E4439" s="9" t="str">
        <f>IFERROR(__xludf.DUMMYFUNCTION("GOOGLETRANSLATE($A4439,""en"",""es"")"),"Togdheer")</f>
        <v>Togdheer</v>
      </c>
      <c r="F4439" s="9" t="str">
        <f>IFERROR(__xludf.DUMMYFUNCTION("GOOGLETRANSLATE($A4439,""en"",""it"")"),"Togdheer")</f>
        <v>Togdheer</v>
      </c>
      <c r="G4439" s="9" t="str">
        <f>IFERROR(__xludf.DUMMYFUNCTION("GOOGLETRANSLATE($A4439,""en"",""zh-cn"")"),"托格海尔")</f>
        <v>托格海尔</v>
      </c>
      <c r="H4439" s="9" t="str">
        <f>IFERROR(__xludf.DUMMYFUNCTION("GOOGLETRANSLATE($A4439,""en"",""ja"")"),"トグディア")</f>
        <v>トグディア</v>
      </c>
      <c r="I4439" s="9" t="str">
        <f>IFERROR(__xludf.DUMMYFUNCTION("GOOGLETRANSLATE($A4439,""en"",""ko"")"),"토그디어")</f>
        <v>토그디어</v>
      </c>
      <c r="J4439" s="9" t="str">
        <f>IFERROR(__xludf.DUMMYFUNCTION("GOOGLETRANSLATE($A4439,""en"",""pt-BR"")"),"Togdheer")</f>
        <v>Togdheer</v>
      </c>
    </row>
    <row r="4440">
      <c r="A4440" s="9" t="str">
        <f>IFERROR(__xludf.DUMMYFUNCTION("""COMPUTED_VALUE"""),"Jubbada Dhexe")</f>
        <v>Jubbada Dhexe</v>
      </c>
      <c r="B4440" s="9" t="str">
        <f>IFERROR(__xludf.DUMMYFUNCTION("""COMPUTED_VALUE"""),"so-jd")</f>
        <v>so-jd</v>
      </c>
      <c r="C4440" s="9" t="str">
        <f>IFERROR(__xludf.DUMMYFUNCTION("GOOGLETRANSLATE($A4440,""en"",""de"")"),"Jubbada Dhexe")</f>
        <v>Jubbada Dhexe</v>
      </c>
      <c r="D4440" s="9" t="str">
        <f>IFERROR(__xludf.DUMMYFUNCTION("GOOGLETRANSLATE($A4440,""en"",""fr"")"),"Jubbada Dhexe")</f>
        <v>Jubbada Dhexe</v>
      </c>
      <c r="E4440" s="9" t="str">
        <f>IFERROR(__xludf.DUMMYFUNCTION("GOOGLETRANSLATE($A4440,""en"",""es"")"),"Jubbada Dhexe")</f>
        <v>Jubbada Dhexe</v>
      </c>
      <c r="F4440" s="9" t="str">
        <f>IFERROR(__xludf.DUMMYFUNCTION("GOOGLETRANSLATE($A4440,""en"",""it"")"),"Jubbada Dhexe")</f>
        <v>Jubbada Dhexe</v>
      </c>
      <c r="G4440" s="9" t="str">
        <f>IFERROR(__xludf.DUMMYFUNCTION("GOOGLETRANSLATE($A4440,""en"",""zh-cn"")"),"朱巴达·德赫塞")</f>
        <v>朱巴达·德赫塞</v>
      </c>
      <c r="H4440" s="9" t="str">
        <f>IFERROR(__xludf.DUMMYFUNCTION("GOOGLETRANSLATE($A4440,""en"",""ja"")"),"ジュバダ・デクセ")</f>
        <v>ジュバダ・デクセ</v>
      </c>
      <c r="I4440" s="9" t="str">
        <f>IFERROR(__xludf.DUMMYFUNCTION("GOOGLETRANSLATE($A4440,""en"",""ko"")"),"주바다 드세")</f>
        <v>주바다 드세</v>
      </c>
      <c r="J4440" s="9" t="str">
        <f>IFERROR(__xludf.DUMMYFUNCTION("GOOGLETRANSLATE($A4440,""en"",""pt-BR"")"),"Jubbada Dhexe")</f>
        <v>Jubbada Dhexe</v>
      </c>
    </row>
    <row r="4441">
      <c r="A4441" s="9" t="str">
        <f>IFERROR(__xludf.DUMMYFUNCTION("""COMPUTED_VALUE"""),"Bari (SO)")</f>
        <v>Bari (SO)</v>
      </c>
      <c r="B4441" s="9" t="str">
        <f>IFERROR(__xludf.DUMMYFUNCTION("""COMPUTED_VALUE"""),"so-br")</f>
        <v>so-br</v>
      </c>
      <c r="C4441" s="9" t="str">
        <f>IFERROR(__xludf.DUMMYFUNCTION("GOOGLETRANSLATE($A4441,""en"",""de"")"),"Bari (SO)")</f>
        <v>Bari (SO)</v>
      </c>
      <c r="D4441" s="9" t="str">
        <f>IFERROR(__xludf.DUMMYFUNCTION("GOOGLETRANSLATE($A4441,""en"",""fr"")"),"Bari (SO)")</f>
        <v>Bari (SO)</v>
      </c>
      <c r="E4441" s="9" t="str">
        <f>IFERROR(__xludf.DUMMYFUNCTION("GOOGLETRANSLATE($A4441,""en"",""es"")"),"Bari (SO)")</f>
        <v>Bari (SO)</v>
      </c>
      <c r="F4441" s="9" t="str">
        <f>IFERROR(__xludf.DUMMYFUNCTION("GOOGLETRANSLATE($A4441,""en"",""it"")"),"Bari (SO)")</f>
        <v>Bari (SO)</v>
      </c>
      <c r="G4441" s="9" t="str">
        <f>IFERROR(__xludf.DUMMYFUNCTION("GOOGLETRANSLATE($A4441,""en"",""zh-cn"")"),"巴里 (SO)")</f>
        <v>巴里 (SO)</v>
      </c>
      <c r="H4441" s="9" t="str">
        <f>IFERROR(__xludf.DUMMYFUNCTION("GOOGLETRANSLATE($A4441,""en"",""ja"")"),"バーリ (SO)")</f>
        <v>バーリ (SO)</v>
      </c>
      <c r="I4441" s="9" t="str">
        <f>IFERROR(__xludf.DUMMYFUNCTION("GOOGLETRANSLATE($A4441,""en"",""ko"")"),"바리(SO)")</f>
        <v>바리(SO)</v>
      </c>
      <c r="J4441" s="9" t="str">
        <f>IFERROR(__xludf.DUMMYFUNCTION("GOOGLETRANSLATE($A4441,""en"",""pt-BR"")"),"Bari (SO)")</f>
        <v>Bari (SO)</v>
      </c>
    </row>
    <row r="4442">
      <c r="A4442" s="9" t="str">
        <f>IFERROR(__xludf.DUMMYFUNCTION("""COMPUTED_VALUE"""),"Banaadir")</f>
        <v>Banaadir</v>
      </c>
      <c r="B4442" s="9" t="str">
        <f>IFERROR(__xludf.DUMMYFUNCTION("""COMPUTED_VALUE"""),"so-bn")</f>
        <v>so-bn</v>
      </c>
      <c r="C4442" s="9" t="str">
        <f>IFERROR(__xludf.DUMMYFUNCTION("GOOGLETRANSLATE($A4442,""en"",""de"")"),"Banaadir")</f>
        <v>Banaadir</v>
      </c>
      <c r="D4442" s="9" t="str">
        <f>IFERROR(__xludf.DUMMYFUNCTION("GOOGLETRANSLATE($A4442,""en"",""fr"")"),"Banaadir")</f>
        <v>Banaadir</v>
      </c>
      <c r="E4442" s="9" t="str">
        <f>IFERROR(__xludf.DUMMYFUNCTION("GOOGLETRANSLATE($A4442,""en"",""es"")"),"banadir")</f>
        <v>banadir</v>
      </c>
      <c r="F4442" s="9" t="str">
        <f>IFERROR(__xludf.DUMMYFUNCTION("GOOGLETRANSLATE($A4442,""en"",""it"")"),"Banaadir")</f>
        <v>Banaadir</v>
      </c>
      <c r="G4442" s="9" t="str">
        <f>IFERROR(__xludf.DUMMYFUNCTION("GOOGLETRANSLATE($A4442,""en"",""zh-cn"")"),"巴纳迪尔")</f>
        <v>巴纳迪尔</v>
      </c>
      <c r="H4442" s="9" t="str">
        <f>IFERROR(__xludf.DUMMYFUNCTION("GOOGLETRANSLATE($A4442,""en"",""ja"")"),"バナディール")</f>
        <v>バナディール</v>
      </c>
      <c r="I4442" s="9" t="str">
        <f>IFERROR(__xludf.DUMMYFUNCTION("GOOGLETRANSLATE($A4442,""en"",""ko"")"),"바나디르")</f>
        <v>바나디르</v>
      </c>
      <c r="J4442" s="9" t="str">
        <f>IFERROR(__xludf.DUMMYFUNCTION("GOOGLETRANSLATE($A4442,""en"",""pt-BR"")"),"Banaadir")</f>
        <v>Banaadir</v>
      </c>
    </row>
    <row r="4443">
      <c r="A4443" s="9" t="str">
        <f>IFERROR(__xludf.DUMMYFUNCTION("""COMPUTED_VALUE"""),"Shabeellaha Dhexe")</f>
        <v>Shabeellaha Dhexe</v>
      </c>
      <c r="B4443" s="9" t="str">
        <f>IFERROR(__xludf.DUMMYFUNCTION("""COMPUTED_VALUE"""),"so-sd")</f>
        <v>so-sd</v>
      </c>
      <c r="C4443" s="9" t="str">
        <f>IFERROR(__xludf.DUMMYFUNCTION("GOOGLETRANSLATE($A4443,""en"",""de"")"),"Shabeellaha Dhexe")</f>
        <v>Shabeellaha Dhexe</v>
      </c>
      <c r="D4443" s="9" t="str">
        <f>IFERROR(__xludf.DUMMYFUNCTION("GOOGLETRANSLATE($A4443,""en"",""fr"")"),"Shabeellaha Dhexe")</f>
        <v>Shabeellaha Dhexe</v>
      </c>
      <c r="E4443" s="9" t="str">
        <f>IFERROR(__xludf.DUMMYFUNCTION("GOOGLETRANSLATE($A4443,""en"",""es"")"),"Shabeellaha Dhexe")</f>
        <v>Shabeellaha Dhexe</v>
      </c>
      <c r="F4443" s="9" t="str">
        <f>IFERROR(__xludf.DUMMYFUNCTION("GOOGLETRANSLATE($A4443,""en"",""it"")"),"Shabeellaha Dhexe")</f>
        <v>Shabeellaha Dhexe</v>
      </c>
      <c r="G4443" s="9" t="str">
        <f>IFERROR(__xludf.DUMMYFUNCTION("GOOGLETRANSLATE($A4443,""en"",""zh-cn"")"),"沙贝拉哈德赫塞")</f>
        <v>沙贝拉哈德赫塞</v>
      </c>
      <c r="H4443" s="9" t="str">
        <f>IFERROR(__xludf.DUMMYFUNCTION("GOOGLETRANSLATE($A4443,""en"",""ja"")"),"シャビーラハ・デクセ")</f>
        <v>シャビーラハ・デクセ</v>
      </c>
      <c r="I4443" s="9" t="str">
        <f>IFERROR(__xludf.DUMMYFUNCTION("GOOGLETRANSLATE($A4443,""en"",""ko"")"),"샤빌라하 드헥세")</f>
        <v>샤빌라하 드헥세</v>
      </c>
      <c r="J4443" s="9" t="str">
        <f>IFERROR(__xludf.DUMMYFUNCTION("GOOGLETRANSLATE($A4443,""en"",""pt-BR"")"),"Shabeellaha Dhexe")</f>
        <v>Shabeellaha Dhexe</v>
      </c>
    </row>
    <row r="4444">
      <c r="A4444" s="9" t="str">
        <f>IFERROR(__xludf.DUMMYFUNCTION("""COMPUTED_VALUE"""),"Mudug")</f>
        <v>Mudug</v>
      </c>
      <c r="B4444" s="9" t="str">
        <f>IFERROR(__xludf.DUMMYFUNCTION("""COMPUTED_VALUE"""),"so-mu")</f>
        <v>so-mu</v>
      </c>
      <c r="C4444" s="9" t="str">
        <f>IFERROR(__xludf.DUMMYFUNCTION("GOOGLETRANSLATE($A4444,""en"",""de"")"),"Mudug")</f>
        <v>Mudug</v>
      </c>
      <c r="D4444" s="9" t="str">
        <f>IFERROR(__xludf.DUMMYFUNCTION("GOOGLETRANSLATE($A4444,""en"",""fr"")"),"Mudug")</f>
        <v>Mudug</v>
      </c>
      <c r="E4444" s="9" t="str">
        <f>IFERROR(__xludf.DUMMYFUNCTION("GOOGLETRANSLATE($A4444,""en"",""es"")"),"Mudug")</f>
        <v>Mudug</v>
      </c>
      <c r="F4444" s="9" t="str">
        <f>IFERROR(__xludf.DUMMYFUNCTION("GOOGLETRANSLATE($A4444,""en"",""it"")"),"Mudug")</f>
        <v>Mudug</v>
      </c>
      <c r="G4444" s="9" t="str">
        <f>IFERROR(__xludf.DUMMYFUNCTION("GOOGLETRANSLATE($A4444,""en"",""zh-cn"")"),"穆杜格")</f>
        <v>穆杜格</v>
      </c>
      <c r="H4444" s="9" t="str">
        <f>IFERROR(__xludf.DUMMYFUNCTION("GOOGLETRANSLATE($A4444,""en"",""ja"")"),"マドゥグ")</f>
        <v>マドゥグ</v>
      </c>
      <c r="I4444" s="9" t="str">
        <f>IFERROR(__xludf.DUMMYFUNCTION("GOOGLETRANSLATE($A4444,""en"",""ko"")"),"무두그")</f>
        <v>무두그</v>
      </c>
      <c r="J4444" s="9" t="str">
        <f>IFERROR(__xludf.DUMMYFUNCTION("GOOGLETRANSLATE($A4444,""en"",""pt-BR"")"),"Mudug")</f>
        <v>Mudug</v>
      </c>
    </row>
    <row r="4445">
      <c r="A4445" s="9" t="str">
        <f>IFERROR(__xludf.DUMMYFUNCTION("""COMPUTED_VALUE"""),"Bay")</f>
        <v>Bay</v>
      </c>
      <c r="B4445" s="9" t="str">
        <f>IFERROR(__xludf.DUMMYFUNCTION("""COMPUTED_VALUE"""),"so-by")</f>
        <v>so-by</v>
      </c>
      <c r="C4445" s="9" t="str">
        <f>IFERROR(__xludf.DUMMYFUNCTION("GOOGLETRANSLATE($A4445,""en"",""de"")"),"Bucht")</f>
        <v>Bucht</v>
      </c>
      <c r="D4445" s="9" t="str">
        <f>IFERROR(__xludf.DUMMYFUNCTION("GOOGLETRANSLATE($A4445,""en"",""fr"")"),"Baie")</f>
        <v>Baie</v>
      </c>
      <c r="E4445" s="9" t="str">
        <f>IFERROR(__xludf.DUMMYFUNCTION("GOOGLETRANSLATE($A4445,""en"",""es"")"),"Bahía")</f>
        <v>Bahía</v>
      </c>
      <c r="F4445" s="9" t="str">
        <f>IFERROR(__xludf.DUMMYFUNCTION("GOOGLETRANSLATE($A4445,""en"",""it"")"),"Baia")</f>
        <v>Baia</v>
      </c>
      <c r="G4445" s="9" t="str">
        <f>IFERROR(__xludf.DUMMYFUNCTION("GOOGLETRANSLATE($A4445,""en"",""zh-cn"")"),"湾")</f>
        <v>湾</v>
      </c>
      <c r="H4445" s="9" t="str">
        <f>IFERROR(__xludf.DUMMYFUNCTION("GOOGLETRANSLATE($A4445,""en"",""ja"")"),"ベイ")</f>
        <v>ベイ</v>
      </c>
      <c r="I4445" s="9" t="str">
        <f>IFERROR(__xludf.DUMMYFUNCTION("GOOGLETRANSLATE($A4445,""en"",""ko"")"),"만")</f>
        <v>만</v>
      </c>
      <c r="J4445" s="9" t="str">
        <f>IFERROR(__xludf.DUMMYFUNCTION("GOOGLETRANSLATE($A4445,""en"",""pt-BR"")"),"Baía")</f>
        <v>Baía</v>
      </c>
    </row>
    <row r="4446">
      <c r="A4446" s="9" t="str">
        <f>IFERROR(__xludf.DUMMYFUNCTION("""COMPUTED_VALUE"""),"Woqooyi Galbeed")</f>
        <v>Woqooyi Galbeed</v>
      </c>
      <c r="B4446" s="9" t="str">
        <f>IFERROR(__xludf.DUMMYFUNCTION("""COMPUTED_VALUE"""),"so-wo")</f>
        <v>so-wo</v>
      </c>
      <c r="C4446" s="9" t="str">
        <f>IFERROR(__xludf.DUMMYFUNCTION("GOOGLETRANSLATE($A4446,""en"",""de"")"),"Woqooyi Galbeed")</f>
        <v>Woqooyi Galbeed</v>
      </c>
      <c r="D4446" s="9" t="str">
        <f>IFERROR(__xludf.DUMMYFUNCTION("GOOGLETRANSLATE($A4446,""en"",""fr"")"),"Woqooyi Galbeed")</f>
        <v>Woqooyi Galbeed</v>
      </c>
      <c r="E4446" s="9" t="str">
        <f>IFERROR(__xludf.DUMMYFUNCTION("GOOGLETRANSLATE($A4446,""en"",""es"")"),"Woqooyi Galbeed")</f>
        <v>Woqooyi Galbeed</v>
      </c>
      <c r="F4446" s="9" t="str">
        <f>IFERROR(__xludf.DUMMYFUNCTION("GOOGLETRANSLATE($A4446,""en"",""it"")"),"Woqooyi Galbeed")</f>
        <v>Woqooyi Galbeed</v>
      </c>
      <c r="G4446" s="9" t="str">
        <f>IFERROR(__xludf.DUMMYFUNCTION("GOOGLETRANSLATE($A4446,""en"",""zh-cn"")"),"沃库伊·加尔贝德")</f>
        <v>沃库伊·加尔贝德</v>
      </c>
      <c r="H4446" s="9" t="str">
        <f>IFERROR(__xludf.DUMMYFUNCTION("GOOGLETRANSLATE($A4446,""en"",""ja"")"),"ウークーイー・ガルビード")</f>
        <v>ウークーイー・ガルビード</v>
      </c>
      <c r="I4446" s="9" t="str">
        <f>IFERROR(__xludf.DUMMYFUNCTION("GOOGLETRANSLATE($A4446,""en"",""ko"")"),"워쿠이 갈비드")</f>
        <v>워쿠이 갈비드</v>
      </c>
      <c r="J4446" s="9" t="str">
        <f>IFERROR(__xludf.DUMMYFUNCTION("GOOGLETRANSLATE($A4446,""en"",""pt-BR"")"),"Woqooyi Galbeed")</f>
        <v>Woqooyi Galbeed</v>
      </c>
    </row>
    <row r="4447">
      <c r="A4447" s="9" t="str">
        <f>IFERROR(__xludf.DUMMYFUNCTION("""COMPUTED_VALUE"""),"Shabeellaha Hoose")</f>
        <v>Shabeellaha Hoose</v>
      </c>
      <c r="B4447" s="9" t="str">
        <f>IFERROR(__xludf.DUMMYFUNCTION("""COMPUTED_VALUE"""),"so-sh")</f>
        <v>so-sh</v>
      </c>
      <c r="C4447" s="9" t="str">
        <f>IFERROR(__xludf.DUMMYFUNCTION("GOOGLETRANSLATE($A4447,""en"",""de"")"),"Shabeellaha Hoose")</f>
        <v>Shabeellaha Hoose</v>
      </c>
      <c r="D4447" s="9" t="str">
        <f>IFERROR(__xludf.DUMMYFUNCTION("GOOGLETRANSLATE($A4447,""en"",""fr"")"),"Shabeellaha Hoose")</f>
        <v>Shabeellaha Hoose</v>
      </c>
      <c r="E4447" s="9" t="str">
        <f>IFERROR(__xludf.DUMMYFUNCTION("GOOGLETRANSLATE($A4447,""en"",""es"")"),"Shabeellaha Hoose")</f>
        <v>Shabeellaha Hoose</v>
      </c>
      <c r="F4447" s="9" t="str">
        <f>IFERROR(__xludf.DUMMYFUNCTION("GOOGLETRANSLATE($A4447,""en"",""it"")"),"Shabeellaha Hoose")</f>
        <v>Shabeellaha Hoose</v>
      </c>
      <c r="G4447" s="9" t="str">
        <f>IFERROR(__xludf.DUMMYFUNCTION("GOOGLETRANSLATE($A4447,""en"",""zh-cn"")"),"沙贝拉哈·胡斯")</f>
        <v>沙贝拉哈·胡斯</v>
      </c>
      <c r="H4447" s="9" t="str">
        <f>IFERROR(__xludf.DUMMYFUNCTION("GOOGLETRANSLATE($A4447,""en"",""ja"")"),"シャビーラハ・ホース")</f>
        <v>シャビーラハ・ホース</v>
      </c>
      <c r="I4447" s="9" t="str">
        <f>IFERROR(__xludf.DUMMYFUNCTION("GOOGLETRANSLATE($A4447,""en"",""ko"")"),"샤빌라하 후스")</f>
        <v>샤빌라하 후스</v>
      </c>
      <c r="J4447" s="9" t="str">
        <f>IFERROR(__xludf.DUMMYFUNCTION("GOOGLETRANSLATE($A4447,""en"",""pt-BR"")"),"Shabeellaha Hoose")</f>
        <v>Shabeellaha Hoose</v>
      </c>
    </row>
    <row r="4448">
      <c r="A4448" s="9" t="str">
        <f>IFERROR(__xludf.DUMMYFUNCTION("""COMPUTED_VALUE"""),"Sanaag")</f>
        <v>Sanaag</v>
      </c>
      <c r="B4448" s="9" t="str">
        <f>IFERROR(__xludf.DUMMYFUNCTION("""COMPUTED_VALUE"""),"so-sa")</f>
        <v>so-sa</v>
      </c>
      <c r="C4448" s="9" t="str">
        <f>IFERROR(__xludf.DUMMYFUNCTION("GOOGLETRANSLATE($A4448,""en"",""de"")"),"Sanaag")</f>
        <v>Sanaag</v>
      </c>
      <c r="D4448" s="9" t="str">
        <f>IFERROR(__xludf.DUMMYFUNCTION("GOOGLETRANSLATE($A4448,""en"",""fr"")"),"Sanaag")</f>
        <v>Sanaag</v>
      </c>
      <c r="E4448" s="9" t="str">
        <f>IFERROR(__xludf.DUMMYFUNCTION("GOOGLETRANSLATE($A4448,""en"",""es"")"),"Sanaag")</f>
        <v>Sanaag</v>
      </c>
      <c r="F4448" s="9" t="str">
        <f>IFERROR(__xludf.DUMMYFUNCTION("GOOGLETRANSLATE($A4448,""en"",""it"")"),"Sanag")</f>
        <v>Sanag</v>
      </c>
      <c r="G4448" s="9" t="str">
        <f>IFERROR(__xludf.DUMMYFUNCTION("GOOGLETRANSLATE($A4448,""en"",""zh-cn"")"),"萨纳格")</f>
        <v>萨纳格</v>
      </c>
      <c r="H4448" s="9" t="str">
        <f>IFERROR(__xludf.DUMMYFUNCTION("GOOGLETRANSLATE($A4448,""en"",""ja"")"),"サナグ")</f>
        <v>サナグ</v>
      </c>
      <c r="I4448" s="9" t="str">
        <f>IFERROR(__xludf.DUMMYFUNCTION("GOOGLETRANSLATE($A4448,""en"",""ko"")"),"사나그")</f>
        <v>사나그</v>
      </c>
      <c r="J4448" s="9" t="str">
        <f>IFERROR(__xludf.DUMMYFUNCTION("GOOGLETRANSLATE($A4448,""en"",""pt-BR"")"),"Sanaag")</f>
        <v>Sanaag</v>
      </c>
    </row>
    <row r="4449">
      <c r="A4449" s="9" t="str">
        <f>IFERROR(__xludf.DUMMYFUNCTION("""COMPUTED_VALUE"""),"Bakool")</f>
        <v>Bakool</v>
      </c>
      <c r="B4449" s="9" t="str">
        <f>IFERROR(__xludf.DUMMYFUNCTION("""COMPUTED_VALUE"""),"so-bk")</f>
        <v>so-bk</v>
      </c>
      <c r="C4449" s="9" t="str">
        <f>IFERROR(__xludf.DUMMYFUNCTION("GOOGLETRANSLATE($A4449,""en"",""de"")"),"Bakool")</f>
        <v>Bakool</v>
      </c>
      <c r="D4449" s="9" t="str">
        <f>IFERROR(__xludf.DUMMYFUNCTION("GOOGLETRANSLATE($A4449,""en"",""fr"")"),"Bakool")</f>
        <v>Bakool</v>
      </c>
      <c r="E4449" s="9" t="str">
        <f>IFERROR(__xludf.DUMMYFUNCTION("GOOGLETRANSLATE($A4449,""en"",""es"")"),"bakool")</f>
        <v>bakool</v>
      </c>
      <c r="F4449" s="9" t="str">
        <f>IFERROR(__xludf.DUMMYFUNCTION("GOOGLETRANSLATE($A4449,""en"",""it"")"),"Bakool")</f>
        <v>Bakool</v>
      </c>
      <c r="G4449" s="9" t="str">
        <f>IFERROR(__xludf.DUMMYFUNCTION("GOOGLETRANSLATE($A4449,""en"",""zh-cn"")"),"巴科勒")</f>
        <v>巴科勒</v>
      </c>
      <c r="H4449" s="9" t="str">
        <f>IFERROR(__xludf.DUMMYFUNCTION("GOOGLETRANSLATE($A4449,""en"",""ja"")"),"バクール")</f>
        <v>バクール</v>
      </c>
      <c r="I4449" s="9" t="str">
        <f>IFERROR(__xludf.DUMMYFUNCTION("GOOGLETRANSLATE($A4449,""en"",""ko"")"),"바쿨")</f>
        <v>바쿨</v>
      </c>
      <c r="J4449" s="9" t="str">
        <f>IFERROR(__xludf.DUMMYFUNCTION("GOOGLETRANSLATE($A4449,""en"",""pt-BR"")"),"Bakool")</f>
        <v>Bakool</v>
      </c>
    </row>
    <row r="4450">
      <c r="A4450" s="9" t="str">
        <f>IFERROR(__xludf.DUMMYFUNCTION("""COMPUTED_VALUE"""),"Nugaal")</f>
        <v>Nugaal</v>
      </c>
      <c r="B4450" s="9" t="str">
        <f>IFERROR(__xludf.DUMMYFUNCTION("""COMPUTED_VALUE"""),"so-nu")</f>
        <v>so-nu</v>
      </c>
      <c r="C4450" s="9" t="str">
        <f>IFERROR(__xludf.DUMMYFUNCTION("GOOGLETRANSLATE($A4450,""en"",""de"")"),"Nugaal")</f>
        <v>Nugaal</v>
      </c>
      <c r="D4450" s="9" t="str">
        <f>IFERROR(__xludf.DUMMYFUNCTION("GOOGLETRANSLATE($A4450,""en"",""fr"")"),"Nugaal")</f>
        <v>Nugaal</v>
      </c>
      <c r="E4450" s="9" t="str">
        <f>IFERROR(__xludf.DUMMYFUNCTION("GOOGLETRANSLATE($A4450,""en"",""es"")"),"Nugaal")</f>
        <v>Nugaal</v>
      </c>
      <c r="F4450" s="9" t="str">
        <f>IFERROR(__xludf.DUMMYFUNCTION("GOOGLETRANSLATE($A4450,""en"",""it"")"),"Nugaal")</f>
        <v>Nugaal</v>
      </c>
      <c r="G4450" s="9" t="str">
        <f>IFERROR(__xludf.DUMMYFUNCTION("GOOGLETRANSLATE($A4450,""en"",""zh-cn"")"),"努加尔")</f>
        <v>努加尔</v>
      </c>
      <c r="H4450" s="9" t="str">
        <f>IFERROR(__xludf.DUMMYFUNCTION("GOOGLETRANSLATE($A4450,""en"",""ja"")"),"ヌガール")</f>
        <v>ヌガール</v>
      </c>
      <c r="I4450" s="9" t="str">
        <f>IFERROR(__xludf.DUMMYFUNCTION("GOOGLETRANSLATE($A4450,""en"",""ko"")"),"누가알")</f>
        <v>누가알</v>
      </c>
      <c r="J4450" s="9" t="str">
        <f>IFERROR(__xludf.DUMMYFUNCTION("GOOGLETRANSLATE($A4450,""en"",""pt-BR"")"),"Nugaal")</f>
        <v>Nugaal</v>
      </c>
    </row>
    <row r="4451">
      <c r="A4451" s="9" t="str">
        <f>IFERROR(__xludf.DUMMYFUNCTION("""COMPUTED_VALUE"""),"Hiiraan")</f>
        <v>Hiiraan</v>
      </c>
      <c r="B4451" s="9" t="str">
        <f>IFERROR(__xludf.DUMMYFUNCTION("""COMPUTED_VALUE"""),"so-hi")</f>
        <v>so-hi</v>
      </c>
      <c r="C4451" s="9" t="str">
        <f>IFERROR(__xludf.DUMMYFUNCTION("GOOGLETRANSLATE($A4451,""en"",""de"")"),"Hiiraan")</f>
        <v>Hiiraan</v>
      </c>
      <c r="D4451" s="9" t="str">
        <f>IFERROR(__xludf.DUMMYFUNCTION("GOOGLETRANSLATE($A4451,""en"",""fr"")"),"Hiiraan")</f>
        <v>Hiiraan</v>
      </c>
      <c r="E4451" s="9" t="str">
        <f>IFERROR(__xludf.DUMMYFUNCTION("GOOGLETRANSLATE($A4451,""en"",""es"")"),"Hiiraan")</f>
        <v>Hiiraan</v>
      </c>
      <c r="F4451" s="9" t="str">
        <f>IFERROR(__xludf.DUMMYFUNCTION("GOOGLETRANSLATE($A4451,""en"",""it"")"),"Hiiraan")</f>
        <v>Hiiraan</v>
      </c>
      <c r="G4451" s="9" t="str">
        <f>IFERROR(__xludf.DUMMYFUNCTION("GOOGLETRANSLATE($A4451,""en"",""zh-cn"")"),"希兰")</f>
        <v>希兰</v>
      </c>
      <c r="H4451" s="9" t="str">
        <f>IFERROR(__xludf.DUMMYFUNCTION("GOOGLETRANSLATE($A4451,""en"",""ja"")"),"ヒイラン")</f>
        <v>ヒイラン</v>
      </c>
      <c r="I4451" s="9" t="str">
        <f>IFERROR(__xludf.DUMMYFUNCTION("GOOGLETRANSLATE($A4451,""en"",""ko"")"),"히이란")</f>
        <v>히이란</v>
      </c>
      <c r="J4451" s="9" t="str">
        <f>IFERROR(__xludf.DUMMYFUNCTION("GOOGLETRANSLATE($A4451,""en"",""pt-BR"")"),"Hiiraan")</f>
        <v>Hiiraan</v>
      </c>
    </row>
    <row r="4452">
      <c r="A4452" s="9" t="str">
        <f>IFERROR(__xludf.DUMMYFUNCTION("""COMPUTED_VALUE"""),"Gedo")</f>
        <v>Gedo</v>
      </c>
      <c r="B4452" s="9" t="str">
        <f>IFERROR(__xludf.DUMMYFUNCTION("""COMPUTED_VALUE"""),"so-ge")</f>
        <v>so-ge</v>
      </c>
      <c r="C4452" s="9" t="str">
        <f>IFERROR(__xludf.DUMMYFUNCTION("GOOGLETRANSLATE($A4452,""en"",""de"")"),"Gedo")</f>
        <v>Gedo</v>
      </c>
      <c r="D4452" s="9" t="str">
        <f>IFERROR(__xludf.DUMMYFUNCTION("GOOGLETRANSLATE($A4452,""en"",""fr"")"),"Gédo")</f>
        <v>Gédo</v>
      </c>
      <c r="E4452" s="9" t="str">
        <f>IFERROR(__xludf.DUMMYFUNCTION("GOOGLETRANSLATE($A4452,""en"",""es"")"),"Gedo")</f>
        <v>Gedo</v>
      </c>
      <c r="F4452" s="9" t="str">
        <f>IFERROR(__xludf.DUMMYFUNCTION("GOOGLETRANSLATE($A4452,""en"",""it"")"),"Gedo")</f>
        <v>Gedo</v>
      </c>
      <c r="G4452" s="9" t="str">
        <f>IFERROR(__xludf.DUMMYFUNCTION("GOOGLETRANSLATE($A4452,""en"",""zh-cn"")"),"盖多")</f>
        <v>盖多</v>
      </c>
      <c r="H4452" s="9" t="str">
        <f>IFERROR(__xludf.DUMMYFUNCTION("GOOGLETRANSLATE($A4452,""en"",""ja"")"),"外道")</f>
        <v>外道</v>
      </c>
      <c r="I4452" s="9" t="str">
        <f>IFERROR(__xludf.DUMMYFUNCTION("GOOGLETRANSLATE($A4452,""en"",""ko"")"),"게도")</f>
        <v>게도</v>
      </c>
      <c r="J4452" s="9" t="str">
        <f>IFERROR(__xludf.DUMMYFUNCTION("GOOGLETRANSLATE($A4452,""en"",""pt-BR"")"),"Gedo")</f>
        <v>Gedo</v>
      </c>
    </row>
    <row r="4453">
      <c r="A4453" s="9" t="str">
        <f>IFERROR(__xludf.DUMMYFUNCTION("""COMPUTED_VALUE"""),"Galguduud")</f>
        <v>Galguduud</v>
      </c>
      <c r="B4453" s="9" t="str">
        <f>IFERROR(__xludf.DUMMYFUNCTION("""COMPUTED_VALUE"""),"so-ga")</f>
        <v>so-ga</v>
      </c>
      <c r="C4453" s="9" t="str">
        <f>IFERROR(__xludf.DUMMYFUNCTION("GOOGLETRANSLATE($A4453,""en"",""de"")"),"Galguduud")</f>
        <v>Galguduud</v>
      </c>
      <c r="D4453" s="9" t="str">
        <f>IFERROR(__xludf.DUMMYFUNCTION("GOOGLETRANSLATE($A4453,""en"",""fr"")"),"Galguduud")</f>
        <v>Galguduud</v>
      </c>
      <c r="E4453" s="9" t="str">
        <f>IFERROR(__xludf.DUMMYFUNCTION("GOOGLETRANSLATE($A4453,""en"",""es"")"),"Galguduud")</f>
        <v>Galguduud</v>
      </c>
      <c r="F4453" s="9" t="str">
        <f>IFERROR(__xludf.DUMMYFUNCTION("GOOGLETRANSLATE($A4453,""en"",""it"")"),"Galguduud")</f>
        <v>Galguduud</v>
      </c>
      <c r="G4453" s="9" t="str">
        <f>IFERROR(__xludf.DUMMYFUNCTION("GOOGLETRANSLATE($A4453,""en"",""zh-cn"")"),"加尔古杜德")</f>
        <v>加尔古杜德</v>
      </c>
      <c r="H4453" s="9" t="str">
        <f>IFERROR(__xludf.DUMMYFUNCTION("GOOGLETRANSLATE($A4453,""en"",""ja"")"),"ガルグドゥード")</f>
        <v>ガルグドゥード</v>
      </c>
      <c r="I4453" s="9" t="str">
        <f>IFERROR(__xludf.DUMMYFUNCTION("GOOGLETRANSLATE($A4453,""en"",""ko"")"),"갈구두드")</f>
        <v>갈구두드</v>
      </c>
      <c r="J4453" s="9" t="str">
        <f>IFERROR(__xludf.DUMMYFUNCTION("GOOGLETRANSLATE($A4453,""en"",""pt-BR"")"),"Galguduud")</f>
        <v>Galguduud</v>
      </c>
    </row>
    <row r="4454">
      <c r="A4454" s="9" t="str">
        <f>IFERROR(__xludf.DUMMYFUNCTION("""COMPUTED_VALUE"""),"Sool")</f>
        <v>Sool</v>
      </c>
      <c r="B4454" s="9" t="str">
        <f>IFERROR(__xludf.DUMMYFUNCTION("""COMPUTED_VALUE"""),"so-so")</f>
        <v>so-so</v>
      </c>
      <c r="C4454" s="9" t="str">
        <f>IFERROR(__xludf.DUMMYFUNCTION("GOOGLETRANSLATE($A4454,""en"",""de"")"),"Sool")</f>
        <v>Sool</v>
      </c>
      <c r="D4454" s="9" t="str">
        <f>IFERROR(__xludf.DUMMYFUNCTION("GOOGLETRANSLATE($A4454,""en"",""fr"")"),"Sol")</f>
        <v>Sol</v>
      </c>
      <c r="E4454" s="9" t="str">
        <f>IFERROR(__xludf.DUMMYFUNCTION("GOOGLETRANSLATE($A4454,""en"",""es"")"),"sol")</f>
        <v>sol</v>
      </c>
      <c r="F4454" s="9" t="str">
        <f>IFERROR(__xludf.DUMMYFUNCTION("GOOGLETRANSLATE($A4454,""en"",""it"")"),"Sool")</f>
        <v>Sool</v>
      </c>
      <c r="G4454" s="9" t="str">
        <f>IFERROR(__xludf.DUMMYFUNCTION("GOOGLETRANSLATE($A4454,""en"",""zh-cn"")"),"苏尔")</f>
        <v>苏尔</v>
      </c>
      <c r="H4454" s="9" t="str">
        <f>IFERROR(__xludf.DUMMYFUNCTION("GOOGLETRANSLATE($A4454,""en"",""ja"")"),"ソウル")</f>
        <v>ソウル</v>
      </c>
      <c r="I4454" s="9" t="str">
        <f>IFERROR(__xludf.DUMMYFUNCTION("GOOGLETRANSLATE($A4454,""en"",""ko"")"),"솔")</f>
        <v>솔</v>
      </c>
      <c r="J4454" s="9" t="str">
        <f>IFERROR(__xludf.DUMMYFUNCTION("GOOGLETRANSLATE($A4454,""en"",""pt-BR"")"),"Solo")</f>
        <v>Solo</v>
      </c>
    </row>
    <row r="4455">
      <c r="A4455" s="9" t="str">
        <f>IFERROR(__xludf.DUMMYFUNCTION("""COMPUTED_VALUE"""),"Western Cape")</f>
        <v>Western Cape</v>
      </c>
      <c r="B4455" s="9" t="str">
        <f>IFERROR(__xludf.DUMMYFUNCTION("""COMPUTED_VALUE"""),"za-wc")</f>
        <v>za-wc</v>
      </c>
      <c r="C4455" s="9" t="str">
        <f>IFERROR(__xludf.DUMMYFUNCTION("GOOGLETRANSLATE($A4455,""en"",""de"")"),"Westkap")</f>
        <v>Westkap</v>
      </c>
      <c r="D4455" s="9" t="str">
        <f>IFERROR(__xludf.DUMMYFUNCTION("GOOGLETRANSLATE($A4455,""en"",""fr"")"),"Cap occidental")</f>
        <v>Cap occidental</v>
      </c>
      <c r="E4455" s="9" t="str">
        <f>IFERROR(__xludf.DUMMYFUNCTION("GOOGLETRANSLATE($A4455,""en"",""es"")"),"Cabo Occidental")</f>
        <v>Cabo Occidental</v>
      </c>
      <c r="F4455" s="9" t="str">
        <f>IFERROR(__xludf.DUMMYFUNCTION("GOOGLETRANSLATE($A4455,""en"",""it"")"),"Capo Occidentale")</f>
        <v>Capo Occidentale</v>
      </c>
      <c r="G4455" s="9" t="str">
        <f>IFERROR(__xludf.DUMMYFUNCTION("GOOGLETRANSLATE($A4455,""en"",""zh-cn"")"),"西开普省")</f>
        <v>西开普省</v>
      </c>
      <c r="H4455" s="9" t="str">
        <f>IFERROR(__xludf.DUMMYFUNCTION("GOOGLETRANSLATE($A4455,""en"",""ja"")"),"西ケープ州")</f>
        <v>西ケープ州</v>
      </c>
      <c r="I4455" s="9" t="str">
        <f>IFERROR(__xludf.DUMMYFUNCTION("GOOGLETRANSLATE($A4455,""en"",""ko"")"),"웨스턴케이프")</f>
        <v>웨스턴케이프</v>
      </c>
      <c r="J4455" s="9" t="str">
        <f>IFERROR(__xludf.DUMMYFUNCTION("GOOGLETRANSLATE($A4455,""en"",""pt-BR"")"),"Cabo Ocidental")</f>
        <v>Cabo Ocidental</v>
      </c>
    </row>
    <row r="4456">
      <c r="A4456" s="9" t="str">
        <f>IFERROR(__xludf.DUMMYFUNCTION("""COMPUTED_VALUE"""),"KwaZulu-Natal (ZA-NL)")</f>
        <v>KwaZulu-Natal (ZA-NL)</v>
      </c>
      <c r="B4456" s="9" t="str">
        <f>IFERROR(__xludf.DUMMYFUNCTION("""COMPUTED_VALUE"""),"za-nl")</f>
        <v>za-nl</v>
      </c>
      <c r="C4456" s="9" t="str">
        <f>IFERROR(__xludf.DUMMYFUNCTION("GOOGLETRANSLATE($A4456,""en"",""de"")"),"KwaZulu-Natal (ZA-NL)")</f>
        <v>KwaZulu-Natal (ZA-NL)</v>
      </c>
      <c r="D4456" s="9" t="str">
        <f>IFERROR(__xludf.DUMMYFUNCTION("GOOGLETRANSLATE($A4456,""en"",""fr"")"),"KwaZulu-Natal (ZA-NL)")</f>
        <v>KwaZulu-Natal (ZA-NL)</v>
      </c>
      <c r="E4456" s="9" t="str">
        <f>IFERROR(__xludf.DUMMYFUNCTION("GOOGLETRANSLATE($A4456,""en"",""es"")"),"KwaZulu-Natal (ZA-NL)")</f>
        <v>KwaZulu-Natal (ZA-NL)</v>
      </c>
      <c r="F4456" s="9" t="str">
        <f>IFERROR(__xludf.DUMMYFUNCTION("GOOGLETRANSLATE($A4456,""en"",""it"")"),"KwaZulu-Natal (ZA-NL)")</f>
        <v>KwaZulu-Natal (ZA-NL)</v>
      </c>
      <c r="G4456" s="9" t="str">
        <f>IFERROR(__xludf.DUMMYFUNCTION("GOOGLETRANSLATE($A4456,""en"",""zh-cn"")"),"夸祖鲁纳塔尔 (ZA-NL)")</f>
        <v>夸祖鲁纳塔尔 (ZA-NL)</v>
      </c>
      <c r="H4456" s="9" t="str">
        <f>IFERROR(__xludf.DUMMYFUNCTION("GOOGLETRANSLATE($A4456,""en"",""ja"")"),"クワズール ナタール (ZA-NL)")</f>
        <v>クワズール ナタール (ZA-NL)</v>
      </c>
      <c r="I4456" s="9" t="str">
        <f>IFERROR(__xludf.DUMMYFUNCTION("GOOGLETRANSLATE($A4456,""en"",""ko"")"),"크와줄루나탈(ZA-NL)")</f>
        <v>크와줄루나탈(ZA-NL)</v>
      </c>
      <c r="J4456" s="9" t="str">
        <f>IFERROR(__xludf.DUMMYFUNCTION("GOOGLETRANSLATE($A4456,""en"",""pt-BR"")"),"KwaZulu-Natal (ZA-NL)")</f>
        <v>KwaZulu-Natal (ZA-NL)</v>
      </c>
    </row>
    <row r="4457">
      <c r="A4457" s="9" t="str">
        <f>IFERROR(__xludf.DUMMYFUNCTION("""COMPUTED_VALUE"""),"North-West (ZA)")</f>
        <v>North-West (ZA)</v>
      </c>
      <c r="B4457" s="9" t="str">
        <f>IFERROR(__xludf.DUMMYFUNCTION("""COMPUTED_VALUE"""),"za-nw")</f>
        <v>za-nw</v>
      </c>
      <c r="C4457" s="9" t="str">
        <f>IFERROR(__xludf.DUMMYFUNCTION("GOOGLETRANSLATE($A4457,""en"",""de"")"),"Nordwesten (ZA)")</f>
        <v>Nordwesten (ZA)</v>
      </c>
      <c r="D4457" s="9" t="str">
        <f>IFERROR(__xludf.DUMMYFUNCTION("GOOGLETRANSLATE($A4457,""en"",""fr"")"),"Nord-Ouest (ZA)")</f>
        <v>Nord-Ouest (ZA)</v>
      </c>
      <c r="E4457" s="9" t="str">
        <f>IFERROR(__xludf.DUMMYFUNCTION("GOOGLETRANSLATE($A4457,""en"",""es"")"),"Noroeste (ZA)")</f>
        <v>Noroeste (ZA)</v>
      </c>
      <c r="F4457" s="9" t="str">
        <f>IFERROR(__xludf.DUMMYFUNCTION("GOOGLETRANSLATE($A4457,""en"",""it"")"),"Nord-Ovest (ZA)")</f>
        <v>Nord-Ovest (ZA)</v>
      </c>
      <c r="G4457" s="9" t="str">
        <f>IFERROR(__xludf.DUMMYFUNCTION("GOOGLETRANSLATE($A4457,""en"",""zh-cn"")"),"西北 (ZA)")</f>
        <v>西北 (ZA)</v>
      </c>
      <c r="H4457" s="9" t="str">
        <f>IFERROR(__xludf.DUMMYFUNCTION("GOOGLETRANSLATE($A4457,""en"",""ja"")"),"ノースウェスト (ZA)")</f>
        <v>ノースウェスト (ZA)</v>
      </c>
      <c r="I4457" s="9" t="str">
        <f>IFERROR(__xludf.DUMMYFUNCTION("GOOGLETRANSLATE($A4457,""en"",""ko"")"),"북서부(ZA)")</f>
        <v>북서부(ZA)</v>
      </c>
      <c r="J4457" s="9" t="str">
        <f>IFERROR(__xludf.DUMMYFUNCTION("GOOGLETRANSLATE($A4457,""en"",""pt-BR"")"),"Noroeste (ZA)")</f>
        <v>Noroeste (ZA)</v>
      </c>
    </row>
    <row r="4458">
      <c r="A4458" s="9" t="str">
        <f>IFERROR(__xludf.DUMMYFUNCTION("""COMPUTED_VALUE"""),"Mpumalanga")</f>
        <v>Mpumalanga</v>
      </c>
      <c r="B4458" s="9" t="str">
        <f>IFERROR(__xludf.DUMMYFUNCTION("""COMPUTED_VALUE"""),"za-mp")</f>
        <v>za-mp</v>
      </c>
      <c r="C4458" s="9" t="str">
        <f>IFERROR(__xludf.DUMMYFUNCTION("GOOGLETRANSLATE($A4458,""en"",""de"")"),"Mpumalanga")</f>
        <v>Mpumalanga</v>
      </c>
      <c r="D4458" s="9" t="str">
        <f>IFERROR(__xludf.DUMMYFUNCTION("GOOGLETRANSLATE($A4458,""en"",""fr"")"),"Mpumalanga")</f>
        <v>Mpumalanga</v>
      </c>
      <c r="E4458" s="9" t="str">
        <f>IFERROR(__xludf.DUMMYFUNCTION("GOOGLETRANSLATE($A4458,""en"",""es"")"),"Mpumalanga")</f>
        <v>Mpumalanga</v>
      </c>
      <c r="F4458" s="9" t="str">
        <f>IFERROR(__xludf.DUMMYFUNCTION("GOOGLETRANSLATE($A4458,""en"",""it"")"),"Mpumalanga")</f>
        <v>Mpumalanga</v>
      </c>
      <c r="G4458" s="9" t="str">
        <f>IFERROR(__xludf.DUMMYFUNCTION("GOOGLETRANSLATE($A4458,""en"",""zh-cn"")"),"普马兰加省")</f>
        <v>普马兰加省</v>
      </c>
      <c r="H4458" s="9" t="str">
        <f>IFERROR(__xludf.DUMMYFUNCTION("GOOGLETRANSLATE($A4458,""en"",""ja"")"),"ムプマランガ")</f>
        <v>ムプマランガ</v>
      </c>
      <c r="I4458" s="9" t="str">
        <f>IFERROR(__xludf.DUMMYFUNCTION("GOOGLETRANSLATE($A4458,""en"",""ko"")"),"음푸말랑가")</f>
        <v>음푸말랑가</v>
      </c>
      <c r="J4458" s="9" t="str">
        <f>IFERROR(__xludf.DUMMYFUNCTION("GOOGLETRANSLATE($A4458,""en"",""pt-BR"")"),"Mpumalanga")</f>
        <v>Mpumalanga</v>
      </c>
    </row>
    <row r="4459">
      <c r="A4459" s="9" t="str">
        <f>IFERROR(__xludf.DUMMYFUNCTION("""COMPUTED_VALUE"""),"Northern Cape")</f>
        <v>Northern Cape</v>
      </c>
      <c r="B4459" s="9" t="str">
        <f>IFERROR(__xludf.DUMMYFUNCTION("""COMPUTED_VALUE"""),"za-nc")</f>
        <v>za-nc</v>
      </c>
      <c r="C4459" s="9" t="str">
        <f>IFERROR(__xludf.DUMMYFUNCTION("GOOGLETRANSLATE($A4459,""en"",""de"")"),"Nordkap")</f>
        <v>Nordkap</v>
      </c>
      <c r="D4459" s="9" t="str">
        <f>IFERROR(__xludf.DUMMYFUNCTION("GOOGLETRANSLATE($A4459,""en"",""fr"")"),"Cap Nord")</f>
        <v>Cap Nord</v>
      </c>
      <c r="E4459" s="9" t="str">
        <f>IFERROR(__xludf.DUMMYFUNCTION("GOOGLETRANSLATE($A4459,""en"",""es"")"),"Cabo Norte")</f>
        <v>Cabo Norte</v>
      </c>
      <c r="F4459" s="9" t="str">
        <f>IFERROR(__xludf.DUMMYFUNCTION("GOOGLETRANSLATE($A4459,""en"",""it"")"),"Capo Nord")</f>
        <v>Capo Nord</v>
      </c>
      <c r="G4459" s="9" t="str">
        <f>IFERROR(__xludf.DUMMYFUNCTION("GOOGLETRANSLATE($A4459,""en"",""zh-cn"")"),"北开普省")</f>
        <v>北开普省</v>
      </c>
      <c r="H4459" s="9" t="str">
        <f>IFERROR(__xludf.DUMMYFUNCTION("GOOGLETRANSLATE($A4459,""en"",""ja"")"),"北ケープ")</f>
        <v>北ケープ</v>
      </c>
      <c r="I4459" s="9" t="str">
        <f>IFERROR(__xludf.DUMMYFUNCTION("GOOGLETRANSLATE($A4459,""en"",""ko"")"),"노던케이프")</f>
        <v>노던케이프</v>
      </c>
      <c r="J4459" s="9" t="str">
        <f>IFERROR(__xludf.DUMMYFUNCTION("GOOGLETRANSLATE($A4459,""en"",""pt-BR"")"),"Cabo Norte")</f>
        <v>Cabo Norte</v>
      </c>
    </row>
    <row r="4460">
      <c r="A4460" s="9" t="str">
        <f>IFERROR(__xludf.DUMMYFUNCTION("""COMPUTED_VALUE"""),"Gauteng (ZA-GT)")</f>
        <v>Gauteng (ZA-GT)</v>
      </c>
      <c r="B4460" s="9" t="str">
        <f>IFERROR(__xludf.DUMMYFUNCTION("""COMPUTED_VALUE"""),"za-gt")</f>
        <v>za-gt</v>
      </c>
      <c r="C4460" s="9" t="str">
        <f>IFERROR(__xludf.DUMMYFUNCTION("GOOGLETRANSLATE($A4460,""en"",""de"")"),"Gauteng (ZA-GT)")</f>
        <v>Gauteng (ZA-GT)</v>
      </c>
      <c r="D4460" s="9" t="str">
        <f>IFERROR(__xludf.DUMMYFUNCTION("GOOGLETRANSLATE($A4460,""en"",""fr"")"),"Gauteng (ZA-GT)")</f>
        <v>Gauteng (ZA-GT)</v>
      </c>
      <c r="E4460" s="9" t="str">
        <f>IFERROR(__xludf.DUMMYFUNCTION("GOOGLETRANSLATE($A4460,""en"",""es"")"),"Gauteng (ZA-GT)")</f>
        <v>Gauteng (ZA-GT)</v>
      </c>
      <c r="F4460" s="9" t="str">
        <f>IFERROR(__xludf.DUMMYFUNCTION("GOOGLETRANSLATE($A4460,""en"",""it"")"),"Gauteng (ZA-GT)")</f>
        <v>Gauteng (ZA-GT)</v>
      </c>
      <c r="G4460" s="9" t="str">
        <f>IFERROR(__xludf.DUMMYFUNCTION("GOOGLETRANSLATE($A4460,""en"",""zh-cn"")"),"豪登省 (ZA-GT)")</f>
        <v>豪登省 (ZA-GT)</v>
      </c>
      <c r="H4460" s="9" t="str">
        <f>IFERROR(__xludf.DUMMYFUNCTION("GOOGLETRANSLATE($A4460,""en"",""ja"")"),"ハウテン州 (ZA-GT)")</f>
        <v>ハウテン州 (ZA-GT)</v>
      </c>
      <c r="I4460" s="9" t="str">
        <f>IFERROR(__xludf.DUMMYFUNCTION("GOOGLETRANSLATE($A4460,""en"",""ko"")"),"가우텡 (ZA-GT)")</f>
        <v>가우텡 (ZA-GT)</v>
      </c>
      <c r="J4460" s="9" t="str">
        <f>IFERROR(__xludf.DUMMYFUNCTION("GOOGLETRANSLATE($A4460,""en"",""pt-BR"")"),"Gauteng (ZA-GT)")</f>
        <v>Gauteng (ZA-GT)</v>
      </c>
    </row>
    <row r="4461">
      <c r="A4461" s="9" t="str">
        <f>IFERROR(__xludf.DUMMYFUNCTION("""COMPUTED_VALUE"""),"Limpopo")</f>
        <v>Limpopo</v>
      </c>
      <c r="B4461" s="9" t="str">
        <f>IFERROR(__xludf.DUMMYFUNCTION("""COMPUTED_VALUE"""),"za-lp")</f>
        <v>za-lp</v>
      </c>
      <c r="C4461" s="9" t="str">
        <f>IFERROR(__xludf.DUMMYFUNCTION("GOOGLETRANSLATE($A4461,""en"",""de"")"),"Limpopo")</f>
        <v>Limpopo</v>
      </c>
      <c r="D4461" s="9" t="str">
        <f>IFERROR(__xludf.DUMMYFUNCTION("GOOGLETRANSLATE($A4461,""en"",""fr"")"),"Limpopo")</f>
        <v>Limpopo</v>
      </c>
      <c r="E4461" s="9" t="str">
        <f>IFERROR(__xludf.DUMMYFUNCTION("GOOGLETRANSLATE($A4461,""en"",""es"")"),"Limpopo")</f>
        <v>Limpopo</v>
      </c>
      <c r="F4461" s="9" t="str">
        <f>IFERROR(__xludf.DUMMYFUNCTION("GOOGLETRANSLATE($A4461,""en"",""it"")"),"Limpopo")</f>
        <v>Limpopo</v>
      </c>
      <c r="G4461" s="9" t="str">
        <f>IFERROR(__xludf.DUMMYFUNCTION("GOOGLETRANSLATE($A4461,""en"",""zh-cn"")"),"林波波省")</f>
        <v>林波波省</v>
      </c>
      <c r="H4461" s="9" t="str">
        <f>IFERROR(__xludf.DUMMYFUNCTION("GOOGLETRANSLATE($A4461,""en"",""ja"")"),"リンポポ")</f>
        <v>リンポポ</v>
      </c>
      <c r="I4461" s="9" t="str">
        <f>IFERROR(__xludf.DUMMYFUNCTION("GOOGLETRANSLATE($A4461,""en"",""ko"")"),"림포포")</f>
        <v>림포포</v>
      </c>
      <c r="J4461" s="9" t="str">
        <f>IFERROR(__xludf.DUMMYFUNCTION("GOOGLETRANSLATE($A4461,""en"",""pt-BR"")"),"Limpopo")</f>
        <v>Limpopo</v>
      </c>
    </row>
    <row r="4462">
      <c r="A4462" s="9" t="str">
        <f>IFERROR(__xludf.DUMMYFUNCTION("""COMPUTED_VALUE"""),"Eastern Cape")</f>
        <v>Eastern Cape</v>
      </c>
      <c r="B4462" s="9" t="str">
        <f>IFERROR(__xludf.DUMMYFUNCTION("""COMPUTED_VALUE"""),"za-ec")</f>
        <v>za-ec</v>
      </c>
      <c r="C4462" s="9" t="str">
        <f>IFERROR(__xludf.DUMMYFUNCTION("GOOGLETRANSLATE($A4462,""en"",""de"")"),"Ostkap")</f>
        <v>Ostkap</v>
      </c>
      <c r="D4462" s="9" t="str">
        <f>IFERROR(__xludf.DUMMYFUNCTION("GOOGLETRANSLATE($A4462,""en"",""fr"")"),"Cap oriental")</f>
        <v>Cap oriental</v>
      </c>
      <c r="E4462" s="9" t="str">
        <f>IFERROR(__xludf.DUMMYFUNCTION("GOOGLETRANSLATE($A4462,""en"",""es"")"),"Cabo Oriental")</f>
        <v>Cabo Oriental</v>
      </c>
      <c r="F4462" s="9" t="str">
        <f>IFERROR(__xludf.DUMMYFUNCTION("GOOGLETRANSLATE($A4462,""en"",""it"")"),"Capo Orientale")</f>
        <v>Capo Orientale</v>
      </c>
      <c r="G4462" s="9" t="str">
        <f>IFERROR(__xludf.DUMMYFUNCTION("GOOGLETRANSLATE($A4462,""en"",""zh-cn"")"),"东开普省")</f>
        <v>东开普省</v>
      </c>
      <c r="H4462" s="9" t="str">
        <f>IFERROR(__xludf.DUMMYFUNCTION("GOOGLETRANSLATE($A4462,""en"",""ja"")"),"東ケープ")</f>
        <v>東ケープ</v>
      </c>
      <c r="I4462" s="9" t="str">
        <f>IFERROR(__xludf.DUMMYFUNCTION("GOOGLETRANSLATE($A4462,""en"",""ko"")"),"이스턴 케이프")</f>
        <v>이스턴 케이프</v>
      </c>
      <c r="J4462" s="9" t="str">
        <f>IFERROR(__xludf.DUMMYFUNCTION("GOOGLETRANSLATE($A4462,""en"",""pt-BR"")"),"Cabo Oriental")</f>
        <v>Cabo Oriental</v>
      </c>
    </row>
    <row r="4463">
      <c r="A4463" s="9" t="str">
        <f>IFERROR(__xludf.DUMMYFUNCTION("""COMPUTED_VALUE"""),"Free State")</f>
        <v>Free State</v>
      </c>
      <c r="B4463" s="9" t="str">
        <f>IFERROR(__xludf.DUMMYFUNCTION("""COMPUTED_VALUE"""),"za-fs")</f>
        <v>za-fs</v>
      </c>
      <c r="C4463" s="9" t="str">
        <f>IFERROR(__xludf.DUMMYFUNCTION("GOOGLETRANSLATE($A4463,""en"",""de"")"),"Freistaat")</f>
        <v>Freistaat</v>
      </c>
      <c r="D4463" s="9" t="str">
        <f>IFERROR(__xludf.DUMMYFUNCTION("GOOGLETRANSLATE($A4463,""en"",""fr"")"),"État libre")</f>
        <v>État libre</v>
      </c>
      <c r="E4463" s="9" t="str">
        <f>IFERROR(__xludf.DUMMYFUNCTION("GOOGLETRANSLATE($A4463,""en"",""es"")"),"Estado libre")</f>
        <v>Estado libre</v>
      </c>
      <c r="F4463" s="9" t="str">
        <f>IFERROR(__xludf.DUMMYFUNCTION("GOOGLETRANSLATE($A4463,""en"",""it"")"),"Stato Libero")</f>
        <v>Stato Libero</v>
      </c>
      <c r="G4463" s="9" t="str">
        <f>IFERROR(__xludf.DUMMYFUNCTION("GOOGLETRANSLATE($A4463,""en"",""zh-cn"")"),"自由邦")</f>
        <v>自由邦</v>
      </c>
      <c r="H4463" s="9" t="str">
        <f>IFERROR(__xludf.DUMMYFUNCTION("GOOGLETRANSLATE($A4463,""en"",""ja"")"),"自由州")</f>
        <v>自由州</v>
      </c>
      <c r="I4463" s="9" t="str">
        <f>IFERROR(__xludf.DUMMYFUNCTION("GOOGLETRANSLATE($A4463,""en"",""ko"")"),"자유 국가")</f>
        <v>자유 국가</v>
      </c>
      <c r="J4463" s="9" t="str">
        <f>IFERROR(__xludf.DUMMYFUNCTION("GOOGLETRANSLATE($A4463,""en"",""pt-BR"")"),"Estado Livre")</f>
        <v>Estado Livre</v>
      </c>
    </row>
    <row r="4464">
      <c r="A4464" s="9" t="str">
        <f>IFERROR(__xludf.DUMMYFUNCTION("""COMPUTED_VALUE"""),"Gauteng")</f>
        <v>Gauteng</v>
      </c>
      <c r="B4464" s="9" t="str">
        <f>IFERROR(__xludf.DUMMYFUNCTION("""COMPUTED_VALUE"""),"za-gp")</f>
        <v>za-gp</v>
      </c>
      <c r="C4464" s="9" t="str">
        <f>IFERROR(__xludf.DUMMYFUNCTION("GOOGLETRANSLATE($A4464,""en"",""de"")"),"Gauteng")</f>
        <v>Gauteng</v>
      </c>
      <c r="D4464" s="9" t="str">
        <f>IFERROR(__xludf.DUMMYFUNCTION("GOOGLETRANSLATE($A4464,""en"",""fr"")"),"Gauteng")</f>
        <v>Gauteng</v>
      </c>
      <c r="E4464" s="9" t="str">
        <f>IFERROR(__xludf.DUMMYFUNCTION("GOOGLETRANSLATE($A4464,""en"",""es"")"),"Gauteng")</f>
        <v>Gauteng</v>
      </c>
      <c r="F4464" s="9" t="str">
        <f>IFERROR(__xludf.DUMMYFUNCTION("GOOGLETRANSLATE($A4464,""en"",""it"")"),"Gauteng")</f>
        <v>Gauteng</v>
      </c>
      <c r="G4464" s="9" t="str">
        <f>IFERROR(__xludf.DUMMYFUNCTION("GOOGLETRANSLATE($A4464,""en"",""zh-cn"")"),"豪登省")</f>
        <v>豪登省</v>
      </c>
      <c r="H4464" s="9" t="str">
        <f>IFERROR(__xludf.DUMMYFUNCTION("GOOGLETRANSLATE($A4464,""en"",""ja"")"),"ハウテン州")</f>
        <v>ハウテン州</v>
      </c>
      <c r="I4464" s="9" t="str">
        <f>IFERROR(__xludf.DUMMYFUNCTION("GOOGLETRANSLATE($A4464,""en"",""ko"")"),"가우텡")</f>
        <v>가우텡</v>
      </c>
      <c r="J4464" s="9" t="str">
        <f>IFERROR(__xludf.DUMMYFUNCTION("GOOGLETRANSLATE($A4464,""en"",""pt-BR"")"),"Gauteng")</f>
        <v>Gauteng</v>
      </c>
    </row>
    <row r="4465">
      <c r="A4465" s="9" t="str">
        <f>IFERROR(__xludf.DUMMYFUNCTION("""COMPUTED_VALUE"""),"Kwazulu-Natal")</f>
        <v>Kwazulu-Natal</v>
      </c>
      <c r="B4465" s="9" t="str">
        <f>IFERROR(__xludf.DUMMYFUNCTION("""COMPUTED_VALUE"""),"za-kzn")</f>
        <v>za-kzn</v>
      </c>
      <c r="C4465" s="9" t="str">
        <f>IFERROR(__xludf.DUMMYFUNCTION("GOOGLETRANSLATE($A4465,""en"",""de"")"),"Kwazulu-Natal")</f>
        <v>Kwazulu-Natal</v>
      </c>
      <c r="D4465" s="9" t="str">
        <f>IFERROR(__xludf.DUMMYFUNCTION("GOOGLETRANSLATE($A4465,""en"",""fr"")"),"Kwazulu-Natal")</f>
        <v>Kwazulu-Natal</v>
      </c>
      <c r="E4465" s="9" t="str">
        <f>IFERROR(__xludf.DUMMYFUNCTION("GOOGLETRANSLATE($A4465,""en"",""es"")"),"Kwazulu-Natal")</f>
        <v>Kwazulu-Natal</v>
      </c>
      <c r="F4465" s="9" t="str">
        <f>IFERROR(__xludf.DUMMYFUNCTION("GOOGLETRANSLATE($A4465,""en"",""it"")"),"Kwazulu-Natal")</f>
        <v>Kwazulu-Natal</v>
      </c>
      <c r="G4465" s="9" t="str">
        <f>IFERROR(__xludf.DUMMYFUNCTION("GOOGLETRANSLATE($A4465,""en"",""zh-cn"")"),"夸祖鲁-纳塔尔省")</f>
        <v>夸祖鲁-纳塔尔省</v>
      </c>
      <c r="H4465" s="9" t="str">
        <f>IFERROR(__xludf.DUMMYFUNCTION("GOOGLETRANSLATE($A4465,""en"",""ja"")"),"クワズル ナタール")</f>
        <v>クワズル ナタール</v>
      </c>
      <c r="I4465" s="9" t="str">
        <f>IFERROR(__xludf.DUMMYFUNCTION("GOOGLETRANSLATE($A4465,""en"",""ko"")"),"콰줄루나탈")</f>
        <v>콰줄루나탈</v>
      </c>
      <c r="J4465" s="9" t="str">
        <f>IFERROR(__xludf.DUMMYFUNCTION("GOOGLETRANSLATE($A4465,""en"",""pt-BR"")"),"Kwazulu-Natal")</f>
        <v>Kwazulu-Natal</v>
      </c>
    </row>
    <row r="4466">
      <c r="A4466" s="9" t="str">
        <f>IFERROR(__xludf.DUMMYFUNCTION("""COMPUTED_VALUE"""),"Western Equatoria")</f>
        <v>Western Equatoria</v>
      </c>
      <c r="B4466" s="9" t="str">
        <f>IFERROR(__xludf.DUMMYFUNCTION("""COMPUTED_VALUE"""),"ss-ew")</f>
        <v>ss-ew</v>
      </c>
      <c r="C4466" s="9" t="str">
        <f>IFERROR(__xludf.DUMMYFUNCTION("GOOGLETRANSLATE($A4466,""en"",""de"")"),"Westäquatoria")</f>
        <v>Westäquatoria</v>
      </c>
      <c r="D4466" s="9" t="str">
        <f>IFERROR(__xludf.DUMMYFUNCTION("GOOGLETRANSLATE($A4466,""en"",""fr"")"),"Équatoria occidental")</f>
        <v>Équatoria occidental</v>
      </c>
      <c r="E4466" s="9" t="str">
        <f>IFERROR(__xludf.DUMMYFUNCTION("GOOGLETRANSLATE($A4466,""en"",""es"")"),"Ecuatoria occidental")</f>
        <v>Ecuatoria occidental</v>
      </c>
      <c r="F4466" s="9" t="str">
        <f>IFERROR(__xludf.DUMMYFUNCTION("GOOGLETRANSLATE($A4466,""en"",""it"")"),"Equatoria occidentale")</f>
        <v>Equatoria occidentale</v>
      </c>
      <c r="G4466" s="9" t="str">
        <f>IFERROR(__xludf.DUMMYFUNCTION("GOOGLETRANSLATE($A4466,""en"",""zh-cn"")"),"西赤道州")</f>
        <v>西赤道州</v>
      </c>
      <c r="H4466" s="9" t="str">
        <f>IFERROR(__xludf.DUMMYFUNCTION("GOOGLETRANSLATE($A4466,""en"",""ja"")"),"西エクアトリア")</f>
        <v>西エクアトリア</v>
      </c>
      <c r="I4466" s="9" t="str">
        <f>IFERROR(__xludf.DUMMYFUNCTION("GOOGLETRANSLATE($A4466,""en"",""ko"")"),"서부 적도")</f>
        <v>서부 적도</v>
      </c>
      <c r="J4466" s="9" t="str">
        <f>IFERROR(__xludf.DUMMYFUNCTION("GOOGLETRANSLATE($A4466,""en"",""pt-BR"")"),"Equatória Ocidental")</f>
        <v>Equatória Ocidental</v>
      </c>
    </row>
    <row r="4467">
      <c r="A4467" s="9" t="str">
        <f>IFERROR(__xludf.DUMMYFUNCTION("""COMPUTED_VALUE"""),"Lakes")</f>
        <v>Lakes</v>
      </c>
      <c r="B4467" s="9" t="str">
        <f>IFERROR(__xludf.DUMMYFUNCTION("""COMPUTED_VALUE"""),"ss-lk")</f>
        <v>ss-lk</v>
      </c>
      <c r="C4467" s="9" t="str">
        <f>IFERROR(__xludf.DUMMYFUNCTION("GOOGLETRANSLATE($A4467,""en"",""de"")"),"Seen")</f>
        <v>Seen</v>
      </c>
      <c r="D4467" s="9" t="str">
        <f>IFERROR(__xludf.DUMMYFUNCTION("GOOGLETRANSLATE($A4467,""en"",""fr"")"),"Lacs")</f>
        <v>Lacs</v>
      </c>
      <c r="E4467" s="9" t="str">
        <f>IFERROR(__xludf.DUMMYFUNCTION("GOOGLETRANSLATE($A4467,""en"",""es"")"),"lagos")</f>
        <v>lagos</v>
      </c>
      <c r="F4467" s="9" t="str">
        <f>IFERROR(__xludf.DUMMYFUNCTION("GOOGLETRANSLATE($A4467,""en"",""it"")"),"Laghi")</f>
        <v>Laghi</v>
      </c>
      <c r="G4467" s="9" t="str">
        <f>IFERROR(__xludf.DUMMYFUNCTION("GOOGLETRANSLATE($A4467,""en"",""zh-cn"")"),"湖泊")</f>
        <v>湖泊</v>
      </c>
      <c r="H4467" s="9" t="str">
        <f>IFERROR(__xludf.DUMMYFUNCTION("GOOGLETRANSLATE($A4467,""en"",""ja"")"),"湖")</f>
        <v>湖</v>
      </c>
      <c r="I4467" s="9" t="str">
        <f>IFERROR(__xludf.DUMMYFUNCTION("GOOGLETRANSLATE($A4467,""en"",""ko"")"),"호수")</f>
        <v>호수</v>
      </c>
      <c r="J4467" s="9" t="str">
        <f>IFERROR(__xludf.DUMMYFUNCTION("GOOGLETRANSLATE($A4467,""en"",""pt-BR"")"),"Lagos")</f>
        <v>Lagos</v>
      </c>
    </row>
    <row r="4468">
      <c r="A4468" s="9" t="str">
        <f>IFERROR(__xludf.DUMMYFUNCTION("""COMPUTED_VALUE"""),"Eastern Equatoria")</f>
        <v>Eastern Equatoria</v>
      </c>
      <c r="B4468" s="9" t="str">
        <f>IFERROR(__xludf.DUMMYFUNCTION("""COMPUTED_VALUE"""),"ss-ee")</f>
        <v>ss-ee</v>
      </c>
      <c r="C4468" s="9" t="str">
        <f>IFERROR(__xludf.DUMMYFUNCTION("GOOGLETRANSLATE($A4468,""en"",""de"")"),"Östliches Äquatoria")</f>
        <v>Östliches Äquatoria</v>
      </c>
      <c r="D4468" s="9" t="str">
        <f>IFERROR(__xludf.DUMMYFUNCTION("GOOGLETRANSLATE($A4468,""en"",""fr"")"),"Équatoria oriental")</f>
        <v>Équatoria oriental</v>
      </c>
      <c r="E4468" s="9" t="str">
        <f>IFERROR(__xludf.DUMMYFUNCTION("GOOGLETRANSLATE($A4468,""en"",""es"")"),"Ecuatoria Oriental")</f>
        <v>Ecuatoria Oriental</v>
      </c>
      <c r="F4468" s="9" t="str">
        <f>IFERROR(__xludf.DUMMYFUNCTION("GOOGLETRANSLATE($A4468,""en"",""it"")"),"Equatoria orientale")</f>
        <v>Equatoria orientale</v>
      </c>
      <c r="G4468" s="9" t="str">
        <f>IFERROR(__xludf.DUMMYFUNCTION("GOOGLETRANSLATE($A4468,""en"",""zh-cn"")"),"东赤道州")</f>
        <v>东赤道州</v>
      </c>
      <c r="H4468" s="9" t="str">
        <f>IFERROR(__xludf.DUMMYFUNCTION("GOOGLETRANSLATE($A4468,""en"",""ja"")"),"東エクアトリア")</f>
        <v>東エクアトリア</v>
      </c>
      <c r="I4468" s="9" t="str">
        <f>IFERROR(__xludf.DUMMYFUNCTION("GOOGLETRANSLATE($A4468,""en"",""ko"")"),"동부 적도")</f>
        <v>동부 적도</v>
      </c>
      <c r="J4468" s="9" t="str">
        <f>IFERROR(__xludf.DUMMYFUNCTION("GOOGLETRANSLATE($A4468,""en"",""pt-BR"")"),"Equatória Oriental")</f>
        <v>Equatória Oriental</v>
      </c>
    </row>
    <row r="4469">
      <c r="A4469" s="9" t="str">
        <f>IFERROR(__xludf.DUMMYFUNCTION("""COMPUTED_VALUE"""),"Unity")</f>
        <v>Unity</v>
      </c>
      <c r="B4469" s="9" t="str">
        <f>IFERROR(__xludf.DUMMYFUNCTION("""COMPUTED_VALUE"""),"ss-uy")</f>
        <v>ss-uy</v>
      </c>
      <c r="C4469" s="9" t="str">
        <f>IFERROR(__xludf.DUMMYFUNCTION("GOOGLETRANSLATE($A4469,""en"",""de"")"),"Einheit")</f>
        <v>Einheit</v>
      </c>
      <c r="D4469" s="9" t="str">
        <f>IFERROR(__xludf.DUMMYFUNCTION("GOOGLETRANSLATE($A4469,""en"",""fr"")"),"Unité")</f>
        <v>Unité</v>
      </c>
      <c r="E4469" s="9" t="str">
        <f>IFERROR(__xludf.DUMMYFUNCTION("GOOGLETRANSLATE($A4469,""en"",""es"")"),"Unidad")</f>
        <v>Unidad</v>
      </c>
      <c r="F4469" s="9" t="str">
        <f>IFERROR(__xludf.DUMMYFUNCTION("GOOGLETRANSLATE($A4469,""en"",""it"")"),"Unità")</f>
        <v>Unità</v>
      </c>
      <c r="G4469" s="9" t="str">
        <f>IFERROR(__xludf.DUMMYFUNCTION("GOOGLETRANSLATE($A4469,""en"",""zh-cn"")"),"统一")</f>
        <v>统一</v>
      </c>
      <c r="H4469" s="9" t="str">
        <f>IFERROR(__xludf.DUMMYFUNCTION("GOOGLETRANSLATE($A4469,""en"",""ja"")"),"団結")</f>
        <v>団結</v>
      </c>
      <c r="I4469" s="9" t="str">
        <f>IFERROR(__xludf.DUMMYFUNCTION("GOOGLETRANSLATE($A4469,""en"",""ko"")"),"단일성")</f>
        <v>단일성</v>
      </c>
      <c r="J4469" s="9" t="str">
        <f>IFERROR(__xludf.DUMMYFUNCTION("GOOGLETRANSLATE($A4469,""en"",""pt-BR"")"),"Unidade")</f>
        <v>Unidade</v>
      </c>
    </row>
    <row r="4470">
      <c r="A4470" s="9" t="str">
        <f>IFERROR(__xludf.DUMMYFUNCTION("""COMPUTED_VALUE"""),"Jonglei")</f>
        <v>Jonglei</v>
      </c>
      <c r="B4470" s="9" t="str">
        <f>IFERROR(__xludf.DUMMYFUNCTION("""COMPUTED_VALUE"""),"ss-jg")</f>
        <v>ss-jg</v>
      </c>
      <c r="C4470" s="9" t="str">
        <f>IFERROR(__xludf.DUMMYFUNCTION("GOOGLETRANSLATE($A4470,""en"",""de"")"),"Jonglei")</f>
        <v>Jonglei</v>
      </c>
      <c r="D4470" s="9" t="str">
        <f>IFERROR(__xludf.DUMMYFUNCTION("GOOGLETRANSLATE($A4470,""en"",""fr"")"),"Jonglei")</f>
        <v>Jonglei</v>
      </c>
      <c r="E4470" s="9" t="str">
        <f>IFERROR(__xludf.DUMMYFUNCTION("GOOGLETRANSLATE($A4470,""en"",""es"")"),"Jonglei")</f>
        <v>Jonglei</v>
      </c>
      <c r="F4470" s="9" t="str">
        <f>IFERROR(__xludf.DUMMYFUNCTION("GOOGLETRANSLATE($A4470,""en"",""it"")"),"Jonglei")</f>
        <v>Jonglei</v>
      </c>
      <c r="G4470" s="9" t="str">
        <f>IFERROR(__xludf.DUMMYFUNCTION("GOOGLETRANSLATE($A4470,""en"",""zh-cn"")"),"琼莱州")</f>
        <v>琼莱州</v>
      </c>
      <c r="H4470" s="9" t="str">
        <f>IFERROR(__xludf.DUMMYFUNCTION("GOOGLETRANSLATE($A4470,""en"",""ja"")"),"ジョンレイ")</f>
        <v>ジョンレイ</v>
      </c>
      <c r="I4470" s="9" t="str">
        <f>IFERROR(__xludf.DUMMYFUNCTION("GOOGLETRANSLATE($A4470,""en"",""ko"")"),"종레이")</f>
        <v>종레이</v>
      </c>
      <c r="J4470" s="9" t="str">
        <f>IFERROR(__xludf.DUMMYFUNCTION("GOOGLETRANSLATE($A4470,""en"",""pt-BR"")"),"Jonglei")</f>
        <v>Jonglei</v>
      </c>
    </row>
    <row r="4471">
      <c r="A4471" s="9" t="str">
        <f>IFERROR(__xludf.DUMMYFUNCTION("""COMPUTED_VALUE"""),"Western Bahr el-Ghazal")</f>
        <v>Western Bahr el-Ghazal</v>
      </c>
      <c r="B4471" s="9" t="str">
        <f>IFERROR(__xludf.DUMMYFUNCTION("""COMPUTED_VALUE"""),"ss-bw")</f>
        <v>ss-bw</v>
      </c>
      <c r="C4471" s="9" t="str">
        <f>IFERROR(__xludf.DUMMYFUNCTION("GOOGLETRANSLATE($A4471,""en"",""de"")"),"Westlicher Bahr el-Ghazal")</f>
        <v>Westlicher Bahr el-Ghazal</v>
      </c>
      <c r="D4471" s="9" t="str">
        <f>IFERROR(__xludf.DUMMYFUNCTION("GOOGLETRANSLATE($A4471,""en"",""fr"")"),"Bahr el-Ghazal occidental")</f>
        <v>Bahr el-Ghazal occidental</v>
      </c>
      <c r="E4471" s="9" t="str">
        <f>IFERROR(__xludf.DUMMYFUNCTION("GOOGLETRANSLATE($A4471,""en"",""es"")"),"Bahr el-Ghazal occidental")</f>
        <v>Bahr el-Ghazal occidental</v>
      </c>
      <c r="F4471" s="9" t="str">
        <f>IFERROR(__xludf.DUMMYFUNCTION("GOOGLETRANSLATE($A4471,""en"",""it"")"),"Bahr el-Ghazal occidentale")</f>
        <v>Bahr el-Ghazal occidentale</v>
      </c>
      <c r="G4471" s="9" t="str">
        <f>IFERROR(__xludf.DUMMYFUNCTION("GOOGLETRANSLATE($A4471,""en"",""zh-cn"")"),"西加扎勒河省")</f>
        <v>西加扎勒河省</v>
      </c>
      <c r="H4471" s="9" t="str">
        <f>IFERROR(__xludf.DUMMYFUNCTION("GOOGLETRANSLATE($A4471,""en"",""ja"")"),"西バハル・エル・ガザール")</f>
        <v>西バハル・エル・ガザール</v>
      </c>
      <c r="I4471" s="9" t="str">
        <f>IFERROR(__xludf.DUMMYFUNCTION("GOOGLETRANSLATE($A4471,""en"",""ko"")"),"서부 바르 엘 가잘")</f>
        <v>서부 바르 엘 가잘</v>
      </c>
      <c r="J4471" s="9" t="str">
        <f>IFERROR(__xludf.DUMMYFUNCTION("GOOGLETRANSLATE($A4471,""en"",""pt-BR"")"),"Bahr el-Ghazal Ocidental")</f>
        <v>Bahr el-Ghazal Ocidental</v>
      </c>
    </row>
    <row r="4472">
      <c r="A4472" s="9" t="str">
        <f>IFERROR(__xludf.DUMMYFUNCTION("""COMPUTED_VALUE"""),"Northern Bahr el-Ghazal")</f>
        <v>Northern Bahr el-Ghazal</v>
      </c>
      <c r="B4472" s="9" t="str">
        <f>IFERROR(__xludf.DUMMYFUNCTION("""COMPUTED_VALUE"""),"ss-bn")</f>
        <v>ss-bn</v>
      </c>
      <c r="C4472" s="9" t="str">
        <f>IFERROR(__xludf.DUMMYFUNCTION("GOOGLETRANSLATE($A4472,""en"",""de"")"),"Nördlicher Bahr el-Ghazal")</f>
        <v>Nördlicher Bahr el-Ghazal</v>
      </c>
      <c r="D4472" s="9" t="str">
        <f>IFERROR(__xludf.DUMMYFUNCTION("GOOGLETRANSLATE($A4472,""en"",""fr"")"),"Bahr el-Ghazal du Nord")</f>
        <v>Bahr el-Ghazal du Nord</v>
      </c>
      <c r="E4472" s="9" t="str">
        <f>IFERROR(__xludf.DUMMYFUNCTION("GOOGLETRANSLATE($A4472,""en"",""es"")"),"Norte de Bahr el-Ghazal")</f>
        <v>Norte de Bahr el-Ghazal</v>
      </c>
      <c r="F4472" s="9" t="str">
        <f>IFERROR(__xludf.DUMMYFUNCTION("GOOGLETRANSLATE($A4472,""en"",""it"")"),"Bahr el-Ghazal settentrionale")</f>
        <v>Bahr el-Ghazal settentrionale</v>
      </c>
      <c r="G4472" s="9" t="str">
        <f>IFERROR(__xludf.DUMMYFUNCTION("GOOGLETRANSLATE($A4472,""en"",""zh-cn"")"),"北加扎勒河省")</f>
        <v>北加扎勒河省</v>
      </c>
      <c r="H4472" s="9" t="str">
        <f>IFERROR(__xludf.DUMMYFUNCTION("GOOGLETRANSLATE($A4472,""en"",""ja"")"),"バハル・エル・ガザール北部")</f>
        <v>バハル・エル・ガザール北部</v>
      </c>
      <c r="I4472" s="9" t="str">
        <f>IFERROR(__xludf.DUMMYFUNCTION("GOOGLETRANSLATE($A4472,""en"",""ko"")"),"북부 바르 엘 가잘")</f>
        <v>북부 바르 엘 가잘</v>
      </c>
      <c r="J4472" s="9" t="str">
        <f>IFERROR(__xludf.DUMMYFUNCTION("GOOGLETRANSLATE($A4472,""en"",""pt-BR"")"),"Norte de Bahr el-Ghazal")</f>
        <v>Norte de Bahr el-Ghazal</v>
      </c>
    </row>
    <row r="4473">
      <c r="A4473" s="9" t="str">
        <f>IFERROR(__xludf.DUMMYFUNCTION("""COMPUTED_VALUE"""),"Warrap")</f>
        <v>Warrap</v>
      </c>
      <c r="B4473" s="9" t="str">
        <f>IFERROR(__xludf.DUMMYFUNCTION("""COMPUTED_VALUE"""),"ss-wr")</f>
        <v>ss-wr</v>
      </c>
      <c r="C4473" s="9" t="str">
        <f>IFERROR(__xludf.DUMMYFUNCTION("GOOGLETRANSLATE($A4473,""en"",""de"")"),"Warrap")</f>
        <v>Warrap</v>
      </c>
      <c r="D4473" s="9" t="str">
        <f>IFERROR(__xludf.DUMMYFUNCTION("GOOGLETRANSLATE($A4473,""en"",""fr"")"),"Warrap")</f>
        <v>Warrap</v>
      </c>
      <c r="E4473" s="9" t="str">
        <f>IFERROR(__xludf.DUMMYFUNCTION("GOOGLETRANSLATE($A4473,""en"",""es"")"),"Warrap")</f>
        <v>Warrap</v>
      </c>
      <c r="F4473" s="9" t="str">
        <f>IFERROR(__xludf.DUMMYFUNCTION("GOOGLETRANSLATE($A4473,""en"",""it"")"),"Warrap")</f>
        <v>Warrap</v>
      </c>
      <c r="G4473" s="9" t="str">
        <f>IFERROR(__xludf.DUMMYFUNCTION("GOOGLETRANSLATE($A4473,""en"",""zh-cn"")"),"瓦拉普")</f>
        <v>瓦拉普</v>
      </c>
      <c r="H4473" s="9" t="str">
        <f>IFERROR(__xludf.DUMMYFUNCTION("GOOGLETRANSLATE($A4473,""en"",""ja"")"),"ワーラップ")</f>
        <v>ワーラップ</v>
      </c>
      <c r="I4473" s="9" t="str">
        <f>IFERROR(__xludf.DUMMYFUNCTION("GOOGLETRANSLATE($A4473,""en"",""ko"")"),"워랩")</f>
        <v>워랩</v>
      </c>
      <c r="J4473" s="9" t="str">
        <f>IFERROR(__xludf.DUMMYFUNCTION("GOOGLETRANSLATE($A4473,""en"",""pt-BR"")"),"Warrap")</f>
        <v>Warrap</v>
      </c>
    </row>
    <row r="4474">
      <c r="A4474" s="9" t="str">
        <f>IFERROR(__xludf.DUMMYFUNCTION("""COMPUTED_VALUE"""),"Upper Nile")</f>
        <v>Upper Nile</v>
      </c>
      <c r="B4474" s="9" t="str">
        <f>IFERROR(__xludf.DUMMYFUNCTION("""COMPUTED_VALUE"""),"ss-nu")</f>
        <v>ss-nu</v>
      </c>
      <c r="C4474" s="9" t="str">
        <f>IFERROR(__xludf.DUMMYFUNCTION("GOOGLETRANSLATE($A4474,""en"",""de"")"),"Oberer Nil")</f>
        <v>Oberer Nil</v>
      </c>
      <c r="D4474" s="9" t="str">
        <f>IFERROR(__xludf.DUMMYFUNCTION("GOOGLETRANSLATE($A4474,""en"",""fr"")"),"Haut Nil")</f>
        <v>Haut Nil</v>
      </c>
      <c r="E4474" s="9" t="str">
        <f>IFERROR(__xludf.DUMMYFUNCTION("GOOGLETRANSLATE($A4474,""en"",""es"")"),"Alto Nilo")</f>
        <v>Alto Nilo</v>
      </c>
      <c r="F4474" s="9" t="str">
        <f>IFERROR(__xludf.DUMMYFUNCTION("GOOGLETRANSLATE($A4474,""en"",""it"")"),"Nilo superiore")</f>
        <v>Nilo superiore</v>
      </c>
      <c r="G4474" s="9" t="str">
        <f>IFERROR(__xludf.DUMMYFUNCTION("GOOGLETRANSLATE($A4474,""en"",""zh-cn"")"),"上尼罗河")</f>
        <v>上尼罗河</v>
      </c>
      <c r="H4474" s="9" t="str">
        <f>IFERROR(__xludf.DUMMYFUNCTION("GOOGLETRANSLATE($A4474,""en"",""ja"")"),"ナイル川上流")</f>
        <v>ナイル川上流</v>
      </c>
      <c r="I4474" s="9" t="str">
        <f>IFERROR(__xludf.DUMMYFUNCTION("GOOGLETRANSLATE($A4474,""en"",""ko"")"),"어퍼 나일")</f>
        <v>어퍼 나일</v>
      </c>
      <c r="J4474" s="9" t="str">
        <f>IFERROR(__xludf.DUMMYFUNCTION("GOOGLETRANSLATE($A4474,""en"",""pt-BR"")"),"Alto Nilo")</f>
        <v>Alto Nilo</v>
      </c>
    </row>
    <row r="4475">
      <c r="A4475" s="9" t="str">
        <f>IFERROR(__xludf.DUMMYFUNCTION("""COMPUTED_VALUE"""),"Central Equatoria")</f>
        <v>Central Equatoria</v>
      </c>
      <c r="B4475" s="9" t="str">
        <f>IFERROR(__xludf.DUMMYFUNCTION("""COMPUTED_VALUE"""),"ss-ec")</f>
        <v>ss-ec</v>
      </c>
      <c r="C4475" s="9" t="str">
        <f>IFERROR(__xludf.DUMMYFUNCTION("GOOGLETRANSLATE($A4475,""en"",""de"")"),"Zentraläquatoria")</f>
        <v>Zentraläquatoria</v>
      </c>
      <c r="D4475" s="9" t="str">
        <f>IFERROR(__xludf.DUMMYFUNCTION("GOOGLETRANSLATE($A4475,""en"",""fr"")"),"Équatoria central")</f>
        <v>Équatoria central</v>
      </c>
      <c r="E4475" s="9" t="str">
        <f>IFERROR(__xludf.DUMMYFUNCTION("GOOGLETRANSLATE($A4475,""en"",""es"")"),"Ecuatoria Central")</f>
        <v>Ecuatoria Central</v>
      </c>
      <c r="F4475" s="9" t="str">
        <f>IFERROR(__xludf.DUMMYFUNCTION("GOOGLETRANSLATE($A4475,""en"",""it"")"),"Equatoria Centrale")</f>
        <v>Equatoria Centrale</v>
      </c>
      <c r="G4475" s="9" t="str">
        <f>IFERROR(__xludf.DUMMYFUNCTION("GOOGLETRANSLATE($A4475,""en"",""zh-cn"")"),"中赤道州")</f>
        <v>中赤道州</v>
      </c>
      <c r="H4475" s="9" t="str">
        <f>IFERROR(__xludf.DUMMYFUNCTION("GOOGLETRANSLATE($A4475,""en"",""ja"")"),"中央エクアトリア")</f>
        <v>中央エクアトリア</v>
      </c>
      <c r="I4475" s="9" t="str">
        <f>IFERROR(__xludf.DUMMYFUNCTION("GOOGLETRANSLATE($A4475,""en"",""ko"")"),"중앙 적도")</f>
        <v>중앙 적도</v>
      </c>
      <c r="J4475" s="9" t="str">
        <f>IFERROR(__xludf.DUMMYFUNCTION("GOOGLETRANSLATE($A4475,""en"",""pt-BR"")"),"Equatória Central")</f>
        <v>Equatória Central</v>
      </c>
    </row>
    <row r="4476">
      <c r="A4476" s="9" t="str">
        <f>IFERROR(__xludf.DUMMYFUNCTION("""COMPUTED_VALUE"""),"Pontevedra")</f>
        <v>Pontevedra</v>
      </c>
      <c r="B4476" s="9" t="str">
        <f>IFERROR(__xludf.DUMMYFUNCTION("""COMPUTED_VALUE"""),"es-po")</f>
        <v>es-po</v>
      </c>
      <c r="C4476" s="9" t="str">
        <f>IFERROR(__xludf.DUMMYFUNCTION("GOOGLETRANSLATE($A4476,""en"",""de"")"),"Pontevedra")</f>
        <v>Pontevedra</v>
      </c>
      <c r="D4476" s="9" t="str">
        <f>IFERROR(__xludf.DUMMYFUNCTION("GOOGLETRANSLATE($A4476,""en"",""fr"")"),"Pontevedra")</f>
        <v>Pontevedra</v>
      </c>
      <c r="E4476" s="9" t="str">
        <f>IFERROR(__xludf.DUMMYFUNCTION("GOOGLETRANSLATE($A4476,""en"",""es"")"),"Pontevedra")</f>
        <v>Pontevedra</v>
      </c>
      <c r="F4476" s="9" t="str">
        <f>IFERROR(__xludf.DUMMYFUNCTION("GOOGLETRANSLATE($A4476,""en"",""it"")"),"Pontevedra")</f>
        <v>Pontevedra</v>
      </c>
      <c r="G4476" s="9" t="str">
        <f>IFERROR(__xludf.DUMMYFUNCTION("GOOGLETRANSLATE($A4476,""en"",""zh-cn"")"),"蓬特韦德拉")</f>
        <v>蓬特韦德拉</v>
      </c>
      <c r="H4476" s="9" t="str">
        <f>IFERROR(__xludf.DUMMYFUNCTION("GOOGLETRANSLATE($A4476,""en"",""ja"")"),"ポンテベドラ")</f>
        <v>ポンテベドラ</v>
      </c>
      <c r="I4476" s="9" t="str">
        <f>IFERROR(__xludf.DUMMYFUNCTION("GOOGLETRANSLATE($A4476,""en"",""ko"")"),"폰테베드라")</f>
        <v>폰테베드라</v>
      </c>
      <c r="J4476" s="9" t="str">
        <f>IFERROR(__xludf.DUMMYFUNCTION("GOOGLETRANSLATE($A4476,""en"",""pt-BR"")"),"Pontevedra")</f>
        <v>Pontevedra</v>
      </c>
    </row>
    <row r="4477">
      <c r="A4477" s="9" t="str">
        <f>IFERROR(__xludf.DUMMYFUNCTION("""COMPUTED_VALUE"""),"Salamanca")</f>
        <v>Salamanca</v>
      </c>
      <c r="B4477" s="9" t="str">
        <f>IFERROR(__xludf.DUMMYFUNCTION("""COMPUTED_VALUE"""),"es-sa")</f>
        <v>es-sa</v>
      </c>
      <c r="C4477" s="9" t="str">
        <f>IFERROR(__xludf.DUMMYFUNCTION("GOOGLETRANSLATE($A4477,""en"",""de"")"),"Salamanca")</f>
        <v>Salamanca</v>
      </c>
      <c r="D4477" s="9" t="str">
        <f>IFERROR(__xludf.DUMMYFUNCTION("GOOGLETRANSLATE($A4477,""en"",""fr"")"),"Salamanque")</f>
        <v>Salamanque</v>
      </c>
      <c r="E4477" s="9" t="str">
        <f>IFERROR(__xludf.DUMMYFUNCTION("GOOGLETRANSLATE($A4477,""en"",""es"")"),"Salamanca")</f>
        <v>Salamanca</v>
      </c>
      <c r="F4477" s="9" t="str">
        <f>IFERROR(__xludf.DUMMYFUNCTION("GOOGLETRANSLATE($A4477,""en"",""it"")"),"Salamanca")</f>
        <v>Salamanca</v>
      </c>
      <c r="G4477" s="9" t="str">
        <f>IFERROR(__xludf.DUMMYFUNCTION("GOOGLETRANSLATE($A4477,""en"",""zh-cn"")"),"萨拉曼卡")</f>
        <v>萨拉曼卡</v>
      </c>
      <c r="H4477" s="9" t="str">
        <f>IFERROR(__xludf.DUMMYFUNCTION("GOOGLETRANSLATE($A4477,""en"",""ja"")"),"サラマンカ")</f>
        <v>サラマンカ</v>
      </c>
      <c r="I4477" s="9" t="str">
        <f>IFERROR(__xludf.DUMMYFUNCTION("GOOGLETRANSLATE($A4477,""en"",""ko"")"),"살라망카")</f>
        <v>살라망카</v>
      </c>
      <c r="J4477" s="9" t="str">
        <f>IFERROR(__xludf.DUMMYFUNCTION("GOOGLETRANSLATE($A4477,""en"",""pt-BR"")"),"Salamanca")</f>
        <v>Salamanca</v>
      </c>
    </row>
    <row r="4478">
      <c r="A4478" s="9" t="str">
        <f>IFERROR(__xludf.DUMMYFUNCTION("""COMPUTED_VALUE"""),"Santa Cruz de Tenerife")</f>
        <v>Santa Cruz de Tenerife</v>
      </c>
      <c r="B4478" s="9" t="str">
        <f>IFERROR(__xludf.DUMMYFUNCTION("""COMPUTED_VALUE"""),"es-tf")</f>
        <v>es-tf</v>
      </c>
      <c r="C4478" s="9" t="str">
        <f>IFERROR(__xludf.DUMMYFUNCTION("GOOGLETRANSLATE($A4478,""en"",""de"")"),"Santa Cruz de Teneriffa")</f>
        <v>Santa Cruz de Teneriffa</v>
      </c>
      <c r="D4478" s="9" t="str">
        <f>IFERROR(__xludf.DUMMYFUNCTION("GOOGLETRANSLATE($A4478,""en"",""fr"")"),"Santa Cruz de Ténérife")</f>
        <v>Santa Cruz de Ténérife</v>
      </c>
      <c r="E4478" s="9" t="str">
        <f>IFERROR(__xludf.DUMMYFUNCTION("GOOGLETRANSLATE($A4478,""en"",""es"")"),"Santa Cruz de Tenerife")</f>
        <v>Santa Cruz de Tenerife</v>
      </c>
      <c r="F4478" s="9" t="str">
        <f>IFERROR(__xludf.DUMMYFUNCTION("GOOGLETRANSLATE($A4478,""en"",""it"")"),"Santa Croce di Tenerife")</f>
        <v>Santa Croce di Tenerife</v>
      </c>
      <c r="G4478" s="9" t="str">
        <f>IFERROR(__xludf.DUMMYFUNCTION("GOOGLETRANSLATE($A4478,""en"",""zh-cn"")"),"圣克鲁斯-德特内里费")</f>
        <v>圣克鲁斯-德特内里费</v>
      </c>
      <c r="H4478" s="9" t="str">
        <f>IFERROR(__xludf.DUMMYFUNCTION("GOOGLETRANSLATE($A4478,""en"",""ja"")"),"サンタ クルス デ テネリフェ")</f>
        <v>サンタ クルス デ テネリフェ</v>
      </c>
      <c r="I4478" s="9" t="str">
        <f>IFERROR(__xludf.DUMMYFUNCTION("GOOGLETRANSLATE($A4478,""en"",""ko"")"),"산타 크루즈 데 테네리페")</f>
        <v>산타 크루즈 데 테네리페</v>
      </c>
      <c r="J4478" s="9" t="str">
        <f>IFERROR(__xludf.DUMMYFUNCTION("GOOGLETRANSLATE($A4478,""en"",""pt-BR"")"),"Santa Cruz de Tenerife")</f>
        <v>Santa Cruz de Tenerife</v>
      </c>
    </row>
    <row r="4479">
      <c r="A4479" s="9" t="str">
        <f>IFERROR(__xludf.DUMMYFUNCTION("""COMPUTED_VALUE"""),"Segovia")</f>
        <v>Segovia</v>
      </c>
      <c r="B4479" s="9" t="str">
        <f>IFERROR(__xludf.DUMMYFUNCTION("""COMPUTED_VALUE"""),"es-sg")</f>
        <v>es-sg</v>
      </c>
      <c r="C4479" s="9" t="str">
        <f>IFERROR(__xludf.DUMMYFUNCTION("GOOGLETRANSLATE($A4479,""en"",""de"")"),"Segovia")</f>
        <v>Segovia</v>
      </c>
      <c r="D4479" s="9" t="str">
        <f>IFERROR(__xludf.DUMMYFUNCTION("GOOGLETRANSLATE($A4479,""en"",""fr"")"),"Ségovie")</f>
        <v>Ségovie</v>
      </c>
      <c r="E4479" s="9" t="str">
        <f>IFERROR(__xludf.DUMMYFUNCTION("GOOGLETRANSLATE($A4479,""en"",""es"")"),"Segovia")</f>
        <v>Segovia</v>
      </c>
      <c r="F4479" s="9" t="str">
        <f>IFERROR(__xludf.DUMMYFUNCTION("GOOGLETRANSLATE($A4479,""en"",""it"")"),"Segovia")</f>
        <v>Segovia</v>
      </c>
      <c r="G4479" s="9" t="str">
        <f>IFERROR(__xludf.DUMMYFUNCTION("GOOGLETRANSLATE($A4479,""en"",""zh-cn"")"),"塞戈维亚")</f>
        <v>塞戈维亚</v>
      </c>
      <c r="H4479" s="9" t="str">
        <f>IFERROR(__xludf.DUMMYFUNCTION("GOOGLETRANSLATE($A4479,""en"",""ja"")"),"セゴビア")</f>
        <v>セゴビア</v>
      </c>
      <c r="I4479" s="9" t="str">
        <f>IFERROR(__xludf.DUMMYFUNCTION("GOOGLETRANSLATE($A4479,""en"",""ko"")"),"세고비아")</f>
        <v>세고비아</v>
      </c>
      <c r="J4479" s="9" t="str">
        <f>IFERROR(__xludf.DUMMYFUNCTION("GOOGLETRANSLATE($A4479,""en"",""pt-BR"")"),"Segóvia")</f>
        <v>Segóvia</v>
      </c>
    </row>
    <row r="4480">
      <c r="A4480" s="9" t="str">
        <f>IFERROR(__xludf.DUMMYFUNCTION("""COMPUTED_VALUE"""),"Murcia")</f>
        <v>Murcia</v>
      </c>
      <c r="B4480" s="9" t="str">
        <f>IFERROR(__xludf.DUMMYFUNCTION("""COMPUTED_VALUE"""),"es-mu")</f>
        <v>es-mu</v>
      </c>
      <c r="C4480" s="9" t="str">
        <f>IFERROR(__xludf.DUMMYFUNCTION("GOOGLETRANSLATE($A4480,""en"",""de"")"),"Murcia")</f>
        <v>Murcia</v>
      </c>
      <c r="D4480" s="9" t="str">
        <f>IFERROR(__xludf.DUMMYFUNCTION("GOOGLETRANSLATE($A4480,""en"",""fr"")"),"Murcie")</f>
        <v>Murcie</v>
      </c>
      <c r="E4480" s="9" t="str">
        <f>IFERROR(__xludf.DUMMYFUNCTION("GOOGLETRANSLATE($A4480,""en"",""es"")"),"Murcia")</f>
        <v>Murcia</v>
      </c>
      <c r="F4480" s="9" t="str">
        <f>IFERROR(__xludf.DUMMYFUNCTION("GOOGLETRANSLATE($A4480,""en"",""it"")"),"Murcia")</f>
        <v>Murcia</v>
      </c>
      <c r="G4480" s="9" t="str">
        <f>IFERROR(__xludf.DUMMYFUNCTION("GOOGLETRANSLATE($A4480,""en"",""zh-cn"")"),"穆尔西亚")</f>
        <v>穆尔西亚</v>
      </c>
      <c r="H4480" s="9" t="str">
        <f>IFERROR(__xludf.DUMMYFUNCTION("GOOGLETRANSLATE($A4480,""en"",""ja"")"),"ムルシア")</f>
        <v>ムルシア</v>
      </c>
      <c r="I4480" s="9" t="str">
        <f>IFERROR(__xludf.DUMMYFUNCTION("GOOGLETRANSLATE($A4480,""en"",""ko"")"),"무르시아")</f>
        <v>무르시아</v>
      </c>
      <c r="J4480" s="9" t="str">
        <f>IFERROR(__xludf.DUMMYFUNCTION("GOOGLETRANSLATE($A4480,""en"",""pt-BR"")"),"Múrcia")</f>
        <v>Múrcia</v>
      </c>
    </row>
    <row r="4481">
      <c r="A4481" s="9" t="str">
        <f>IFERROR(__xludf.DUMMYFUNCTION("""COMPUTED_VALUE"""),"Navarra")</f>
        <v>Navarra</v>
      </c>
      <c r="B4481" s="9" t="str">
        <f>IFERROR(__xludf.DUMMYFUNCTION("""COMPUTED_VALUE"""),"es-na")</f>
        <v>es-na</v>
      </c>
      <c r="C4481" s="9" t="str">
        <f>IFERROR(__xludf.DUMMYFUNCTION("GOOGLETRANSLATE($A4481,""en"",""de"")"),"Navarra")</f>
        <v>Navarra</v>
      </c>
      <c r="D4481" s="9" t="str">
        <f>IFERROR(__xludf.DUMMYFUNCTION("GOOGLETRANSLATE($A4481,""en"",""fr"")"),"Navarre")</f>
        <v>Navarre</v>
      </c>
      <c r="E4481" s="9" t="str">
        <f>IFERROR(__xludf.DUMMYFUNCTION("GOOGLETRANSLATE($A4481,""en"",""es"")"),"Navarra")</f>
        <v>Navarra</v>
      </c>
      <c r="F4481" s="9" t="str">
        <f>IFERROR(__xludf.DUMMYFUNCTION("GOOGLETRANSLATE($A4481,""en"",""it"")"),"Navarra")</f>
        <v>Navarra</v>
      </c>
      <c r="G4481" s="9" t="str">
        <f>IFERROR(__xludf.DUMMYFUNCTION("GOOGLETRANSLATE($A4481,""en"",""zh-cn"")"),"纳瓦拉")</f>
        <v>纳瓦拉</v>
      </c>
      <c r="H4481" s="9" t="str">
        <f>IFERROR(__xludf.DUMMYFUNCTION("GOOGLETRANSLATE($A4481,""en"",""ja"")"),"ナバラ")</f>
        <v>ナバラ</v>
      </c>
      <c r="I4481" s="9" t="str">
        <f>IFERROR(__xludf.DUMMYFUNCTION("GOOGLETRANSLATE($A4481,""en"",""ko"")"),"나바라")</f>
        <v>나바라</v>
      </c>
      <c r="J4481" s="9" t="str">
        <f>IFERROR(__xludf.DUMMYFUNCTION("GOOGLETRANSLATE($A4481,""en"",""pt-BR"")"),"Navarra")</f>
        <v>Navarra</v>
      </c>
    </row>
    <row r="4482">
      <c r="A4482" s="9" t="str">
        <f>IFERROR(__xludf.DUMMYFUNCTION("""COMPUTED_VALUE"""),"Ourense")</f>
        <v>Ourense</v>
      </c>
      <c r="B4482" s="9" t="str">
        <f>IFERROR(__xludf.DUMMYFUNCTION("""COMPUTED_VALUE"""),"es-or")</f>
        <v>es-or</v>
      </c>
      <c r="C4482" s="9" t="str">
        <f>IFERROR(__xludf.DUMMYFUNCTION("GOOGLETRANSLATE($A4482,""en"",""de"")"),"Ourense")</f>
        <v>Ourense</v>
      </c>
      <c r="D4482" s="9" t="str">
        <f>IFERROR(__xludf.DUMMYFUNCTION("GOOGLETRANSLATE($A4482,""en"",""fr"")"),"Orense")</f>
        <v>Orense</v>
      </c>
      <c r="E4482" s="9" t="str">
        <f>IFERROR(__xludf.DUMMYFUNCTION("GOOGLETRANSLATE($A4482,""en"",""es"")"),"Orense")</f>
        <v>Orense</v>
      </c>
      <c r="F4482" s="9" t="str">
        <f>IFERROR(__xludf.DUMMYFUNCTION("GOOGLETRANSLATE($A4482,""en"",""it"")"),"Ourense")</f>
        <v>Ourense</v>
      </c>
      <c r="G4482" s="9" t="str">
        <f>IFERROR(__xludf.DUMMYFUNCTION("GOOGLETRANSLATE($A4482,""en"",""zh-cn"")"),"奥伦塞")</f>
        <v>奥伦塞</v>
      </c>
      <c r="H4482" s="9" t="str">
        <f>IFERROR(__xludf.DUMMYFUNCTION("GOOGLETRANSLATE($A4482,""en"",""ja"")"),"オウレンセ")</f>
        <v>オウレンセ</v>
      </c>
      <c r="I4482" s="9" t="str">
        <f>IFERROR(__xludf.DUMMYFUNCTION("GOOGLETRANSLATE($A4482,""en"",""ko"")"),"오렌세")</f>
        <v>오렌세</v>
      </c>
      <c r="J4482" s="9" t="str">
        <f>IFERROR(__xludf.DUMMYFUNCTION("GOOGLETRANSLATE($A4482,""en"",""pt-BR"")"),"Ourense")</f>
        <v>Ourense</v>
      </c>
    </row>
    <row r="4483">
      <c r="A4483" s="9" t="str">
        <f>IFERROR(__xludf.DUMMYFUNCTION("""COMPUTED_VALUE"""),"Palencia")</f>
        <v>Palencia</v>
      </c>
      <c r="B4483" s="9" t="str">
        <f>IFERROR(__xludf.DUMMYFUNCTION("""COMPUTED_VALUE"""),"es-p")</f>
        <v>es-p</v>
      </c>
      <c r="C4483" s="9" t="str">
        <f>IFERROR(__xludf.DUMMYFUNCTION("GOOGLETRANSLATE($A4483,""en"",""de"")"),"Palencia")</f>
        <v>Palencia</v>
      </c>
      <c r="D4483" s="9" t="str">
        <f>IFERROR(__xludf.DUMMYFUNCTION("GOOGLETRANSLATE($A4483,""en"",""fr"")"),"Palence")</f>
        <v>Palence</v>
      </c>
      <c r="E4483" s="9" t="str">
        <f>IFERROR(__xludf.DUMMYFUNCTION("GOOGLETRANSLATE($A4483,""en"",""es"")"),"Palencia")</f>
        <v>Palencia</v>
      </c>
      <c r="F4483" s="9" t="str">
        <f>IFERROR(__xludf.DUMMYFUNCTION("GOOGLETRANSLATE($A4483,""en"",""it"")"),"Palencia")</f>
        <v>Palencia</v>
      </c>
      <c r="G4483" s="9" t="str">
        <f>IFERROR(__xludf.DUMMYFUNCTION("GOOGLETRANSLATE($A4483,""en"",""zh-cn"")"),"帕伦西亚")</f>
        <v>帕伦西亚</v>
      </c>
      <c r="H4483" s="9" t="str">
        <f>IFERROR(__xludf.DUMMYFUNCTION("GOOGLETRANSLATE($A4483,""en"",""ja"")"),"パレンシア")</f>
        <v>パレンシア</v>
      </c>
      <c r="I4483" s="9" t="str">
        <f>IFERROR(__xludf.DUMMYFUNCTION("GOOGLETRANSLATE($A4483,""en"",""ko"")"),"팔렌시아")</f>
        <v>팔렌시아</v>
      </c>
      <c r="J4483" s="9" t="str">
        <f>IFERROR(__xludf.DUMMYFUNCTION("GOOGLETRANSLATE($A4483,""en"",""pt-BR"")"),"Palência")</f>
        <v>Palência</v>
      </c>
    </row>
    <row r="4484">
      <c r="A4484" s="9" t="str">
        <f>IFERROR(__xludf.DUMMYFUNCTION("""COMPUTED_VALUE"""),"Lleida")</f>
        <v>Lleida</v>
      </c>
      <c r="B4484" s="9" t="str">
        <f>IFERROR(__xludf.DUMMYFUNCTION("""COMPUTED_VALUE"""),"es-l")</f>
        <v>es-l</v>
      </c>
      <c r="C4484" s="9" t="str">
        <f>IFERROR(__xludf.DUMMYFUNCTION("GOOGLETRANSLATE($A4484,""en"",""de"")"),"Lleida")</f>
        <v>Lleida</v>
      </c>
      <c r="D4484" s="9" t="str">
        <f>IFERROR(__xludf.DUMMYFUNCTION("GOOGLETRANSLATE($A4484,""en"",""fr"")"),"Lérida")</f>
        <v>Lérida</v>
      </c>
      <c r="E4484" s="9" t="str">
        <f>IFERROR(__xludf.DUMMYFUNCTION("GOOGLETRANSLATE($A4484,""en"",""es"")"),"Lérida")</f>
        <v>Lérida</v>
      </c>
      <c r="F4484" s="9" t="str">
        <f>IFERROR(__xludf.DUMMYFUNCTION("GOOGLETRANSLATE($A4484,""en"",""it"")"),"Lleida")</f>
        <v>Lleida</v>
      </c>
      <c r="G4484" s="9" t="str">
        <f>IFERROR(__xludf.DUMMYFUNCTION("GOOGLETRANSLATE($A4484,""en"",""zh-cn"")"),"莱里达")</f>
        <v>莱里达</v>
      </c>
      <c r="H4484" s="9" t="str">
        <f>IFERROR(__xludf.DUMMYFUNCTION("GOOGLETRANSLATE($A4484,""en"",""ja"")"),"リェイダ")</f>
        <v>リェイダ</v>
      </c>
      <c r="I4484" s="9" t="str">
        <f>IFERROR(__xludf.DUMMYFUNCTION("GOOGLETRANSLATE($A4484,""en"",""ko"")"),"레이다")</f>
        <v>레이다</v>
      </c>
      <c r="J4484" s="9" t="str">
        <f>IFERROR(__xludf.DUMMYFUNCTION("GOOGLETRANSLATE($A4484,""en"",""pt-BR"")"),"Lérida")</f>
        <v>Lérida</v>
      </c>
    </row>
    <row r="4485">
      <c r="A4485" s="9" t="str">
        <f>IFERROR(__xludf.DUMMYFUNCTION("""COMPUTED_VALUE"""),"Lugo")</f>
        <v>Lugo</v>
      </c>
      <c r="B4485" s="9" t="str">
        <f>IFERROR(__xludf.DUMMYFUNCTION("""COMPUTED_VALUE"""),"es-lu")</f>
        <v>es-lu</v>
      </c>
      <c r="C4485" s="9" t="str">
        <f>IFERROR(__xludf.DUMMYFUNCTION("GOOGLETRANSLATE($A4485,""en"",""de"")"),"Lugo")</f>
        <v>Lugo</v>
      </c>
      <c r="D4485" s="9" t="str">
        <f>IFERROR(__xludf.DUMMYFUNCTION("GOOGLETRANSLATE($A4485,""en"",""fr"")"),"Lugo")</f>
        <v>Lugo</v>
      </c>
      <c r="E4485" s="9" t="str">
        <f>IFERROR(__xludf.DUMMYFUNCTION("GOOGLETRANSLATE($A4485,""en"",""es"")"),"lugo")</f>
        <v>lugo</v>
      </c>
      <c r="F4485" s="9" t="str">
        <f>IFERROR(__xludf.DUMMYFUNCTION("GOOGLETRANSLATE($A4485,""en"",""it"")"),"Lugo")</f>
        <v>Lugo</v>
      </c>
      <c r="G4485" s="9" t="str">
        <f>IFERROR(__xludf.DUMMYFUNCTION("GOOGLETRANSLATE($A4485,""en"",""zh-cn"")"),"卢戈")</f>
        <v>卢戈</v>
      </c>
      <c r="H4485" s="9" t="str">
        <f>IFERROR(__xludf.DUMMYFUNCTION("GOOGLETRANSLATE($A4485,""en"",""ja"")"),"ルーゴ")</f>
        <v>ルーゴ</v>
      </c>
      <c r="I4485" s="9" t="str">
        <f>IFERROR(__xludf.DUMMYFUNCTION("GOOGLETRANSLATE($A4485,""en"",""ko"")"),"루고")</f>
        <v>루고</v>
      </c>
      <c r="J4485" s="9" t="str">
        <f>IFERROR(__xludf.DUMMYFUNCTION("GOOGLETRANSLATE($A4485,""en"",""pt-BR"")"),"Lugo")</f>
        <v>Lugo</v>
      </c>
    </row>
    <row r="4486">
      <c r="A4486" s="9" t="str">
        <f>IFERROR(__xludf.DUMMYFUNCTION("""COMPUTED_VALUE"""),"Madrid")</f>
        <v>Madrid</v>
      </c>
      <c r="B4486" s="9" t="str">
        <f>IFERROR(__xludf.DUMMYFUNCTION("""COMPUTED_VALUE"""),"es-m")</f>
        <v>es-m</v>
      </c>
      <c r="C4486" s="9" t="str">
        <f>IFERROR(__xludf.DUMMYFUNCTION("GOOGLETRANSLATE($A4486,""en"",""de"")"),"Madrid")</f>
        <v>Madrid</v>
      </c>
      <c r="D4486" s="9" t="str">
        <f>IFERROR(__xludf.DUMMYFUNCTION("GOOGLETRANSLATE($A4486,""en"",""fr"")"),"Madrid")</f>
        <v>Madrid</v>
      </c>
      <c r="E4486" s="9" t="str">
        <f>IFERROR(__xludf.DUMMYFUNCTION("GOOGLETRANSLATE($A4486,""en"",""es"")"),"Madrid")</f>
        <v>Madrid</v>
      </c>
      <c r="F4486" s="9" t="str">
        <f>IFERROR(__xludf.DUMMYFUNCTION("GOOGLETRANSLATE($A4486,""en"",""it"")"),"Madrid")</f>
        <v>Madrid</v>
      </c>
      <c r="G4486" s="9" t="str">
        <f>IFERROR(__xludf.DUMMYFUNCTION("GOOGLETRANSLATE($A4486,""en"",""zh-cn"")"),"马德里")</f>
        <v>马德里</v>
      </c>
      <c r="H4486" s="9" t="str">
        <f>IFERROR(__xludf.DUMMYFUNCTION("GOOGLETRANSLATE($A4486,""en"",""ja"")"),"マドリッド")</f>
        <v>マドリッド</v>
      </c>
      <c r="I4486" s="9" t="str">
        <f>IFERROR(__xludf.DUMMYFUNCTION("GOOGLETRANSLATE($A4486,""en"",""ko"")"),"마드리드")</f>
        <v>마드리드</v>
      </c>
      <c r="J4486" s="9" t="str">
        <f>IFERROR(__xludf.DUMMYFUNCTION("GOOGLETRANSLATE($A4486,""en"",""pt-BR"")"),"Madri")</f>
        <v>Madri</v>
      </c>
    </row>
    <row r="4487">
      <c r="A4487" s="9" t="str">
        <f>IFERROR(__xludf.DUMMYFUNCTION("""COMPUTED_VALUE"""),"Málaga")</f>
        <v>Málaga</v>
      </c>
      <c r="B4487" s="9" t="str">
        <f>IFERROR(__xludf.DUMMYFUNCTION("""COMPUTED_VALUE"""),"es-ma")</f>
        <v>es-ma</v>
      </c>
      <c r="C4487" s="9" t="str">
        <f>IFERROR(__xludf.DUMMYFUNCTION("GOOGLETRANSLATE($A4487,""en"",""de"")"),"Málaga")</f>
        <v>Málaga</v>
      </c>
      <c r="D4487" s="9" t="str">
        <f>IFERROR(__xludf.DUMMYFUNCTION("GOOGLETRANSLATE($A4487,""en"",""fr"")"),"Malaga")</f>
        <v>Malaga</v>
      </c>
      <c r="E4487" s="9" t="str">
        <f>IFERROR(__xludf.DUMMYFUNCTION("GOOGLETRANSLATE($A4487,""en"",""es"")"),"Málaga")</f>
        <v>Málaga</v>
      </c>
      <c r="F4487" s="9" t="str">
        <f>IFERROR(__xludf.DUMMYFUNCTION("GOOGLETRANSLATE($A4487,""en"",""it"")"),"Malaga")</f>
        <v>Malaga</v>
      </c>
      <c r="G4487" s="9" t="str">
        <f>IFERROR(__xludf.DUMMYFUNCTION("GOOGLETRANSLATE($A4487,""en"",""zh-cn"")"),"马拉加")</f>
        <v>马拉加</v>
      </c>
      <c r="H4487" s="9" t="str">
        <f>IFERROR(__xludf.DUMMYFUNCTION("GOOGLETRANSLATE($A4487,""en"",""ja"")"),"マラガ")</f>
        <v>マラガ</v>
      </c>
      <c r="I4487" s="9" t="str">
        <f>IFERROR(__xludf.DUMMYFUNCTION("GOOGLETRANSLATE($A4487,""en"",""ko"")"),"말라가")</f>
        <v>말라가</v>
      </c>
      <c r="J4487" s="9" t="str">
        <f>IFERROR(__xludf.DUMMYFUNCTION("GOOGLETRANSLATE($A4487,""en"",""pt-BR"")"),"Málaga")</f>
        <v>Málaga</v>
      </c>
    </row>
    <row r="4488">
      <c r="A4488" s="9" t="str">
        <f>IFERROR(__xludf.DUMMYFUNCTION("""COMPUTED_VALUE"""),"Jaén")</f>
        <v>Jaén</v>
      </c>
      <c r="B4488" s="9" t="str">
        <f>IFERROR(__xludf.DUMMYFUNCTION("""COMPUTED_VALUE"""),"es-j")</f>
        <v>es-j</v>
      </c>
      <c r="C4488" s="9" t="str">
        <f>IFERROR(__xludf.DUMMYFUNCTION("GOOGLETRANSLATE($A4488,""en"",""de"")"),"Jaén")</f>
        <v>Jaén</v>
      </c>
      <c r="D4488" s="9" t="str">
        <f>IFERROR(__xludf.DUMMYFUNCTION("GOOGLETRANSLATE($A4488,""en"",""fr"")"),"Jaén")</f>
        <v>Jaén</v>
      </c>
      <c r="E4488" s="9" t="str">
        <f>IFERROR(__xludf.DUMMYFUNCTION("GOOGLETRANSLATE($A4488,""en"",""es"")"),"Jaén")</f>
        <v>Jaén</v>
      </c>
      <c r="F4488" s="9" t="str">
        <f>IFERROR(__xludf.DUMMYFUNCTION("GOOGLETRANSLATE($A4488,""en"",""it"")"),"Jaén")</f>
        <v>Jaén</v>
      </c>
      <c r="G4488" s="9" t="str">
        <f>IFERROR(__xludf.DUMMYFUNCTION("GOOGLETRANSLATE($A4488,""en"",""zh-cn"")"),"哈恩")</f>
        <v>哈恩</v>
      </c>
      <c r="H4488" s="9" t="str">
        <f>IFERROR(__xludf.DUMMYFUNCTION("GOOGLETRANSLATE($A4488,""en"",""ja"")"),"ハエン")</f>
        <v>ハエン</v>
      </c>
      <c r="I4488" s="9" t="str">
        <f>IFERROR(__xludf.DUMMYFUNCTION("GOOGLETRANSLATE($A4488,""en"",""ko"")"),"하엔")</f>
        <v>하엔</v>
      </c>
      <c r="J4488" s="9" t="str">
        <f>IFERROR(__xludf.DUMMYFUNCTION("GOOGLETRANSLATE($A4488,""en"",""pt-BR"")"),"Jaén")</f>
        <v>Jaén</v>
      </c>
    </row>
    <row r="4489">
      <c r="A4489" s="9" t="str">
        <f>IFERROR(__xludf.DUMMYFUNCTION("""COMPUTED_VALUE"""),"La Rioja (Province)")</f>
        <v>La Rioja (Province)</v>
      </c>
      <c r="B4489" s="9" t="str">
        <f>IFERROR(__xludf.DUMMYFUNCTION("""COMPUTED_VALUE"""),"es-lo")</f>
        <v>es-lo</v>
      </c>
      <c r="C4489" s="9" t="str">
        <f>IFERROR(__xludf.DUMMYFUNCTION("GOOGLETRANSLATE($A4489,""en"",""de"")"),"La Rioja (Provinz)")</f>
        <v>La Rioja (Provinz)</v>
      </c>
      <c r="D4489" s="9" t="str">
        <f>IFERROR(__xludf.DUMMYFUNCTION("GOOGLETRANSLATE($A4489,""en"",""fr"")"),"La Rioja (Province)")</f>
        <v>La Rioja (Province)</v>
      </c>
      <c r="E4489" s="9" t="str">
        <f>IFERROR(__xludf.DUMMYFUNCTION("GOOGLETRANSLATE($A4489,""en"",""es"")"),"La Rioja (Provincia)")</f>
        <v>La Rioja (Provincia)</v>
      </c>
      <c r="F4489" s="9" t="str">
        <f>IFERROR(__xludf.DUMMYFUNCTION("GOOGLETRANSLATE($A4489,""en"",""it"")"),"La Rioja (Provincia)")</f>
        <v>La Rioja (Provincia)</v>
      </c>
      <c r="G4489" s="9" t="str">
        <f>IFERROR(__xludf.DUMMYFUNCTION("GOOGLETRANSLATE($A4489,""en"",""zh-cn"")"),"拉里奥哈省（省）")</f>
        <v>拉里奥哈省（省）</v>
      </c>
      <c r="H4489" s="9" t="str">
        <f>IFERROR(__xludf.DUMMYFUNCTION("GOOGLETRANSLATE($A4489,""en"",""ja"")"),"ラ・リオハ州 (州)")</f>
        <v>ラ・リオハ州 (州)</v>
      </c>
      <c r="I4489" s="9" t="str">
        <f>IFERROR(__xludf.DUMMYFUNCTION("GOOGLETRANSLATE($A4489,""en"",""ko"")"),"라리오하(주)")</f>
        <v>라리오하(주)</v>
      </c>
      <c r="J4489" s="9" t="str">
        <f>IFERROR(__xludf.DUMMYFUNCTION("GOOGLETRANSLATE($A4489,""en"",""pt-BR"")"),"La Rioja (Província)")</f>
        <v>La Rioja (Província)</v>
      </c>
    </row>
    <row r="4490">
      <c r="A4490" s="9" t="str">
        <f>IFERROR(__xludf.DUMMYFUNCTION("""COMPUTED_VALUE"""),"Las Palmas")</f>
        <v>Las Palmas</v>
      </c>
      <c r="B4490" s="9" t="str">
        <f>IFERROR(__xludf.DUMMYFUNCTION("""COMPUTED_VALUE"""),"es-gc")</f>
        <v>es-gc</v>
      </c>
      <c r="C4490" s="9" t="str">
        <f>IFERROR(__xludf.DUMMYFUNCTION("GOOGLETRANSLATE($A4490,""en"",""de"")"),"Las Palmas")</f>
        <v>Las Palmas</v>
      </c>
      <c r="D4490" s="9" t="str">
        <f>IFERROR(__xludf.DUMMYFUNCTION("GOOGLETRANSLATE($A4490,""en"",""fr"")"),"Las Palmas")</f>
        <v>Las Palmas</v>
      </c>
      <c r="E4490" s="9" t="str">
        <f>IFERROR(__xludf.DUMMYFUNCTION("GOOGLETRANSLATE($A4490,""en"",""es"")"),"Las Palmas")</f>
        <v>Las Palmas</v>
      </c>
      <c r="F4490" s="9" t="str">
        <f>IFERROR(__xludf.DUMMYFUNCTION("GOOGLETRANSLATE($A4490,""en"",""it"")"),"Las Palmas")</f>
        <v>Las Palmas</v>
      </c>
      <c r="G4490" s="9" t="str">
        <f>IFERROR(__xludf.DUMMYFUNCTION("GOOGLETRANSLATE($A4490,""en"",""zh-cn"")"),"拉斯帕尔马斯")</f>
        <v>拉斯帕尔马斯</v>
      </c>
      <c r="H4490" s="9" t="str">
        <f>IFERROR(__xludf.DUMMYFUNCTION("GOOGLETRANSLATE($A4490,""en"",""ja"")"),"ラスパルマス")</f>
        <v>ラスパルマス</v>
      </c>
      <c r="I4490" s="9" t="str">
        <f>IFERROR(__xludf.DUMMYFUNCTION("GOOGLETRANSLATE($A4490,""en"",""ko"")"),"라스 팔마스")</f>
        <v>라스 팔마스</v>
      </c>
      <c r="J4490" s="9" t="str">
        <f>IFERROR(__xludf.DUMMYFUNCTION("GOOGLETRANSLATE($A4490,""en"",""pt-BR"")"),"Las Palmas")</f>
        <v>Las Palmas</v>
      </c>
    </row>
    <row r="4491">
      <c r="A4491" s="9" t="str">
        <f>IFERROR(__xludf.DUMMYFUNCTION("""COMPUTED_VALUE"""),"León (ES)")</f>
        <v>León (ES)</v>
      </c>
      <c r="B4491" s="9" t="str">
        <f>IFERROR(__xludf.DUMMYFUNCTION("""COMPUTED_VALUE"""),"es-le")</f>
        <v>es-le</v>
      </c>
      <c r="C4491" s="9" t="str">
        <f>IFERROR(__xludf.DUMMYFUNCTION("GOOGLETRANSLATE($A4491,""en"",""de"")"),"León (ES)")</f>
        <v>León (ES)</v>
      </c>
      <c r="D4491" s="9" t="str">
        <f>IFERROR(__xludf.DUMMYFUNCTION("GOOGLETRANSLATE($A4491,""en"",""fr"")"),"Léon (ES)")</f>
        <v>Léon (ES)</v>
      </c>
      <c r="E4491" s="9" t="str">
        <f>IFERROR(__xludf.DUMMYFUNCTION("GOOGLETRANSLATE($A4491,""en"",""es"")"),"León (ES)")</f>
        <v>León (ES)</v>
      </c>
      <c r="F4491" s="9" t="str">
        <f>IFERROR(__xludf.DUMMYFUNCTION("GOOGLETRANSLATE($A4491,""en"",""it"")"),"León (ES)")</f>
        <v>León (ES)</v>
      </c>
      <c r="G4491" s="9" t="str">
        <f>IFERROR(__xludf.DUMMYFUNCTION("GOOGLETRANSLATE($A4491,""en"",""zh-cn"")"),"莱昂 (西班牙)")</f>
        <v>莱昂 (西班牙)</v>
      </c>
      <c r="H4491" s="9" t="str">
        <f>IFERROR(__xludf.DUMMYFUNCTION("GOOGLETRANSLATE($A4491,""en"",""ja"")"),"レオン (ES)")</f>
        <v>レオン (ES)</v>
      </c>
      <c r="I4491" s="9" t="str">
        <f>IFERROR(__xludf.DUMMYFUNCTION("GOOGLETRANSLATE($A4491,""en"",""ko"")"),"레온 (ES)")</f>
        <v>레온 (ES)</v>
      </c>
      <c r="J4491" s="9" t="str">
        <f>IFERROR(__xludf.DUMMYFUNCTION("GOOGLETRANSLATE($A4491,""en"",""pt-BR"")"),"Leão (ES)")</f>
        <v>Leão (ES)</v>
      </c>
    </row>
    <row r="4492">
      <c r="A4492" s="9" t="str">
        <f>IFERROR(__xludf.DUMMYFUNCTION("""COMPUTED_VALUE"""),"Zamora")</f>
        <v>Zamora</v>
      </c>
      <c r="B4492" s="9" t="str">
        <f>IFERROR(__xludf.DUMMYFUNCTION("""COMPUTED_VALUE"""),"es-za")</f>
        <v>es-za</v>
      </c>
      <c r="C4492" s="9" t="str">
        <f>IFERROR(__xludf.DUMMYFUNCTION("GOOGLETRANSLATE($A4492,""en"",""de"")"),"Zamora")</f>
        <v>Zamora</v>
      </c>
      <c r="D4492" s="9" t="str">
        <f>IFERROR(__xludf.DUMMYFUNCTION("GOOGLETRANSLATE($A4492,""en"",""fr"")"),"Zamora")</f>
        <v>Zamora</v>
      </c>
      <c r="E4492" s="9" t="str">
        <f>IFERROR(__xludf.DUMMYFUNCTION("GOOGLETRANSLATE($A4492,""en"",""es"")"),"Zamora")</f>
        <v>Zamora</v>
      </c>
      <c r="F4492" s="9" t="str">
        <f>IFERROR(__xludf.DUMMYFUNCTION("GOOGLETRANSLATE($A4492,""en"",""it"")"),"Zamora")</f>
        <v>Zamora</v>
      </c>
      <c r="G4492" s="9" t="str">
        <f>IFERROR(__xludf.DUMMYFUNCTION("GOOGLETRANSLATE($A4492,""en"",""zh-cn"")"),"萨莫拉")</f>
        <v>萨莫拉</v>
      </c>
      <c r="H4492" s="9" t="str">
        <f>IFERROR(__xludf.DUMMYFUNCTION("GOOGLETRANSLATE($A4492,""en"",""ja"")"),"サモラ")</f>
        <v>サモラ</v>
      </c>
      <c r="I4492" s="9" t="str">
        <f>IFERROR(__xludf.DUMMYFUNCTION("GOOGLETRANSLATE($A4492,""en"",""ko"")"),"사모라")</f>
        <v>사모라</v>
      </c>
      <c r="J4492" s="9" t="str">
        <f>IFERROR(__xludf.DUMMYFUNCTION("GOOGLETRANSLATE($A4492,""en"",""pt-BR"")"),"Zamora")</f>
        <v>Zamora</v>
      </c>
    </row>
    <row r="4493">
      <c r="A4493" s="9" t="str">
        <f>IFERROR(__xludf.DUMMYFUNCTION("""COMPUTED_VALUE"""),"Zaragoza")</f>
        <v>Zaragoza</v>
      </c>
      <c r="B4493" s="9" t="str">
        <f>IFERROR(__xludf.DUMMYFUNCTION("""COMPUTED_VALUE"""),"es-z")</f>
        <v>es-z</v>
      </c>
      <c r="C4493" s="9" t="str">
        <f>IFERROR(__xludf.DUMMYFUNCTION("GOOGLETRANSLATE($A4493,""en"",""de"")"),"Saragossa")</f>
        <v>Saragossa</v>
      </c>
      <c r="D4493" s="9" t="str">
        <f>IFERROR(__xludf.DUMMYFUNCTION("GOOGLETRANSLATE($A4493,""en"",""fr"")"),"Saragosse")</f>
        <v>Saragosse</v>
      </c>
      <c r="E4493" s="9" t="str">
        <f>IFERROR(__xludf.DUMMYFUNCTION("GOOGLETRANSLATE($A4493,""en"",""es"")"),"zaragoza")</f>
        <v>zaragoza</v>
      </c>
      <c r="F4493" s="9" t="str">
        <f>IFERROR(__xludf.DUMMYFUNCTION("GOOGLETRANSLATE($A4493,""en"",""it"")"),"Saragozza")</f>
        <v>Saragozza</v>
      </c>
      <c r="G4493" s="9" t="str">
        <f>IFERROR(__xludf.DUMMYFUNCTION("GOOGLETRANSLATE($A4493,""en"",""zh-cn"")"),"萨拉戈萨")</f>
        <v>萨拉戈萨</v>
      </c>
      <c r="H4493" s="9" t="str">
        <f>IFERROR(__xludf.DUMMYFUNCTION("GOOGLETRANSLATE($A4493,""en"",""ja"")"),"サラゴサ")</f>
        <v>サラゴサ</v>
      </c>
      <c r="I4493" s="9" t="str">
        <f>IFERROR(__xludf.DUMMYFUNCTION("GOOGLETRANSLATE($A4493,""en"",""ko"")"),"사라고사")</f>
        <v>사라고사</v>
      </c>
      <c r="J4493" s="9" t="str">
        <f>IFERROR(__xludf.DUMMYFUNCTION("GOOGLETRANSLATE($A4493,""en"",""pt-BR"")"),"Saragoça")</f>
        <v>Saragoça</v>
      </c>
    </row>
    <row r="4494">
      <c r="A4494" s="9" t="str">
        <f>IFERROR(__xludf.DUMMYFUNCTION("""COMPUTED_VALUE"""),"Toledo (ES)")</f>
        <v>Toledo (ES)</v>
      </c>
      <c r="B4494" s="9" t="str">
        <f>IFERROR(__xludf.DUMMYFUNCTION("""COMPUTED_VALUE"""),"es-to")</f>
        <v>es-to</v>
      </c>
      <c r="C4494" s="9" t="str">
        <f>IFERROR(__xludf.DUMMYFUNCTION("GOOGLETRANSLATE($A4494,""en"",""de"")"),"Toledo (ES)")</f>
        <v>Toledo (ES)</v>
      </c>
      <c r="D4494" s="9" t="str">
        <f>IFERROR(__xludf.DUMMYFUNCTION("GOOGLETRANSLATE($A4494,""en"",""fr"")"),"Tolède (ES)")</f>
        <v>Tolède (ES)</v>
      </c>
      <c r="E4494" s="9" t="str">
        <f>IFERROR(__xludf.DUMMYFUNCTION("GOOGLETRANSLATE($A4494,""en"",""es"")"),"Toledo (ES)")</f>
        <v>Toledo (ES)</v>
      </c>
      <c r="F4494" s="9" t="str">
        <f>IFERROR(__xludf.DUMMYFUNCTION("GOOGLETRANSLATE($A4494,""en"",""it"")"),"Toledo (ES)")</f>
        <v>Toledo (ES)</v>
      </c>
      <c r="G4494" s="9" t="str">
        <f>IFERROR(__xludf.DUMMYFUNCTION("GOOGLETRANSLATE($A4494,""en"",""zh-cn"")"),"托莱多 (西班牙)")</f>
        <v>托莱多 (西班牙)</v>
      </c>
      <c r="H4494" s="9" t="str">
        <f>IFERROR(__xludf.DUMMYFUNCTION("GOOGLETRANSLATE($A4494,""en"",""ja"")"),"トレド (ES)")</f>
        <v>トレド (ES)</v>
      </c>
      <c r="I4494" s="9" t="str">
        <f>IFERROR(__xludf.DUMMYFUNCTION("GOOGLETRANSLATE($A4494,""en"",""ko"")"),"톨레도(ES)")</f>
        <v>톨레도(ES)</v>
      </c>
      <c r="J4494" s="9" t="str">
        <f>IFERROR(__xludf.DUMMYFUNCTION("GOOGLETRANSLATE($A4494,""en"",""pt-BR"")"),"Toledo (ES)")</f>
        <v>Toledo (ES)</v>
      </c>
    </row>
    <row r="4495">
      <c r="A4495" s="9" t="str">
        <f>IFERROR(__xludf.DUMMYFUNCTION("""COMPUTED_VALUE"""),"Valencia")</f>
        <v>Valencia</v>
      </c>
      <c r="B4495" s="9" t="str">
        <f>IFERROR(__xludf.DUMMYFUNCTION("""COMPUTED_VALUE"""),"es-v")</f>
        <v>es-v</v>
      </c>
      <c r="C4495" s="9" t="str">
        <f>IFERROR(__xludf.DUMMYFUNCTION("GOOGLETRANSLATE($A4495,""en"",""de"")"),"Valencia")</f>
        <v>Valencia</v>
      </c>
      <c r="D4495" s="9" t="str">
        <f>IFERROR(__xludf.DUMMYFUNCTION("GOOGLETRANSLATE($A4495,""en"",""fr"")"),"Valence")</f>
        <v>Valence</v>
      </c>
      <c r="E4495" s="9" t="str">
        <f>IFERROR(__xludf.DUMMYFUNCTION("GOOGLETRANSLATE($A4495,""en"",""es"")"),"Valencia")</f>
        <v>Valencia</v>
      </c>
      <c r="F4495" s="9" t="str">
        <f>IFERROR(__xludf.DUMMYFUNCTION("GOOGLETRANSLATE($A4495,""en"",""it"")"),"Valenza")</f>
        <v>Valenza</v>
      </c>
      <c r="G4495" s="9" t="str">
        <f>IFERROR(__xludf.DUMMYFUNCTION("GOOGLETRANSLATE($A4495,""en"",""zh-cn"")"),"巴伦西亚")</f>
        <v>巴伦西亚</v>
      </c>
      <c r="H4495" s="9" t="str">
        <f>IFERROR(__xludf.DUMMYFUNCTION("GOOGLETRANSLATE($A4495,""en"",""ja"")"),"バレンシア")</f>
        <v>バレンシア</v>
      </c>
      <c r="I4495" s="9" t="str">
        <f>IFERROR(__xludf.DUMMYFUNCTION("GOOGLETRANSLATE($A4495,""en"",""ko"")"),"발렌시아")</f>
        <v>발렌시아</v>
      </c>
      <c r="J4495" s="9" t="str">
        <f>IFERROR(__xludf.DUMMYFUNCTION("GOOGLETRANSLATE($A4495,""en"",""pt-BR"")"),"Valência")</f>
        <v>Valência</v>
      </c>
    </row>
    <row r="4496">
      <c r="A4496" s="9" t="str">
        <f>IFERROR(__xludf.DUMMYFUNCTION("""COMPUTED_VALUE"""),"Valladolid")</f>
        <v>Valladolid</v>
      </c>
      <c r="B4496" s="9" t="str">
        <f>IFERROR(__xludf.DUMMYFUNCTION("""COMPUTED_VALUE"""),"es-va")</f>
        <v>es-va</v>
      </c>
      <c r="C4496" s="9" t="str">
        <f>IFERROR(__xludf.DUMMYFUNCTION("GOOGLETRANSLATE($A4496,""en"",""de"")"),"Valladolid")</f>
        <v>Valladolid</v>
      </c>
      <c r="D4496" s="9" t="str">
        <f>IFERROR(__xludf.DUMMYFUNCTION("GOOGLETRANSLATE($A4496,""en"",""fr"")"),"Valladolid")</f>
        <v>Valladolid</v>
      </c>
      <c r="E4496" s="9" t="str">
        <f>IFERROR(__xludf.DUMMYFUNCTION("GOOGLETRANSLATE($A4496,""en"",""es"")"),"Valladolid")</f>
        <v>Valladolid</v>
      </c>
      <c r="F4496" s="9" t="str">
        <f>IFERROR(__xludf.DUMMYFUNCTION("GOOGLETRANSLATE($A4496,""en"",""it"")"),"Valladolid")</f>
        <v>Valladolid</v>
      </c>
      <c r="G4496" s="9" t="str">
        <f>IFERROR(__xludf.DUMMYFUNCTION("GOOGLETRANSLATE($A4496,""en"",""zh-cn"")"),"巴利亚多利德")</f>
        <v>巴利亚多利德</v>
      </c>
      <c r="H4496" s="9" t="str">
        <f>IFERROR(__xludf.DUMMYFUNCTION("GOOGLETRANSLATE($A4496,""en"",""ja"")"),"バリャドリッド")</f>
        <v>バリャドリッド</v>
      </c>
      <c r="I4496" s="9" t="str">
        <f>IFERROR(__xludf.DUMMYFUNCTION("GOOGLETRANSLATE($A4496,""en"",""ko"")"),"바야돌리드")</f>
        <v>바야돌리드</v>
      </c>
      <c r="J4496" s="9" t="str">
        <f>IFERROR(__xludf.DUMMYFUNCTION("GOOGLETRANSLATE($A4496,""en"",""pt-BR"")"),"Valladolid")</f>
        <v>Valladolid</v>
      </c>
    </row>
    <row r="4497">
      <c r="A4497" s="9" t="str">
        <f>IFERROR(__xludf.DUMMYFUNCTION("""COMPUTED_VALUE"""),"Vizcaya")</f>
        <v>Vizcaya</v>
      </c>
      <c r="B4497" s="9" t="str">
        <f>IFERROR(__xludf.DUMMYFUNCTION("""COMPUTED_VALUE"""),"es-bi")</f>
        <v>es-bi</v>
      </c>
      <c r="C4497" s="9" t="str">
        <f>IFERROR(__xludf.DUMMYFUNCTION("GOOGLETRANSLATE($A4497,""en"",""de"")"),"Vizcaya")</f>
        <v>Vizcaya</v>
      </c>
      <c r="D4497" s="9" t="str">
        <f>IFERROR(__xludf.DUMMYFUNCTION("GOOGLETRANSLATE($A4497,""en"",""fr"")"),"Biscaye")</f>
        <v>Biscaye</v>
      </c>
      <c r="E4497" s="9" t="str">
        <f>IFERROR(__xludf.DUMMYFUNCTION("GOOGLETRANSLATE($A4497,""en"",""es"")"),"vizcaya")</f>
        <v>vizcaya</v>
      </c>
      <c r="F4497" s="9" t="str">
        <f>IFERROR(__xludf.DUMMYFUNCTION("GOOGLETRANSLATE($A4497,""en"",""it"")"),"Biscaglia")</f>
        <v>Biscaglia</v>
      </c>
      <c r="G4497" s="9" t="str">
        <f>IFERROR(__xludf.DUMMYFUNCTION("GOOGLETRANSLATE($A4497,""en"",""zh-cn"")"),"比斯开")</f>
        <v>比斯开</v>
      </c>
      <c r="H4497" s="9" t="str">
        <f>IFERROR(__xludf.DUMMYFUNCTION("GOOGLETRANSLATE($A4497,""en"",""ja"")"),"ビスカヤ")</f>
        <v>ビスカヤ</v>
      </c>
      <c r="I4497" s="9" t="str">
        <f>IFERROR(__xludf.DUMMYFUNCTION("GOOGLETRANSLATE($A4497,""en"",""ko"")"),"비즈카야")</f>
        <v>비즈카야</v>
      </c>
      <c r="J4497" s="9" t="str">
        <f>IFERROR(__xludf.DUMMYFUNCTION("GOOGLETRANSLATE($A4497,""en"",""pt-BR"")"),"Biscaia")</f>
        <v>Biscaia</v>
      </c>
    </row>
    <row r="4498">
      <c r="A4498" s="9" t="str">
        <f>IFERROR(__xludf.DUMMYFUNCTION("""COMPUTED_VALUE"""),"Sevilla")</f>
        <v>Sevilla</v>
      </c>
      <c r="B4498" s="9" t="str">
        <f>IFERROR(__xludf.DUMMYFUNCTION("""COMPUTED_VALUE"""),"es-se")</f>
        <v>es-se</v>
      </c>
      <c r="C4498" s="9" t="str">
        <f>IFERROR(__xludf.DUMMYFUNCTION("GOOGLETRANSLATE($A4498,""en"",""de"")"),"Sevilla")</f>
        <v>Sevilla</v>
      </c>
      <c r="D4498" s="9" t="str">
        <f>IFERROR(__xludf.DUMMYFUNCTION("GOOGLETRANSLATE($A4498,""en"",""fr"")"),"Séville")</f>
        <v>Séville</v>
      </c>
      <c r="E4498" s="9" t="str">
        <f>IFERROR(__xludf.DUMMYFUNCTION("GOOGLETRANSLATE($A4498,""en"",""es"")"),"Sevilla")</f>
        <v>Sevilla</v>
      </c>
      <c r="F4498" s="9" t="str">
        <f>IFERROR(__xludf.DUMMYFUNCTION("GOOGLETRANSLATE($A4498,""en"",""it"")"),"Siviglia")</f>
        <v>Siviglia</v>
      </c>
      <c r="G4498" s="9" t="str">
        <f>IFERROR(__xludf.DUMMYFUNCTION("GOOGLETRANSLATE($A4498,""en"",""zh-cn"")"),"塞维利亚")</f>
        <v>塞维利亚</v>
      </c>
      <c r="H4498" s="9" t="str">
        <f>IFERROR(__xludf.DUMMYFUNCTION("GOOGLETRANSLATE($A4498,""en"",""ja"")"),"セビリア")</f>
        <v>セビリア</v>
      </c>
      <c r="I4498" s="9" t="str">
        <f>IFERROR(__xludf.DUMMYFUNCTION("GOOGLETRANSLATE($A4498,""en"",""ko"")"),"세비야")</f>
        <v>세비야</v>
      </c>
      <c r="J4498" s="9" t="str">
        <f>IFERROR(__xludf.DUMMYFUNCTION("GOOGLETRANSLATE($A4498,""en"",""pt-BR"")"),"Sevilha")</f>
        <v>Sevilha</v>
      </c>
    </row>
    <row r="4499">
      <c r="A4499" s="9" t="str">
        <f>IFERROR(__xludf.DUMMYFUNCTION("""COMPUTED_VALUE"""),"Soria")</f>
        <v>Soria</v>
      </c>
      <c r="B4499" s="9" t="str">
        <f>IFERROR(__xludf.DUMMYFUNCTION("""COMPUTED_VALUE"""),"es-so")</f>
        <v>es-so</v>
      </c>
      <c r="C4499" s="9" t="str">
        <f>IFERROR(__xludf.DUMMYFUNCTION("GOOGLETRANSLATE($A4499,""en"",""de"")"),"Soria")</f>
        <v>Soria</v>
      </c>
      <c r="D4499" s="9" t="str">
        <f>IFERROR(__xludf.DUMMYFUNCTION("GOOGLETRANSLATE($A4499,""en"",""fr"")"),"Soria")</f>
        <v>Soria</v>
      </c>
      <c r="E4499" s="9" t="str">
        <f>IFERROR(__xludf.DUMMYFUNCTION("GOOGLETRANSLATE($A4499,""en"",""es"")"),"Soria")</f>
        <v>Soria</v>
      </c>
      <c r="F4499" s="9" t="str">
        <f>IFERROR(__xludf.DUMMYFUNCTION("GOOGLETRANSLATE($A4499,""en"",""it"")"),"Soria")</f>
        <v>Soria</v>
      </c>
      <c r="G4499" s="9" t="str">
        <f>IFERROR(__xludf.DUMMYFUNCTION("GOOGLETRANSLATE($A4499,""en"",""zh-cn"")"),"索里亚")</f>
        <v>索里亚</v>
      </c>
      <c r="H4499" s="9" t="str">
        <f>IFERROR(__xludf.DUMMYFUNCTION("GOOGLETRANSLATE($A4499,""en"",""ja"")"),"ソリア")</f>
        <v>ソリア</v>
      </c>
      <c r="I4499" s="9" t="str">
        <f>IFERROR(__xludf.DUMMYFUNCTION("GOOGLETRANSLATE($A4499,""en"",""ko"")"),"소리아")</f>
        <v>소리아</v>
      </c>
      <c r="J4499" s="9" t="str">
        <f>IFERROR(__xludf.DUMMYFUNCTION("GOOGLETRANSLATE($A4499,""en"",""pt-BR"")"),"Sória")</f>
        <v>Sória</v>
      </c>
    </row>
    <row r="4500">
      <c r="A4500" s="9" t="str">
        <f>IFERROR(__xludf.DUMMYFUNCTION("""COMPUTED_VALUE"""),"Tarragona")</f>
        <v>Tarragona</v>
      </c>
      <c r="B4500" s="9" t="str">
        <f>IFERROR(__xludf.DUMMYFUNCTION("""COMPUTED_VALUE"""),"es-t")</f>
        <v>es-t</v>
      </c>
      <c r="C4500" s="9" t="str">
        <f>IFERROR(__xludf.DUMMYFUNCTION("GOOGLETRANSLATE($A4500,""en"",""de"")"),"Tarragona")</f>
        <v>Tarragona</v>
      </c>
      <c r="D4500" s="9" t="str">
        <f>IFERROR(__xludf.DUMMYFUNCTION("GOOGLETRANSLATE($A4500,""en"",""fr"")"),"Tarragone")</f>
        <v>Tarragone</v>
      </c>
      <c r="E4500" s="9" t="str">
        <f>IFERROR(__xludf.DUMMYFUNCTION("GOOGLETRANSLATE($A4500,""en"",""es"")"),"Tarragona")</f>
        <v>Tarragona</v>
      </c>
      <c r="F4500" s="9" t="str">
        <f>IFERROR(__xludf.DUMMYFUNCTION("GOOGLETRANSLATE($A4500,""en"",""it"")"),"Tarragona")</f>
        <v>Tarragona</v>
      </c>
      <c r="G4500" s="9" t="str">
        <f>IFERROR(__xludf.DUMMYFUNCTION("GOOGLETRANSLATE($A4500,""en"",""zh-cn"")"),"塔拉戈纳")</f>
        <v>塔拉戈纳</v>
      </c>
      <c r="H4500" s="9" t="str">
        <f>IFERROR(__xludf.DUMMYFUNCTION("GOOGLETRANSLATE($A4500,""en"",""ja"")"),"タラゴナ")</f>
        <v>タラゴナ</v>
      </c>
      <c r="I4500" s="9" t="str">
        <f>IFERROR(__xludf.DUMMYFUNCTION("GOOGLETRANSLATE($A4500,""en"",""ko"")"),"타라고나")</f>
        <v>타라고나</v>
      </c>
      <c r="J4500" s="9" t="str">
        <f>IFERROR(__xludf.DUMMYFUNCTION("GOOGLETRANSLATE($A4500,""en"",""pt-BR"")"),"Tarragona")</f>
        <v>Tarragona</v>
      </c>
    </row>
    <row r="4501">
      <c r="A4501" s="9" t="str">
        <f>IFERROR(__xludf.DUMMYFUNCTION("""COMPUTED_VALUE"""),"Teruel")</f>
        <v>Teruel</v>
      </c>
      <c r="B4501" s="9" t="str">
        <f>IFERROR(__xludf.DUMMYFUNCTION("""COMPUTED_VALUE"""),"es-te")</f>
        <v>es-te</v>
      </c>
      <c r="C4501" s="9" t="str">
        <f>IFERROR(__xludf.DUMMYFUNCTION("GOOGLETRANSLATE($A4501,""en"",""de"")"),"Teruel")</f>
        <v>Teruel</v>
      </c>
      <c r="D4501" s="9" t="str">
        <f>IFERROR(__xludf.DUMMYFUNCTION("GOOGLETRANSLATE($A4501,""en"",""fr"")"),"Teruel")</f>
        <v>Teruel</v>
      </c>
      <c r="E4501" s="9" t="str">
        <f>IFERROR(__xludf.DUMMYFUNCTION("GOOGLETRANSLATE($A4501,""en"",""es"")"),"teruel")</f>
        <v>teruel</v>
      </c>
      <c r="F4501" s="9" t="str">
        <f>IFERROR(__xludf.DUMMYFUNCTION("GOOGLETRANSLATE($A4501,""en"",""it"")"),"Teruel")</f>
        <v>Teruel</v>
      </c>
      <c r="G4501" s="9" t="str">
        <f>IFERROR(__xludf.DUMMYFUNCTION("GOOGLETRANSLATE($A4501,""en"",""zh-cn"")"),"特鲁埃尔")</f>
        <v>特鲁埃尔</v>
      </c>
      <c r="H4501" s="9" t="str">
        <f>IFERROR(__xludf.DUMMYFUNCTION("GOOGLETRANSLATE($A4501,""en"",""ja"")"),"テルエル")</f>
        <v>テルエル</v>
      </c>
      <c r="I4501" s="9" t="str">
        <f>IFERROR(__xludf.DUMMYFUNCTION("GOOGLETRANSLATE($A4501,""en"",""ko"")"),"테루엘")</f>
        <v>테루엘</v>
      </c>
      <c r="J4501" s="9" t="str">
        <f>IFERROR(__xludf.DUMMYFUNCTION("GOOGLETRANSLATE($A4501,""en"",""pt-BR"")"),"Teruel")</f>
        <v>Teruel</v>
      </c>
    </row>
    <row r="4502">
      <c r="A4502" s="9" t="str">
        <f>IFERROR(__xludf.DUMMYFUNCTION("""COMPUTED_VALUE"""),"Navarra, Comunidad Foral de")</f>
        <v>Navarra, Comunidad Foral de</v>
      </c>
      <c r="B4502" s="9" t="str">
        <f>IFERROR(__xludf.DUMMYFUNCTION("""COMPUTED_VALUE"""),"es-nc")</f>
        <v>es-nc</v>
      </c>
      <c r="C4502" s="9" t="str">
        <f>IFERROR(__xludf.DUMMYFUNCTION("GOOGLETRANSLATE($A4502,""en"",""de"")"),"Navarra, Comunidad Foral de")</f>
        <v>Navarra, Comunidad Foral de</v>
      </c>
      <c r="D4502" s="9" t="str">
        <f>IFERROR(__xludf.DUMMYFUNCTION("GOOGLETRANSLATE($A4502,""en"",""fr"")"),"Navarre, Communauté Forale de")</f>
        <v>Navarre, Communauté Forale de</v>
      </c>
      <c r="E4502" s="9" t="str">
        <f>IFERROR(__xludf.DUMMYFUNCTION("GOOGLETRANSLATE($A4502,""en"",""es"")"),"Navarra, Comunidad Foral de")</f>
        <v>Navarra, Comunidad Foral de</v>
      </c>
      <c r="F4502" s="9" t="str">
        <f>IFERROR(__xludf.DUMMYFUNCTION("GOOGLETRANSLATE($A4502,""en"",""it"")"),"Navarra, Comunidad Foral de")</f>
        <v>Navarra, Comunidad Foral de</v>
      </c>
      <c r="G4502" s="9" t="str">
        <f>IFERROR(__xludf.DUMMYFUNCTION("GOOGLETRANSLATE($A4502,""en"",""zh-cn"")"),"纳瓦拉, 福拉尔市")</f>
        <v>纳瓦拉, 福拉尔市</v>
      </c>
      <c r="H4502" s="9" t="str">
        <f>IFERROR(__xludf.DUMMYFUNCTION("GOOGLETRANSLATE($A4502,""en"",""ja"")"),"ナバラ、フォラル共同体")</f>
        <v>ナバラ、フォラル共同体</v>
      </c>
      <c r="I4502" s="9" t="str">
        <f>IFERROR(__xludf.DUMMYFUNCTION("GOOGLETRANSLATE($A4502,""en"",""ko"")"),"나바라, Comunidad Foral de")</f>
        <v>나바라, Comunidad Foral de</v>
      </c>
      <c r="J4502" s="9" t="str">
        <f>IFERROR(__xludf.DUMMYFUNCTION("GOOGLETRANSLATE($A4502,""en"",""pt-BR"")"),"Navarra, Comunidade Foral de")</f>
        <v>Navarra, Comunidade Foral de</v>
      </c>
    </row>
    <row r="4503">
      <c r="A4503" s="9" t="str">
        <f>IFERROR(__xludf.DUMMYFUNCTION("""COMPUTED_VALUE"""),"País Vasco")</f>
        <v>País Vasco</v>
      </c>
      <c r="B4503" s="9" t="str">
        <f>IFERROR(__xludf.DUMMYFUNCTION("""COMPUTED_VALUE"""),"es-pv")</f>
        <v>es-pv</v>
      </c>
      <c r="C4503" s="9" t="str">
        <f>IFERROR(__xludf.DUMMYFUNCTION("GOOGLETRANSLATE($A4503,""en"",""de"")"),"País Vasco")</f>
        <v>País Vasco</v>
      </c>
      <c r="D4503" s="9" t="str">
        <f>IFERROR(__xludf.DUMMYFUNCTION("GOOGLETRANSLATE($A4503,""en"",""fr"")"),"Pays Basque")</f>
        <v>Pays Basque</v>
      </c>
      <c r="E4503" s="9" t="str">
        <f>IFERROR(__xludf.DUMMYFUNCTION("GOOGLETRANSLATE($A4503,""en"",""es"")"),"País Vasco")</f>
        <v>País Vasco</v>
      </c>
      <c r="F4503" s="9" t="str">
        <f>IFERROR(__xludf.DUMMYFUNCTION("GOOGLETRANSLATE($A4503,""en"",""it"")"),"Paese Vasco")</f>
        <v>Paese Vasco</v>
      </c>
      <c r="G4503" s="9" t="str">
        <f>IFERROR(__xludf.DUMMYFUNCTION("GOOGLETRANSLATE($A4503,""en"",""zh-cn"")"),"瓦斯科国家公园")</f>
        <v>瓦斯科国家公园</v>
      </c>
      <c r="H4503" s="9" t="str">
        <f>IFERROR(__xludf.DUMMYFUNCTION("GOOGLETRANSLATE($A4503,""en"",""ja"")"),"パイス・バスコ")</f>
        <v>パイス・バスコ</v>
      </c>
      <c r="I4503" s="9" t="str">
        <f>IFERROR(__xludf.DUMMYFUNCTION("GOOGLETRANSLATE($A4503,""en"",""ko"")"),"파이스 바스코")</f>
        <v>파이스 바스코</v>
      </c>
      <c r="J4503" s="9" t="str">
        <f>IFERROR(__xludf.DUMMYFUNCTION("GOOGLETRANSLATE($A4503,""en"",""pt-BR"")"),"País Vasco")</f>
        <v>País Vasco</v>
      </c>
    </row>
    <row r="4504">
      <c r="A4504" s="9" t="str">
        <f>IFERROR(__xludf.DUMMYFUNCTION("""COMPUTED_VALUE"""),"Valenciana, Comunidad")</f>
        <v>Valenciana, Comunidad</v>
      </c>
      <c r="B4504" s="9" t="str">
        <f>IFERROR(__xludf.DUMMYFUNCTION("""COMPUTED_VALUE"""),"es-vc")</f>
        <v>es-vc</v>
      </c>
      <c r="C4504" s="9" t="str">
        <f>IFERROR(__xludf.DUMMYFUNCTION("GOOGLETRANSLATE($A4504,""en"",""de"")"),"Valenciana, Comunidad")</f>
        <v>Valenciana, Comunidad</v>
      </c>
      <c r="D4504" s="9" t="str">
        <f>IFERROR(__xludf.DUMMYFUNCTION("GOOGLETRANSLATE($A4504,""en"",""fr"")"),"Valence, Communauté")</f>
        <v>Valence, Communauté</v>
      </c>
      <c r="E4504" s="9" t="str">
        <f>IFERROR(__xludf.DUMMYFUNCTION("GOOGLETRANSLATE($A4504,""en"",""es"")"),"Valenciana, Comunidad")</f>
        <v>Valenciana, Comunidad</v>
      </c>
      <c r="F4504" s="9" t="str">
        <f>IFERROR(__xludf.DUMMYFUNCTION("GOOGLETRANSLATE($A4504,""en"",""it"")"),"Valenciana, Comunità")</f>
        <v>Valenciana, Comunità</v>
      </c>
      <c r="G4504" s="9" t="str">
        <f>IFERROR(__xludf.DUMMYFUNCTION("GOOGLETRANSLATE($A4504,""en"",""zh-cn"")"),"巴伦西亚自治区")</f>
        <v>巴伦西亚自治区</v>
      </c>
      <c r="H4504" s="9" t="str">
        <f>IFERROR(__xludf.DUMMYFUNCTION("GOOGLETRANSLATE($A4504,""en"",""ja"")"),"バレンシアナ、コミュニダード")</f>
        <v>バレンシアナ、コミュニダード</v>
      </c>
      <c r="I4504" s="9" t="str">
        <f>IFERROR(__xludf.DUMMYFUNCTION("GOOGLETRANSLATE($A4504,""en"",""ko"")"),"발렌시아나, 코무니다드")</f>
        <v>발렌시아나, 코무니다드</v>
      </c>
      <c r="J4504" s="9" t="str">
        <f>IFERROR(__xludf.DUMMYFUNCTION("GOOGLETRANSLATE($A4504,""en"",""pt-BR"")"),"Valenciana, Comunidade")</f>
        <v>Valenciana, Comunidade</v>
      </c>
    </row>
    <row r="4505">
      <c r="A4505" s="9" t="str">
        <f>IFERROR(__xludf.DUMMYFUNCTION("""COMPUTED_VALUE"""),"Ceuta")</f>
        <v>Ceuta</v>
      </c>
      <c r="B4505" s="9" t="str">
        <f>IFERROR(__xludf.DUMMYFUNCTION("""COMPUTED_VALUE"""),"es-ce")</f>
        <v>es-ce</v>
      </c>
      <c r="C4505" s="9" t="str">
        <f>IFERROR(__xludf.DUMMYFUNCTION("GOOGLETRANSLATE($A4505,""en"",""de"")"),"Ceuta")</f>
        <v>Ceuta</v>
      </c>
      <c r="D4505" s="9" t="str">
        <f>IFERROR(__xludf.DUMMYFUNCTION("GOOGLETRANSLATE($A4505,""en"",""fr"")"),"Ceuta")</f>
        <v>Ceuta</v>
      </c>
      <c r="E4505" s="9" t="str">
        <f>IFERROR(__xludf.DUMMYFUNCTION("GOOGLETRANSLATE($A4505,""en"",""es"")"),"Ceuta")</f>
        <v>Ceuta</v>
      </c>
      <c r="F4505" s="9" t="str">
        <f>IFERROR(__xludf.DUMMYFUNCTION("GOOGLETRANSLATE($A4505,""en"",""it"")"),"Ceuta")</f>
        <v>Ceuta</v>
      </c>
      <c r="G4505" s="9" t="str">
        <f>IFERROR(__xludf.DUMMYFUNCTION("GOOGLETRANSLATE($A4505,""en"",""zh-cn"")"),"休达")</f>
        <v>休达</v>
      </c>
      <c r="H4505" s="9" t="str">
        <f>IFERROR(__xludf.DUMMYFUNCTION("GOOGLETRANSLATE($A4505,""en"",""ja"")"),"セウタ")</f>
        <v>セウタ</v>
      </c>
      <c r="I4505" s="9" t="str">
        <f>IFERROR(__xludf.DUMMYFUNCTION("GOOGLETRANSLATE($A4505,""en"",""ko"")"),"세우타")</f>
        <v>세우타</v>
      </c>
      <c r="J4505" s="9" t="str">
        <f>IFERROR(__xludf.DUMMYFUNCTION("GOOGLETRANSLATE($A4505,""en"",""pt-BR"")"),"Ceuta")</f>
        <v>Ceuta</v>
      </c>
    </row>
    <row r="4506">
      <c r="A4506" s="9" t="str">
        <f>IFERROR(__xludf.DUMMYFUNCTION("""COMPUTED_VALUE"""),"Illes Balears")</f>
        <v>Illes Balears</v>
      </c>
      <c r="B4506" s="9" t="str">
        <f>IFERROR(__xludf.DUMMYFUNCTION("""COMPUTED_VALUE"""),"es-ib")</f>
        <v>es-ib</v>
      </c>
      <c r="C4506" s="9" t="str">
        <f>IFERROR(__xludf.DUMMYFUNCTION("GOOGLETRANSLATE($A4506,""en"",""de"")"),"Baleareninseln")</f>
        <v>Baleareninseln</v>
      </c>
      <c r="D4506" s="9" t="str">
        <f>IFERROR(__xludf.DUMMYFUNCTION("GOOGLETRANSLATE($A4506,""en"",""fr"")"),"Îles Baléares")</f>
        <v>Îles Baléares</v>
      </c>
      <c r="E4506" s="9" t="str">
        <f>IFERROR(__xludf.DUMMYFUNCTION("GOOGLETRANSLATE($A4506,""en"",""es"")"),"Islas Baleares")</f>
        <v>Islas Baleares</v>
      </c>
      <c r="F4506" s="9" t="str">
        <f>IFERROR(__xludf.DUMMYFUNCTION("GOOGLETRANSLATE($A4506,""en"",""it"")"),"Isole Baleari")</f>
        <v>Isole Baleari</v>
      </c>
      <c r="G4506" s="9" t="str">
        <f>IFERROR(__xludf.DUMMYFUNCTION("GOOGLETRANSLATE($A4506,""en"",""zh-cn"")"),"巴利阿里群岛")</f>
        <v>巴利阿里群岛</v>
      </c>
      <c r="H4506" s="9" t="str">
        <f>IFERROR(__xludf.DUMMYFUNCTION("GOOGLETRANSLATE($A4506,""en"",""ja"")"),"バレアレス島")</f>
        <v>バレアレス島</v>
      </c>
      <c r="I4506" s="9" t="str">
        <f>IFERROR(__xludf.DUMMYFUNCTION("GOOGLETRANSLATE($A4506,""en"",""ko"")"),"일레스 발레어스")</f>
        <v>일레스 발레어스</v>
      </c>
      <c r="J4506" s="9" t="str">
        <f>IFERROR(__xludf.DUMMYFUNCTION("GOOGLETRANSLATE($A4506,""en"",""pt-BR"")"),"Illes Baleares")</f>
        <v>Illes Baleares</v>
      </c>
    </row>
    <row r="4507">
      <c r="A4507" s="9" t="str">
        <f>IFERROR(__xludf.DUMMYFUNCTION("""COMPUTED_VALUE"""),"La Rioja (Autonomous Community)")</f>
        <v>La Rioja (Autonomous Community)</v>
      </c>
      <c r="B4507" s="9" t="str">
        <f>IFERROR(__xludf.DUMMYFUNCTION("""COMPUTED_VALUE"""),"es-ri")</f>
        <v>es-ri</v>
      </c>
      <c r="C4507" s="9" t="str">
        <f>IFERROR(__xludf.DUMMYFUNCTION("GOOGLETRANSLATE($A4507,""en"",""de"")"),"La Rioja (Autonome Gemeinschaft)")</f>
        <v>La Rioja (Autonome Gemeinschaft)</v>
      </c>
      <c r="D4507" s="9" t="str">
        <f>IFERROR(__xludf.DUMMYFUNCTION("GOOGLETRANSLATE($A4507,""en"",""fr"")"),"La Rioja (Communauté autonome)")</f>
        <v>La Rioja (Communauté autonome)</v>
      </c>
      <c r="E4507" s="9" t="str">
        <f>IFERROR(__xludf.DUMMYFUNCTION("GOOGLETRANSLATE($A4507,""en"",""es"")"),"La Rioja (Comunidad Autónoma)")</f>
        <v>La Rioja (Comunidad Autónoma)</v>
      </c>
      <c r="F4507" s="9" t="str">
        <f>IFERROR(__xludf.DUMMYFUNCTION("GOOGLETRANSLATE($A4507,""en"",""it"")"),"La Rioja (Comunità Autonoma)")</f>
        <v>La Rioja (Comunità Autonoma)</v>
      </c>
      <c r="G4507" s="9" t="str">
        <f>IFERROR(__xludf.DUMMYFUNCTION("GOOGLETRANSLATE($A4507,""en"",""zh-cn"")"),"拉里奥哈（自治区）")</f>
        <v>拉里奥哈（自治区）</v>
      </c>
      <c r="H4507" s="9" t="str">
        <f>IFERROR(__xludf.DUMMYFUNCTION("GOOGLETRANSLATE($A4507,""en"",""ja"")"),"ラ・リオハ（自治共同体）")</f>
        <v>ラ・リオハ（自治共同体）</v>
      </c>
      <c r="I4507" s="9" t="str">
        <f>IFERROR(__xludf.DUMMYFUNCTION("GOOGLETRANSLATE($A4507,""en"",""ko"")"),"라리오하(자치 커뮤니티)")</f>
        <v>라리오하(자치 커뮤니티)</v>
      </c>
      <c r="J4507" s="9" t="str">
        <f>IFERROR(__xludf.DUMMYFUNCTION("GOOGLETRANSLATE($A4507,""en"",""pt-BR"")"),"La Rioja (Comunidade Autônoma)")</f>
        <v>La Rioja (Comunidade Autônoma)</v>
      </c>
    </row>
    <row r="4508">
      <c r="A4508" s="9" t="str">
        <f>IFERROR(__xludf.DUMMYFUNCTION("""COMPUTED_VALUE"""),"Madrid, Comunidad de")</f>
        <v>Madrid, Comunidad de</v>
      </c>
      <c r="B4508" s="9" t="str">
        <f>IFERROR(__xludf.DUMMYFUNCTION("""COMPUTED_VALUE"""),"es-md")</f>
        <v>es-md</v>
      </c>
      <c r="C4508" s="9" t="str">
        <f>IFERROR(__xludf.DUMMYFUNCTION("GOOGLETRANSLATE($A4508,""en"",""de"")"),"Madrid, Comunidad de")</f>
        <v>Madrid, Comunidad de</v>
      </c>
      <c r="D4508" s="9" t="str">
        <f>IFERROR(__xludf.DUMMYFUNCTION("GOOGLETRANSLATE($A4508,""en"",""fr"")"),"Madrid, Communauté de")</f>
        <v>Madrid, Communauté de</v>
      </c>
      <c r="E4508" s="9" t="str">
        <f>IFERROR(__xludf.DUMMYFUNCTION("GOOGLETRANSLATE($A4508,""en"",""es"")"),"Madrid, Comunidad de")</f>
        <v>Madrid, Comunidad de</v>
      </c>
      <c r="F4508" s="9" t="str">
        <f>IFERROR(__xludf.DUMMYFUNCTION("GOOGLETRANSLATE($A4508,""en"",""it"")"),"Madrid, Comunità di")</f>
        <v>Madrid, Comunità di</v>
      </c>
      <c r="G4508" s="9" t="str">
        <f>IFERROR(__xludf.DUMMYFUNCTION("GOOGLETRANSLATE($A4508,""en"",""zh-cn"")"),"马德里自治区")</f>
        <v>马德里自治区</v>
      </c>
      <c r="H4508" s="9" t="str">
        <f>IFERROR(__xludf.DUMMYFUNCTION("GOOGLETRANSLATE($A4508,""en"",""ja"")"),"マドリッド、コミュニダード・デ")</f>
        <v>マドリッド、コミュニダード・デ</v>
      </c>
      <c r="I4508" s="9" t="str">
        <f>IFERROR(__xludf.DUMMYFUNCTION("GOOGLETRANSLATE($A4508,""en"",""ko"")"),"마드리드, 코무니다드 데")</f>
        <v>마드리드, 코무니다드 데</v>
      </c>
      <c r="J4508" s="9" t="str">
        <f>IFERROR(__xludf.DUMMYFUNCTION("GOOGLETRANSLATE($A4508,""en"",""pt-BR"")"),"Madri, Comunidade de")</f>
        <v>Madri, Comunidade de</v>
      </c>
    </row>
    <row r="4509">
      <c r="A4509" s="9" t="str">
        <f>IFERROR(__xludf.DUMMYFUNCTION("""COMPUTED_VALUE"""),"Murcia, Región de")</f>
        <v>Murcia, Región de</v>
      </c>
      <c r="B4509" s="9" t="str">
        <f>IFERROR(__xludf.DUMMYFUNCTION("""COMPUTED_VALUE"""),"es-mc")</f>
        <v>es-mc</v>
      </c>
      <c r="C4509" s="9" t="str">
        <f>IFERROR(__xludf.DUMMYFUNCTION("GOOGLETRANSLATE($A4509,""en"",""de"")"),"Murcia, Region de")</f>
        <v>Murcia, Region de</v>
      </c>
      <c r="D4509" s="9" t="str">
        <f>IFERROR(__xludf.DUMMYFUNCTION("GOOGLETRANSLATE($A4509,""en"",""fr"")"),"Murcie, Région de")</f>
        <v>Murcie, Région de</v>
      </c>
      <c r="E4509" s="9" t="str">
        <f>IFERROR(__xludf.DUMMYFUNCTION("GOOGLETRANSLATE($A4509,""en"",""es"")"),"Murcia, Región de")</f>
        <v>Murcia, Región de</v>
      </c>
      <c r="F4509" s="9" t="str">
        <f>IFERROR(__xludf.DUMMYFUNCTION("GOOGLETRANSLATE($A4509,""en"",""it"")"),"Murcia, Regione de")</f>
        <v>Murcia, Regione de</v>
      </c>
      <c r="G4509" s="9" t="str">
        <f>IFERROR(__xludf.DUMMYFUNCTION("GOOGLETRANSLATE($A4509,""en"",""zh-cn"")"),"穆尔西亚自治区")</f>
        <v>穆尔西亚自治区</v>
      </c>
      <c r="H4509" s="9" t="str">
        <f>IFERROR(__xludf.DUMMYFUNCTION("GOOGLETRANSLATE($A4509,""en"",""ja"")"),"ムルシア州")</f>
        <v>ムルシア州</v>
      </c>
      <c r="I4509" s="9" t="str">
        <f>IFERROR(__xludf.DUMMYFUNCTION("GOOGLETRANSLATE($A4509,""en"",""ko"")"),"무르시아, 지역")</f>
        <v>무르시아, 지역</v>
      </c>
      <c r="J4509" s="9" t="str">
        <f>IFERROR(__xludf.DUMMYFUNCTION("GOOGLETRANSLATE($A4509,""en"",""pt-BR"")"),"Múrcia, Região de")</f>
        <v>Múrcia, Região de</v>
      </c>
    </row>
    <row r="4510">
      <c r="A4510" s="9" t="str">
        <f>IFERROR(__xludf.DUMMYFUNCTION("""COMPUTED_VALUE"""),"Castilla y León")</f>
        <v>Castilla y León</v>
      </c>
      <c r="B4510" s="9" t="str">
        <f>IFERROR(__xludf.DUMMYFUNCTION("""COMPUTED_VALUE"""),"es-cl")</f>
        <v>es-cl</v>
      </c>
      <c r="C4510" s="9" t="str">
        <f>IFERROR(__xludf.DUMMYFUNCTION("GOOGLETRANSLATE($A4510,""en"",""de"")"),"Kastilien und León")</f>
        <v>Kastilien und León</v>
      </c>
      <c r="D4510" s="9" t="str">
        <f>IFERROR(__xludf.DUMMYFUNCTION("GOOGLETRANSLATE($A4510,""en"",""fr"")"),"Castille-et-León")</f>
        <v>Castille-et-León</v>
      </c>
      <c r="E4510" s="9" t="str">
        <f>IFERROR(__xludf.DUMMYFUNCTION("GOOGLETRANSLATE($A4510,""en"",""es"")"),"Castilla y León")</f>
        <v>Castilla y León</v>
      </c>
      <c r="F4510" s="9" t="str">
        <f>IFERROR(__xludf.DUMMYFUNCTION("GOOGLETRANSLATE($A4510,""en"",""it"")"),"Castiglia e León")</f>
        <v>Castiglia e León</v>
      </c>
      <c r="G4510" s="9" t="str">
        <f>IFERROR(__xludf.DUMMYFUNCTION("GOOGLETRANSLATE($A4510,""en"",""zh-cn"")"),"卡斯蒂利亚莱昂")</f>
        <v>卡斯蒂利亚莱昂</v>
      </c>
      <c r="H4510" s="9" t="str">
        <f>IFERROR(__xludf.DUMMYFUNCTION("GOOGLETRANSLATE($A4510,""en"",""ja"")"),"カスティーリャイレオン")</f>
        <v>カスティーリャイレオン</v>
      </c>
      <c r="I4510" s="9" t="str">
        <f>IFERROR(__xludf.DUMMYFUNCTION("GOOGLETRANSLATE($A4510,""en"",""ko"")"),"카스티야 이 레온")</f>
        <v>카스티야 이 레온</v>
      </c>
      <c r="J4510" s="9" t="str">
        <f>IFERROR(__xludf.DUMMYFUNCTION("GOOGLETRANSLATE($A4510,""en"",""pt-BR"")"),"Castela e Leão")</f>
        <v>Castela e Leão</v>
      </c>
    </row>
    <row r="4511">
      <c r="A4511" s="9" t="str">
        <f>IFERROR(__xludf.DUMMYFUNCTION("""COMPUTED_VALUE"""),"Catalunya")</f>
        <v>Catalunya</v>
      </c>
      <c r="B4511" s="9" t="str">
        <f>IFERROR(__xludf.DUMMYFUNCTION("""COMPUTED_VALUE"""),"es-ct")</f>
        <v>es-ct</v>
      </c>
      <c r="C4511" s="9" t="str">
        <f>IFERROR(__xludf.DUMMYFUNCTION("GOOGLETRANSLATE($A4511,""en"",""de"")"),"Katalonien")</f>
        <v>Katalonien</v>
      </c>
      <c r="D4511" s="9" t="str">
        <f>IFERROR(__xludf.DUMMYFUNCTION("GOOGLETRANSLATE($A4511,""en"",""fr"")"),"Catalogne")</f>
        <v>Catalogne</v>
      </c>
      <c r="E4511" s="9" t="str">
        <f>IFERROR(__xludf.DUMMYFUNCTION("GOOGLETRANSLATE($A4511,""en"",""es"")"),"Cataluña")</f>
        <v>Cataluña</v>
      </c>
      <c r="F4511" s="9" t="str">
        <f>IFERROR(__xludf.DUMMYFUNCTION("GOOGLETRANSLATE($A4511,""en"",""it"")"),"Catalogna")</f>
        <v>Catalogna</v>
      </c>
      <c r="G4511" s="9" t="str">
        <f>IFERROR(__xludf.DUMMYFUNCTION("GOOGLETRANSLATE($A4511,""en"",""zh-cn"")"),"加泰罗尼亚")</f>
        <v>加泰罗尼亚</v>
      </c>
      <c r="H4511" s="9" t="str">
        <f>IFERROR(__xludf.DUMMYFUNCTION("GOOGLETRANSLATE($A4511,""en"",""ja"")"),"カタルーニャ")</f>
        <v>カタルーニャ</v>
      </c>
      <c r="I4511" s="9" t="str">
        <f>IFERROR(__xludf.DUMMYFUNCTION("GOOGLETRANSLATE($A4511,""en"",""ko"")"),"카탈루냐")</f>
        <v>카탈루냐</v>
      </c>
      <c r="J4511" s="9" t="str">
        <f>IFERROR(__xludf.DUMMYFUNCTION("GOOGLETRANSLATE($A4511,""en"",""pt-BR"")"),"Catalunha")</f>
        <v>Catalunha</v>
      </c>
    </row>
    <row r="4512">
      <c r="A4512" s="9" t="str">
        <f>IFERROR(__xludf.DUMMYFUNCTION("""COMPUTED_VALUE"""),"Extremadura")</f>
        <v>Extremadura</v>
      </c>
      <c r="B4512" s="9" t="str">
        <f>IFERROR(__xludf.DUMMYFUNCTION("""COMPUTED_VALUE"""),"es-ex")</f>
        <v>es-ex</v>
      </c>
      <c r="C4512" s="9" t="str">
        <f>IFERROR(__xludf.DUMMYFUNCTION("GOOGLETRANSLATE($A4512,""en"",""de"")"),"Extremadura")</f>
        <v>Extremadura</v>
      </c>
      <c r="D4512" s="9" t="str">
        <f>IFERROR(__xludf.DUMMYFUNCTION("GOOGLETRANSLATE($A4512,""en"",""fr"")"),"Estrémadure")</f>
        <v>Estrémadure</v>
      </c>
      <c r="E4512" s="9" t="str">
        <f>IFERROR(__xludf.DUMMYFUNCTION("GOOGLETRANSLATE($A4512,""en"",""es"")"),"Extremadura")</f>
        <v>Extremadura</v>
      </c>
      <c r="F4512" s="9" t="str">
        <f>IFERROR(__xludf.DUMMYFUNCTION("GOOGLETRANSLATE($A4512,""en"",""it"")"),"Estremadura")</f>
        <v>Estremadura</v>
      </c>
      <c r="G4512" s="9" t="str">
        <f>IFERROR(__xludf.DUMMYFUNCTION("GOOGLETRANSLATE($A4512,""en"",""zh-cn"")"),"埃斯特雷马杜拉")</f>
        <v>埃斯特雷马杜拉</v>
      </c>
      <c r="H4512" s="9" t="str">
        <f>IFERROR(__xludf.DUMMYFUNCTION("GOOGLETRANSLATE($A4512,""en"",""ja"")"),"エストレマドゥーラ州")</f>
        <v>エストレマドゥーラ州</v>
      </c>
      <c r="I4512" s="9" t="str">
        <f>IFERROR(__xludf.DUMMYFUNCTION("GOOGLETRANSLATE($A4512,""en"",""ko"")"),"에스트레마두라")</f>
        <v>에스트레마두라</v>
      </c>
      <c r="J4512" s="9" t="str">
        <f>IFERROR(__xludf.DUMMYFUNCTION("GOOGLETRANSLATE($A4512,""en"",""pt-BR"")"),"Estremadura")</f>
        <v>Estremadura</v>
      </c>
    </row>
    <row r="4513">
      <c r="A4513" s="9" t="str">
        <f>IFERROR(__xludf.DUMMYFUNCTION("""COMPUTED_VALUE"""),"Galicia")</f>
        <v>Galicia</v>
      </c>
      <c r="B4513" s="9" t="str">
        <f>IFERROR(__xludf.DUMMYFUNCTION("""COMPUTED_VALUE"""),"es-ga")</f>
        <v>es-ga</v>
      </c>
      <c r="C4513" s="9" t="str">
        <f>IFERROR(__xludf.DUMMYFUNCTION("GOOGLETRANSLATE($A4513,""en"",""de"")"),"Galicien")</f>
        <v>Galicien</v>
      </c>
      <c r="D4513" s="9" t="str">
        <f>IFERROR(__xludf.DUMMYFUNCTION("GOOGLETRANSLATE($A4513,""en"",""fr"")"),"Galice")</f>
        <v>Galice</v>
      </c>
      <c r="E4513" s="9" t="str">
        <f>IFERROR(__xludf.DUMMYFUNCTION("GOOGLETRANSLATE($A4513,""en"",""es"")"),"Galicia")</f>
        <v>Galicia</v>
      </c>
      <c r="F4513" s="9" t="str">
        <f>IFERROR(__xludf.DUMMYFUNCTION("GOOGLETRANSLATE($A4513,""en"",""it"")"),"Galizia")</f>
        <v>Galizia</v>
      </c>
      <c r="G4513" s="9" t="str">
        <f>IFERROR(__xludf.DUMMYFUNCTION("GOOGLETRANSLATE($A4513,""en"",""zh-cn"")"),"加利西亚")</f>
        <v>加利西亚</v>
      </c>
      <c r="H4513" s="9" t="str">
        <f>IFERROR(__xludf.DUMMYFUNCTION("GOOGLETRANSLATE($A4513,""en"",""ja"")"),"ガリシア")</f>
        <v>ガリシア</v>
      </c>
      <c r="I4513" s="9" t="str">
        <f>IFERROR(__xludf.DUMMYFUNCTION("GOOGLETRANSLATE($A4513,""en"",""ko"")"),"갈리시아")</f>
        <v>갈리시아</v>
      </c>
      <c r="J4513" s="9" t="str">
        <f>IFERROR(__xludf.DUMMYFUNCTION("GOOGLETRANSLATE($A4513,""en"",""pt-BR"")"),"Galiza")</f>
        <v>Galiza</v>
      </c>
    </row>
    <row r="4514">
      <c r="A4514" s="9" t="str">
        <f>IFERROR(__xludf.DUMMYFUNCTION("""COMPUTED_VALUE"""),"Asturias, Principado de")</f>
        <v>Asturias, Principado de</v>
      </c>
      <c r="B4514" s="9" t="str">
        <f>IFERROR(__xludf.DUMMYFUNCTION("""COMPUTED_VALUE"""),"es-as")</f>
        <v>es-as</v>
      </c>
      <c r="C4514" s="9" t="str">
        <f>IFERROR(__xludf.DUMMYFUNCTION("GOOGLETRANSLATE($A4514,""en"",""de"")"),"Asturien, Principado de")</f>
        <v>Asturien, Principado de</v>
      </c>
      <c r="D4514" s="9" t="str">
        <f>IFERROR(__xludf.DUMMYFUNCTION("GOOGLETRANSLATE($A4514,""en"",""fr"")"),"Asturies, Principado de")</f>
        <v>Asturies, Principado de</v>
      </c>
      <c r="E4514" s="9" t="str">
        <f>IFERROR(__xludf.DUMMYFUNCTION("GOOGLETRANSLATE($A4514,""en"",""es"")"),"Principado de Asturias")</f>
        <v>Principado de Asturias</v>
      </c>
      <c r="F4514" s="9" t="str">
        <f>IFERROR(__xludf.DUMMYFUNCTION("GOOGLETRANSLATE($A4514,""en"",""it"")"),"Asturie, Principado de")</f>
        <v>Asturie, Principado de</v>
      </c>
      <c r="G4514" s="9" t="str">
        <f>IFERROR(__xludf.DUMMYFUNCTION("GOOGLETRANSLATE($A4514,""en"",""zh-cn"")"),"阿斯图里亚斯, 普林西帕多德")</f>
        <v>阿斯图里亚斯, 普林西帕多德</v>
      </c>
      <c r="H4514" s="9" t="str">
        <f>IFERROR(__xludf.DUMMYFUNCTION("GOOGLETRANSLATE($A4514,""en"",""ja"")"),"アストゥリアス、プリンシパド")</f>
        <v>アストゥリアス、プリンシパド</v>
      </c>
      <c r="I4514" s="9" t="str">
        <f>IFERROR(__xludf.DUMMYFUNCTION("GOOGLETRANSLATE($A4514,""en"",""ko"")"),"아스투리아스, 프린시파도 데")</f>
        <v>아스투리아스, 프린시파도 데</v>
      </c>
      <c r="J4514" s="9" t="str">
        <f>IFERROR(__xludf.DUMMYFUNCTION("GOOGLETRANSLATE($A4514,""en"",""pt-BR"")"),"Astúrias, Principado de")</f>
        <v>Astúrias, Principado de</v>
      </c>
    </row>
    <row r="4515">
      <c r="A4515" s="9" t="str">
        <f>IFERROR(__xludf.DUMMYFUNCTION("""COMPUTED_VALUE"""),"Canarias")</f>
        <v>Canarias</v>
      </c>
      <c r="B4515" s="9" t="str">
        <f>IFERROR(__xludf.DUMMYFUNCTION("""COMPUTED_VALUE"""),"es-cn")</f>
        <v>es-cn</v>
      </c>
      <c r="C4515" s="9" t="str">
        <f>IFERROR(__xludf.DUMMYFUNCTION("GOOGLETRANSLATE($A4515,""en"",""de"")"),"Kanarische Inseln")</f>
        <v>Kanarische Inseln</v>
      </c>
      <c r="D4515" s="9" t="str">
        <f>IFERROR(__xludf.DUMMYFUNCTION("GOOGLETRANSLATE($A4515,""en"",""fr"")"),"Canaries")</f>
        <v>Canaries</v>
      </c>
      <c r="E4515" s="9" t="str">
        <f>IFERROR(__xludf.DUMMYFUNCTION("GOOGLETRANSLATE($A4515,""en"",""es"")"),"Canarias")</f>
        <v>Canarias</v>
      </c>
      <c r="F4515" s="9" t="str">
        <f>IFERROR(__xludf.DUMMYFUNCTION("GOOGLETRANSLATE($A4515,""en"",""it"")"),"Canarie")</f>
        <v>Canarie</v>
      </c>
      <c r="G4515" s="9" t="str">
        <f>IFERROR(__xludf.DUMMYFUNCTION("GOOGLETRANSLATE($A4515,""en"",""zh-cn"")"),"加那利群岛")</f>
        <v>加那利群岛</v>
      </c>
      <c r="H4515" s="9" t="str">
        <f>IFERROR(__xludf.DUMMYFUNCTION("GOOGLETRANSLATE($A4515,""en"",""ja"")"),"カナリア諸島")</f>
        <v>カナリア諸島</v>
      </c>
      <c r="I4515" s="9" t="str">
        <f>IFERROR(__xludf.DUMMYFUNCTION("GOOGLETRANSLATE($A4515,""en"",""ko"")"),"카나리아")</f>
        <v>카나리아</v>
      </c>
      <c r="J4515" s="9" t="str">
        <f>IFERROR(__xludf.DUMMYFUNCTION("GOOGLETRANSLATE($A4515,""en"",""pt-BR"")"),"Canárias")</f>
        <v>Canárias</v>
      </c>
    </row>
    <row r="4516">
      <c r="A4516" s="9" t="str">
        <f>IFERROR(__xludf.DUMMYFUNCTION("""COMPUTED_VALUE"""),"Cantabria (Autonomous Community)")</f>
        <v>Cantabria (Autonomous Community)</v>
      </c>
      <c r="B4516" s="9" t="str">
        <f>IFERROR(__xludf.DUMMYFUNCTION("""COMPUTED_VALUE"""),"es-cb")</f>
        <v>es-cb</v>
      </c>
      <c r="C4516" s="9" t="str">
        <f>IFERROR(__xludf.DUMMYFUNCTION("GOOGLETRANSLATE($A4516,""en"",""de"")"),"Kantabrien (Autonome Gemeinschaft)")</f>
        <v>Kantabrien (Autonome Gemeinschaft)</v>
      </c>
      <c r="D4516" s="9" t="str">
        <f>IFERROR(__xludf.DUMMYFUNCTION("GOOGLETRANSLATE($A4516,""en"",""fr"")"),"Cantabrie (Communauté autonome)")</f>
        <v>Cantabrie (Communauté autonome)</v>
      </c>
      <c r="E4516" s="9" t="str">
        <f>IFERROR(__xludf.DUMMYFUNCTION("GOOGLETRANSLATE($A4516,""en"",""es"")"),"Cantabria (Comunidad Autónoma)")</f>
        <v>Cantabria (Comunidad Autónoma)</v>
      </c>
      <c r="F4516" s="9" t="str">
        <f>IFERROR(__xludf.DUMMYFUNCTION("GOOGLETRANSLATE($A4516,""en"",""it"")"),"Cantabria (Comunità Autonoma)")</f>
        <v>Cantabria (Comunità Autonoma)</v>
      </c>
      <c r="G4516" s="9" t="str">
        <f>IFERROR(__xludf.DUMMYFUNCTION("GOOGLETRANSLATE($A4516,""en"",""zh-cn"")"),"坎塔布里亚（自治区）")</f>
        <v>坎塔布里亚（自治区）</v>
      </c>
      <c r="H4516" s="9" t="str">
        <f>IFERROR(__xludf.DUMMYFUNCTION("GOOGLETRANSLATE($A4516,""en"",""ja"")"),"カンタブリア (自治共同体)")</f>
        <v>カンタブリア (自治共同体)</v>
      </c>
      <c r="I4516" s="9" t="str">
        <f>IFERROR(__xludf.DUMMYFUNCTION("GOOGLETRANSLATE($A4516,""en"",""ko"")"),"칸타브리아(자치 공동체)")</f>
        <v>칸타브리아(자치 공동체)</v>
      </c>
      <c r="J4516" s="9" t="str">
        <f>IFERROR(__xludf.DUMMYFUNCTION("GOOGLETRANSLATE($A4516,""en"",""pt-BR"")"),"Cantábria (Comunidade Autônoma)")</f>
        <v>Cantábria (Comunidade Autônoma)</v>
      </c>
    </row>
    <row r="4517">
      <c r="A4517" s="9" t="str">
        <f>IFERROR(__xludf.DUMMYFUNCTION("""COMPUTED_VALUE"""),"Castilla-La Mancha")</f>
        <v>Castilla-La Mancha</v>
      </c>
      <c r="B4517" s="9" t="str">
        <f>IFERROR(__xludf.DUMMYFUNCTION("""COMPUTED_VALUE"""),"es-cm")</f>
        <v>es-cm</v>
      </c>
      <c r="C4517" s="9" t="str">
        <f>IFERROR(__xludf.DUMMYFUNCTION("GOOGLETRANSLATE($A4517,""en"",""de"")"),"Kastilien-La Mancha")</f>
        <v>Kastilien-La Mancha</v>
      </c>
      <c r="D4517" s="9" t="str">
        <f>IFERROR(__xludf.DUMMYFUNCTION("GOOGLETRANSLATE($A4517,""en"",""fr"")"),"Castille-La Manche")</f>
        <v>Castille-La Manche</v>
      </c>
      <c r="E4517" s="9" t="str">
        <f>IFERROR(__xludf.DUMMYFUNCTION("GOOGLETRANSLATE($A4517,""en"",""es"")"),"Castilla-La Mancha")</f>
        <v>Castilla-La Mancha</v>
      </c>
      <c r="F4517" s="9" t="str">
        <f>IFERROR(__xludf.DUMMYFUNCTION("GOOGLETRANSLATE($A4517,""en"",""it"")"),"Castiglia-La Mancia")</f>
        <v>Castiglia-La Mancia</v>
      </c>
      <c r="G4517" s="9" t="str">
        <f>IFERROR(__xludf.DUMMYFUNCTION("GOOGLETRANSLATE($A4517,""en"",""zh-cn"")"),"卡斯蒂利亚-拉曼恰")</f>
        <v>卡斯蒂利亚-拉曼恰</v>
      </c>
      <c r="H4517" s="9" t="str">
        <f>IFERROR(__xludf.DUMMYFUNCTION("GOOGLETRANSLATE($A4517,""en"",""ja"")"),"カスティーリャ ラ マンチャ")</f>
        <v>カスティーリャ ラ マンチャ</v>
      </c>
      <c r="I4517" s="9" t="str">
        <f>IFERROR(__xludf.DUMMYFUNCTION("GOOGLETRANSLATE($A4517,""en"",""ko"")"),"카스티야-라만차")</f>
        <v>카스티야-라만차</v>
      </c>
      <c r="J4517" s="9" t="str">
        <f>IFERROR(__xludf.DUMMYFUNCTION("GOOGLETRANSLATE($A4517,""en"",""pt-BR"")"),"Castela-La Mancha")</f>
        <v>Castela-La Mancha</v>
      </c>
    </row>
    <row r="4518">
      <c r="A4518" s="9" t="str">
        <f>IFERROR(__xludf.DUMMYFUNCTION("""COMPUTED_VALUE"""),"Cáceres")</f>
        <v>Cáceres</v>
      </c>
      <c r="B4518" s="9" t="str">
        <f>IFERROR(__xludf.DUMMYFUNCTION("""COMPUTED_VALUE"""),"es-cc")</f>
        <v>es-cc</v>
      </c>
      <c r="C4518" s="9" t="str">
        <f>IFERROR(__xludf.DUMMYFUNCTION("GOOGLETRANSLATE($A4518,""en"",""de"")"),"Cáceres")</f>
        <v>Cáceres</v>
      </c>
      <c r="D4518" s="9" t="str">
        <f>IFERROR(__xludf.DUMMYFUNCTION("GOOGLETRANSLATE($A4518,""en"",""fr"")"),"Cáceres")</f>
        <v>Cáceres</v>
      </c>
      <c r="E4518" s="9" t="str">
        <f>IFERROR(__xludf.DUMMYFUNCTION("GOOGLETRANSLATE($A4518,""en"",""es"")"),"Cáceres")</f>
        <v>Cáceres</v>
      </c>
      <c r="F4518" s="9" t="str">
        <f>IFERROR(__xludf.DUMMYFUNCTION("GOOGLETRANSLATE($A4518,""en"",""it"")"),"Caceres")</f>
        <v>Caceres</v>
      </c>
      <c r="G4518" s="9" t="str">
        <f>IFERROR(__xludf.DUMMYFUNCTION("GOOGLETRANSLATE($A4518,""en"",""zh-cn"")"),"卡塞雷斯")</f>
        <v>卡塞雷斯</v>
      </c>
      <c r="H4518" s="9" t="str">
        <f>IFERROR(__xludf.DUMMYFUNCTION("GOOGLETRANSLATE($A4518,""en"",""ja"")"),"カセレス")</f>
        <v>カセレス</v>
      </c>
      <c r="I4518" s="9" t="str">
        <f>IFERROR(__xludf.DUMMYFUNCTION("GOOGLETRANSLATE($A4518,""en"",""ko"")"),"카세레스")</f>
        <v>카세레스</v>
      </c>
      <c r="J4518" s="9" t="str">
        <f>IFERROR(__xludf.DUMMYFUNCTION("GOOGLETRANSLATE($A4518,""en"",""pt-BR"")"),"Cáceres")</f>
        <v>Cáceres</v>
      </c>
    </row>
    <row r="4519">
      <c r="A4519" s="9" t="str">
        <f>IFERROR(__xludf.DUMMYFUNCTION("""COMPUTED_VALUE"""),"Cádiz")</f>
        <v>Cádiz</v>
      </c>
      <c r="B4519" s="9" t="str">
        <f>IFERROR(__xludf.DUMMYFUNCTION("""COMPUTED_VALUE"""),"es-ca")</f>
        <v>es-ca</v>
      </c>
      <c r="C4519" s="9" t="str">
        <f>IFERROR(__xludf.DUMMYFUNCTION("GOOGLETRANSLATE($A4519,""en"",""de"")"),"Cádiz")</f>
        <v>Cádiz</v>
      </c>
      <c r="D4519" s="9" t="str">
        <f>IFERROR(__xludf.DUMMYFUNCTION("GOOGLETRANSLATE($A4519,""en"",""fr"")"),"Cadix")</f>
        <v>Cadix</v>
      </c>
      <c r="E4519" s="9" t="str">
        <f>IFERROR(__xludf.DUMMYFUNCTION("GOOGLETRANSLATE($A4519,""en"",""es"")"),"Cadiz")</f>
        <v>Cadiz</v>
      </c>
      <c r="F4519" s="9" t="str">
        <f>IFERROR(__xludf.DUMMYFUNCTION("GOOGLETRANSLATE($A4519,""en"",""it"")"),"Cadice")</f>
        <v>Cadice</v>
      </c>
      <c r="G4519" s="9" t="str">
        <f>IFERROR(__xludf.DUMMYFUNCTION("GOOGLETRANSLATE($A4519,""en"",""zh-cn"")"),"加的斯")</f>
        <v>加的斯</v>
      </c>
      <c r="H4519" s="9" t="str">
        <f>IFERROR(__xludf.DUMMYFUNCTION("GOOGLETRANSLATE($A4519,""en"",""ja"")"),"カディス")</f>
        <v>カディス</v>
      </c>
      <c r="I4519" s="9" t="str">
        <f>IFERROR(__xludf.DUMMYFUNCTION("GOOGLETRANSLATE($A4519,""en"",""ko"")"),"카디스")</f>
        <v>카디스</v>
      </c>
      <c r="J4519" s="9" t="str">
        <f>IFERROR(__xludf.DUMMYFUNCTION("GOOGLETRANSLATE($A4519,""en"",""pt-BR"")"),"Cádis")</f>
        <v>Cádis</v>
      </c>
    </row>
    <row r="4520">
      <c r="A4520" s="9" t="str">
        <f>IFERROR(__xludf.DUMMYFUNCTION("""COMPUTED_VALUE"""),"Cantabria")</f>
        <v>Cantabria</v>
      </c>
      <c r="B4520" s="9" t="str">
        <f>IFERROR(__xludf.DUMMYFUNCTION("""COMPUTED_VALUE"""),"es-s")</f>
        <v>es-s</v>
      </c>
      <c r="C4520" s="9" t="str">
        <f>IFERROR(__xludf.DUMMYFUNCTION("GOOGLETRANSLATE($A4520,""en"",""de"")"),"Kantabrien")</f>
        <v>Kantabrien</v>
      </c>
      <c r="D4520" s="9" t="str">
        <f>IFERROR(__xludf.DUMMYFUNCTION("GOOGLETRANSLATE($A4520,""en"",""fr"")"),"Cantabrie")</f>
        <v>Cantabrie</v>
      </c>
      <c r="E4520" s="9" t="str">
        <f>IFERROR(__xludf.DUMMYFUNCTION("GOOGLETRANSLATE($A4520,""en"",""es"")"),"Cantabria")</f>
        <v>Cantabria</v>
      </c>
      <c r="F4520" s="9" t="str">
        <f>IFERROR(__xludf.DUMMYFUNCTION("GOOGLETRANSLATE($A4520,""en"",""it"")"),"Cantabria")</f>
        <v>Cantabria</v>
      </c>
      <c r="G4520" s="9" t="str">
        <f>IFERROR(__xludf.DUMMYFUNCTION("GOOGLETRANSLATE($A4520,""en"",""zh-cn"")"),"坎塔布里亚")</f>
        <v>坎塔布里亚</v>
      </c>
      <c r="H4520" s="9" t="str">
        <f>IFERROR(__xludf.DUMMYFUNCTION("GOOGLETRANSLATE($A4520,""en"",""ja"")"),"カンタブリア")</f>
        <v>カンタブリア</v>
      </c>
      <c r="I4520" s="9" t="str">
        <f>IFERROR(__xludf.DUMMYFUNCTION("GOOGLETRANSLATE($A4520,""en"",""ko"")"),"칸타브리아")</f>
        <v>칸타브리아</v>
      </c>
      <c r="J4520" s="9" t="str">
        <f>IFERROR(__xludf.DUMMYFUNCTION("GOOGLETRANSLATE($A4520,""en"",""pt-BR"")"),"Cantábria")</f>
        <v>Cantábria</v>
      </c>
    </row>
    <row r="4521">
      <c r="A4521" s="9" t="str">
        <f>IFERROR(__xludf.DUMMYFUNCTION("""COMPUTED_VALUE"""),"Castellón")</f>
        <v>Castellón</v>
      </c>
      <c r="B4521" s="9" t="str">
        <f>IFERROR(__xludf.DUMMYFUNCTION("""COMPUTED_VALUE"""),"es-cs")</f>
        <v>es-cs</v>
      </c>
      <c r="C4521" s="9" t="str">
        <f>IFERROR(__xludf.DUMMYFUNCTION("GOOGLETRANSLATE($A4521,""en"",""de"")"),"Castellón")</f>
        <v>Castellón</v>
      </c>
      <c r="D4521" s="9" t="str">
        <f>IFERROR(__xludf.DUMMYFUNCTION("GOOGLETRANSLATE($A4521,""en"",""fr"")"),"Castellón")</f>
        <v>Castellón</v>
      </c>
      <c r="E4521" s="9" t="str">
        <f>IFERROR(__xludf.DUMMYFUNCTION("GOOGLETRANSLATE($A4521,""en"",""es"")"),"castellon")</f>
        <v>castellon</v>
      </c>
      <c r="F4521" s="9" t="str">
        <f>IFERROR(__xludf.DUMMYFUNCTION("GOOGLETRANSLATE($A4521,""en"",""it"")"),"Castellon")</f>
        <v>Castellon</v>
      </c>
      <c r="G4521" s="9" t="str">
        <f>IFERROR(__xludf.DUMMYFUNCTION("GOOGLETRANSLATE($A4521,""en"",""zh-cn"")"),"卡斯特利翁")</f>
        <v>卡斯特利翁</v>
      </c>
      <c r="H4521" s="9" t="str">
        <f>IFERROR(__xludf.DUMMYFUNCTION("GOOGLETRANSLATE($A4521,""en"",""ja"")"),"カステリョン")</f>
        <v>カステリョン</v>
      </c>
      <c r="I4521" s="9" t="str">
        <f>IFERROR(__xludf.DUMMYFUNCTION("GOOGLETRANSLATE($A4521,""en"",""ko"")"),"카스테욘")</f>
        <v>카스테욘</v>
      </c>
      <c r="J4521" s="9" t="str">
        <f>IFERROR(__xludf.DUMMYFUNCTION("GOOGLETRANSLATE($A4521,""en"",""pt-BR"")"),"Castellón")</f>
        <v>Castellón</v>
      </c>
    </row>
    <row r="4522">
      <c r="A4522" s="9" t="str">
        <f>IFERROR(__xludf.DUMMYFUNCTION("""COMPUTED_VALUE"""),"Badajoz")</f>
        <v>Badajoz</v>
      </c>
      <c r="B4522" s="9" t="str">
        <f>IFERROR(__xludf.DUMMYFUNCTION("""COMPUTED_VALUE"""),"es-ba")</f>
        <v>es-ba</v>
      </c>
      <c r="C4522" s="9" t="str">
        <f>IFERROR(__xludf.DUMMYFUNCTION("GOOGLETRANSLATE($A4522,""en"",""de"")"),"Badajoz")</f>
        <v>Badajoz</v>
      </c>
      <c r="D4522" s="9" t="str">
        <f>IFERROR(__xludf.DUMMYFUNCTION("GOOGLETRANSLATE($A4522,""en"",""fr"")"),"Badajoz")</f>
        <v>Badajoz</v>
      </c>
      <c r="E4522" s="9" t="str">
        <f>IFERROR(__xludf.DUMMYFUNCTION("GOOGLETRANSLATE($A4522,""en"",""es"")"),"Badajoz")</f>
        <v>Badajoz</v>
      </c>
      <c r="F4522" s="9" t="str">
        <f>IFERROR(__xludf.DUMMYFUNCTION("GOOGLETRANSLATE($A4522,""en"",""it"")"),"Badajoz")</f>
        <v>Badajoz</v>
      </c>
      <c r="G4522" s="9" t="str">
        <f>IFERROR(__xludf.DUMMYFUNCTION("GOOGLETRANSLATE($A4522,""en"",""zh-cn"")"),"巴达霍斯")</f>
        <v>巴达霍斯</v>
      </c>
      <c r="H4522" s="9" t="str">
        <f>IFERROR(__xludf.DUMMYFUNCTION("GOOGLETRANSLATE($A4522,""en"",""ja"")"),"バダホス")</f>
        <v>バダホス</v>
      </c>
      <c r="I4522" s="9" t="str">
        <f>IFERROR(__xludf.DUMMYFUNCTION("GOOGLETRANSLATE($A4522,""en"",""ko"")"),"바다호스")</f>
        <v>바다호스</v>
      </c>
      <c r="J4522" s="9" t="str">
        <f>IFERROR(__xludf.DUMMYFUNCTION("GOOGLETRANSLATE($A4522,""en"",""pt-BR"")"),"Badajoz")</f>
        <v>Badajoz</v>
      </c>
    </row>
    <row r="4523">
      <c r="A4523" s="9" t="str">
        <f>IFERROR(__xludf.DUMMYFUNCTION("""COMPUTED_VALUE"""),"Balears")</f>
        <v>Balears</v>
      </c>
      <c r="B4523" s="9" t="str">
        <f>IFERROR(__xludf.DUMMYFUNCTION("""COMPUTED_VALUE"""),"es-pm")</f>
        <v>es-pm</v>
      </c>
      <c r="C4523" s="9" t="str">
        <f>IFERROR(__xludf.DUMMYFUNCTION("GOOGLETRANSLATE($A4523,""en"",""de"")"),"Balearen")</f>
        <v>Balearen</v>
      </c>
      <c r="D4523" s="9" t="str">
        <f>IFERROR(__xludf.DUMMYFUNCTION("GOOGLETRANSLATE($A4523,""en"",""fr"")"),"Baléares")</f>
        <v>Baléares</v>
      </c>
      <c r="E4523" s="9" t="str">
        <f>IFERROR(__xludf.DUMMYFUNCTION("GOOGLETRANSLATE($A4523,""en"",""es"")"),"Baleares")</f>
        <v>Baleares</v>
      </c>
      <c r="F4523" s="9" t="str">
        <f>IFERROR(__xludf.DUMMYFUNCTION("GOOGLETRANSLATE($A4523,""en"",""it"")"),"Baleari")</f>
        <v>Baleari</v>
      </c>
      <c r="G4523" s="9" t="str">
        <f>IFERROR(__xludf.DUMMYFUNCTION("GOOGLETRANSLATE($A4523,""en"",""zh-cn"")"),"巴利阿里群岛")</f>
        <v>巴利阿里群岛</v>
      </c>
      <c r="H4523" s="9" t="str">
        <f>IFERROR(__xludf.DUMMYFUNCTION("GOOGLETRANSLATE($A4523,""en"",""ja"")"),"バレアス")</f>
        <v>バレアス</v>
      </c>
      <c r="I4523" s="9" t="str">
        <f>IFERROR(__xludf.DUMMYFUNCTION("GOOGLETRANSLATE($A4523,""en"",""ko"")"),"발레아레스")</f>
        <v>발레아레스</v>
      </c>
      <c r="J4523" s="9" t="str">
        <f>IFERROR(__xludf.DUMMYFUNCTION("GOOGLETRANSLATE($A4523,""en"",""pt-BR"")"),"Baleares")</f>
        <v>Baleares</v>
      </c>
    </row>
    <row r="4524">
      <c r="A4524" s="9" t="str">
        <f>IFERROR(__xludf.DUMMYFUNCTION("""COMPUTED_VALUE"""),"Barcelona")</f>
        <v>Barcelona</v>
      </c>
      <c r="B4524" s="9" t="str">
        <f>IFERROR(__xludf.DUMMYFUNCTION("""COMPUTED_VALUE"""),"es-b")</f>
        <v>es-b</v>
      </c>
      <c r="C4524" s="9" t="str">
        <f>IFERROR(__xludf.DUMMYFUNCTION("GOOGLETRANSLATE($A4524,""en"",""de"")"),"Barcelona")</f>
        <v>Barcelona</v>
      </c>
      <c r="D4524" s="9" t="str">
        <f>IFERROR(__xludf.DUMMYFUNCTION("GOOGLETRANSLATE($A4524,""en"",""fr"")"),"Barcelone")</f>
        <v>Barcelone</v>
      </c>
      <c r="E4524" s="9" t="str">
        <f>IFERROR(__xludf.DUMMYFUNCTION("GOOGLETRANSLATE($A4524,""en"",""es"")"),"Barcelona")</f>
        <v>Barcelona</v>
      </c>
      <c r="F4524" s="9" t="str">
        <f>IFERROR(__xludf.DUMMYFUNCTION("GOOGLETRANSLATE($A4524,""en"",""it"")"),"Barcellona")</f>
        <v>Barcellona</v>
      </c>
      <c r="G4524" s="9" t="str">
        <f>IFERROR(__xludf.DUMMYFUNCTION("GOOGLETRANSLATE($A4524,""en"",""zh-cn"")"),"巴塞罗那")</f>
        <v>巴塞罗那</v>
      </c>
      <c r="H4524" s="9" t="str">
        <f>IFERROR(__xludf.DUMMYFUNCTION("GOOGLETRANSLATE($A4524,""en"",""ja"")"),"バルセロナ")</f>
        <v>バルセロナ</v>
      </c>
      <c r="I4524" s="9" t="str">
        <f>IFERROR(__xludf.DUMMYFUNCTION("GOOGLETRANSLATE($A4524,""en"",""ko"")"),"바르셀로나")</f>
        <v>바르셀로나</v>
      </c>
      <c r="J4524" s="9" t="str">
        <f>IFERROR(__xludf.DUMMYFUNCTION("GOOGLETRANSLATE($A4524,""en"",""pt-BR"")"),"Barcelona")</f>
        <v>Barcelona</v>
      </c>
    </row>
    <row r="4525">
      <c r="A4525" s="9" t="str">
        <f>IFERROR(__xludf.DUMMYFUNCTION("""COMPUTED_VALUE"""),"Burgos")</f>
        <v>Burgos</v>
      </c>
      <c r="B4525" s="9" t="str">
        <f>IFERROR(__xludf.DUMMYFUNCTION("""COMPUTED_VALUE"""),"es-bu")</f>
        <v>es-bu</v>
      </c>
      <c r="C4525" s="9" t="str">
        <f>IFERROR(__xludf.DUMMYFUNCTION("GOOGLETRANSLATE($A4525,""en"",""de"")"),"Burgos")</f>
        <v>Burgos</v>
      </c>
      <c r="D4525" s="9" t="str">
        <f>IFERROR(__xludf.DUMMYFUNCTION("GOOGLETRANSLATE($A4525,""en"",""fr"")"),"Burgos")</f>
        <v>Burgos</v>
      </c>
      <c r="E4525" s="9" t="str">
        <f>IFERROR(__xludf.DUMMYFUNCTION("GOOGLETRANSLATE($A4525,""en"",""es"")"),"Burgos")</f>
        <v>Burgos</v>
      </c>
      <c r="F4525" s="9" t="str">
        <f>IFERROR(__xludf.DUMMYFUNCTION("GOOGLETRANSLATE($A4525,""en"",""it"")"),"Burgos")</f>
        <v>Burgos</v>
      </c>
      <c r="G4525" s="9" t="str">
        <f>IFERROR(__xludf.DUMMYFUNCTION("GOOGLETRANSLATE($A4525,""en"",""zh-cn"")"),"布尔戈斯")</f>
        <v>布尔戈斯</v>
      </c>
      <c r="H4525" s="9" t="str">
        <f>IFERROR(__xludf.DUMMYFUNCTION("GOOGLETRANSLATE($A4525,""en"",""ja"")"),"ブルゴス")</f>
        <v>ブルゴス</v>
      </c>
      <c r="I4525" s="9" t="str">
        <f>IFERROR(__xludf.DUMMYFUNCTION("GOOGLETRANSLATE($A4525,""en"",""ko"")"),"부르고스")</f>
        <v>부르고스</v>
      </c>
      <c r="J4525" s="9" t="str">
        <f>IFERROR(__xludf.DUMMYFUNCTION("GOOGLETRANSLATE($A4525,""en"",""pt-BR"")"),"Burgos")</f>
        <v>Burgos</v>
      </c>
    </row>
    <row r="4526">
      <c r="A4526" s="9" t="str">
        <f>IFERROR(__xludf.DUMMYFUNCTION("""COMPUTED_VALUE"""),"Alicante")</f>
        <v>Alicante</v>
      </c>
      <c r="B4526" s="9" t="str">
        <f>IFERROR(__xludf.DUMMYFUNCTION("""COMPUTED_VALUE"""),"es-a")</f>
        <v>es-a</v>
      </c>
      <c r="C4526" s="9" t="str">
        <f>IFERROR(__xludf.DUMMYFUNCTION("GOOGLETRANSLATE($A4526,""en"",""de"")"),"Alicante")</f>
        <v>Alicante</v>
      </c>
      <c r="D4526" s="9" t="str">
        <f>IFERROR(__xludf.DUMMYFUNCTION("GOOGLETRANSLATE($A4526,""en"",""fr"")"),"Alicante")</f>
        <v>Alicante</v>
      </c>
      <c r="E4526" s="9" t="str">
        <f>IFERROR(__xludf.DUMMYFUNCTION("GOOGLETRANSLATE($A4526,""en"",""es"")"),"alicante")</f>
        <v>alicante</v>
      </c>
      <c r="F4526" s="9" t="str">
        <f>IFERROR(__xludf.DUMMYFUNCTION("GOOGLETRANSLATE($A4526,""en"",""it"")"),"Alicante")</f>
        <v>Alicante</v>
      </c>
      <c r="G4526" s="9" t="str">
        <f>IFERROR(__xludf.DUMMYFUNCTION("GOOGLETRANSLATE($A4526,""en"",""zh-cn"")"),"阿利坎特")</f>
        <v>阿利坎特</v>
      </c>
      <c r="H4526" s="9" t="str">
        <f>IFERROR(__xludf.DUMMYFUNCTION("GOOGLETRANSLATE($A4526,""en"",""ja"")"),"アリカンテ")</f>
        <v>アリカンテ</v>
      </c>
      <c r="I4526" s="9" t="str">
        <f>IFERROR(__xludf.DUMMYFUNCTION("GOOGLETRANSLATE($A4526,""en"",""ko"")"),"알리칸테")</f>
        <v>알리칸테</v>
      </c>
      <c r="J4526" s="9" t="str">
        <f>IFERROR(__xludf.DUMMYFUNCTION("GOOGLETRANSLATE($A4526,""en"",""pt-BR"")"),"Alicante")</f>
        <v>Alicante</v>
      </c>
    </row>
    <row r="4527">
      <c r="A4527" s="9" t="str">
        <f>IFERROR(__xludf.DUMMYFUNCTION("""COMPUTED_VALUE"""),"Almería")</f>
        <v>Almería</v>
      </c>
      <c r="B4527" s="9" t="str">
        <f>IFERROR(__xludf.DUMMYFUNCTION("""COMPUTED_VALUE"""),"es-al")</f>
        <v>es-al</v>
      </c>
      <c r="C4527" s="9" t="str">
        <f>IFERROR(__xludf.DUMMYFUNCTION("GOOGLETRANSLATE($A4527,""en"",""de"")"),"Almería")</f>
        <v>Almería</v>
      </c>
      <c r="D4527" s="9" t="str">
        <f>IFERROR(__xludf.DUMMYFUNCTION("GOOGLETRANSLATE($A4527,""en"",""fr"")"),"Almeria")</f>
        <v>Almeria</v>
      </c>
      <c r="E4527" s="9" t="str">
        <f>IFERROR(__xludf.DUMMYFUNCTION("GOOGLETRANSLATE($A4527,""en"",""es"")"),"Almería")</f>
        <v>Almería</v>
      </c>
      <c r="F4527" s="9" t="str">
        <f>IFERROR(__xludf.DUMMYFUNCTION("GOOGLETRANSLATE($A4527,""en"",""it"")"),"Almeria")</f>
        <v>Almeria</v>
      </c>
      <c r="G4527" s="9" t="str">
        <f>IFERROR(__xludf.DUMMYFUNCTION("GOOGLETRANSLATE($A4527,""en"",""zh-cn"")"),"阿尔梅里亚")</f>
        <v>阿尔梅里亚</v>
      </c>
      <c r="H4527" s="9" t="str">
        <f>IFERROR(__xludf.DUMMYFUNCTION("GOOGLETRANSLATE($A4527,""en"",""ja"")"),"アルメリア")</f>
        <v>アルメリア</v>
      </c>
      <c r="I4527" s="9" t="str">
        <f>IFERROR(__xludf.DUMMYFUNCTION("GOOGLETRANSLATE($A4527,""en"",""ko"")"),"알메리아")</f>
        <v>알메리아</v>
      </c>
      <c r="J4527" s="9" t="str">
        <f>IFERROR(__xludf.DUMMYFUNCTION("GOOGLETRANSLATE($A4527,""en"",""pt-BR"")"),"Almeria")</f>
        <v>Almeria</v>
      </c>
    </row>
    <row r="4528">
      <c r="A4528" s="9" t="str">
        <f>IFERROR(__xludf.DUMMYFUNCTION("""COMPUTED_VALUE"""),"Asturias")</f>
        <v>Asturias</v>
      </c>
      <c r="B4528" s="9" t="str">
        <f>IFERROR(__xludf.DUMMYFUNCTION("""COMPUTED_VALUE"""),"es-o")</f>
        <v>es-o</v>
      </c>
      <c r="C4528" s="9" t="str">
        <f>IFERROR(__xludf.DUMMYFUNCTION("GOOGLETRANSLATE($A4528,""en"",""de"")"),"Asturien")</f>
        <v>Asturien</v>
      </c>
      <c r="D4528" s="9" t="str">
        <f>IFERROR(__xludf.DUMMYFUNCTION("GOOGLETRANSLATE($A4528,""en"",""fr"")"),"Asturies")</f>
        <v>Asturies</v>
      </c>
      <c r="E4528" s="9" t="str">
        <f>IFERROR(__xludf.DUMMYFUNCTION("GOOGLETRANSLATE($A4528,""en"",""es"")"),"Asturias")</f>
        <v>Asturias</v>
      </c>
      <c r="F4528" s="9" t="str">
        <f>IFERROR(__xludf.DUMMYFUNCTION("GOOGLETRANSLATE($A4528,""en"",""it"")"),"Asturie")</f>
        <v>Asturie</v>
      </c>
      <c r="G4528" s="9" t="str">
        <f>IFERROR(__xludf.DUMMYFUNCTION("GOOGLETRANSLATE($A4528,""en"",""zh-cn"")"),"阿斯图里亚斯")</f>
        <v>阿斯图里亚斯</v>
      </c>
      <c r="H4528" s="9" t="str">
        <f>IFERROR(__xludf.DUMMYFUNCTION("GOOGLETRANSLATE($A4528,""en"",""ja"")"),"アストゥリアス")</f>
        <v>アストゥリアス</v>
      </c>
      <c r="I4528" s="9" t="str">
        <f>IFERROR(__xludf.DUMMYFUNCTION("GOOGLETRANSLATE($A4528,""en"",""ko"")"),"아스투리아스")</f>
        <v>아스투리아스</v>
      </c>
      <c r="J4528" s="9" t="str">
        <f>IFERROR(__xludf.DUMMYFUNCTION("GOOGLETRANSLATE($A4528,""en"",""pt-BR"")"),"Astúrias")</f>
        <v>Astúrias</v>
      </c>
    </row>
    <row r="4529">
      <c r="A4529" s="9" t="str">
        <f>IFERROR(__xludf.DUMMYFUNCTION("""COMPUTED_VALUE"""),"Ávila")</f>
        <v>Ávila</v>
      </c>
      <c r="B4529" s="9" t="str">
        <f>IFERROR(__xludf.DUMMYFUNCTION("""COMPUTED_VALUE"""),"es-av")</f>
        <v>es-av</v>
      </c>
      <c r="C4529" s="9" t="str">
        <f>IFERROR(__xludf.DUMMYFUNCTION("GOOGLETRANSLATE($A4529,""en"",""de"")"),"Ávila")</f>
        <v>Ávila</v>
      </c>
      <c r="D4529" s="9" t="str">
        <f>IFERROR(__xludf.DUMMYFUNCTION("GOOGLETRANSLATE($A4529,""en"",""fr"")"),"Avila")</f>
        <v>Avila</v>
      </c>
      <c r="E4529" s="9" t="str">
        <f>IFERROR(__xludf.DUMMYFUNCTION("GOOGLETRANSLATE($A4529,""en"",""es"")"),"Ávila")</f>
        <v>Ávila</v>
      </c>
      <c r="F4529" s="9" t="str">
        <f>IFERROR(__xludf.DUMMYFUNCTION("GOOGLETRANSLATE($A4529,""en"",""it"")"),"Avila")</f>
        <v>Avila</v>
      </c>
      <c r="G4529" s="9" t="str">
        <f>IFERROR(__xludf.DUMMYFUNCTION("GOOGLETRANSLATE($A4529,""en"",""zh-cn"")"),"阿维拉")</f>
        <v>阿维拉</v>
      </c>
      <c r="H4529" s="9" t="str">
        <f>IFERROR(__xludf.DUMMYFUNCTION("GOOGLETRANSLATE($A4529,""en"",""ja"")"),"アビラ")</f>
        <v>アビラ</v>
      </c>
      <c r="I4529" s="9" t="str">
        <f>IFERROR(__xludf.DUMMYFUNCTION("GOOGLETRANSLATE($A4529,""en"",""ko"")"),"아빌라")</f>
        <v>아빌라</v>
      </c>
      <c r="J4529" s="9" t="str">
        <f>IFERROR(__xludf.DUMMYFUNCTION("GOOGLETRANSLATE($A4529,""en"",""pt-BR"")"),"Ávila")</f>
        <v>Ávila</v>
      </c>
    </row>
    <row r="4530">
      <c r="A4530" s="9" t="str">
        <f>IFERROR(__xludf.DUMMYFUNCTION("""COMPUTED_VALUE"""),"Melilla")</f>
        <v>Melilla</v>
      </c>
      <c r="B4530" s="9" t="str">
        <f>IFERROR(__xludf.DUMMYFUNCTION("""COMPUTED_VALUE"""),"es-ml")</f>
        <v>es-ml</v>
      </c>
      <c r="C4530" s="9" t="str">
        <f>IFERROR(__xludf.DUMMYFUNCTION("GOOGLETRANSLATE($A4530,""en"",""de"")"),"Melilla")</f>
        <v>Melilla</v>
      </c>
      <c r="D4530" s="9" t="str">
        <f>IFERROR(__xludf.DUMMYFUNCTION("GOOGLETRANSLATE($A4530,""en"",""fr"")"),"Mélilla")</f>
        <v>Mélilla</v>
      </c>
      <c r="E4530" s="9" t="str">
        <f>IFERROR(__xludf.DUMMYFUNCTION("GOOGLETRANSLATE($A4530,""en"",""es"")"),"Melilla")</f>
        <v>Melilla</v>
      </c>
      <c r="F4530" s="9" t="str">
        <f>IFERROR(__xludf.DUMMYFUNCTION("GOOGLETRANSLATE($A4530,""en"",""it"")"),"Melilla")</f>
        <v>Melilla</v>
      </c>
      <c r="G4530" s="9" t="str">
        <f>IFERROR(__xludf.DUMMYFUNCTION("GOOGLETRANSLATE($A4530,""en"",""zh-cn"")"),"梅利利亚")</f>
        <v>梅利利亚</v>
      </c>
      <c r="H4530" s="9" t="str">
        <f>IFERROR(__xludf.DUMMYFUNCTION("GOOGLETRANSLATE($A4530,""en"",""ja"")"),"メリリャ")</f>
        <v>メリリャ</v>
      </c>
      <c r="I4530" s="9" t="str">
        <f>IFERROR(__xludf.DUMMYFUNCTION("GOOGLETRANSLATE($A4530,""en"",""ko"")"),"멜리야")</f>
        <v>멜리야</v>
      </c>
      <c r="J4530" s="9" t="str">
        <f>IFERROR(__xludf.DUMMYFUNCTION("GOOGLETRANSLATE($A4530,""en"",""pt-BR"")"),"Melilha")</f>
        <v>Melilha</v>
      </c>
    </row>
    <row r="4531">
      <c r="A4531" s="9" t="str">
        <f>IFERROR(__xludf.DUMMYFUNCTION("""COMPUTED_VALUE"""),"A Coruña")</f>
        <v>A Coruña</v>
      </c>
      <c r="B4531" s="9" t="str">
        <f>IFERROR(__xludf.DUMMYFUNCTION("""COMPUTED_VALUE"""),"es-c")</f>
        <v>es-c</v>
      </c>
      <c r="C4531" s="9" t="str">
        <f>IFERROR(__xludf.DUMMYFUNCTION("GOOGLETRANSLATE($A4531,""en"",""de"")"),"Eine Coruña")</f>
        <v>Eine Coruña</v>
      </c>
      <c r="D4531" s="9" t="str">
        <f>IFERROR(__xludf.DUMMYFUNCTION("GOOGLETRANSLATE($A4531,""en"",""fr"")"),"La Corogne")</f>
        <v>La Corogne</v>
      </c>
      <c r="E4531" s="9" t="str">
        <f>IFERROR(__xludf.DUMMYFUNCTION("GOOGLETRANSLATE($A4531,""en"",""es"")"),"La Coruña")</f>
        <v>La Coruña</v>
      </c>
      <c r="F4531" s="9" t="str">
        <f>IFERROR(__xludf.DUMMYFUNCTION("GOOGLETRANSLATE($A4531,""en"",""it"")"),"A Coruña")</f>
        <v>A Coruña</v>
      </c>
      <c r="G4531" s="9" t="str">
        <f>IFERROR(__xludf.DUMMYFUNCTION("GOOGLETRANSLATE($A4531,""en"",""zh-cn"")"),"拉科鲁尼亚")</f>
        <v>拉科鲁尼亚</v>
      </c>
      <c r="H4531" s="9" t="str">
        <f>IFERROR(__xludf.DUMMYFUNCTION("GOOGLETRANSLATE($A4531,""en"",""ja"")"),"ア・コルーニャ")</f>
        <v>ア・コルーニャ</v>
      </c>
      <c r="I4531" s="9" t="str">
        <f>IFERROR(__xludf.DUMMYFUNCTION("GOOGLETRANSLATE($A4531,""en"",""ko"")"),"아 코루냐")</f>
        <v>아 코루냐</v>
      </c>
      <c r="J4531" s="9" t="str">
        <f>IFERROR(__xludf.DUMMYFUNCTION("GOOGLETRANSLATE($A4531,""en"",""pt-BR"")"),"Corunha")</f>
        <v>Corunha</v>
      </c>
    </row>
    <row r="4532">
      <c r="A4532" s="9" t="str">
        <f>IFERROR(__xludf.DUMMYFUNCTION("""COMPUTED_VALUE"""),"Álava")</f>
        <v>Álava</v>
      </c>
      <c r="B4532" s="9" t="str">
        <f>IFERROR(__xludf.DUMMYFUNCTION("""COMPUTED_VALUE"""),"es-vi")</f>
        <v>es-vi</v>
      </c>
      <c r="C4532" s="9" t="str">
        <f>IFERROR(__xludf.DUMMYFUNCTION("GOOGLETRANSLATE($A4532,""en"",""de"")"),"Álava")</f>
        <v>Álava</v>
      </c>
      <c r="D4532" s="9" t="str">
        <f>IFERROR(__xludf.DUMMYFUNCTION("GOOGLETRANSLATE($A4532,""en"",""fr"")"),"Alava")</f>
        <v>Alava</v>
      </c>
      <c r="E4532" s="9" t="str">
        <f>IFERROR(__xludf.DUMMYFUNCTION("GOOGLETRANSLATE($A4532,""en"",""es"")"),"Álava")</f>
        <v>Álava</v>
      </c>
      <c r="F4532" s="9" t="str">
        <f>IFERROR(__xludf.DUMMYFUNCTION("GOOGLETRANSLATE($A4532,""en"",""it"")"),"Álava")</f>
        <v>Álava</v>
      </c>
      <c r="G4532" s="9" t="str">
        <f>IFERROR(__xludf.DUMMYFUNCTION("GOOGLETRANSLATE($A4532,""en"",""zh-cn"")"),"阿拉瓦")</f>
        <v>阿拉瓦</v>
      </c>
      <c r="H4532" s="9" t="str">
        <f>IFERROR(__xludf.DUMMYFUNCTION("GOOGLETRANSLATE($A4532,""en"",""ja"")"),"アラバ")</f>
        <v>アラバ</v>
      </c>
      <c r="I4532" s="9" t="str">
        <f>IFERROR(__xludf.DUMMYFUNCTION("GOOGLETRANSLATE($A4532,""en"",""ko"")"),"알라바")</f>
        <v>알라바</v>
      </c>
      <c r="J4532" s="9" t="str">
        <f>IFERROR(__xludf.DUMMYFUNCTION("GOOGLETRANSLATE($A4532,""en"",""pt-BR"")"),"Álava")</f>
        <v>Álava</v>
      </c>
    </row>
    <row r="4533">
      <c r="A4533" s="9" t="str">
        <f>IFERROR(__xludf.DUMMYFUNCTION("""COMPUTED_VALUE"""),"Albacete")</f>
        <v>Albacete</v>
      </c>
      <c r="B4533" s="9" t="str">
        <f>IFERROR(__xludf.DUMMYFUNCTION("""COMPUTED_VALUE"""),"es-ab")</f>
        <v>es-ab</v>
      </c>
      <c r="C4533" s="9" t="str">
        <f>IFERROR(__xludf.DUMMYFUNCTION("GOOGLETRANSLATE($A4533,""en"",""de"")"),"Albacete")</f>
        <v>Albacete</v>
      </c>
      <c r="D4533" s="9" t="str">
        <f>IFERROR(__xludf.DUMMYFUNCTION("GOOGLETRANSLATE($A4533,""en"",""fr"")"),"Albacete")</f>
        <v>Albacete</v>
      </c>
      <c r="E4533" s="9" t="str">
        <f>IFERROR(__xludf.DUMMYFUNCTION("GOOGLETRANSLATE($A4533,""en"",""es"")"),"albacete")</f>
        <v>albacete</v>
      </c>
      <c r="F4533" s="9" t="str">
        <f>IFERROR(__xludf.DUMMYFUNCTION("GOOGLETRANSLATE($A4533,""en"",""it"")"),"Albacete")</f>
        <v>Albacete</v>
      </c>
      <c r="G4533" s="9" t="str">
        <f>IFERROR(__xludf.DUMMYFUNCTION("GOOGLETRANSLATE($A4533,""en"",""zh-cn"")"),"阿尔瓦塞特")</f>
        <v>阿尔瓦塞特</v>
      </c>
      <c r="H4533" s="9" t="str">
        <f>IFERROR(__xludf.DUMMYFUNCTION("GOOGLETRANSLATE($A4533,""en"",""ja"")"),"アルバセテ")</f>
        <v>アルバセテ</v>
      </c>
      <c r="I4533" s="9" t="str">
        <f>IFERROR(__xludf.DUMMYFUNCTION("GOOGLETRANSLATE($A4533,""en"",""ko"")"),"알바세테")</f>
        <v>알바세테</v>
      </c>
      <c r="J4533" s="9" t="str">
        <f>IFERROR(__xludf.DUMMYFUNCTION("GOOGLETRANSLATE($A4533,""en"",""pt-BR"")"),"Albacete")</f>
        <v>Albacete</v>
      </c>
    </row>
    <row r="4534">
      <c r="A4534" s="9" t="str">
        <f>IFERROR(__xludf.DUMMYFUNCTION("""COMPUTED_VALUE"""),"Huesca")</f>
        <v>Huesca</v>
      </c>
      <c r="B4534" s="9" t="str">
        <f>IFERROR(__xludf.DUMMYFUNCTION("""COMPUTED_VALUE"""),"es-hu")</f>
        <v>es-hu</v>
      </c>
      <c r="C4534" s="9" t="str">
        <f>IFERROR(__xludf.DUMMYFUNCTION("GOOGLETRANSLATE($A4534,""en"",""de"")"),"Huesca")</f>
        <v>Huesca</v>
      </c>
      <c r="D4534" s="9" t="str">
        <f>IFERROR(__xludf.DUMMYFUNCTION("GOOGLETRANSLATE($A4534,""en"",""fr"")"),"Huesca")</f>
        <v>Huesca</v>
      </c>
      <c r="E4534" s="9" t="str">
        <f>IFERROR(__xludf.DUMMYFUNCTION("GOOGLETRANSLATE($A4534,""en"",""es"")"),"Huesca")</f>
        <v>Huesca</v>
      </c>
      <c r="F4534" s="9" t="str">
        <f>IFERROR(__xludf.DUMMYFUNCTION("GOOGLETRANSLATE($A4534,""en"",""it"")"),"Huesca")</f>
        <v>Huesca</v>
      </c>
      <c r="G4534" s="9" t="str">
        <f>IFERROR(__xludf.DUMMYFUNCTION("GOOGLETRANSLATE($A4534,""en"",""zh-cn"")"),"韦斯卡")</f>
        <v>韦斯卡</v>
      </c>
      <c r="H4534" s="9" t="str">
        <f>IFERROR(__xludf.DUMMYFUNCTION("GOOGLETRANSLATE($A4534,""en"",""ja"")"),"ウエスカ")</f>
        <v>ウエスカ</v>
      </c>
      <c r="I4534" s="9" t="str">
        <f>IFERROR(__xludf.DUMMYFUNCTION("GOOGLETRANSLATE($A4534,""en"",""ko"")"),"우에스카")</f>
        <v>우에스카</v>
      </c>
      <c r="J4534" s="9" t="str">
        <f>IFERROR(__xludf.DUMMYFUNCTION("GOOGLETRANSLATE($A4534,""en"",""pt-BR"")"),"Huesca")</f>
        <v>Huesca</v>
      </c>
    </row>
    <row r="4535">
      <c r="A4535" s="9" t="str">
        <f>IFERROR(__xludf.DUMMYFUNCTION("""COMPUTED_VALUE"""),"Granada (ES)")</f>
        <v>Granada (ES)</v>
      </c>
      <c r="B4535" s="9" t="str">
        <f>IFERROR(__xludf.DUMMYFUNCTION("""COMPUTED_VALUE"""),"es-gr")</f>
        <v>es-gr</v>
      </c>
      <c r="C4535" s="9" t="str">
        <f>IFERROR(__xludf.DUMMYFUNCTION("GOOGLETRANSLATE($A4535,""en"",""de"")"),"Granada (ES)")</f>
        <v>Granada (ES)</v>
      </c>
      <c r="D4535" s="9" t="str">
        <f>IFERROR(__xludf.DUMMYFUNCTION("GOOGLETRANSLATE($A4535,""en"",""fr"")"),"Grenade (ES)")</f>
        <v>Grenade (ES)</v>
      </c>
      <c r="E4535" s="9" t="str">
        <f>IFERROR(__xludf.DUMMYFUNCTION("GOOGLETRANSLATE($A4535,""en"",""es"")"),"Granada (ES)")</f>
        <v>Granada (ES)</v>
      </c>
      <c r="F4535" s="9" t="str">
        <f>IFERROR(__xludf.DUMMYFUNCTION("GOOGLETRANSLATE($A4535,""en"",""it"")"),"Granada (ES)")</f>
        <v>Granada (ES)</v>
      </c>
      <c r="G4535" s="9" t="str">
        <f>IFERROR(__xludf.DUMMYFUNCTION("GOOGLETRANSLATE($A4535,""en"",""zh-cn"")"),"格拉纳达 (西班牙)")</f>
        <v>格拉纳达 (西班牙)</v>
      </c>
      <c r="H4535" s="9" t="str">
        <f>IFERROR(__xludf.DUMMYFUNCTION("GOOGLETRANSLATE($A4535,""en"",""ja"")"),"グラナダ (ES)")</f>
        <v>グラナダ (ES)</v>
      </c>
      <c r="I4535" s="9" t="str">
        <f>IFERROR(__xludf.DUMMYFUNCTION("GOOGLETRANSLATE($A4535,""en"",""ko"")"),"그라나다 (ES)")</f>
        <v>그라나다 (ES)</v>
      </c>
      <c r="J4535" s="9" t="str">
        <f>IFERROR(__xludf.DUMMYFUNCTION("GOOGLETRANSLATE($A4535,""en"",""pt-BR"")"),"Granada (ES)")</f>
        <v>Granada (ES)</v>
      </c>
    </row>
    <row r="4536">
      <c r="A4536" s="9" t="str">
        <f>IFERROR(__xludf.DUMMYFUNCTION("""COMPUTED_VALUE"""),"Guadalajara")</f>
        <v>Guadalajara</v>
      </c>
      <c r="B4536" s="9" t="str">
        <f>IFERROR(__xludf.DUMMYFUNCTION("""COMPUTED_VALUE"""),"es-gu")</f>
        <v>es-gu</v>
      </c>
      <c r="C4536" s="9" t="str">
        <f>IFERROR(__xludf.DUMMYFUNCTION("GOOGLETRANSLATE($A4536,""en"",""de"")"),"Guadalajara")</f>
        <v>Guadalajara</v>
      </c>
      <c r="D4536" s="9" t="str">
        <f>IFERROR(__xludf.DUMMYFUNCTION("GOOGLETRANSLATE($A4536,""en"",""fr"")"),"Guadalajara")</f>
        <v>Guadalajara</v>
      </c>
      <c r="E4536" s="9" t="str">
        <f>IFERROR(__xludf.DUMMYFUNCTION("GOOGLETRANSLATE($A4536,""en"",""es"")"),"Guadalajara")</f>
        <v>Guadalajara</v>
      </c>
      <c r="F4536" s="9" t="str">
        <f>IFERROR(__xludf.DUMMYFUNCTION("GOOGLETRANSLATE($A4536,""en"",""it"")"),"Guadalajara")</f>
        <v>Guadalajara</v>
      </c>
      <c r="G4536" s="9" t="str">
        <f>IFERROR(__xludf.DUMMYFUNCTION("GOOGLETRANSLATE($A4536,""en"",""zh-cn"")"),"瓜达拉哈拉")</f>
        <v>瓜达拉哈拉</v>
      </c>
      <c r="H4536" s="9" t="str">
        <f>IFERROR(__xludf.DUMMYFUNCTION("GOOGLETRANSLATE($A4536,""en"",""ja"")"),"グアダラハラ")</f>
        <v>グアダラハラ</v>
      </c>
      <c r="I4536" s="9" t="str">
        <f>IFERROR(__xludf.DUMMYFUNCTION("GOOGLETRANSLATE($A4536,""en"",""ko"")"),"과달라하라")</f>
        <v>과달라하라</v>
      </c>
      <c r="J4536" s="9" t="str">
        <f>IFERROR(__xludf.DUMMYFUNCTION("GOOGLETRANSLATE($A4536,""en"",""pt-BR"")"),"Guadalajara")</f>
        <v>Guadalajara</v>
      </c>
    </row>
    <row r="4537">
      <c r="A4537" s="9" t="str">
        <f>IFERROR(__xludf.DUMMYFUNCTION("""COMPUTED_VALUE"""),"Guipúzcoa")</f>
        <v>Guipúzcoa</v>
      </c>
      <c r="B4537" s="9" t="str">
        <f>IFERROR(__xludf.DUMMYFUNCTION("""COMPUTED_VALUE"""),"es-ss")</f>
        <v>es-ss</v>
      </c>
      <c r="C4537" s="9" t="str">
        <f>IFERROR(__xludf.DUMMYFUNCTION("GOOGLETRANSLATE($A4537,""en"",""de"")"),"Gipuzkoa")</f>
        <v>Gipuzkoa</v>
      </c>
      <c r="D4537" s="9" t="str">
        <f>IFERROR(__xludf.DUMMYFUNCTION("GOOGLETRANSLATE($A4537,""en"",""fr"")"),"Guipuscoa")</f>
        <v>Guipuscoa</v>
      </c>
      <c r="E4537" s="9" t="str">
        <f>IFERROR(__xludf.DUMMYFUNCTION("GOOGLETRANSLATE($A4537,""en"",""es"")"),"Guipúzcoa")</f>
        <v>Guipúzcoa</v>
      </c>
      <c r="F4537" s="9" t="str">
        <f>IFERROR(__xludf.DUMMYFUNCTION("GOOGLETRANSLATE($A4537,""en"",""it"")"),"Guipuzcoa")</f>
        <v>Guipuzcoa</v>
      </c>
      <c r="G4537" s="9" t="str">
        <f>IFERROR(__xludf.DUMMYFUNCTION("GOOGLETRANSLATE($A4537,""en"",""zh-cn"")"),"吉普斯夸省")</f>
        <v>吉普斯夸省</v>
      </c>
      <c r="H4537" s="9" t="str">
        <f>IFERROR(__xludf.DUMMYFUNCTION("GOOGLETRANSLATE($A4537,""en"",""ja"")"),"ギプスコア")</f>
        <v>ギプスコア</v>
      </c>
      <c r="I4537" s="9" t="str">
        <f>IFERROR(__xludf.DUMMYFUNCTION("GOOGLETRANSLATE($A4537,""en"",""ko"")"),"기푸스코아")</f>
        <v>기푸스코아</v>
      </c>
      <c r="J4537" s="9" t="str">
        <f>IFERROR(__xludf.DUMMYFUNCTION("GOOGLETRANSLATE($A4537,""en"",""pt-BR"")"),"Guipúzcoa")</f>
        <v>Guipúzcoa</v>
      </c>
    </row>
    <row r="4538">
      <c r="A4538" s="9" t="str">
        <f>IFERROR(__xludf.DUMMYFUNCTION("""COMPUTED_VALUE"""),"Huelva")</f>
        <v>Huelva</v>
      </c>
      <c r="B4538" s="9" t="str">
        <f>IFERROR(__xludf.DUMMYFUNCTION("""COMPUTED_VALUE"""),"es-h")</f>
        <v>es-h</v>
      </c>
      <c r="C4538" s="9" t="str">
        <f>IFERROR(__xludf.DUMMYFUNCTION("GOOGLETRANSLATE($A4538,""en"",""de"")"),"Huelva")</f>
        <v>Huelva</v>
      </c>
      <c r="D4538" s="9" t="str">
        <f>IFERROR(__xludf.DUMMYFUNCTION("GOOGLETRANSLATE($A4538,""en"",""fr"")"),"Huelva")</f>
        <v>Huelva</v>
      </c>
      <c r="E4538" s="9" t="str">
        <f>IFERROR(__xludf.DUMMYFUNCTION("GOOGLETRANSLATE($A4538,""en"",""es"")"),"Huelva")</f>
        <v>Huelva</v>
      </c>
      <c r="F4538" s="9" t="str">
        <f>IFERROR(__xludf.DUMMYFUNCTION("GOOGLETRANSLATE($A4538,""en"",""it"")"),"Huelva")</f>
        <v>Huelva</v>
      </c>
      <c r="G4538" s="9" t="str">
        <f>IFERROR(__xludf.DUMMYFUNCTION("GOOGLETRANSLATE($A4538,""en"",""zh-cn"")"),"韦尔瓦")</f>
        <v>韦尔瓦</v>
      </c>
      <c r="H4538" s="9" t="str">
        <f>IFERROR(__xludf.DUMMYFUNCTION("GOOGLETRANSLATE($A4538,""en"",""ja"")"),"ウエルバ")</f>
        <v>ウエルバ</v>
      </c>
      <c r="I4538" s="9" t="str">
        <f>IFERROR(__xludf.DUMMYFUNCTION("GOOGLETRANSLATE($A4538,""en"",""ko"")"),"우엘바")</f>
        <v>우엘바</v>
      </c>
      <c r="J4538" s="9" t="str">
        <f>IFERROR(__xludf.DUMMYFUNCTION("GOOGLETRANSLATE($A4538,""en"",""pt-BR"")"),"Huelva")</f>
        <v>Huelva</v>
      </c>
    </row>
    <row r="4539">
      <c r="A4539" s="9" t="str">
        <f>IFERROR(__xludf.DUMMYFUNCTION("""COMPUTED_VALUE"""),"Ciudad Real")</f>
        <v>Ciudad Real</v>
      </c>
      <c r="B4539" s="9" t="str">
        <f>IFERROR(__xludf.DUMMYFUNCTION("""COMPUTED_VALUE"""),"es-cr")</f>
        <v>es-cr</v>
      </c>
      <c r="C4539" s="9" t="str">
        <f>IFERROR(__xludf.DUMMYFUNCTION("GOOGLETRANSLATE($A4539,""en"",""de"")"),"Ciudad Real")</f>
        <v>Ciudad Real</v>
      </c>
      <c r="D4539" s="9" t="str">
        <f>IFERROR(__xludf.DUMMYFUNCTION("GOOGLETRANSLATE($A4539,""en"",""fr"")"),"Ville Réelle")</f>
        <v>Ville Réelle</v>
      </c>
      <c r="E4539" s="9" t="str">
        <f>IFERROR(__xludf.DUMMYFUNCTION("GOOGLETRANSLATE($A4539,""en"",""es"")"),"Ciudad Real")</f>
        <v>Ciudad Real</v>
      </c>
      <c r="F4539" s="9" t="str">
        <f>IFERROR(__xludf.DUMMYFUNCTION("GOOGLETRANSLATE($A4539,""en"",""it"")"),"Città Real")</f>
        <v>Città Real</v>
      </c>
      <c r="G4539" s="9" t="str">
        <f>IFERROR(__xludf.DUMMYFUNCTION("GOOGLETRANSLATE($A4539,""en"",""zh-cn"")"),"雷阿尔城")</f>
        <v>雷阿尔城</v>
      </c>
      <c r="H4539" s="9" t="str">
        <f>IFERROR(__xludf.DUMMYFUNCTION("GOOGLETRANSLATE($A4539,""en"",""ja"")"),"シウダー・レアル")</f>
        <v>シウダー・レアル</v>
      </c>
      <c r="I4539" s="9" t="str">
        <f>IFERROR(__xludf.DUMMYFUNCTION("GOOGLETRANSLATE($A4539,""en"",""ko"")"),"시우다드 레알")</f>
        <v>시우다드 레알</v>
      </c>
      <c r="J4539" s="9" t="str">
        <f>IFERROR(__xludf.DUMMYFUNCTION("GOOGLETRANSLATE($A4539,""en"",""pt-BR"")"),"Cidade Real")</f>
        <v>Cidade Real</v>
      </c>
    </row>
    <row r="4540">
      <c r="A4540" s="9" t="str">
        <f>IFERROR(__xludf.DUMMYFUNCTION("""COMPUTED_VALUE"""),"Córdoba (ES)")</f>
        <v>Córdoba (ES)</v>
      </c>
      <c r="B4540" s="9" t="str">
        <f>IFERROR(__xludf.DUMMYFUNCTION("""COMPUTED_VALUE"""),"es-co")</f>
        <v>es-co</v>
      </c>
      <c r="C4540" s="9" t="str">
        <f>IFERROR(__xludf.DUMMYFUNCTION("GOOGLETRANSLATE($A4540,""en"",""de"")"),"Córdoba (ES)")</f>
        <v>Córdoba (ES)</v>
      </c>
      <c r="D4540" s="9" t="str">
        <f>IFERROR(__xludf.DUMMYFUNCTION("GOOGLETRANSLATE($A4540,""en"",""fr"")"),"Cordoue (ES)")</f>
        <v>Cordoue (ES)</v>
      </c>
      <c r="E4540" s="9" t="str">
        <f>IFERROR(__xludf.DUMMYFUNCTION("GOOGLETRANSLATE($A4540,""en"",""es"")"),"Córdoba (ES)")</f>
        <v>Córdoba (ES)</v>
      </c>
      <c r="F4540" s="9" t="str">
        <f>IFERROR(__xludf.DUMMYFUNCTION("GOOGLETRANSLATE($A4540,""en"",""it"")"),"Cordova (ES)")</f>
        <v>Cordova (ES)</v>
      </c>
      <c r="G4540" s="9" t="str">
        <f>IFERROR(__xludf.DUMMYFUNCTION("GOOGLETRANSLATE($A4540,""en"",""zh-cn"")"),"科尔多瓦 (西班牙)")</f>
        <v>科尔多瓦 (西班牙)</v>
      </c>
      <c r="H4540" s="9" t="str">
        <f>IFERROR(__xludf.DUMMYFUNCTION("GOOGLETRANSLATE($A4540,""en"",""ja"")"),"コルドバ (ES)")</f>
        <v>コルドバ (ES)</v>
      </c>
      <c r="I4540" s="9" t="str">
        <f>IFERROR(__xludf.DUMMYFUNCTION("GOOGLETRANSLATE($A4540,""en"",""ko"")"),"코르도바(ES)")</f>
        <v>코르도바(ES)</v>
      </c>
      <c r="J4540" s="9" t="str">
        <f>IFERROR(__xludf.DUMMYFUNCTION("GOOGLETRANSLATE($A4540,""en"",""pt-BR"")"),"Córdoba (ES)")</f>
        <v>Córdoba (ES)</v>
      </c>
    </row>
    <row r="4541">
      <c r="A4541" s="9" t="str">
        <f>IFERROR(__xludf.DUMMYFUNCTION("""COMPUTED_VALUE"""),"Cuenca")</f>
        <v>Cuenca</v>
      </c>
      <c r="B4541" s="9" t="str">
        <f>IFERROR(__xludf.DUMMYFUNCTION("""COMPUTED_VALUE"""),"es-cu")</f>
        <v>es-cu</v>
      </c>
      <c r="C4541" s="9" t="str">
        <f>IFERROR(__xludf.DUMMYFUNCTION("GOOGLETRANSLATE($A4541,""en"",""de"")"),"Cuenca")</f>
        <v>Cuenca</v>
      </c>
      <c r="D4541" s="9" t="str">
        <f>IFERROR(__xludf.DUMMYFUNCTION("GOOGLETRANSLATE($A4541,""en"",""fr"")"),"Cuenca")</f>
        <v>Cuenca</v>
      </c>
      <c r="E4541" s="9" t="str">
        <f>IFERROR(__xludf.DUMMYFUNCTION("GOOGLETRANSLATE($A4541,""en"",""es"")"),"Cuenca")</f>
        <v>Cuenca</v>
      </c>
      <c r="F4541" s="9" t="str">
        <f>IFERROR(__xludf.DUMMYFUNCTION("GOOGLETRANSLATE($A4541,""en"",""it"")"),"Cuenca")</f>
        <v>Cuenca</v>
      </c>
      <c r="G4541" s="9" t="str">
        <f>IFERROR(__xludf.DUMMYFUNCTION("GOOGLETRANSLATE($A4541,""en"",""zh-cn"")"),"昆卡")</f>
        <v>昆卡</v>
      </c>
      <c r="H4541" s="9" t="str">
        <f>IFERROR(__xludf.DUMMYFUNCTION("GOOGLETRANSLATE($A4541,""en"",""ja"")"),"クエンカ")</f>
        <v>クエンカ</v>
      </c>
      <c r="I4541" s="9" t="str">
        <f>IFERROR(__xludf.DUMMYFUNCTION("GOOGLETRANSLATE($A4541,""en"",""ko"")"),"쿠엥카")</f>
        <v>쿠엥카</v>
      </c>
      <c r="J4541" s="9" t="str">
        <f>IFERROR(__xludf.DUMMYFUNCTION("GOOGLETRANSLATE($A4541,""en"",""pt-BR"")"),"Cuenca")</f>
        <v>Cuenca</v>
      </c>
    </row>
    <row r="4542">
      <c r="A4542" s="9" t="str">
        <f>IFERROR(__xludf.DUMMYFUNCTION("""COMPUTED_VALUE"""),"Girona")</f>
        <v>Girona</v>
      </c>
      <c r="B4542" s="9" t="str">
        <f>IFERROR(__xludf.DUMMYFUNCTION("""COMPUTED_VALUE"""),"es-gi")</f>
        <v>es-gi</v>
      </c>
      <c r="C4542" s="9" t="str">
        <f>IFERROR(__xludf.DUMMYFUNCTION("GOOGLETRANSLATE($A4542,""en"",""de"")"),"Girona")</f>
        <v>Girona</v>
      </c>
      <c r="D4542" s="9" t="str">
        <f>IFERROR(__xludf.DUMMYFUNCTION("GOOGLETRANSLATE($A4542,""en"",""fr"")"),"Gérone")</f>
        <v>Gérone</v>
      </c>
      <c r="E4542" s="9" t="str">
        <f>IFERROR(__xludf.DUMMYFUNCTION("GOOGLETRANSLATE($A4542,""en"",""es"")"),"Gerona")</f>
        <v>Gerona</v>
      </c>
      <c r="F4542" s="9" t="str">
        <f>IFERROR(__xludf.DUMMYFUNCTION("GOOGLETRANSLATE($A4542,""en"",""it"")"),"Girona")</f>
        <v>Girona</v>
      </c>
      <c r="G4542" s="9" t="str">
        <f>IFERROR(__xludf.DUMMYFUNCTION("GOOGLETRANSLATE($A4542,""en"",""zh-cn"")"),"赫罗纳")</f>
        <v>赫罗纳</v>
      </c>
      <c r="H4542" s="9" t="str">
        <f>IFERROR(__xludf.DUMMYFUNCTION("GOOGLETRANSLATE($A4542,""en"",""ja"")"),"ジローナ")</f>
        <v>ジローナ</v>
      </c>
      <c r="I4542" s="9" t="str">
        <f>IFERROR(__xludf.DUMMYFUNCTION("GOOGLETRANSLATE($A4542,""en"",""ko"")"),"지로나")</f>
        <v>지로나</v>
      </c>
      <c r="J4542" s="9" t="str">
        <f>IFERROR(__xludf.DUMMYFUNCTION("GOOGLETRANSLATE($A4542,""en"",""pt-BR"")"),"Girona")</f>
        <v>Girona</v>
      </c>
    </row>
    <row r="4543">
      <c r="A4543" s="9" t="str">
        <f>IFERROR(__xludf.DUMMYFUNCTION("""COMPUTED_VALUE"""),"Andalucía")</f>
        <v>Andalucía</v>
      </c>
      <c r="B4543" s="9" t="str">
        <f>IFERROR(__xludf.DUMMYFUNCTION("""COMPUTED_VALUE"""),"es-an")</f>
        <v>es-an</v>
      </c>
      <c r="C4543" s="9" t="str">
        <f>IFERROR(__xludf.DUMMYFUNCTION("GOOGLETRANSLATE($A4543,""en"",""de"")"),"Andalusien")</f>
        <v>Andalusien</v>
      </c>
      <c r="D4543" s="9" t="str">
        <f>IFERROR(__xludf.DUMMYFUNCTION("GOOGLETRANSLATE($A4543,""en"",""fr"")"),"Andalousie")</f>
        <v>Andalousie</v>
      </c>
      <c r="E4543" s="9" t="str">
        <f>IFERROR(__xludf.DUMMYFUNCTION("GOOGLETRANSLATE($A4543,""en"",""es"")"),"Andalucía")</f>
        <v>Andalucía</v>
      </c>
      <c r="F4543" s="9" t="str">
        <f>IFERROR(__xludf.DUMMYFUNCTION("GOOGLETRANSLATE($A4543,""en"",""it"")"),"Andalusia")</f>
        <v>Andalusia</v>
      </c>
      <c r="G4543" s="9" t="str">
        <f>IFERROR(__xludf.DUMMYFUNCTION("GOOGLETRANSLATE($A4543,""en"",""zh-cn"")"),"安达卢西亚")</f>
        <v>安达卢西亚</v>
      </c>
      <c r="H4543" s="9" t="str">
        <f>IFERROR(__xludf.DUMMYFUNCTION("GOOGLETRANSLATE($A4543,""en"",""ja"")"),"アンダルシア")</f>
        <v>アンダルシア</v>
      </c>
      <c r="I4543" s="9" t="str">
        <f>IFERROR(__xludf.DUMMYFUNCTION("GOOGLETRANSLATE($A4543,""en"",""ko"")"),"안달루시아")</f>
        <v>안달루시아</v>
      </c>
      <c r="J4543" s="9" t="str">
        <f>IFERROR(__xludf.DUMMYFUNCTION("GOOGLETRANSLATE($A4543,""en"",""pt-BR"")"),"Andaluzia")</f>
        <v>Andaluzia</v>
      </c>
    </row>
    <row r="4544">
      <c r="A4544" s="9" t="str">
        <f>IFERROR(__xludf.DUMMYFUNCTION("""COMPUTED_VALUE"""),"Aragón")</f>
        <v>Aragón</v>
      </c>
      <c r="B4544" s="9" t="str">
        <f>IFERROR(__xludf.DUMMYFUNCTION("""COMPUTED_VALUE"""),"es-ar")</f>
        <v>es-ar</v>
      </c>
      <c r="C4544" s="9" t="str">
        <f>IFERROR(__xludf.DUMMYFUNCTION("GOOGLETRANSLATE($A4544,""en"",""de"")"),"Aragón")</f>
        <v>Aragón</v>
      </c>
      <c r="D4544" s="9" t="str">
        <f>IFERROR(__xludf.DUMMYFUNCTION("GOOGLETRANSLATE($A4544,""en"",""fr"")"),"Aragon")</f>
        <v>Aragon</v>
      </c>
      <c r="E4544" s="9" t="str">
        <f>IFERROR(__xludf.DUMMYFUNCTION("GOOGLETRANSLATE($A4544,""en"",""es"")"),"Aragón")</f>
        <v>Aragón</v>
      </c>
      <c r="F4544" s="9" t="str">
        <f>IFERROR(__xludf.DUMMYFUNCTION("GOOGLETRANSLATE($A4544,""en"",""it"")"),"Aragona")</f>
        <v>Aragona</v>
      </c>
      <c r="G4544" s="9" t="str">
        <f>IFERROR(__xludf.DUMMYFUNCTION("GOOGLETRANSLATE($A4544,""en"",""zh-cn"")"),"阿拉贡")</f>
        <v>阿拉贡</v>
      </c>
      <c r="H4544" s="9" t="str">
        <f>IFERROR(__xludf.DUMMYFUNCTION("GOOGLETRANSLATE($A4544,""en"",""ja"")"),"アラゴン")</f>
        <v>アラゴン</v>
      </c>
      <c r="I4544" s="9" t="str">
        <f>IFERROR(__xludf.DUMMYFUNCTION("GOOGLETRANSLATE($A4544,""en"",""ko"")"),"아라곤")</f>
        <v>아라곤</v>
      </c>
      <c r="J4544" s="9" t="str">
        <f>IFERROR(__xludf.DUMMYFUNCTION("GOOGLETRANSLATE($A4544,""en"",""pt-BR"")"),"Aragão")</f>
        <v>Aragão</v>
      </c>
    </row>
    <row r="4545">
      <c r="A4545" s="9" t="str">
        <f>IFERROR(__xludf.DUMMYFUNCTION("""COMPUTED_VALUE"""),"Northern Province")</f>
        <v>Northern Province</v>
      </c>
      <c r="B4545" s="9" t="str">
        <f>IFERROR(__xludf.DUMMYFUNCTION("""COMPUTED_VALUE"""),"lk-4")</f>
        <v>lk-4</v>
      </c>
      <c r="C4545" s="9" t="str">
        <f>IFERROR(__xludf.DUMMYFUNCTION("GOOGLETRANSLATE($A4545,""en"",""de"")"),"Nordprovinz")</f>
        <v>Nordprovinz</v>
      </c>
      <c r="D4545" s="9" t="str">
        <f>IFERROR(__xludf.DUMMYFUNCTION("GOOGLETRANSLATE($A4545,""en"",""fr"")"),"Province du Nord")</f>
        <v>Province du Nord</v>
      </c>
      <c r="E4545" s="9" t="str">
        <f>IFERROR(__xludf.DUMMYFUNCTION("GOOGLETRANSLATE($A4545,""en"",""es"")"),"Provincia del Norte")</f>
        <v>Provincia del Norte</v>
      </c>
      <c r="F4545" s="9" t="str">
        <f>IFERROR(__xludf.DUMMYFUNCTION("GOOGLETRANSLATE($A4545,""en"",""it"")"),"Provincia settentrionale")</f>
        <v>Provincia settentrionale</v>
      </c>
      <c r="G4545" s="9" t="str">
        <f>IFERROR(__xludf.DUMMYFUNCTION("GOOGLETRANSLATE($A4545,""en"",""zh-cn"")"),"北部省")</f>
        <v>北部省</v>
      </c>
      <c r="H4545" s="9" t="str">
        <f>IFERROR(__xludf.DUMMYFUNCTION("GOOGLETRANSLATE($A4545,""en"",""ja"")"),"北部州")</f>
        <v>北部州</v>
      </c>
      <c r="I4545" s="9" t="str">
        <f>IFERROR(__xludf.DUMMYFUNCTION("GOOGLETRANSLATE($A4545,""en"",""ko"")"),"북부 지방")</f>
        <v>북부 지방</v>
      </c>
      <c r="J4545" s="9" t="str">
        <f>IFERROR(__xludf.DUMMYFUNCTION("GOOGLETRANSLATE($A4545,""en"",""pt-BR"")"),"Província do Norte")</f>
        <v>Província do Norte</v>
      </c>
    </row>
    <row r="4546">
      <c r="A4546" s="9" t="str">
        <f>IFERROR(__xludf.DUMMYFUNCTION("""COMPUTED_VALUE"""),"Central Province")</f>
        <v>Central Province</v>
      </c>
      <c r="B4546" s="9" t="str">
        <f>IFERROR(__xludf.DUMMYFUNCTION("""COMPUTED_VALUE"""),"lk-2")</f>
        <v>lk-2</v>
      </c>
      <c r="C4546" s="9" t="str">
        <f>IFERROR(__xludf.DUMMYFUNCTION("GOOGLETRANSLATE($A4546,""en"",""de"")"),"Zentralprovinz")</f>
        <v>Zentralprovinz</v>
      </c>
      <c r="D4546" s="9" t="str">
        <f>IFERROR(__xludf.DUMMYFUNCTION("GOOGLETRANSLATE($A4546,""en"",""fr"")"),"Province du Centre")</f>
        <v>Province du Centre</v>
      </c>
      <c r="E4546" s="9" t="str">
        <f>IFERROR(__xludf.DUMMYFUNCTION("GOOGLETRANSLATE($A4546,""en"",""es"")"),"Provincia Central")</f>
        <v>Provincia Central</v>
      </c>
      <c r="F4546" s="9" t="str">
        <f>IFERROR(__xludf.DUMMYFUNCTION("GOOGLETRANSLATE($A4546,""en"",""it"")"),"Provincia Centrale")</f>
        <v>Provincia Centrale</v>
      </c>
      <c r="G4546" s="9" t="str">
        <f>IFERROR(__xludf.DUMMYFUNCTION("GOOGLETRANSLATE($A4546,""en"",""zh-cn"")"),"中部省")</f>
        <v>中部省</v>
      </c>
      <c r="H4546" s="9" t="str">
        <f>IFERROR(__xludf.DUMMYFUNCTION("GOOGLETRANSLATE($A4546,""en"",""ja"")"),"中部州")</f>
        <v>中部州</v>
      </c>
      <c r="I4546" s="9" t="str">
        <f>IFERROR(__xludf.DUMMYFUNCTION("GOOGLETRANSLATE($A4546,""en"",""ko"")"),"중부 지방")</f>
        <v>중부 지방</v>
      </c>
      <c r="J4546" s="9" t="str">
        <f>IFERROR(__xludf.DUMMYFUNCTION("GOOGLETRANSLATE($A4546,""en"",""pt-BR"")"),"Província Central")</f>
        <v>Província Central</v>
      </c>
    </row>
    <row r="4547">
      <c r="A4547" s="9" t="str">
        <f>IFERROR(__xludf.DUMMYFUNCTION("""COMPUTED_VALUE"""),"North Central Province")</f>
        <v>North Central Province</v>
      </c>
      <c r="B4547" s="9" t="str">
        <f>IFERROR(__xludf.DUMMYFUNCTION("""COMPUTED_VALUE"""),"lk-7")</f>
        <v>lk-7</v>
      </c>
      <c r="C4547" s="9" t="str">
        <f>IFERROR(__xludf.DUMMYFUNCTION("GOOGLETRANSLATE($A4547,""en"",""de"")"),"Nord-Zentralprovinz")</f>
        <v>Nord-Zentralprovinz</v>
      </c>
      <c r="D4547" s="9" t="str">
        <f>IFERROR(__xludf.DUMMYFUNCTION("GOOGLETRANSLATE($A4547,""en"",""fr"")"),"Province du Centre-Nord")</f>
        <v>Province du Centre-Nord</v>
      </c>
      <c r="E4547" s="9" t="str">
        <f>IFERROR(__xludf.DUMMYFUNCTION("GOOGLETRANSLATE($A4547,""en"",""es"")"),"Provincia Central del Norte")</f>
        <v>Provincia Central del Norte</v>
      </c>
      <c r="F4547" s="9" t="str">
        <f>IFERROR(__xludf.DUMMYFUNCTION("GOOGLETRANSLATE($A4547,""en"",""it"")"),"Provincia Centro-Nord")</f>
        <v>Provincia Centro-Nord</v>
      </c>
      <c r="G4547" s="9" t="str">
        <f>IFERROR(__xludf.DUMMYFUNCTION("GOOGLETRANSLATE($A4547,""en"",""zh-cn"")"),"中北省")</f>
        <v>中北省</v>
      </c>
      <c r="H4547" s="9" t="str">
        <f>IFERROR(__xludf.DUMMYFUNCTION("GOOGLETRANSLATE($A4547,""en"",""ja"")"),"北中部州")</f>
        <v>北中部州</v>
      </c>
      <c r="I4547" s="9" t="str">
        <f>IFERROR(__xludf.DUMMYFUNCTION("GOOGLETRANSLATE($A4547,""en"",""ko"")"),"북중부 지방")</f>
        <v>북중부 지방</v>
      </c>
      <c r="J4547" s="9" t="str">
        <f>IFERROR(__xludf.DUMMYFUNCTION("GOOGLETRANSLATE($A4547,""en"",""pt-BR"")"),"Província Centro-Norte")</f>
        <v>Província Centro-Norte</v>
      </c>
    </row>
    <row r="4548">
      <c r="A4548" s="9" t="str">
        <f>IFERROR(__xludf.DUMMYFUNCTION("""COMPUTED_VALUE"""),"Eastern Province")</f>
        <v>Eastern Province</v>
      </c>
      <c r="B4548" s="9" t="str">
        <f>IFERROR(__xludf.DUMMYFUNCTION("""COMPUTED_VALUE"""),"lk-5")</f>
        <v>lk-5</v>
      </c>
      <c r="C4548" s="9" t="str">
        <f>IFERROR(__xludf.DUMMYFUNCTION("GOOGLETRANSLATE($A4548,""en"",""de"")"),"Ostprovinz")</f>
        <v>Ostprovinz</v>
      </c>
      <c r="D4548" s="9" t="str">
        <f>IFERROR(__xludf.DUMMYFUNCTION("GOOGLETRANSLATE($A4548,""en"",""fr"")"),"Province de l'Est")</f>
        <v>Province de l'Est</v>
      </c>
      <c r="E4548" s="9" t="str">
        <f>IFERROR(__xludf.DUMMYFUNCTION("GOOGLETRANSLATE($A4548,""en"",""es"")"),"Provincia Oriental")</f>
        <v>Provincia Oriental</v>
      </c>
      <c r="F4548" s="9" t="str">
        <f>IFERROR(__xludf.DUMMYFUNCTION("GOOGLETRANSLATE($A4548,""en"",""it"")"),"Provincia Orientale")</f>
        <v>Provincia Orientale</v>
      </c>
      <c r="G4548" s="9" t="str">
        <f>IFERROR(__xludf.DUMMYFUNCTION("GOOGLETRANSLATE($A4548,""en"",""zh-cn"")"),"东部省")</f>
        <v>东部省</v>
      </c>
      <c r="H4548" s="9" t="str">
        <f>IFERROR(__xludf.DUMMYFUNCTION("GOOGLETRANSLATE($A4548,""en"",""ja"")"),"東部州")</f>
        <v>東部州</v>
      </c>
      <c r="I4548" s="9" t="str">
        <f>IFERROR(__xludf.DUMMYFUNCTION("GOOGLETRANSLATE($A4548,""en"",""ko"")"),"동부 지방")</f>
        <v>동부 지방</v>
      </c>
      <c r="J4548" s="9" t="str">
        <f>IFERROR(__xludf.DUMMYFUNCTION("GOOGLETRANSLATE($A4548,""en"",""pt-BR"")"),"Província Oriental")</f>
        <v>Província Oriental</v>
      </c>
    </row>
    <row r="4549">
      <c r="A4549" s="9" t="str">
        <f>IFERROR(__xludf.DUMMYFUNCTION("""COMPUTED_VALUE"""),"Badulla")</f>
        <v>Badulla</v>
      </c>
      <c r="B4549" s="9" t="str">
        <f>IFERROR(__xludf.DUMMYFUNCTION("""COMPUTED_VALUE"""),"lk-81")</f>
        <v>lk-81</v>
      </c>
      <c r="C4549" s="9" t="str">
        <f>IFERROR(__xludf.DUMMYFUNCTION("GOOGLETRANSLATE($A4549,""en"",""de"")"),"Badulla")</f>
        <v>Badulla</v>
      </c>
      <c r="D4549" s="9" t="str">
        <f>IFERROR(__xludf.DUMMYFUNCTION("GOOGLETRANSLATE($A4549,""en"",""fr"")"),"Badulla")</f>
        <v>Badulla</v>
      </c>
      <c r="E4549" s="9" t="str">
        <f>IFERROR(__xludf.DUMMYFUNCTION("GOOGLETRANSLATE($A4549,""en"",""es"")"),"badula")</f>
        <v>badula</v>
      </c>
      <c r="F4549" s="9" t="str">
        <f>IFERROR(__xludf.DUMMYFUNCTION("GOOGLETRANSLATE($A4549,""en"",""it"")"),"Badulla")</f>
        <v>Badulla</v>
      </c>
      <c r="G4549" s="9" t="str">
        <f>IFERROR(__xludf.DUMMYFUNCTION("GOOGLETRANSLATE($A4549,""en"",""zh-cn"")"),"巴杜拉")</f>
        <v>巴杜拉</v>
      </c>
      <c r="H4549" s="9" t="str">
        <f>IFERROR(__xludf.DUMMYFUNCTION("GOOGLETRANSLATE($A4549,""en"",""ja"")"),"バドゥッラ")</f>
        <v>バドゥッラ</v>
      </c>
      <c r="I4549" s="9" t="str">
        <f>IFERROR(__xludf.DUMMYFUNCTION("GOOGLETRANSLATE($A4549,""en"",""ko"")"),"바둘라")</f>
        <v>바둘라</v>
      </c>
      <c r="J4549" s="9" t="str">
        <f>IFERROR(__xludf.DUMMYFUNCTION("GOOGLETRANSLATE($A4549,""en"",""pt-BR"")"),"Badulla")</f>
        <v>Badulla</v>
      </c>
    </row>
    <row r="4550">
      <c r="A4550" s="9" t="str">
        <f>IFERROR(__xludf.DUMMYFUNCTION("""COMPUTED_VALUE"""),"Kegalla")</f>
        <v>Kegalla</v>
      </c>
      <c r="B4550" s="9" t="str">
        <f>IFERROR(__xludf.DUMMYFUNCTION("""COMPUTED_VALUE"""),"lk-92")</f>
        <v>lk-92</v>
      </c>
      <c r="C4550" s="9" t="str">
        <f>IFERROR(__xludf.DUMMYFUNCTION("GOOGLETRANSLATE($A4550,""en"",""de"")"),"Kegalla")</f>
        <v>Kegalla</v>
      </c>
      <c r="D4550" s="9" t="str">
        <f>IFERROR(__xludf.DUMMYFUNCTION("GOOGLETRANSLATE($A4550,""en"",""fr"")"),"Kegalla")</f>
        <v>Kegalla</v>
      </c>
      <c r="E4550" s="9" t="str">
        <f>IFERROR(__xludf.DUMMYFUNCTION("GOOGLETRANSLATE($A4550,""en"",""es"")"),"Kegalla")</f>
        <v>Kegalla</v>
      </c>
      <c r="F4550" s="9" t="str">
        <f>IFERROR(__xludf.DUMMYFUNCTION("GOOGLETRANSLATE($A4550,""en"",""it"")"),"Kegalla")</f>
        <v>Kegalla</v>
      </c>
      <c r="G4550" s="9" t="str">
        <f>IFERROR(__xludf.DUMMYFUNCTION("GOOGLETRANSLATE($A4550,""en"",""zh-cn"")"),"凯加拉")</f>
        <v>凯加拉</v>
      </c>
      <c r="H4550" s="9" t="str">
        <f>IFERROR(__xludf.DUMMYFUNCTION("GOOGLETRANSLATE($A4550,""en"",""ja"")"),"ケーガラ")</f>
        <v>ケーガラ</v>
      </c>
      <c r="I4550" s="9" t="str">
        <f>IFERROR(__xludf.DUMMYFUNCTION("GOOGLETRANSLATE($A4550,""en"",""ko"")"),"케갈라")</f>
        <v>케갈라</v>
      </c>
      <c r="J4550" s="9" t="str">
        <f>IFERROR(__xludf.DUMMYFUNCTION("GOOGLETRANSLATE($A4550,""en"",""pt-BR"")"),"Kegalla")</f>
        <v>Kegalla</v>
      </c>
    </row>
    <row r="4551">
      <c r="A4551" s="9" t="str">
        <f>IFERROR(__xludf.DUMMYFUNCTION("""COMPUTED_VALUE"""),"Batticaloa")</f>
        <v>Batticaloa</v>
      </c>
      <c r="B4551" s="9" t="str">
        <f>IFERROR(__xludf.DUMMYFUNCTION("""COMPUTED_VALUE"""),"lk-51")</f>
        <v>lk-51</v>
      </c>
      <c r="C4551" s="9" t="str">
        <f>IFERROR(__xludf.DUMMYFUNCTION("GOOGLETRANSLATE($A4551,""en"",""de"")"),"Batticaloa")</f>
        <v>Batticaloa</v>
      </c>
      <c r="D4551" s="9" t="str">
        <f>IFERROR(__xludf.DUMMYFUNCTION("GOOGLETRANSLATE($A4551,""en"",""fr"")"),"Batticaloa")</f>
        <v>Batticaloa</v>
      </c>
      <c r="E4551" s="9" t="str">
        <f>IFERROR(__xludf.DUMMYFUNCTION("GOOGLETRANSLATE($A4551,""en"",""es"")"),"Batticaloa")</f>
        <v>Batticaloa</v>
      </c>
      <c r="F4551" s="9" t="str">
        <f>IFERROR(__xludf.DUMMYFUNCTION("GOOGLETRANSLATE($A4551,""en"",""it"")"),"Batticaloa")</f>
        <v>Batticaloa</v>
      </c>
      <c r="G4551" s="9" t="str">
        <f>IFERROR(__xludf.DUMMYFUNCTION("GOOGLETRANSLATE($A4551,""en"",""zh-cn"")"),"拜蒂克洛")</f>
        <v>拜蒂克洛</v>
      </c>
      <c r="H4551" s="9" t="str">
        <f>IFERROR(__xludf.DUMMYFUNCTION("GOOGLETRANSLATE($A4551,""en"",""ja"")"),"バッティカロア")</f>
        <v>バッティカロア</v>
      </c>
      <c r="I4551" s="9" t="str">
        <f>IFERROR(__xludf.DUMMYFUNCTION("GOOGLETRANSLATE($A4551,""en"",""ko"")"),"바티칼로아")</f>
        <v>바티칼로아</v>
      </c>
      <c r="J4551" s="9" t="str">
        <f>IFERROR(__xludf.DUMMYFUNCTION("GOOGLETRANSLATE($A4551,""en"",""pt-BR"")"),"Batticaloa")</f>
        <v>Batticaloa</v>
      </c>
    </row>
    <row r="4552">
      <c r="A4552" s="9" t="str">
        <f>IFERROR(__xludf.DUMMYFUNCTION("""COMPUTED_VALUE"""),"Hambantota")</f>
        <v>Hambantota</v>
      </c>
      <c r="B4552" s="9" t="str">
        <f>IFERROR(__xludf.DUMMYFUNCTION("""COMPUTED_VALUE"""),"lk-33")</f>
        <v>lk-33</v>
      </c>
      <c r="C4552" s="9" t="str">
        <f>IFERROR(__xludf.DUMMYFUNCTION("GOOGLETRANSLATE($A4552,""en"",""de"")"),"Hambantota")</f>
        <v>Hambantota</v>
      </c>
      <c r="D4552" s="9" t="str">
        <f>IFERROR(__xludf.DUMMYFUNCTION("GOOGLETRANSLATE($A4552,""en"",""fr"")"),"Hambantota")</f>
        <v>Hambantota</v>
      </c>
      <c r="E4552" s="9" t="str">
        <f>IFERROR(__xludf.DUMMYFUNCTION("GOOGLETRANSLATE($A4552,""en"",""es"")"),"Hambantota")</f>
        <v>Hambantota</v>
      </c>
      <c r="F4552" s="9" t="str">
        <f>IFERROR(__xludf.DUMMYFUNCTION("GOOGLETRANSLATE($A4552,""en"",""it"")"),"Hambantota")</f>
        <v>Hambantota</v>
      </c>
      <c r="G4552" s="9" t="str">
        <f>IFERROR(__xludf.DUMMYFUNCTION("GOOGLETRANSLATE($A4552,""en"",""zh-cn"")"),"汉班托塔")</f>
        <v>汉班托塔</v>
      </c>
      <c r="H4552" s="9" t="str">
        <f>IFERROR(__xludf.DUMMYFUNCTION("GOOGLETRANSLATE($A4552,""en"",""ja"")"),"ハンバントタ")</f>
        <v>ハンバントタ</v>
      </c>
      <c r="I4552" s="9" t="str">
        <f>IFERROR(__xludf.DUMMYFUNCTION("GOOGLETRANSLATE($A4552,""en"",""ko"")"),"함반토타")</f>
        <v>함반토타</v>
      </c>
      <c r="J4552" s="9" t="str">
        <f>IFERROR(__xludf.DUMMYFUNCTION("GOOGLETRANSLATE($A4552,""en"",""pt-BR"")"),"Hambantota")</f>
        <v>Hambantota</v>
      </c>
    </row>
    <row r="4553">
      <c r="A4553" s="9" t="str">
        <f>IFERROR(__xludf.DUMMYFUNCTION("""COMPUTED_VALUE"""),"Uva Province")</f>
        <v>Uva Province</v>
      </c>
      <c r="B4553" s="9" t="str">
        <f>IFERROR(__xludf.DUMMYFUNCTION("""COMPUTED_VALUE"""),"lk-8")</f>
        <v>lk-8</v>
      </c>
      <c r="C4553" s="9" t="str">
        <f>IFERROR(__xludf.DUMMYFUNCTION("GOOGLETRANSLATE($A4553,""en"",""de"")"),"Provinz Uva")</f>
        <v>Provinz Uva</v>
      </c>
      <c r="D4553" s="9" t="str">
        <f>IFERROR(__xludf.DUMMYFUNCTION("GOOGLETRANSLATE($A4553,""en"",""fr"")"),"Province d'Uva")</f>
        <v>Province d'Uva</v>
      </c>
      <c r="E4553" s="9" t="str">
        <f>IFERROR(__xludf.DUMMYFUNCTION("GOOGLETRANSLATE($A4553,""en"",""es"")"),"Provincia de Uvá")</f>
        <v>Provincia de Uvá</v>
      </c>
      <c r="F4553" s="9" t="str">
        <f>IFERROR(__xludf.DUMMYFUNCTION("GOOGLETRANSLATE($A4553,""en"",""it"")"),"Provincia dell'Uva")</f>
        <v>Provincia dell'Uva</v>
      </c>
      <c r="G4553" s="9" t="str">
        <f>IFERROR(__xludf.DUMMYFUNCTION("GOOGLETRANSLATE($A4553,""en"",""zh-cn"")"),"乌沃省")</f>
        <v>乌沃省</v>
      </c>
      <c r="H4553" s="9" t="str">
        <f>IFERROR(__xludf.DUMMYFUNCTION("GOOGLETRANSLATE($A4553,""en"",""ja"")"),"ウバ州")</f>
        <v>ウバ州</v>
      </c>
      <c r="I4553" s="9" t="str">
        <f>IFERROR(__xludf.DUMMYFUNCTION("GOOGLETRANSLATE($A4553,""en"",""ko"")"),"우바 주")</f>
        <v>우바 주</v>
      </c>
      <c r="J4553" s="9" t="str">
        <f>IFERROR(__xludf.DUMMYFUNCTION("GOOGLETRANSLATE($A4553,""en"",""pt-BR"")"),"Província de Uva")</f>
        <v>Província de Uva</v>
      </c>
    </row>
    <row r="4554">
      <c r="A4554" s="9" t="str">
        <f>IFERROR(__xludf.DUMMYFUNCTION("""COMPUTED_VALUE"""),"Monaragala")</f>
        <v>Monaragala</v>
      </c>
      <c r="B4554" s="9" t="str">
        <f>IFERROR(__xludf.DUMMYFUNCTION("""COMPUTED_VALUE"""),"lk-82")</f>
        <v>lk-82</v>
      </c>
      <c r="C4554" s="9" t="str">
        <f>IFERROR(__xludf.DUMMYFUNCTION("GOOGLETRANSLATE($A4554,""en"",""de"")"),"Monaragala")</f>
        <v>Monaragala</v>
      </c>
      <c r="D4554" s="9" t="str">
        <f>IFERROR(__xludf.DUMMYFUNCTION("GOOGLETRANSLATE($A4554,""en"",""fr"")"),"Monaragala")</f>
        <v>Monaragala</v>
      </c>
      <c r="E4554" s="9" t="str">
        <f>IFERROR(__xludf.DUMMYFUNCTION("GOOGLETRANSLATE($A4554,""en"",""es"")"),"Monaragala")</f>
        <v>Monaragala</v>
      </c>
      <c r="F4554" s="9" t="str">
        <f>IFERROR(__xludf.DUMMYFUNCTION("GOOGLETRANSLATE($A4554,""en"",""it"")"),"Monaragala")</f>
        <v>Monaragala</v>
      </c>
      <c r="G4554" s="9" t="str">
        <f>IFERROR(__xludf.DUMMYFUNCTION("GOOGLETRANSLATE($A4554,""en"",""zh-cn"")"),"莫纳拉加拉")</f>
        <v>莫纳拉加拉</v>
      </c>
      <c r="H4554" s="9" t="str">
        <f>IFERROR(__xludf.DUMMYFUNCTION("GOOGLETRANSLATE($A4554,""en"",""ja"")"),"モナラーガラ")</f>
        <v>モナラーガラ</v>
      </c>
      <c r="I4554" s="9" t="str">
        <f>IFERROR(__xludf.DUMMYFUNCTION("GOOGLETRANSLATE($A4554,""en"",""ko"")"),"모나라갈라")</f>
        <v>모나라갈라</v>
      </c>
      <c r="J4554" s="9" t="str">
        <f>IFERROR(__xludf.DUMMYFUNCTION("GOOGLETRANSLATE($A4554,""en"",""pt-BR"")"),"Monaragala")</f>
        <v>Monaragala</v>
      </c>
    </row>
    <row r="4555">
      <c r="A4555" s="9" t="str">
        <f>IFERROR(__xludf.DUMMYFUNCTION("""COMPUTED_VALUE"""),"Anuradhapura")</f>
        <v>Anuradhapura</v>
      </c>
      <c r="B4555" s="9" t="str">
        <f>IFERROR(__xludf.DUMMYFUNCTION("""COMPUTED_VALUE"""),"lk-771")</f>
        <v>lk-771</v>
      </c>
      <c r="C4555" s="9" t="str">
        <f>IFERROR(__xludf.DUMMYFUNCTION("GOOGLETRANSLATE($A4555,""en"",""de"")"),"Anuradhapura")</f>
        <v>Anuradhapura</v>
      </c>
      <c r="D4555" s="9" t="str">
        <f>IFERROR(__xludf.DUMMYFUNCTION("GOOGLETRANSLATE($A4555,""en"",""fr"")"),"Anuradhapura")</f>
        <v>Anuradhapura</v>
      </c>
      <c r="E4555" s="9" t="str">
        <f>IFERROR(__xludf.DUMMYFUNCTION("GOOGLETRANSLATE($A4555,""en"",""es"")"),"Anuradhapura")</f>
        <v>Anuradhapura</v>
      </c>
      <c r="F4555" s="9" t="str">
        <f>IFERROR(__xludf.DUMMYFUNCTION("GOOGLETRANSLATE($A4555,""en"",""it"")"),"Anuradhapura")</f>
        <v>Anuradhapura</v>
      </c>
      <c r="G4555" s="9" t="str">
        <f>IFERROR(__xludf.DUMMYFUNCTION("GOOGLETRANSLATE($A4555,""en"",""zh-cn"")"),"阿努拉德普勒")</f>
        <v>阿努拉德普勒</v>
      </c>
      <c r="H4555" s="9" t="str">
        <f>IFERROR(__xludf.DUMMYFUNCTION("GOOGLETRANSLATE($A4555,""en"",""ja"")"),"アヌラーダプラ")</f>
        <v>アヌラーダプラ</v>
      </c>
      <c r="I4555" s="9" t="str">
        <f>IFERROR(__xludf.DUMMYFUNCTION("GOOGLETRANSLATE($A4555,""en"",""ko"")"),"아누라다푸라")</f>
        <v>아누라다푸라</v>
      </c>
      <c r="J4555" s="9" t="str">
        <f>IFERROR(__xludf.DUMMYFUNCTION("GOOGLETRANSLATE($A4555,""en"",""pt-BR"")"),"Anuradapura")</f>
        <v>Anuradapura</v>
      </c>
    </row>
    <row r="4556">
      <c r="A4556" s="9" t="str">
        <f>IFERROR(__xludf.DUMMYFUNCTION("""COMPUTED_VALUE"""),"Colombo")</f>
        <v>Colombo</v>
      </c>
      <c r="B4556" s="9" t="str">
        <f>IFERROR(__xludf.DUMMYFUNCTION("""COMPUTED_VALUE"""),"lk-11")</f>
        <v>lk-11</v>
      </c>
      <c r="C4556" s="9" t="str">
        <f>IFERROR(__xludf.DUMMYFUNCTION("GOOGLETRANSLATE($A4556,""en"",""de"")"),"Colombo")</f>
        <v>Colombo</v>
      </c>
      <c r="D4556" s="9" t="str">
        <f>IFERROR(__xludf.DUMMYFUNCTION("GOOGLETRANSLATE($A4556,""en"",""fr"")"),"Colombo")</f>
        <v>Colombo</v>
      </c>
      <c r="E4556" s="9" t="str">
        <f>IFERROR(__xludf.DUMMYFUNCTION("GOOGLETRANSLATE($A4556,""en"",""es"")"),"colombo")</f>
        <v>colombo</v>
      </c>
      <c r="F4556" s="9" t="str">
        <f>IFERROR(__xludf.DUMMYFUNCTION("GOOGLETRANSLATE($A4556,""en"",""it"")"),"Colombo")</f>
        <v>Colombo</v>
      </c>
      <c r="G4556" s="9" t="str">
        <f>IFERROR(__xludf.DUMMYFUNCTION("GOOGLETRANSLATE($A4556,""en"",""zh-cn"")"),"科伦坡")</f>
        <v>科伦坡</v>
      </c>
      <c r="H4556" s="9" t="str">
        <f>IFERROR(__xludf.DUMMYFUNCTION("GOOGLETRANSLATE($A4556,""en"",""ja"")"),"コロンボ")</f>
        <v>コロンボ</v>
      </c>
      <c r="I4556" s="9" t="str">
        <f>IFERROR(__xludf.DUMMYFUNCTION("GOOGLETRANSLATE($A4556,""en"",""ko"")"),"콜롬보")</f>
        <v>콜롬보</v>
      </c>
      <c r="J4556" s="9" t="str">
        <f>IFERROR(__xludf.DUMMYFUNCTION("GOOGLETRANSLATE($A4556,""en"",""pt-BR"")"),"Colombo")</f>
        <v>Colombo</v>
      </c>
    </row>
    <row r="4557">
      <c r="A4557" s="9" t="str">
        <f>IFERROR(__xludf.DUMMYFUNCTION("""COMPUTED_VALUE"""),"Matale")</f>
        <v>Matale</v>
      </c>
      <c r="B4557" s="9" t="str">
        <f>IFERROR(__xludf.DUMMYFUNCTION("""COMPUTED_VALUE"""),"lk-22")</f>
        <v>lk-22</v>
      </c>
      <c r="C4557" s="9" t="str">
        <f>IFERROR(__xludf.DUMMYFUNCTION("GOOGLETRANSLATE($A4557,""en"",""de"")"),"Matale")</f>
        <v>Matale</v>
      </c>
      <c r="D4557" s="9" t="str">
        <f>IFERROR(__xludf.DUMMYFUNCTION("GOOGLETRANSLATE($A4557,""en"",""fr"")"),"Matale")</f>
        <v>Matale</v>
      </c>
      <c r="E4557" s="9" t="str">
        <f>IFERROR(__xludf.DUMMYFUNCTION("GOOGLETRANSLATE($A4557,""en"",""es"")"),"matale")</f>
        <v>matale</v>
      </c>
      <c r="F4557" s="9" t="str">
        <f>IFERROR(__xludf.DUMMYFUNCTION("GOOGLETRANSLATE($A4557,""en"",""it"")"),"Matale")</f>
        <v>Matale</v>
      </c>
      <c r="G4557" s="9" t="str">
        <f>IFERROR(__xludf.DUMMYFUNCTION("GOOGLETRANSLATE($A4557,""en"",""zh-cn"")"),"马塔莱")</f>
        <v>马塔莱</v>
      </c>
      <c r="H4557" s="9" t="str">
        <f>IFERROR(__xludf.DUMMYFUNCTION("GOOGLETRANSLATE($A4557,""en"",""ja"")"),"マータレー")</f>
        <v>マータレー</v>
      </c>
      <c r="I4557" s="9" t="str">
        <f>IFERROR(__xludf.DUMMYFUNCTION("GOOGLETRANSLATE($A4557,""en"",""ko"")"),"마탈레")</f>
        <v>마탈레</v>
      </c>
      <c r="J4557" s="9" t="str">
        <f>IFERROR(__xludf.DUMMYFUNCTION("GOOGLETRANSLATE($A4557,""en"",""pt-BR"")"),"Matale")</f>
        <v>Matale</v>
      </c>
    </row>
    <row r="4558">
      <c r="A4558" s="9" t="str">
        <f>IFERROR(__xludf.DUMMYFUNCTION("""COMPUTED_VALUE"""),"Polonnaruwa")</f>
        <v>Polonnaruwa</v>
      </c>
      <c r="B4558" s="9" t="str">
        <f>IFERROR(__xludf.DUMMYFUNCTION("""COMPUTED_VALUE"""),"lk-72")</f>
        <v>lk-72</v>
      </c>
      <c r="C4558" s="9" t="str">
        <f>IFERROR(__xludf.DUMMYFUNCTION("GOOGLETRANSLATE($A4558,""en"",""de"")"),"Polonnaruwa")</f>
        <v>Polonnaruwa</v>
      </c>
      <c r="D4558" s="9" t="str">
        <f>IFERROR(__xludf.DUMMYFUNCTION("GOOGLETRANSLATE($A4558,""en"",""fr"")"),"Polonnâruvâ")</f>
        <v>Polonnâruvâ</v>
      </c>
      <c r="E4558" s="9" t="str">
        <f>IFERROR(__xludf.DUMMYFUNCTION("GOOGLETRANSLATE($A4558,""en"",""es"")"),"Polonnaruwa")</f>
        <v>Polonnaruwa</v>
      </c>
      <c r="F4558" s="9" t="str">
        <f>IFERROR(__xludf.DUMMYFUNCTION("GOOGLETRANSLATE($A4558,""en"",""it"")"),"Polonnaruwa")</f>
        <v>Polonnaruwa</v>
      </c>
      <c r="G4558" s="9" t="str">
        <f>IFERROR(__xludf.DUMMYFUNCTION("GOOGLETRANSLATE($A4558,""en"",""zh-cn"")"),"波隆纳鲁沃")</f>
        <v>波隆纳鲁沃</v>
      </c>
      <c r="H4558" s="9" t="str">
        <f>IFERROR(__xludf.DUMMYFUNCTION("GOOGLETRANSLATE($A4558,""en"",""ja"")"),"ポロンナルワ")</f>
        <v>ポロンナルワ</v>
      </c>
      <c r="I4558" s="9" t="str">
        <f>IFERROR(__xludf.DUMMYFUNCTION("GOOGLETRANSLATE($A4558,""en"",""ko"")"),"폴로나루와")</f>
        <v>폴로나루와</v>
      </c>
      <c r="J4558" s="9" t="str">
        <f>IFERROR(__xludf.DUMMYFUNCTION("GOOGLETRANSLATE($A4558,""en"",""pt-BR"")"),"Polonnaruva")</f>
        <v>Polonnaruva</v>
      </c>
    </row>
    <row r="4559">
      <c r="A4559" s="9" t="str">
        <f>IFERROR(__xludf.DUMMYFUNCTION("""COMPUTED_VALUE"""),"Nuwara Eliya")</f>
        <v>Nuwara Eliya</v>
      </c>
      <c r="B4559" s="9" t="str">
        <f>IFERROR(__xludf.DUMMYFUNCTION("""COMPUTED_VALUE"""),"lk-23")</f>
        <v>lk-23</v>
      </c>
      <c r="C4559" s="9" t="str">
        <f>IFERROR(__xludf.DUMMYFUNCTION("GOOGLETRANSLATE($A4559,""en"",""de"")"),"Nuwara Eliya")</f>
        <v>Nuwara Eliya</v>
      </c>
      <c r="D4559" s="9" t="str">
        <f>IFERROR(__xludf.DUMMYFUNCTION("GOOGLETRANSLATE($A4559,""en"",""fr"")"),"Nuwara Eliya")</f>
        <v>Nuwara Eliya</v>
      </c>
      <c r="E4559" s="9" t="str">
        <f>IFERROR(__xludf.DUMMYFUNCTION("GOOGLETRANSLATE($A4559,""en"",""es"")"),"Nuwara Eliya")</f>
        <v>Nuwara Eliya</v>
      </c>
      <c r="F4559" s="9" t="str">
        <f>IFERROR(__xludf.DUMMYFUNCTION("GOOGLETRANSLATE($A4559,""en"",""it"")"),"Nuwara Elia")</f>
        <v>Nuwara Elia</v>
      </c>
      <c r="G4559" s="9" t="str">
        <f>IFERROR(__xludf.DUMMYFUNCTION("GOOGLETRANSLATE($A4559,""en"",""zh-cn"")"),"努沃勒埃利耶")</f>
        <v>努沃勒埃利耶</v>
      </c>
      <c r="H4559" s="9" t="str">
        <f>IFERROR(__xludf.DUMMYFUNCTION("GOOGLETRANSLATE($A4559,""en"",""ja"")"),"ヌワラ エリヤ")</f>
        <v>ヌワラ エリヤ</v>
      </c>
      <c r="I4559" s="9" t="str">
        <f>IFERROR(__xludf.DUMMYFUNCTION("GOOGLETRANSLATE($A4559,""en"",""ko"")"),"누와라 엘리야")</f>
        <v>누와라 엘리야</v>
      </c>
      <c r="J4559" s="9" t="str">
        <f>IFERROR(__xludf.DUMMYFUNCTION("GOOGLETRANSLATE($A4559,""en"",""pt-BR"")"),"Nuwara Eliya")</f>
        <v>Nuwara Eliya</v>
      </c>
    </row>
    <row r="4560">
      <c r="A4560" s="9" t="str">
        <f>IFERROR(__xludf.DUMMYFUNCTION("""COMPUTED_VALUE"""),"Kurunegala")</f>
        <v>Kurunegala</v>
      </c>
      <c r="B4560" s="9" t="str">
        <f>IFERROR(__xludf.DUMMYFUNCTION("""COMPUTED_VALUE"""),"lk-61")</f>
        <v>lk-61</v>
      </c>
      <c r="C4560" s="9" t="str">
        <f>IFERROR(__xludf.DUMMYFUNCTION("GOOGLETRANSLATE($A4560,""en"",""de"")"),"Kurunegala")</f>
        <v>Kurunegala</v>
      </c>
      <c r="D4560" s="9" t="str">
        <f>IFERROR(__xludf.DUMMYFUNCTION("GOOGLETRANSLATE($A4560,""en"",""fr"")"),"Kurunegala")</f>
        <v>Kurunegala</v>
      </c>
      <c r="E4560" s="9" t="str">
        <f>IFERROR(__xludf.DUMMYFUNCTION("GOOGLETRANSLATE($A4560,""en"",""es"")"),"Kurunegala")</f>
        <v>Kurunegala</v>
      </c>
      <c r="F4560" s="9" t="str">
        <f>IFERROR(__xludf.DUMMYFUNCTION("GOOGLETRANSLATE($A4560,""en"",""it"")"),"Kurunegala")</f>
        <v>Kurunegala</v>
      </c>
      <c r="G4560" s="9" t="str">
        <f>IFERROR(__xludf.DUMMYFUNCTION("GOOGLETRANSLATE($A4560,""en"",""zh-cn"")"),"库鲁内格勒")</f>
        <v>库鲁内格勒</v>
      </c>
      <c r="H4560" s="9" t="str">
        <f>IFERROR(__xludf.DUMMYFUNCTION("GOOGLETRANSLATE($A4560,""en"",""ja"")"),"クルネーガラ")</f>
        <v>クルネーガラ</v>
      </c>
      <c r="I4560" s="9" t="str">
        <f>IFERROR(__xludf.DUMMYFUNCTION("GOOGLETRANSLATE($A4560,""en"",""ko"")"),"쿠루네갈라")</f>
        <v>쿠루네갈라</v>
      </c>
      <c r="J4560" s="9" t="str">
        <f>IFERROR(__xludf.DUMMYFUNCTION("GOOGLETRANSLATE($A4560,""en"",""pt-BR"")"),"Kurunegala")</f>
        <v>Kurunegala</v>
      </c>
    </row>
    <row r="4561">
      <c r="A4561" s="9" t="str">
        <f>IFERROR(__xludf.DUMMYFUNCTION("""COMPUTED_VALUE"""),"North Western Province")</f>
        <v>North Western Province</v>
      </c>
      <c r="B4561" s="9" t="str">
        <f>IFERROR(__xludf.DUMMYFUNCTION("""COMPUTED_VALUE"""),"lk-6")</f>
        <v>lk-6</v>
      </c>
      <c r="C4561" s="9" t="str">
        <f>IFERROR(__xludf.DUMMYFUNCTION("GOOGLETRANSLATE($A4561,""en"",""de"")"),"Nordwestprovinz")</f>
        <v>Nordwestprovinz</v>
      </c>
      <c r="D4561" s="9" t="str">
        <f>IFERROR(__xludf.DUMMYFUNCTION("GOOGLETRANSLATE($A4561,""en"",""fr"")"),"Province du Nord-Ouest")</f>
        <v>Province du Nord-Ouest</v>
      </c>
      <c r="E4561" s="9" t="str">
        <f>IFERROR(__xludf.DUMMYFUNCTION("GOOGLETRANSLATE($A4561,""en"",""es"")"),"Provincia Noroeste")</f>
        <v>Provincia Noroeste</v>
      </c>
      <c r="F4561" s="9" t="str">
        <f>IFERROR(__xludf.DUMMYFUNCTION("GOOGLETRANSLATE($A4561,""en"",""it"")"),"Provincia Nord Occidentale")</f>
        <v>Provincia Nord Occidentale</v>
      </c>
      <c r="G4561" s="9" t="str">
        <f>IFERROR(__xludf.DUMMYFUNCTION("GOOGLETRANSLATE($A4561,""en"",""zh-cn"")"),"西北省")</f>
        <v>西北省</v>
      </c>
      <c r="H4561" s="9" t="str">
        <f>IFERROR(__xludf.DUMMYFUNCTION("GOOGLETRANSLATE($A4561,""en"",""ja"")"),"北西部州")</f>
        <v>北西部州</v>
      </c>
      <c r="I4561" s="9" t="str">
        <f>IFERROR(__xludf.DUMMYFUNCTION("GOOGLETRANSLATE($A4561,""en"",""ko"")"),"노스웨스턴 주")</f>
        <v>노스웨스턴 주</v>
      </c>
      <c r="J4561" s="9" t="str">
        <f>IFERROR(__xludf.DUMMYFUNCTION("GOOGLETRANSLATE($A4561,""en"",""pt-BR"")"),"Província Noroeste")</f>
        <v>Província Noroeste</v>
      </c>
    </row>
    <row r="4562">
      <c r="A4562" s="9" t="str">
        <f>IFERROR(__xludf.DUMMYFUNCTION("""COMPUTED_VALUE"""),"Puttalam")</f>
        <v>Puttalam</v>
      </c>
      <c r="B4562" s="9" t="str">
        <f>IFERROR(__xludf.DUMMYFUNCTION("""COMPUTED_VALUE"""),"lk-62")</f>
        <v>lk-62</v>
      </c>
      <c r="C4562" s="9" t="str">
        <f>IFERROR(__xludf.DUMMYFUNCTION("GOOGLETRANSLATE($A4562,""en"",""de"")"),"Puttalam")</f>
        <v>Puttalam</v>
      </c>
      <c r="D4562" s="9" t="str">
        <f>IFERROR(__xludf.DUMMYFUNCTION("GOOGLETRANSLATE($A4562,""en"",""fr"")"),"Puttalam")</f>
        <v>Puttalam</v>
      </c>
      <c r="E4562" s="9" t="str">
        <f>IFERROR(__xludf.DUMMYFUNCTION("GOOGLETRANSLATE($A4562,""en"",""es"")"),"Puttalam")</f>
        <v>Puttalam</v>
      </c>
      <c r="F4562" s="9" t="str">
        <f>IFERROR(__xludf.DUMMYFUNCTION("GOOGLETRANSLATE($A4562,""en"",""it"")"),"Puttalam")</f>
        <v>Puttalam</v>
      </c>
      <c r="G4562" s="9" t="str">
        <f>IFERROR(__xludf.DUMMYFUNCTION("GOOGLETRANSLATE($A4562,""en"",""zh-cn"")"),"普塔拉姆")</f>
        <v>普塔拉姆</v>
      </c>
      <c r="H4562" s="9" t="str">
        <f>IFERROR(__xludf.DUMMYFUNCTION("GOOGLETRANSLATE($A4562,""en"",""ja"")"),"プッタラム")</f>
        <v>プッタラム</v>
      </c>
      <c r="I4562" s="9" t="str">
        <f>IFERROR(__xludf.DUMMYFUNCTION("GOOGLETRANSLATE($A4562,""en"",""ko"")"),"푸탈람")</f>
        <v>푸탈람</v>
      </c>
      <c r="J4562" s="9" t="str">
        <f>IFERROR(__xludf.DUMMYFUNCTION("GOOGLETRANSLATE($A4562,""en"",""pt-BR"")"),"Puttalam")</f>
        <v>Puttalam</v>
      </c>
    </row>
    <row r="4563">
      <c r="A4563" s="9" t="str">
        <f>IFERROR(__xludf.DUMMYFUNCTION("""COMPUTED_VALUE"""),"Sabaragamuwa Province")</f>
        <v>Sabaragamuwa Province</v>
      </c>
      <c r="B4563" s="9" t="str">
        <f>IFERROR(__xludf.DUMMYFUNCTION("""COMPUTED_VALUE"""),"lk-9")</f>
        <v>lk-9</v>
      </c>
      <c r="C4563" s="9" t="str">
        <f>IFERROR(__xludf.DUMMYFUNCTION("GOOGLETRANSLATE($A4563,""en"",""de"")"),"Provinz Sabaragamuwa")</f>
        <v>Provinz Sabaragamuwa</v>
      </c>
      <c r="D4563" s="9" t="str">
        <f>IFERROR(__xludf.DUMMYFUNCTION("GOOGLETRANSLATE($A4563,""en"",""fr"")"),"Province de Sabaragamuwa")</f>
        <v>Province de Sabaragamuwa</v>
      </c>
      <c r="E4563" s="9" t="str">
        <f>IFERROR(__xludf.DUMMYFUNCTION("GOOGLETRANSLATE($A4563,""en"",""es"")"),"Provincia de Sabaragamuwa")</f>
        <v>Provincia de Sabaragamuwa</v>
      </c>
      <c r="F4563" s="9" t="str">
        <f>IFERROR(__xludf.DUMMYFUNCTION("GOOGLETRANSLATE($A4563,""en"",""it"")"),"Provincia di Sabaragamuwa")</f>
        <v>Provincia di Sabaragamuwa</v>
      </c>
      <c r="G4563" s="9" t="str">
        <f>IFERROR(__xludf.DUMMYFUNCTION("GOOGLETRANSLATE($A4563,""en"",""zh-cn"")"),"萨伯勒格穆沃省")</f>
        <v>萨伯勒格穆沃省</v>
      </c>
      <c r="H4563" s="9" t="str">
        <f>IFERROR(__xludf.DUMMYFUNCTION("GOOGLETRANSLATE($A4563,""en"",""ja"")"),"サバラガムワ州")</f>
        <v>サバラガムワ州</v>
      </c>
      <c r="I4563" s="9" t="str">
        <f>IFERROR(__xludf.DUMMYFUNCTION("GOOGLETRANSLATE($A4563,""en"",""ko"")"),"사바라가무와 주")</f>
        <v>사바라가무와 주</v>
      </c>
      <c r="J4563" s="9" t="str">
        <f>IFERROR(__xludf.DUMMYFUNCTION("GOOGLETRANSLATE($A4563,""en"",""pt-BR"")"),"Província de Sabaragamuwa")</f>
        <v>Província de Sabaragamuwa</v>
      </c>
    </row>
    <row r="4564">
      <c r="A4564" s="9" t="str">
        <f>IFERROR(__xludf.DUMMYFUNCTION("""COMPUTED_VALUE"""),"Kandy")</f>
        <v>Kandy</v>
      </c>
      <c r="B4564" s="9" t="str">
        <f>IFERROR(__xludf.DUMMYFUNCTION("""COMPUTED_VALUE"""),"lk-21")</f>
        <v>lk-21</v>
      </c>
      <c r="C4564" s="9" t="str">
        <f>IFERROR(__xludf.DUMMYFUNCTION("GOOGLETRANSLATE($A4564,""en"",""de"")"),"Kandy")</f>
        <v>Kandy</v>
      </c>
      <c r="D4564" s="9" t="str">
        <f>IFERROR(__xludf.DUMMYFUNCTION("GOOGLETRANSLATE($A4564,""en"",""fr"")"),"Kandy")</f>
        <v>Kandy</v>
      </c>
      <c r="E4564" s="9" t="str">
        <f>IFERROR(__xludf.DUMMYFUNCTION("GOOGLETRANSLATE($A4564,""en"",""es"")"),"kandy")</f>
        <v>kandy</v>
      </c>
      <c r="F4564" s="9" t="str">
        <f>IFERROR(__xludf.DUMMYFUNCTION("GOOGLETRANSLATE($A4564,""en"",""it"")"),"Kandy")</f>
        <v>Kandy</v>
      </c>
      <c r="G4564" s="9" t="str">
        <f>IFERROR(__xludf.DUMMYFUNCTION("GOOGLETRANSLATE($A4564,""en"",""zh-cn"")"),"康提")</f>
        <v>康提</v>
      </c>
      <c r="H4564" s="9" t="str">
        <f>IFERROR(__xludf.DUMMYFUNCTION("GOOGLETRANSLATE($A4564,""en"",""ja"")"),"キャンディ")</f>
        <v>キャンディ</v>
      </c>
      <c r="I4564" s="9" t="str">
        <f>IFERROR(__xludf.DUMMYFUNCTION("GOOGLETRANSLATE($A4564,""en"",""ko"")"),"캔디")</f>
        <v>캔디</v>
      </c>
      <c r="J4564" s="9" t="str">
        <f>IFERROR(__xludf.DUMMYFUNCTION("GOOGLETRANSLATE($A4564,""en"",""pt-BR"")"),"Kandy")</f>
        <v>Kandy</v>
      </c>
    </row>
    <row r="4565">
      <c r="A4565" s="9" t="str">
        <f>IFERROR(__xludf.DUMMYFUNCTION("""COMPUTED_VALUE"""),"Gampaha")</f>
        <v>Gampaha</v>
      </c>
      <c r="B4565" s="9" t="str">
        <f>IFERROR(__xludf.DUMMYFUNCTION("""COMPUTED_VALUE"""),"lk-12")</f>
        <v>lk-12</v>
      </c>
      <c r="C4565" s="9" t="str">
        <f>IFERROR(__xludf.DUMMYFUNCTION("GOOGLETRANSLATE($A4565,""en"",""de"")"),"Gampaha")</f>
        <v>Gampaha</v>
      </c>
      <c r="D4565" s="9" t="str">
        <f>IFERROR(__xludf.DUMMYFUNCTION("GOOGLETRANSLATE($A4565,""en"",""fr"")"),"Gampaha")</f>
        <v>Gampaha</v>
      </c>
      <c r="E4565" s="9" t="str">
        <f>IFERROR(__xludf.DUMMYFUNCTION("GOOGLETRANSLATE($A4565,""en"",""es"")"),"Gampaha")</f>
        <v>Gampaha</v>
      </c>
      <c r="F4565" s="9" t="str">
        <f>IFERROR(__xludf.DUMMYFUNCTION("GOOGLETRANSLATE($A4565,""en"",""it"")"),"Gampaha")</f>
        <v>Gampaha</v>
      </c>
      <c r="G4565" s="9" t="str">
        <f>IFERROR(__xludf.DUMMYFUNCTION("GOOGLETRANSLATE($A4565,""en"",""zh-cn"")"),"加姆珀哈")</f>
        <v>加姆珀哈</v>
      </c>
      <c r="H4565" s="9" t="str">
        <f>IFERROR(__xludf.DUMMYFUNCTION("GOOGLETRANSLATE($A4565,""en"",""ja"")"),"ガンパハ")</f>
        <v>ガンパハ</v>
      </c>
      <c r="I4565" s="9" t="str">
        <f>IFERROR(__xludf.DUMMYFUNCTION("GOOGLETRANSLATE($A4565,""en"",""ko"")"),"감파하")</f>
        <v>감파하</v>
      </c>
      <c r="J4565" s="9" t="str">
        <f>IFERROR(__xludf.DUMMYFUNCTION("GOOGLETRANSLATE($A4565,""en"",""pt-BR"")"),"Gampaha")</f>
        <v>Gampaha</v>
      </c>
    </row>
    <row r="4566">
      <c r="A4566" s="9" t="str">
        <f>IFERROR(__xludf.DUMMYFUNCTION("""COMPUTED_VALUE"""),"Mannar")</f>
        <v>Mannar</v>
      </c>
      <c r="B4566" s="9" t="str">
        <f>IFERROR(__xludf.DUMMYFUNCTION("""COMPUTED_VALUE"""),"lk-43")</f>
        <v>lk-43</v>
      </c>
      <c r="C4566" s="9" t="str">
        <f>IFERROR(__xludf.DUMMYFUNCTION("GOOGLETRANSLATE($A4566,""en"",""de"")"),"Mannar")</f>
        <v>Mannar</v>
      </c>
      <c r="D4566" s="9" t="str">
        <f>IFERROR(__xludf.DUMMYFUNCTION("GOOGLETRANSLATE($A4566,""en"",""fr"")"),"Mannar")</f>
        <v>Mannar</v>
      </c>
      <c r="E4566" s="9" t="str">
        <f>IFERROR(__xludf.DUMMYFUNCTION("GOOGLETRANSLATE($A4566,""en"",""es"")"),"Mannar")</f>
        <v>Mannar</v>
      </c>
      <c r="F4566" s="9" t="str">
        <f>IFERROR(__xludf.DUMMYFUNCTION("GOOGLETRANSLATE($A4566,""en"",""it"")"),"Mannare")</f>
        <v>Mannare</v>
      </c>
      <c r="G4566" s="9" t="str">
        <f>IFERROR(__xludf.DUMMYFUNCTION("GOOGLETRANSLATE($A4566,""en"",""zh-cn"")"),"马纳尔")</f>
        <v>马纳尔</v>
      </c>
      <c r="H4566" s="9" t="str">
        <f>IFERROR(__xludf.DUMMYFUNCTION("GOOGLETRANSLATE($A4566,""en"",""ja"")"),"マナール")</f>
        <v>マナール</v>
      </c>
      <c r="I4566" s="9" t="str">
        <f>IFERROR(__xludf.DUMMYFUNCTION("GOOGLETRANSLATE($A4566,""en"",""ko"")"),"만나르")</f>
        <v>만나르</v>
      </c>
      <c r="J4566" s="9" t="str">
        <f>IFERROR(__xludf.DUMMYFUNCTION("GOOGLETRANSLATE($A4566,""en"",""pt-BR"")"),"Mannar")</f>
        <v>Mannar</v>
      </c>
    </row>
    <row r="4567">
      <c r="A4567" s="9" t="str">
        <f>IFERROR(__xludf.DUMMYFUNCTION("""COMPUTED_VALUE"""),"Southern Province")</f>
        <v>Southern Province</v>
      </c>
      <c r="B4567" s="9" t="str">
        <f>IFERROR(__xludf.DUMMYFUNCTION("""COMPUTED_VALUE"""),"lk-3")</f>
        <v>lk-3</v>
      </c>
      <c r="C4567" s="9" t="str">
        <f>IFERROR(__xludf.DUMMYFUNCTION("GOOGLETRANSLATE($A4567,""en"",""de"")"),"Südliche Provinz")</f>
        <v>Südliche Provinz</v>
      </c>
      <c r="D4567" s="9" t="str">
        <f>IFERROR(__xludf.DUMMYFUNCTION("GOOGLETRANSLATE($A4567,""en"",""fr"")"),"Province du Sud")</f>
        <v>Province du Sud</v>
      </c>
      <c r="E4567" s="9" t="str">
        <f>IFERROR(__xludf.DUMMYFUNCTION("GOOGLETRANSLATE($A4567,""en"",""es"")"),"Provincia del Sur")</f>
        <v>Provincia del Sur</v>
      </c>
      <c r="F4567" s="9" t="str">
        <f>IFERROR(__xludf.DUMMYFUNCTION("GOOGLETRANSLATE($A4567,""en"",""it"")"),"Provincia meridionale")</f>
        <v>Provincia meridionale</v>
      </c>
      <c r="G4567" s="9" t="str">
        <f>IFERROR(__xludf.DUMMYFUNCTION("GOOGLETRANSLATE($A4567,""en"",""zh-cn"")"),"南部省")</f>
        <v>南部省</v>
      </c>
      <c r="H4567" s="9" t="str">
        <f>IFERROR(__xludf.DUMMYFUNCTION("GOOGLETRANSLATE($A4567,""en"",""ja"")"),"南部州")</f>
        <v>南部州</v>
      </c>
      <c r="I4567" s="9" t="str">
        <f>IFERROR(__xludf.DUMMYFUNCTION("GOOGLETRANSLATE($A4567,""en"",""ko"")"),"남부 지방")</f>
        <v>남부 지방</v>
      </c>
      <c r="J4567" s="9" t="str">
        <f>IFERROR(__xludf.DUMMYFUNCTION("GOOGLETRANSLATE($A4567,""en"",""pt-BR"")"),"Província do Sul")</f>
        <v>Província do Sul</v>
      </c>
    </row>
    <row r="4568">
      <c r="A4568" s="9" t="str">
        <f>IFERROR(__xludf.DUMMYFUNCTION("""COMPUTED_VALUE"""),"Kilinochchi")</f>
        <v>Kilinochchi</v>
      </c>
      <c r="B4568" s="9" t="str">
        <f>IFERROR(__xludf.DUMMYFUNCTION("""COMPUTED_VALUE"""),"lk-42")</f>
        <v>lk-42</v>
      </c>
      <c r="C4568" s="9" t="str">
        <f>IFERROR(__xludf.DUMMYFUNCTION("GOOGLETRANSLATE($A4568,""en"",""de"")"),"Kilinochchi")</f>
        <v>Kilinochchi</v>
      </c>
      <c r="D4568" s="9" t="str">
        <f>IFERROR(__xludf.DUMMYFUNCTION("GOOGLETRANSLATE($A4568,""en"",""fr"")"),"Kilinochchi")</f>
        <v>Kilinochchi</v>
      </c>
      <c r="E4568" s="9" t="str">
        <f>IFERROR(__xludf.DUMMYFUNCTION("GOOGLETRANSLATE($A4568,""en"",""es"")"),"Kilinochchi")</f>
        <v>Kilinochchi</v>
      </c>
      <c r="F4568" s="9" t="str">
        <f>IFERROR(__xludf.DUMMYFUNCTION("GOOGLETRANSLATE($A4568,""en"",""it"")"),"Kilinochchi")</f>
        <v>Kilinochchi</v>
      </c>
      <c r="G4568" s="9" t="str">
        <f>IFERROR(__xludf.DUMMYFUNCTION("GOOGLETRANSLATE($A4568,""en"",""zh-cn"")"),"基利诺奇")</f>
        <v>基利诺奇</v>
      </c>
      <c r="H4568" s="9" t="str">
        <f>IFERROR(__xludf.DUMMYFUNCTION("GOOGLETRANSLATE($A4568,""en"",""ja"")"),"キリノッチ")</f>
        <v>キリノッチ</v>
      </c>
      <c r="I4568" s="9" t="str">
        <f>IFERROR(__xludf.DUMMYFUNCTION("GOOGLETRANSLATE($A4568,""en"",""ko"")"),"킬리노치치")</f>
        <v>킬리노치치</v>
      </c>
      <c r="J4568" s="9" t="str">
        <f>IFERROR(__xludf.DUMMYFUNCTION("GOOGLETRANSLATE($A4568,""en"",""pt-BR"")"),"Kilinochchi")</f>
        <v>Kilinochchi</v>
      </c>
    </row>
    <row r="4569">
      <c r="A4569" s="9" t="str">
        <f>IFERROR(__xludf.DUMMYFUNCTION("""COMPUTED_VALUE"""),"Kalutara")</f>
        <v>Kalutara</v>
      </c>
      <c r="B4569" s="9" t="str">
        <f>IFERROR(__xludf.DUMMYFUNCTION("""COMPUTED_VALUE"""),"lk-13")</f>
        <v>lk-13</v>
      </c>
      <c r="C4569" s="9" t="str">
        <f>IFERROR(__xludf.DUMMYFUNCTION("GOOGLETRANSLATE($A4569,""en"",""de"")"),"Kalutara")</f>
        <v>Kalutara</v>
      </c>
      <c r="D4569" s="9" t="str">
        <f>IFERROR(__xludf.DUMMYFUNCTION("GOOGLETRANSLATE($A4569,""en"",""fr"")"),"Kalutara")</f>
        <v>Kalutara</v>
      </c>
      <c r="E4569" s="9" t="str">
        <f>IFERROR(__xludf.DUMMYFUNCTION("GOOGLETRANSLATE($A4569,""en"",""es"")"),"Kalutara")</f>
        <v>Kalutara</v>
      </c>
      <c r="F4569" s="9" t="str">
        <f>IFERROR(__xludf.DUMMYFUNCTION("GOOGLETRANSLATE($A4569,""en"",""it"")"),"Kalutara")</f>
        <v>Kalutara</v>
      </c>
      <c r="G4569" s="9" t="str">
        <f>IFERROR(__xludf.DUMMYFUNCTION("GOOGLETRANSLATE($A4569,""en"",""zh-cn"")"),"卡卢特勒")</f>
        <v>卡卢特勒</v>
      </c>
      <c r="H4569" s="9" t="str">
        <f>IFERROR(__xludf.DUMMYFUNCTION("GOOGLETRANSLATE($A4569,""en"",""ja"")"),"カルタラ")</f>
        <v>カルタラ</v>
      </c>
      <c r="I4569" s="9" t="str">
        <f>IFERROR(__xludf.DUMMYFUNCTION("GOOGLETRANSLATE($A4569,""en"",""ko"")"),"칼루타라")</f>
        <v>칼루타라</v>
      </c>
      <c r="J4569" s="9" t="str">
        <f>IFERROR(__xludf.DUMMYFUNCTION("GOOGLETRANSLATE($A4569,""en"",""pt-BR"")"),"Kalutara")</f>
        <v>Kalutara</v>
      </c>
    </row>
    <row r="4570">
      <c r="A4570" s="9" t="str">
        <f>IFERROR(__xludf.DUMMYFUNCTION("""COMPUTED_VALUE"""),"Vavuniya")</f>
        <v>Vavuniya</v>
      </c>
      <c r="B4570" s="9" t="str">
        <f>IFERROR(__xludf.DUMMYFUNCTION("""COMPUTED_VALUE"""),"lk-44")</f>
        <v>lk-44</v>
      </c>
      <c r="C4570" s="9" t="str">
        <f>IFERROR(__xludf.DUMMYFUNCTION("GOOGLETRANSLATE($A4570,""en"",""de"")"),"Vavuniya")</f>
        <v>Vavuniya</v>
      </c>
      <c r="D4570" s="9" t="str">
        <f>IFERROR(__xludf.DUMMYFUNCTION("GOOGLETRANSLATE($A4570,""en"",""fr"")"),"Vavuniya")</f>
        <v>Vavuniya</v>
      </c>
      <c r="E4570" s="9" t="str">
        <f>IFERROR(__xludf.DUMMYFUNCTION("GOOGLETRANSLATE($A4570,""en"",""es"")"),"Vavuniya")</f>
        <v>Vavuniya</v>
      </c>
      <c r="F4570" s="9" t="str">
        <f>IFERROR(__xludf.DUMMYFUNCTION("GOOGLETRANSLATE($A4570,""en"",""it"")"),"Vavunija")</f>
        <v>Vavunija</v>
      </c>
      <c r="G4570" s="9" t="str">
        <f>IFERROR(__xludf.DUMMYFUNCTION("GOOGLETRANSLATE($A4570,""en"",""zh-cn"")"),"瓦武尼亚")</f>
        <v>瓦武尼亚</v>
      </c>
      <c r="H4570" s="9" t="str">
        <f>IFERROR(__xludf.DUMMYFUNCTION("GOOGLETRANSLATE($A4570,""en"",""ja"")"),"バブニヤ")</f>
        <v>バブニヤ</v>
      </c>
      <c r="I4570" s="9" t="str">
        <f>IFERROR(__xludf.DUMMYFUNCTION("GOOGLETRANSLATE($A4570,""en"",""ko"")"),"바부니야")</f>
        <v>바부니야</v>
      </c>
      <c r="J4570" s="9" t="str">
        <f>IFERROR(__xludf.DUMMYFUNCTION("GOOGLETRANSLATE($A4570,""en"",""pt-BR"")"),"Vavuniya")</f>
        <v>Vavuniya</v>
      </c>
    </row>
    <row r="4571">
      <c r="A4571" s="9" t="str">
        <f>IFERROR(__xludf.DUMMYFUNCTION("""COMPUTED_VALUE"""),"Trincomalee")</f>
        <v>Trincomalee</v>
      </c>
      <c r="B4571" s="9" t="str">
        <f>IFERROR(__xludf.DUMMYFUNCTION("""COMPUTED_VALUE"""),"lk-53")</f>
        <v>lk-53</v>
      </c>
      <c r="C4571" s="9" t="str">
        <f>IFERROR(__xludf.DUMMYFUNCTION("GOOGLETRANSLATE($A4571,""en"",""de"")"),"Trincomalee")</f>
        <v>Trincomalee</v>
      </c>
      <c r="D4571" s="9" t="str">
        <f>IFERROR(__xludf.DUMMYFUNCTION("GOOGLETRANSLATE($A4571,""en"",""fr"")"),"Trincomalee")</f>
        <v>Trincomalee</v>
      </c>
      <c r="E4571" s="9" t="str">
        <f>IFERROR(__xludf.DUMMYFUNCTION("GOOGLETRANSLATE($A4571,""en"",""es"")"),"Trincomalee")</f>
        <v>Trincomalee</v>
      </c>
      <c r="F4571" s="9" t="str">
        <f>IFERROR(__xludf.DUMMYFUNCTION("GOOGLETRANSLATE($A4571,""en"",""it"")"),"Trincomalee")</f>
        <v>Trincomalee</v>
      </c>
      <c r="G4571" s="9" t="str">
        <f>IFERROR(__xludf.DUMMYFUNCTION("GOOGLETRANSLATE($A4571,""en"",""zh-cn"")"),"亭可马里")</f>
        <v>亭可马里</v>
      </c>
      <c r="H4571" s="9" t="str">
        <f>IFERROR(__xludf.DUMMYFUNCTION("GOOGLETRANSLATE($A4571,""en"",""ja"")"),"トリンコマリー")</f>
        <v>トリンコマリー</v>
      </c>
      <c r="I4571" s="9" t="str">
        <f>IFERROR(__xludf.DUMMYFUNCTION("GOOGLETRANSLATE($A4571,""en"",""ko"")"),"트링코말리")</f>
        <v>트링코말리</v>
      </c>
      <c r="J4571" s="9" t="str">
        <f>IFERROR(__xludf.DUMMYFUNCTION("GOOGLETRANSLATE($A4571,""en"",""pt-BR"")"),"Trincomalee")</f>
        <v>Trincomalee</v>
      </c>
    </row>
    <row r="4572">
      <c r="A4572" s="9" t="str">
        <f>IFERROR(__xludf.DUMMYFUNCTION("""COMPUTED_VALUE"""),"Ratnapura")</f>
        <v>Ratnapura</v>
      </c>
      <c r="B4572" s="9" t="str">
        <f>IFERROR(__xludf.DUMMYFUNCTION("""COMPUTED_VALUE"""),"lk-91")</f>
        <v>lk-91</v>
      </c>
      <c r="C4572" s="9" t="str">
        <f>IFERROR(__xludf.DUMMYFUNCTION("GOOGLETRANSLATE($A4572,""en"",""de"")"),"Ratnapura")</f>
        <v>Ratnapura</v>
      </c>
      <c r="D4572" s="9" t="str">
        <f>IFERROR(__xludf.DUMMYFUNCTION("GOOGLETRANSLATE($A4572,""en"",""fr"")"),"Ratnapura")</f>
        <v>Ratnapura</v>
      </c>
      <c r="E4572" s="9" t="str">
        <f>IFERROR(__xludf.DUMMYFUNCTION("GOOGLETRANSLATE($A4572,""en"",""es"")"),"Ratnapura")</f>
        <v>Ratnapura</v>
      </c>
      <c r="F4572" s="9" t="str">
        <f>IFERROR(__xludf.DUMMYFUNCTION("GOOGLETRANSLATE($A4572,""en"",""it"")"),"Ratnapura")</f>
        <v>Ratnapura</v>
      </c>
      <c r="G4572" s="9" t="str">
        <f>IFERROR(__xludf.DUMMYFUNCTION("GOOGLETRANSLATE($A4572,""en"",""zh-cn"")"),"拉特纳普勒")</f>
        <v>拉特纳普勒</v>
      </c>
      <c r="H4572" s="9" t="str">
        <f>IFERROR(__xludf.DUMMYFUNCTION("GOOGLETRANSLATE($A4572,""en"",""ja"")"),"ラトナプラ")</f>
        <v>ラトナプラ</v>
      </c>
      <c r="I4572" s="9" t="str">
        <f>IFERROR(__xludf.DUMMYFUNCTION("GOOGLETRANSLATE($A4572,""en"",""ko"")"),"라트나푸라")</f>
        <v>라트나푸라</v>
      </c>
      <c r="J4572" s="9" t="str">
        <f>IFERROR(__xludf.DUMMYFUNCTION("GOOGLETRANSLATE($A4572,""en"",""pt-BR"")"),"Ratnapura")</f>
        <v>Ratnapura</v>
      </c>
    </row>
    <row r="4573">
      <c r="A4573" s="9" t="str">
        <f>IFERROR(__xludf.DUMMYFUNCTION("""COMPUTED_VALUE"""),"Ampara")</f>
        <v>Ampara</v>
      </c>
      <c r="B4573" s="9" t="str">
        <f>IFERROR(__xludf.DUMMYFUNCTION("""COMPUTED_VALUE"""),"lk-52")</f>
        <v>lk-52</v>
      </c>
      <c r="C4573" s="9" t="str">
        <f>IFERROR(__xludf.DUMMYFUNCTION("GOOGLETRANSLATE($A4573,""en"",""de"")"),"Ampara")</f>
        <v>Ampara</v>
      </c>
      <c r="D4573" s="9" t="str">
        <f>IFERROR(__xludf.DUMMYFUNCTION("GOOGLETRANSLATE($A4573,""en"",""fr"")"),"Ampara")</f>
        <v>Ampara</v>
      </c>
      <c r="E4573" s="9" t="str">
        <f>IFERROR(__xludf.DUMMYFUNCTION("GOOGLETRANSLATE($A4573,""en"",""es"")"),"ampara")</f>
        <v>ampara</v>
      </c>
      <c r="F4573" s="9" t="str">
        <f>IFERROR(__xludf.DUMMYFUNCTION("GOOGLETRANSLATE($A4573,""en"",""it"")"),"Ampara")</f>
        <v>Ampara</v>
      </c>
      <c r="G4573" s="9" t="str">
        <f>IFERROR(__xludf.DUMMYFUNCTION("GOOGLETRANSLATE($A4573,""en"",""zh-cn"")"),"安帕拉")</f>
        <v>安帕拉</v>
      </c>
      <c r="H4573" s="9" t="str">
        <f>IFERROR(__xludf.DUMMYFUNCTION("GOOGLETRANSLATE($A4573,""en"",""ja"")"),"アンパーラ")</f>
        <v>アンパーラ</v>
      </c>
      <c r="I4573" s="9" t="str">
        <f>IFERROR(__xludf.DUMMYFUNCTION("GOOGLETRANSLATE($A4573,""en"",""ko"")"),"암파라")</f>
        <v>암파라</v>
      </c>
      <c r="J4573" s="9" t="str">
        <f>IFERROR(__xludf.DUMMYFUNCTION("GOOGLETRANSLATE($A4573,""en"",""pt-BR"")"),"Ampara")</f>
        <v>Ampara</v>
      </c>
    </row>
    <row r="4574">
      <c r="A4574" s="9" t="str">
        <f>IFERROR(__xludf.DUMMYFUNCTION("""COMPUTED_VALUE"""),"Matara")</f>
        <v>Matara</v>
      </c>
      <c r="B4574" s="9" t="str">
        <f>IFERROR(__xludf.DUMMYFUNCTION("""COMPUTED_VALUE"""),"lk-32")</f>
        <v>lk-32</v>
      </c>
      <c r="C4574" s="9" t="str">
        <f>IFERROR(__xludf.DUMMYFUNCTION("GOOGLETRANSLATE($A4574,""en"",""de"")"),"Matara")</f>
        <v>Matara</v>
      </c>
      <c r="D4574" s="9" t="str">
        <f>IFERROR(__xludf.DUMMYFUNCTION("GOOGLETRANSLATE($A4574,""en"",""fr"")"),"Matara")</f>
        <v>Matara</v>
      </c>
      <c r="E4574" s="9" t="str">
        <f>IFERROR(__xludf.DUMMYFUNCTION("GOOGLETRANSLATE($A4574,""en"",""es"")"),"matara")</f>
        <v>matara</v>
      </c>
      <c r="F4574" s="9" t="str">
        <f>IFERROR(__xludf.DUMMYFUNCTION("GOOGLETRANSLATE($A4574,""en"",""it"")"),"Matara")</f>
        <v>Matara</v>
      </c>
      <c r="G4574" s="9" t="str">
        <f>IFERROR(__xludf.DUMMYFUNCTION("GOOGLETRANSLATE($A4574,""en"",""zh-cn"")"),"马塔拉")</f>
        <v>马塔拉</v>
      </c>
      <c r="H4574" s="9" t="str">
        <f>IFERROR(__xludf.DUMMYFUNCTION("GOOGLETRANSLATE($A4574,""en"",""ja"")"),"マタラ")</f>
        <v>マタラ</v>
      </c>
      <c r="I4574" s="9" t="str">
        <f>IFERROR(__xludf.DUMMYFUNCTION("GOOGLETRANSLATE($A4574,""en"",""ko"")"),"마타라")</f>
        <v>마타라</v>
      </c>
      <c r="J4574" s="9" t="str">
        <f>IFERROR(__xludf.DUMMYFUNCTION("GOOGLETRANSLATE($A4574,""en"",""pt-BR"")"),"Matara")</f>
        <v>Matara</v>
      </c>
    </row>
    <row r="4575">
      <c r="A4575" s="9" t="str">
        <f>IFERROR(__xludf.DUMMYFUNCTION("""COMPUTED_VALUE"""),"Mullaittivu")</f>
        <v>Mullaittivu</v>
      </c>
      <c r="B4575" s="9" t="str">
        <f>IFERROR(__xludf.DUMMYFUNCTION("""COMPUTED_VALUE"""),"lk-45")</f>
        <v>lk-45</v>
      </c>
      <c r="C4575" s="9" t="str">
        <f>IFERROR(__xludf.DUMMYFUNCTION("GOOGLETRANSLATE($A4575,""en"",""de"")"),"Mullaitivu")</f>
        <v>Mullaitivu</v>
      </c>
      <c r="D4575" s="9" t="str">
        <f>IFERROR(__xludf.DUMMYFUNCTION("GOOGLETRANSLATE($A4575,""en"",""fr"")"),"Mullaittivu")</f>
        <v>Mullaittivu</v>
      </c>
      <c r="E4575" s="9" t="str">
        <f>IFERROR(__xludf.DUMMYFUNCTION("GOOGLETRANSLATE($A4575,""en"",""es"")"),"Mullaittivu")</f>
        <v>Mullaittivu</v>
      </c>
      <c r="F4575" s="9" t="str">
        <f>IFERROR(__xludf.DUMMYFUNCTION("GOOGLETRANSLATE($A4575,""en"",""it"")"),"Mullaittivu")</f>
        <v>Mullaittivu</v>
      </c>
      <c r="G4575" s="9" t="str">
        <f>IFERROR(__xludf.DUMMYFUNCTION("GOOGLETRANSLATE($A4575,""en"",""zh-cn"")"),"穆莱蒂武")</f>
        <v>穆莱蒂武</v>
      </c>
      <c r="H4575" s="9" t="str">
        <f>IFERROR(__xludf.DUMMYFUNCTION("GOOGLETRANSLATE($A4575,""en"",""ja"")"),"ムライティブ")</f>
        <v>ムライティブ</v>
      </c>
      <c r="I4575" s="9" t="str">
        <f>IFERROR(__xludf.DUMMYFUNCTION("GOOGLETRANSLATE($A4575,""en"",""ko"")"),"물라이티부")</f>
        <v>물라이티부</v>
      </c>
      <c r="J4575" s="9" t="str">
        <f>IFERROR(__xludf.DUMMYFUNCTION("GOOGLETRANSLATE($A4575,""en"",""pt-BR"")"),"Mullaittivu")</f>
        <v>Mullaittivu</v>
      </c>
    </row>
    <row r="4576">
      <c r="A4576" s="9" t="str">
        <f>IFERROR(__xludf.DUMMYFUNCTION("""COMPUTED_VALUE"""),"Galle")</f>
        <v>Galle</v>
      </c>
      <c r="B4576" s="9" t="str">
        <f>IFERROR(__xludf.DUMMYFUNCTION("""COMPUTED_VALUE"""),"lk-31")</f>
        <v>lk-31</v>
      </c>
      <c r="C4576" s="9" t="str">
        <f>IFERROR(__xludf.DUMMYFUNCTION("GOOGLETRANSLATE($A4576,""en"",""de"")"),"Galle")</f>
        <v>Galle</v>
      </c>
      <c r="D4576" s="9" t="str">
        <f>IFERROR(__xludf.DUMMYFUNCTION("GOOGLETRANSLATE($A4576,""en"",""fr"")"),"Galle")</f>
        <v>Galle</v>
      </c>
      <c r="E4576" s="9" t="str">
        <f>IFERROR(__xludf.DUMMYFUNCTION("GOOGLETRANSLATE($A4576,""en"",""es"")"),"Galle")</f>
        <v>Galle</v>
      </c>
      <c r="F4576" s="9" t="str">
        <f>IFERROR(__xludf.DUMMYFUNCTION("GOOGLETRANSLATE($A4576,""en"",""it"")"),"Galle")</f>
        <v>Galle</v>
      </c>
      <c r="G4576" s="9" t="str">
        <f>IFERROR(__xludf.DUMMYFUNCTION("GOOGLETRANSLATE($A4576,""en"",""zh-cn"")"),"加勒")</f>
        <v>加勒</v>
      </c>
      <c r="H4576" s="9" t="str">
        <f>IFERROR(__xludf.DUMMYFUNCTION("GOOGLETRANSLATE($A4576,""en"",""ja"")"),"ゴール")</f>
        <v>ゴール</v>
      </c>
      <c r="I4576" s="9" t="str">
        <f>IFERROR(__xludf.DUMMYFUNCTION("GOOGLETRANSLATE($A4576,""en"",""ko"")"),"갈레")</f>
        <v>갈레</v>
      </c>
      <c r="J4576" s="9" t="str">
        <f>IFERROR(__xludf.DUMMYFUNCTION("GOOGLETRANSLATE($A4576,""en"",""pt-BR"")"),"Galle")</f>
        <v>Galle</v>
      </c>
    </row>
    <row r="4577">
      <c r="A4577" s="9" t="str">
        <f>IFERROR(__xludf.DUMMYFUNCTION("""COMPUTED_VALUE"""),"Jaffna")</f>
        <v>Jaffna</v>
      </c>
      <c r="B4577" s="9" t="str">
        <f>IFERROR(__xludf.DUMMYFUNCTION("""COMPUTED_VALUE"""),"lk-41")</f>
        <v>lk-41</v>
      </c>
      <c r="C4577" s="9" t="str">
        <f>IFERROR(__xludf.DUMMYFUNCTION("GOOGLETRANSLATE($A4577,""en"",""de"")"),"Jaffna")</f>
        <v>Jaffna</v>
      </c>
      <c r="D4577" s="9" t="str">
        <f>IFERROR(__xludf.DUMMYFUNCTION("GOOGLETRANSLATE($A4577,""en"",""fr"")"),"Jaffna")</f>
        <v>Jaffna</v>
      </c>
      <c r="E4577" s="9" t="str">
        <f>IFERROR(__xludf.DUMMYFUNCTION("GOOGLETRANSLATE($A4577,""en"",""es"")"),"Jaffna")</f>
        <v>Jaffna</v>
      </c>
      <c r="F4577" s="9" t="str">
        <f>IFERROR(__xludf.DUMMYFUNCTION("GOOGLETRANSLATE($A4577,""en"",""it"")"),"Jaffna")</f>
        <v>Jaffna</v>
      </c>
      <c r="G4577" s="9" t="str">
        <f>IFERROR(__xludf.DUMMYFUNCTION("GOOGLETRANSLATE($A4577,""en"",""zh-cn"")"),"贾夫纳")</f>
        <v>贾夫纳</v>
      </c>
      <c r="H4577" s="9" t="str">
        <f>IFERROR(__xludf.DUMMYFUNCTION("GOOGLETRANSLATE($A4577,""en"",""ja"")"),"ジャフナ")</f>
        <v>ジャフナ</v>
      </c>
      <c r="I4577" s="9" t="str">
        <f>IFERROR(__xludf.DUMMYFUNCTION("GOOGLETRANSLATE($A4577,""en"",""ko"")"),"자프나")</f>
        <v>자프나</v>
      </c>
      <c r="J4577" s="9" t="str">
        <f>IFERROR(__xludf.DUMMYFUNCTION("GOOGLETRANSLATE($A4577,""en"",""pt-BR"")"),"Jaffna")</f>
        <v>Jaffna</v>
      </c>
    </row>
    <row r="4578">
      <c r="A4578" s="9" t="str">
        <f>IFERROR(__xludf.DUMMYFUNCTION("""COMPUTED_VALUE"""),"Western Province")</f>
        <v>Western Province</v>
      </c>
      <c r="B4578" s="9" t="str">
        <f>IFERROR(__xludf.DUMMYFUNCTION("""COMPUTED_VALUE"""),"lk-1")</f>
        <v>lk-1</v>
      </c>
      <c r="C4578" s="9" t="str">
        <f>IFERROR(__xludf.DUMMYFUNCTION("GOOGLETRANSLATE($A4578,""en"",""de"")"),"Westprovinz")</f>
        <v>Westprovinz</v>
      </c>
      <c r="D4578" s="9" t="str">
        <f>IFERROR(__xludf.DUMMYFUNCTION("GOOGLETRANSLATE($A4578,""en"",""fr"")"),"Province de l'Ouest")</f>
        <v>Province de l'Ouest</v>
      </c>
      <c r="E4578" s="9" t="str">
        <f>IFERROR(__xludf.DUMMYFUNCTION("GOOGLETRANSLATE($A4578,""en"",""es"")"),"Provincia Occidental")</f>
        <v>Provincia Occidental</v>
      </c>
      <c r="F4578" s="9" t="str">
        <f>IFERROR(__xludf.DUMMYFUNCTION("GOOGLETRANSLATE($A4578,""en"",""it"")"),"Provincia Occidentale")</f>
        <v>Provincia Occidentale</v>
      </c>
      <c r="G4578" s="9" t="str">
        <f>IFERROR(__xludf.DUMMYFUNCTION("GOOGLETRANSLATE($A4578,""en"",""zh-cn"")"),"西部省")</f>
        <v>西部省</v>
      </c>
      <c r="H4578" s="9" t="str">
        <f>IFERROR(__xludf.DUMMYFUNCTION("GOOGLETRANSLATE($A4578,""en"",""ja"")"),"西部州")</f>
        <v>西部州</v>
      </c>
      <c r="I4578" s="9" t="str">
        <f>IFERROR(__xludf.DUMMYFUNCTION("GOOGLETRANSLATE($A4578,""en"",""ko"")"),"서부 지방")</f>
        <v>서부 지방</v>
      </c>
      <c r="J4578" s="9" t="str">
        <f>IFERROR(__xludf.DUMMYFUNCTION("GOOGLETRANSLATE($A4578,""en"",""pt-BR"")"),"Província Ocidental")</f>
        <v>Província Ocidental</v>
      </c>
    </row>
    <row r="4579">
      <c r="A4579" s="9" t="str">
        <f>IFERROR(__xludf.DUMMYFUNCTION("""COMPUTED_VALUE"""),"Jericho - Al Aghwar")</f>
        <v>Jericho - Al Aghwar</v>
      </c>
      <c r="B4579" s="9" t="str">
        <f>IFERROR(__xludf.DUMMYFUNCTION("""COMPUTED_VALUE"""),"ps-jrh")</f>
        <v>ps-jrh</v>
      </c>
      <c r="C4579" s="9" t="str">
        <f>IFERROR(__xludf.DUMMYFUNCTION("GOOGLETRANSLATE($A4579,""en"",""de"")"),"Jericho – Al Aghwar")</f>
        <v>Jericho – Al Aghwar</v>
      </c>
      <c r="D4579" s="9" t="str">
        <f>IFERROR(__xludf.DUMMYFUNCTION("GOOGLETRANSLATE($A4579,""en"",""fr"")"),"Jéricho - Al Aghwar")</f>
        <v>Jéricho - Al Aghwar</v>
      </c>
      <c r="E4579" s="9" t="str">
        <f>IFERROR(__xludf.DUMMYFUNCTION("GOOGLETRANSLATE($A4579,""en"",""es"")"),"Jericó - Al Aghwar")</f>
        <v>Jericó - Al Aghwar</v>
      </c>
      <c r="F4579" s="9" t="str">
        <f>IFERROR(__xludf.DUMMYFUNCTION("GOOGLETRANSLATE($A4579,""en"",""it"")"),"Gerico-Al Aghwar")</f>
        <v>Gerico-Al Aghwar</v>
      </c>
      <c r="G4579" s="9" t="str">
        <f>IFERROR(__xludf.DUMMYFUNCTION("GOOGLETRANSLATE($A4579,""en"",""zh-cn"")"),"杰里科 - 阿尔阿格瓦尔")</f>
        <v>杰里科 - 阿尔阿格瓦尔</v>
      </c>
      <c r="H4579" s="9" t="str">
        <f>IFERROR(__xludf.DUMMYFUNCTION("GOOGLETRANSLATE($A4579,""en"",""ja"")"),"ジェリコ - アル・アグワール")</f>
        <v>ジェリコ - アル・アグワール</v>
      </c>
      <c r="I4579" s="9" t="str">
        <f>IFERROR(__xludf.DUMMYFUNCTION("GOOGLETRANSLATE($A4579,""en"",""ko"")"),"예리코 - 알 아그와르")</f>
        <v>예리코 - 알 아그와르</v>
      </c>
      <c r="J4579" s="9" t="str">
        <f>IFERROR(__xludf.DUMMYFUNCTION("GOOGLETRANSLATE($A4579,""en"",""pt-BR"")"),"Jericó - Al Aghwar")</f>
        <v>Jericó - Al Aghwar</v>
      </c>
    </row>
    <row r="4580">
      <c r="A4580" s="9" t="str">
        <f>IFERROR(__xludf.DUMMYFUNCTION("""COMPUTED_VALUE"""),"Hebron")</f>
        <v>Hebron</v>
      </c>
      <c r="B4580" s="9" t="str">
        <f>IFERROR(__xludf.DUMMYFUNCTION("""COMPUTED_VALUE"""),"ps-hbn")</f>
        <v>ps-hbn</v>
      </c>
      <c r="C4580" s="9" t="str">
        <f>IFERROR(__xludf.DUMMYFUNCTION("GOOGLETRANSLATE($A4580,""en"",""de"")"),"Hebron")</f>
        <v>Hebron</v>
      </c>
      <c r="D4580" s="9" t="str">
        <f>IFERROR(__xludf.DUMMYFUNCTION("GOOGLETRANSLATE($A4580,""en"",""fr"")"),"Hébron")</f>
        <v>Hébron</v>
      </c>
      <c r="E4580" s="9" t="str">
        <f>IFERROR(__xludf.DUMMYFUNCTION("GOOGLETRANSLATE($A4580,""en"",""es"")"),"Hebrón")</f>
        <v>Hebrón</v>
      </c>
      <c r="F4580" s="9" t="str">
        <f>IFERROR(__xludf.DUMMYFUNCTION("GOOGLETRANSLATE($A4580,""en"",""it"")"),"Hebron")</f>
        <v>Hebron</v>
      </c>
      <c r="G4580" s="9" t="str">
        <f>IFERROR(__xludf.DUMMYFUNCTION("GOOGLETRANSLATE($A4580,""en"",""zh-cn"")"),"希伯伦")</f>
        <v>希伯伦</v>
      </c>
      <c r="H4580" s="9" t="str">
        <f>IFERROR(__xludf.DUMMYFUNCTION("GOOGLETRANSLATE($A4580,""en"",""ja"")"),"ヘブロン")</f>
        <v>ヘブロン</v>
      </c>
      <c r="I4580" s="9" t="str">
        <f>IFERROR(__xludf.DUMMYFUNCTION("GOOGLETRANSLATE($A4580,""en"",""ko"")"),"헤브론")</f>
        <v>헤브론</v>
      </c>
      <c r="J4580" s="9" t="str">
        <f>IFERROR(__xludf.DUMMYFUNCTION("GOOGLETRANSLATE($A4580,""en"",""pt-BR"")"),"Hebrom")</f>
        <v>Hebrom</v>
      </c>
    </row>
    <row r="4581">
      <c r="A4581" s="9" t="str">
        <f>IFERROR(__xludf.DUMMYFUNCTION("""COMPUTED_VALUE"""),"Tulkarm")</f>
        <v>Tulkarm</v>
      </c>
      <c r="B4581" s="9" t="str">
        <f>IFERROR(__xludf.DUMMYFUNCTION("""COMPUTED_VALUE"""),"ps-tkm")</f>
        <v>ps-tkm</v>
      </c>
      <c r="C4581" s="9" t="str">
        <f>IFERROR(__xludf.DUMMYFUNCTION("GOOGLETRANSLATE($A4581,""en"",""de"")"),"Tulkarm")</f>
        <v>Tulkarm</v>
      </c>
      <c r="D4581" s="9" t="str">
        <f>IFERROR(__xludf.DUMMYFUNCTION("GOOGLETRANSLATE($A4581,""en"",""fr"")"),"Tulkarem")</f>
        <v>Tulkarem</v>
      </c>
      <c r="E4581" s="9" t="str">
        <f>IFERROR(__xludf.DUMMYFUNCTION("GOOGLETRANSLATE($A4581,""en"",""es"")"),"Tulkarem")</f>
        <v>Tulkarem</v>
      </c>
      <c r="F4581" s="9" t="str">
        <f>IFERROR(__xludf.DUMMYFUNCTION("GOOGLETRANSLATE($A4581,""en"",""it"")"),"Tulkarem")</f>
        <v>Tulkarem</v>
      </c>
      <c r="G4581" s="9" t="str">
        <f>IFERROR(__xludf.DUMMYFUNCTION("GOOGLETRANSLATE($A4581,""en"",""zh-cn"")"),"图勒凯尔姆")</f>
        <v>图勒凯尔姆</v>
      </c>
      <c r="H4581" s="9" t="str">
        <f>IFERROR(__xludf.DUMMYFUNCTION("GOOGLETRANSLATE($A4581,""en"",""ja"")"),"トゥルカム")</f>
        <v>トゥルカム</v>
      </c>
      <c r="I4581" s="9" t="str">
        <f>IFERROR(__xludf.DUMMYFUNCTION("GOOGLETRANSLATE($A4581,""en"",""ko"")"),"툴캄")</f>
        <v>툴캄</v>
      </c>
      <c r="J4581" s="9" t="str">
        <f>IFERROR(__xludf.DUMMYFUNCTION("GOOGLETRANSLATE($A4581,""en"",""pt-BR"")"),"Tulcarém")</f>
        <v>Tulcarém</v>
      </c>
    </row>
    <row r="4582">
      <c r="A4582" s="9" t="str">
        <f>IFERROR(__xludf.DUMMYFUNCTION("""COMPUTED_VALUE"""),"Ramallah")</f>
        <v>Ramallah</v>
      </c>
      <c r="B4582" s="9" t="str">
        <f>IFERROR(__xludf.DUMMYFUNCTION("""COMPUTED_VALUE"""),"ps-rbh")</f>
        <v>ps-rbh</v>
      </c>
      <c r="C4582" s="9" t="str">
        <f>IFERROR(__xludf.DUMMYFUNCTION("GOOGLETRANSLATE($A4582,""en"",""de"")"),"Ramallah")</f>
        <v>Ramallah</v>
      </c>
      <c r="D4582" s="9" t="str">
        <f>IFERROR(__xludf.DUMMYFUNCTION("GOOGLETRANSLATE($A4582,""en"",""fr"")"),"Ramallah")</f>
        <v>Ramallah</v>
      </c>
      <c r="E4582" s="9" t="str">
        <f>IFERROR(__xludf.DUMMYFUNCTION("GOOGLETRANSLATE($A4582,""en"",""es"")"),"Ramallah")</f>
        <v>Ramallah</v>
      </c>
      <c r="F4582" s="9" t="str">
        <f>IFERROR(__xludf.DUMMYFUNCTION("GOOGLETRANSLATE($A4582,""en"",""it"")"),"Ramallah")</f>
        <v>Ramallah</v>
      </c>
      <c r="G4582" s="9" t="str">
        <f>IFERROR(__xludf.DUMMYFUNCTION("GOOGLETRANSLATE($A4582,""en"",""zh-cn"")"),"拉马拉")</f>
        <v>拉马拉</v>
      </c>
      <c r="H4582" s="9" t="str">
        <f>IFERROR(__xludf.DUMMYFUNCTION("GOOGLETRANSLATE($A4582,""en"",""ja"")"),"ラマラ")</f>
        <v>ラマラ</v>
      </c>
      <c r="I4582" s="9" t="str">
        <f>IFERROR(__xludf.DUMMYFUNCTION("GOOGLETRANSLATE($A4582,""en"",""ko"")"),"라말라")</f>
        <v>라말라</v>
      </c>
      <c r="J4582" s="9" t="str">
        <f>IFERROR(__xludf.DUMMYFUNCTION("GOOGLETRANSLATE($A4582,""en"",""pt-BR"")"),"Ramalá")</f>
        <v>Ramalá</v>
      </c>
    </row>
    <row r="4583">
      <c r="A4583" s="9" t="str">
        <f>IFERROR(__xludf.DUMMYFUNCTION("""COMPUTED_VALUE"""),"Deir El Balah")</f>
        <v>Deir El Balah</v>
      </c>
      <c r="B4583" s="9" t="str">
        <f>IFERROR(__xludf.DUMMYFUNCTION("""COMPUTED_VALUE"""),"ps-deb")</f>
        <v>ps-deb</v>
      </c>
      <c r="C4583" s="9" t="str">
        <f>IFERROR(__xludf.DUMMYFUNCTION("GOOGLETRANSLATE($A4583,""en"",""de"")"),"Deir El Balah")</f>
        <v>Deir El Balah</v>
      </c>
      <c r="D4583" s="9" t="str">
        <f>IFERROR(__xludf.DUMMYFUNCTION("GOOGLETRANSLATE($A4583,""en"",""fr"")"),"Deir el-Balah")</f>
        <v>Deir el-Balah</v>
      </c>
      <c r="E4583" s="9" t="str">
        <f>IFERROR(__xludf.DUMMYFUNCTION("GOOGLETRANSLATE($A4583,""en"",""es"")"),"Deir El Balah")</f>
        <v>Deir El Balah</v>
      </c>
      <c r="F4583" s="9" t="str">
        <f>IFERROR(__xludf.DUMMYFUNCTION("GOOGLETRANSLATE($A4583,""en"",""it"")"),"Deir El Balah")</f>
        <v>Deir El Balah</v>
      </c>
      <c r="G4583" s="9" t="str">
        <f>IFERROR(__xludf.DUMMYFUNCTION("GOOGLETRANSLATE($A4583,""en"",""zh-cn"")"),"代尔巴拉赫")</f>
        <v>代尔巴拉赫</v>
      </c>
      <c r="H4583" s="9" t="str">
        <f>IFERROR(__xludf.DUMMYFUNCTION("GOOGLETRANSLATE($A4583,""en"",""ja"")"),"デリ エル バラ")</f>
        <v>デリ エル バラ</v>
      </c>
      <c r="I4583" s="9" t="str">
        <f>IFERROR(__xludf.DUMMYFUNCTION("GOOGLETRANSLATE($A4583,""en"",""ko"")"),"데이르 엘 발라")</f>
        <v>데이르 엘 발라</v>
      </c>
      <c r="J4583" s="9" t="str">
        <f>IFERROR(__xludf.DUMMYFUNCTION("GOOGLETRANSLATE($A4583,""en"",""pt-BR"")"),"Deir El Balah")</f>
        <v>Deir El Balah</v>
      </c>
    </row>
    <row r="4584">
      <c r="A4584" s="9" t="str">
        <f>IFERROR(__xludf.DUMMYFUNCTION("""COMPUTED_VALUE"""),"Rafah")</f>
        <v>Rafah</v>
      </c>
      <c r="B4584" s="9" t="str">
        <f>IFERROR(__xludf.DUMMYFUNCTION("""COMPUTED_VALUE"""),"ps-rfh")</f>
        <v>ps-rfh</v>
      </c>
      <c r="C4584" s="9" t="str">
        <f>IFERROR(__xludf.DUMMYFUNCTION("GOOGLETRANSLATE($A4584,""en"",""de"")"),"Rafah")</f>
        <v>Rafah</v>
      </c>
      <c r="D4584" s="9" t="str">
        <f>IFERROR(__xludf.DUMMYFUNCTION("GOOGLETRANSLATE($A4584,""en"",""fr"")"),"Rafah")</f>
        <v>Rafah</v>
      </c>
      <c r="E4584" s="9" t="str">
        <f>IFERROR(__xludf.DUMMYFUNCTION("GOOGLETRANSLATE($A4584,""en"",""es"")"),"Rafá")</f>
        <v>Rafá</v>
      </c>
      <c r="F4584" s="9" t="str">
        <f>IFERROR(__xludf.DUMMYFUNCTION("GOOGLETRANSLATE($A4584,""en"",""it"")"),"Rafa")</f>
        <v>Rafa</v>
      </c>
      <c r="G4584" s="9" t="str">
        <f>IFERROR(__xludf.DUMMYFUNCTION("GOOGLETRANSLATE($A4584,""en"",""zh-cn"")"),"拉法")</f>
        <v>拉法</v>
      </c>
      <c r="H4584" s="9" t="str">
        <f>IFERROR(__xludf.DUMMYFUNCTION("GOOGLETRANSLATE($A4584,""en"",""ja"")"),"ラファ")</f>
        <v>ラファ</v>
      </c>
      <c r="I4584" s="9" t="str">
        <f>IFERROR(__xludf.DUMMYFUNCTION("GOOGLETRANSLATE($A4584,""en"",""ko"")"),"라파")</f>
        <v>라파</v>
      </c>
      <c r="J4584" s="9" t="str">
        <f>IFERROR(__xludf.DUMMYFUNCTION("GOOGLETRANSLATE($A4584,""en"",""pt-BR"")"),"Rafa")</f>
        <v>Rafa</v>
      </c>
    </row>
    <row r="4585">
      <c r="A4585" s="9" t="str">
        <f>IFERROR(__xludf.DUMMYFUNCTION("""COMPUTED_VALUE"""),"Gaza (PS)")</f>
        <v>Gaza (PS)</v>
      </c>
      <c r="B4585" s="9" t="str">
        <f>IFERROR(__xludf.DUMMYFUNCTION("""COMPUTED_VALUE"""),"ps-gza")</f>
        <v>ps-gza</v>
      </c>
      <c r="C4585" s="9" t="str">
        <f>IFERROR(__xludf.DUMMYFUNCTION("GOOGLETRANSLATE($A4585,""en"",""de"")"),"Gaza (PS)")</f>
        <v>Gaza (PS)</v>
      </c>
      <c r="D4585" s="9" t="str">
        <f>IFERROR(__xludf.DUMMYFUNCTION("GOOGLETRANSLATE($A4585,""en"",""fr"")"),"Gaza (PS)")</f>
        <v>Gaza (PS)</v>
      </c>
      <c r="E4585" s="9" t="str">
        <f>IFERROR(__xludf.DUMMYFUNCTION("GOOGLETRANSLATE($A4585,""en"",""es"")"),"Gaza (PS)")</f>
        <v>Gaza (PS)</v>
      </c>
      <c r="F4585" s="9" t="str">
        <f>IFERROR(__xludf.DUMMYFUNCTION("GOOGLETRANSLATE($A4585,""en"",""it"")"),"Gaza (PS)")</f>
        <v>Gaza (PS)</v>
      </c>
      <c r="G4585" s="9" t="str">
        <f>IFERROR(__xludf.DUMMYFUNCTION("GOOGLETRANSLATE($A4585,""en"",""zh-cn"")"),"加沙 (PS)")</f>
        <v>加沙 (PS)</v>
      </c>
      <c r="H4585" s="9" t="str">
        <f>IFERROR(__xludf.DUMMYFUNCTION("GOOGLETRANSLATE($A4585,""en"",""ja"")"),"ガザ (PS)")</f>
        <v>ガザ (PS)</v>
      </c>
      <c r="I4585" s="9" t="str">
        <f>IFERROR(__xludf.DUMMYFUNCTION("GOOGLETRANSLATE($A4585,""en"",""ko"")"),"가자(PS)")</f>
        <v>가자(PS)</v>
      </c>
      <c r="J4585" s="9" t="str">
        <f>IFERROR(__xludf.DUMMYFUNCTION("GOOGLETRANSLATE($A4585,""en"",""pt-BR"")"),"Gaza (PS)")</f>
        <v>Gaza (PS)</v>
      </c>
    </row>
    <row r="4586">
      <c r="A4586" s="9" t="str">
        <f>IFERROR(__xludf.DUMMYFUNCTION("""COMPUTED_VALUE"""),"Khan Yunis")</f>
        <v>Khan Yunis</v>
      </c>
      <c r="B4586" s="9" t="str">
        <f>IFERROR(__xludf.DUMMYFUNCTION("""COMPUTED_VALUE"""),"ps-kys")</f>
        <v>ps-kys</v>
      </c>
      <c r="C4586" s="9" t="str">
        <f>IFERROR(__xludf.DUMMYFUNCTION("GOOGLETRANSLATE($A4586,""en"",""de"")"),"Khan Yunis")</f>
        <v>Khan Yunis</v>
      </c>
      <c r="D4586" s="9" t="str">
        <f>IFERROR(__xludf.DUMMYFUNCTION("GOOGLETRANSLATE($A4586,""en"",""fr"")"),"Khan Younès")</f>
        <v>Khan Younès</v>
      </c>
      <c r="E4586" s="9" t="str">
        <f>IFERROR(__xludf.DUMMYFUNCTION("GOOGLETRANSLATE($A4586,""en"",""es"")"),"Jan Yunis")</f>
        <v>Jan Yunis</v>
      </c>
      <c r="F4586" s="9" t="str">
        <f>IFERROR(__xludf.DUMMYFUNCTION("GOOGLETRANSLATE($A4586,""en"",""it"")"),"Khan Yunis")</f>
        <v>Khan Yunis</v>
      </c>
      <c r="G4586" s="9" t="str">
        <f>IFERROR(__xludf.DUMMYFUNCTION("GOOGLETRANSLATE($A4586,""en"",""zh-cn"")"),"汗尤尼斯")</f>
        <v>汗尤尼斯</v>
      </c>
      <c r="H4586" s="9" t="str">
        <f>IFERROR(__xludf.DUMMYFUNCTION("GOOGLETRANSLATE($A4586,""en"",""ja"")"),"カーン・ユニス")</f>
        <v>カーン・ユニス</v>
      </c>
      <c r="I4586" s="9" t="str">
        <f>IFERROR(__xludf.DUMMYFUNCTION("GOOGLETRANSLATE($A4586,""en"",""ko"")"),"칸 유니스")</f>
        <v>칸 유니스</v>
      </c>
      <c r="J4586" s="9" t="str">
        <f>IFERROR(__xludf.DUMMYFUNCTION("GOOGLETRANSLATE($A4586,""en"",""pt-BR"")"),"Khan Yunis")</f>
        <v>Khan Yunis</v>
      </c>
    </row>
    <row r="4587">
      <c r="A4587" s="9" t="str">
        <f>IFERROR(__xludf.DUMMYFUNCTION("""COMPUTED_VALUE"""),"Qalqilya")</f>
        <v>Qalqilya</v>
      </c>
      <c r="B4587" s="9" t="str">
        <f>IFERROR(__xludf.DUMMYFUNCTION("""COMPUTED_VALUE"""),"ps-qqa")</f>
        <v>ps-qqa</v>
      </c>
      <c r="C4587" s="9" t="str">
        <f>IFERROR(__xludf.DUMMYFUNCTION("GOOGLETRANSLATE($A4587,""en"",""de"")"),"Qalqilya")</f>
        <v>Qalqilya</v>
      </c>
      <c r="D4587" s="9" t="str">
        <f>IFERROR(__xludf.DUMMYFUNCTION("GOOGLETRANSLATE($A4587,""en"",""fr"")"),"Qalqilya")</f>
        <v>Qalqilya</v>
      </c>
      <c r="E4587" s="9" t="str">
        <f>IFERROR(__xludf.DUMMYFUNCTION("GOOGLETRANSLATE($A4587,""en"",""es"")"),"Qalqilia")</f>
        <v>Qalqilia</v>
      </c>
      <c r="F4587" s="9" t="str">
        <f>IFERROR(__xludf.DUMMYFUNCTION("GOOGLETRANSLATE($A4587,""en"",""it"")"),"Qalqilya")</f>
        <v>Qalqilya</v>
      </c>
      <c r="G4587" s="9" t="str">
        <f>IFERROR(__xludf.DUMMYFUNCTION("GOOGLETRANSLATE($A4587,""en"",""zh-cn"")"),"盖勒吉利亚")</f>
        <v>盖勒吉利亚</v>
      </c>
      <c r="H4587" s="9" t="str">
        <f>IFERROR(__xludf.DUMMYFUNCTION("GOOGLETRANSLATE($A4587,""en"",""ja"")"),"カルキリヤ")</f>
        <v>カルキリヤ</v>
      </c>
      <c r="I4587" s="9" t="str">
        <f>IFERROR(__xludf.DUMMYFUNCTION("GOOGLETRANSLATE($A4587,""en"",""ko"")"),"칼킬야")</f>
        <v>칼킬야</v>
      </c>
      <c r="J4587" s="9" t="str">
        <f>IFERROR(__xludf.DUMMYFUNCTION("GOOGLETRANSLATE($A4587,""en"",""pt-BR"")"),"Qalqilya")</f>
        <v>Qalqilya</v>
      </c>
    </row>
    <row r="4588">
      <c r="A4588" s="9" t="str">
        <f>IFERROR(__xludf.DUMMYFUNCTION("""COMPUTED_VALUE"""),"Bethlehem")</f>
        <v>Bethlehem</v>
      </c>
      <c r="B4588" s="9" t="str">
        <f>IFERROR(__xludf.DUMMYFUNCTION("""COMPUTED_VALUE"""),"ps-bth")</f>
        <v>ps-bth</v>
      </c>
      <c r="C4588" s="9" t="str">
        <f>IFERROR(__xludf.DUMMYFUNCTION("GOOGLETRANSLATE($A4588,""en"",""de"")"),"Bethlehem")</f>
        <v>Bethlehem</v>
      </c>
      <c r="D4588" s="9" t="str">
        <f>IFERROR(__xludf.DUMMYFUNCTION("GOOGLETRANSLATE($A4588,""en"",""fr"")"),"Bethléem")</f>
        <v>Bethléem</v>
      </c>
      <c r="E4588" s="9" t="str">
        <f>IFERROR(__xludf.DUMMYFUNCTION("GOOGLETRANSLATE($A4588,""en"",""es"")"),"Belén")</f>
        <v>Belén</v>
      </c>
      <c r="F4588" s="9" t="str">
        <f>IFERROR(__xludf.DUMMYFUNCTION("GOOGLETRANSLATE($A4588,""en"",""it"")"),"Betlemme")</f>
        <v>Betlemme</v>
      </c>
      <c r="G4588" s="9" t="str">
        <f>IFERROR(__xludf.DUMMYFUNCTION("GOOGLETRANSLATE($A4588,""en"",""zh-cn"")"),"伯利恒")</f>
        <v>伯利恒</v>
      </c>
      <c r="H4588" s="9" t="str">
        <f>IFERROR(__xludf.DUMMYFUNCTION("GOOGLETRANSLATE($A4588,""en"",""ja"")"),"ベツレヘム")</f>
        <v>ベツレヘム</v>
      </c>
      <c r="I4588" s="9" t="str">
        <f>IFERROR(__xludf.DUMMYFUNCTION("GOOGLETRANSLATE($A4588,""en"",""ko"")"),"베들레헴")</f>
        <v>베들레헴</v>
      </c>
      <c r="J4588" s="9" t="str">
        <f>IFERROR(__xludf.DUMMYFUNCTION("GOOGLETRANSLATE($A4588,""en"",""pt-BR"")"),"Belém")</f>
        <v>Belém</v>
      </c>
    </row>
    <row r="4589">
      <c r="A4589" s="9" t="str">
        <f>IFERROR(__xludf.DUMMYFUNCTION("""COMPUTED_VALUE"""),"Jerusalem")</f>
        <v>Jerusalem</v>
      </c>
      <c r="B4589" s="9" t="str">
        <f>IFERROR(__xludf.DUMMYFUNCTION("""COMPUTED_VALUE"""),"ps-jem")</f>
        <v>ps-jem</v>
      </c>
      <c r="C4589" s="9" t="str">
        <f>IFERROR(__xludf.DUMMYFUNCTION("GOOGLETRANSLATE($A4589,""en"",""de"")"),"Jerusalem")</f>
        <v>Jerusalem</v>
      </c>
      <c r="D4589" s="9" t="str">
        <f>IFERROR(__xludf.DUMMYFUNCTION("GOOGLETRANSLATE($A4589,""en"",""fr"")"),"Jérusalem")</f>
        <v>Jérusalem</v>
      </c>
      <c r="E4589" s="9" t="str">
        <f>IFERROR(__xludf.DUMMYFUNCTION("GOOGLETRANSLATE($A4589,""en"",""es"")"),"Jerusalén")</f>
        <v>Jerusalén</v>
      </c>
      <c r="F4589" s="9" t="str">
        <f>IFERROR(__xludf.DUMMYFUNCTION("GOOGLETRANSLATE($A4589,""en"",""it"")"),"Gerusalemme")</f>
        <v>Gerusalemme</v>
      </c>
      <c r="G4589" s="9" t="str">
        <f>IFERROR(__xludf.DUMMYFUNCTION("GOOGLETRANSLATE($A4589,""en"",""zh-cn"")"),"耶路撒冷")</f>
        <v>耶路撒冷</v>
      </c>
      <c r="H4589" s="9" t="str">
        <f>IFERROR(__xludf.DUMMYFUNCTION("GOOGLETRANSLATE($A4589,""en"",""ja"")"),"エルサレム")</f>
        <v>エルサレム</v>
      </c>
      <c r="I4589" s="9" t="str">
        <f>IFERROR(__xludf.DUMMYFUNCTION("GOOGLETRANSLATE($A4589,""en"",""ko"")"),"예루살렘")</f>
        <v>예루살렘</v>
      </c>
      <c r="J4589" s="9" t="str">
        <f>IFERROR(__xludf.DUMMYFUNCTION("GOOGLETRANSLATE($A4589,""en"",""pt-BR"")"),"Jerusalém")</f>
        <v>Jerusalém</v>
      </c>
    </row>
    <row r="4590">
      <c r="A4590" s="9" t="str">
        <f>IFERROR(__xludf.DUMMYFUNCTION("""COMPUTED_VALUE"""),"North Gaza")</f>
        <v>North Gaza</v>
      </c>
      <c r="B4590" s="9" t="str">
        <f>IFERROR(__xludf.DUMMYFUNCTION("""COMPUTED_VALUE"""),"ps-ngz")</f>
        <v>ps-ngz</v>
      </c>
      <c r="C4590" s="9" t="str">
        <f>IFERROR(__xludf.DUMMYFUNCTION("GOOGLETRANSLATE($A4590,""en"",""de"")"),"Nordgaza")</f>
        <v>Nordgaza</v>
      </c>
      <c r="D4590" s="9" t="str">
        <f>IFERROR(__xludf.DUMMYFUNCTION("GOOGLETRANSLATE($A4590,""en"",""fr"")"),"Nord de Gaza")</f>
        <v>Nord de Gaza</v>
      </c>
      <c r="E4590" s="9" t="str">
        <f>IFERROR(__xludf.DUMMYFUNCTION("GOOGLETRANSLATE($A4590,""en"",""es"")"),"Gaza del Norte")</f>
        <v>Gaza del Norte</v>
      </c>
      <c r="F4590" s="9" t="str">
        <f>IFERROR(__xludf.DUMMYFUNCTION("GOOGLETRANSLATE($A4590,""en"",""it"")"),"Gaza Nord")</f>
        <v>Gaza Nord</v>
      </c>
      <c r="G4590" s="9" t="str">
        <f>IFERROR(__xludf.DUMMYFUNCTION("GOOGLETRANSLATE($A4590,""en"",""zh-cn"")"),"加沙北部")</f>
        <v>加沙北部</v>
      </c>
      <c r="H4590" s="9" t="str">
        <f>IFERROR(__xludf.DUMMYFUNCTION("GOOGLETRANSLATE($A4590,""en"",""ja"")"),"北ガザ")</f>
        <v>北ガザ</v>
      </c>
      <c r="I4590" s="9" t="str">
        <f>IFERROR(__xludf.DUMMYFUNCTION("GOOGLETRANSLATE($A4590,""en"",""ko"")"),"노스 가자")</f>
        <v>노스 가자</v>
      </c>
      <c r="J4590" s="9" t="str">
        <f>IFERROR(__xludf.DUMMYFUNCTION("GOOGLETRANSLATE($A4590,""en"",""pt-BR"")"),"Norte de Gaza")</f>
        <v>Norte de Gaza</v>
      </c>
    </row>
    <row r="4591">
      <c r="A4591" s="9" t="str">
        <f>IFERROR(__xludf.DUMMYFUNCTION("""COMPUTED_VALUE"""),"Salfit")</f>
        <v>Salfit</v>
      </c>
      <c r="B4591" s="9" t="str">
        <f>IFERROR(__xludf.DUMMYFUNCTION("""COMPUTED_VALUE"""),"ps-slt")</f>
        <v>ps-slt</v>
      </c>
      <c r="C4591" s="9" t="str">
        <f>IFERROR(__xludf.DUMMYFUNCTION("GOOGLETRANSLATE($A4591,""en"",""de"")"),"Salfit")</f>
        <v>Salfit</v>
      </c>
      <c r="D4591" s="9" t="str">
        <f>IFERROR(__xludf.DUMMYFUNCTION("GOOGLETRANSLATE($A4591,""en"",""fr"")"),"salfit")</f>
        <v>salfit</v>
      </c>
      <c r="E4591" s="9" t="str">
        <f>IFERROR(__xludf.DUMMYFUNCTION("GOOGLETRANSLATE($A4591,""en"",""es"")"),"Salfit")</f>
        <v>Salfit</v>
      </c>
      <c r="F4591" s="9" t="str">
        <f>IFERROR(__xludf.DUMMYFUNCTION("GOOGLETRANSLATE($A4591,""en"",""it"")"),"Salfit")</f>
        <v>Salfit</v>
      </c>
      <c r="G4591" s="9" t="str">
        <f>IFERROR(__xludf.DUMMYFUNCTION("GOOGLETRANSLATE($A4591,""en"",""zh-cn"")"),"萨尔菲特")</f>
        <v>萨尔菲特</v>
      </c>
      <c r="H4591" s="9" t="str">
        <f>IFERROR(__xludf.DUMMYFUNCTION("GOOGLETRANSLATE($A4591,""en"",""ja"")"),"サルフィット")</f>
        <v>サルフィット</v>
      </c>
      <c r="I4591" s="9" t="str">
        <f>IFERROR(__xludf.DUMMYFUNCTION("GOOGLETRANSLATE($A4591,""en"",""ko"")"),"살핏")</f>
        <v>살핏</v>
      </c>
      <c r="J4591" s="9" t="str">
        <f>IFERROR(__xludf.DUMMYFUNCTION("GOOGLETRANSLATE($A4591,""en"",""pt-BR"")"),"Salfit")</f>
        <v>Salfit</v>
      </c>
    </row>
    <row r="4592">
      <c r="A4592" s="9" t="str">
        <f>IFERROR(__xludf.DUMMYFUNCTION("""COMPUTED_VALUE"""),"Tubas")</f>
        <v>Tubas</v>
      </c>
      <c r="B4592" s="9" t="str">
        <f>IFERROR(__xludf.DUMMYFUNCTION("""COMPUTED_VALUE"""),"ps-tbs")</f>
        <v>ps-tbs</v>
      </c>
      <c r="C4592" s="9" t="str">
        <f>IFERROR(__xludf.DUMMYFUNCTION("GOOGLETRANSLATE($A4592,""en"",""de"")"),"Tubas")</f>
        <v>Tubas</v>
      </c>
      <c r="D4592" s="9" t="str">
        <f>IFERROR(__xludf.DUMMYFUNCTION("GOOGLETRANSLATE($A4592,""en"",""fr"")"),"Tubas")</f>
        <v>Tubas</v>
      </c>
      <c r="E4592" s="9" t="str">
        <f>IFERROR(__xludf.DUMMYFUNCTION("GOOGLETRANSLATE($A4592,""en"",""es"")"),"tubas")</f>
        <v>tubas</v>
      </c>
      <c r="F4592" s="9" t="str">
        <f>IFERROR(__xludf.DUMMYFUNCTION("GOOGLETRANSLATE($A4592,""en"",""it"")"),"Tube")</f>
        <v>Tube</v>
      </c>
      <c r="G4592" s="9" t="str">
        <f>IFERROR(__xludf.DUMMYFUNCTION("GOOGLETRANSLATE($A4592,""en"",""zh-cn"")"),"大号")</f>
        <v>大号</v>
      </c>
      <c r="H4592" s="9" t="str">
        <f>IFERROR(__xludf.DUMMYFUNCTION("GOOGLETRANSLATE($A4592,""en"",""ja"")"),"チューバ")</f>
        <v>チューバ</v>
      </c>
      <c r="I4592" s="9" t="str">
        <f>IFERROR(__xludf.DUMMYFUNCTION("GOOGLETRANSLATE($A4592,""en"",""ko"")"),"튜바")</f>
        <v>튜바</v>
      </c>
      <c r="J4592" s="9" t="str">
        <f>IFERROR(__xludf.DUMMYFUNCTION("GOOGLETRANSLATE($A4592,""en"",""pt-BR"")"),"Tubas")</f>
        <v>Tubas</v>
      </c>
    </row>
    <row r="4593">
      <c r="A4593" s="9" t="str">
        <f>IFERROR(__xludf.DUMMYFUNCTION("""COMPUTED_VALUE"""),"Nablus")</f>
        <v>Nablus</v>
      </c>
      <c r="B4593" s="9" t="str">
        <f>IFERROR(__xludf.DUMMYFUNCTION("""COMPUTED_VALUE"""),"ps-nbs")</f>
        <v>ps-nbs</v>
      </c>
      <c r="C4593" s="9" t="str">
        <f>IFERROR(__xludf.DUMMYFUNCTION("GOOGLETRANSLATE($A4593,""en"",""de"")"),"Nablus")</f>
        <v>Nablus</v>
      </c>
      <c r="D4593" s="9" t="str">
        <f>IFERROR(__xludf.DUMMYFUNCTION("GOOGLETRANSLATE($A4593,""en"",""fr"")"),"Naplouse")</f>
        <v>Naplouse</v>
      </c>
      <c r="E4593" s="9" t="str">
        <f>IFERROR(__xludf.DUMMYFUNCTION("GOOGLETRANSLATE($A4593,""en"",""es"")"),"Nablus")</f>
        <v>Nablus</v>
      </c>
      <c r="F4593" s="9" t="str">
        <f>IFERROR(__xludf.DUMMYFUNCTION("GOOGLETRANSLATE($A4593,""en"",""it"")"),"Nablus")</f>
        <v>Nablus</v>
      </c>
      <c r="G4593" s="9" t="str">
        <f>IFERROR(__xludf.DUMMYFUNCTION("GOOGLETRANSLATE($A4593,""en"",""zh-cn"")"),"纳布卢斯")</f>
        <v>纳布卢斯</v>
      </c>
      <c r="H4593" s="9" t="str">
        <f>IFERROR(__xludf.DUMMYFUNCTION("GOOGLETRANSLATE($A4593,""en"",""ja"")"),"ナブルス")</f>
        <v>ナブルス</v>
      </c>
      <c r="I4593" s="9" t="str">
        <f>IFERROR(__xludf.DUMMYFUNCTION("GOOGLETRANSLATE($A4593,""en"",""ko"")"),"나블루스")</f>
        <v>나블루스</v>
      </c>
      <c r="J4593" s="9" t="str">
        <f>IFERROR(__xludf.DUMMYFUNCTION("GOOGLETRANSLATE($A4593,""en"",""pt-BR"")"),"Nablus")</f>
        <v>Nablus</v>
      </c>
    </row>
    <row r="4594">
      <c r="A4594" s="9" t="str">
        <f>IFERROR(__xludf.DUMMYFUNCTION("""COMPUTED_VALUE"""),"Jenin")</f>
        <v>Jenin</v>
      </c>
      <c r="B4594" s="9" t="str">
        <f>IFERROR(__xludf.DUMMYFUNCTION("""COMPUTED_VALUE"""),"ps-jen")</f>
        <v>ps-jen</v>
      </c>
      <c r="C4594" s="9" t="str">
        <f>IFERROR(__xludf.DUMMYFUNCTION("GOOGLETRANSLATE($A4594,""en"",""de"")"),"Dschenin")</f>
        <v>Dschenin</v>
      </c>
      <c r="D4594" s="9" t="str">
        <f>IFERROR(__xludf.DUMMYFUNCTION("GOOGLETRANSLATE($A4594,""en"",""fr"")"),"Jénine")</f>
        <v>Jénine</v>
      </c>
      <c r="E4594" s="9" t="str">
        <f>IFERROR(__xludf.DUMMYFUNCTION("GOOGLETRANSLATE($A4594,""en"",""es"")"),"Yenín")</f>
        <v>Yenín</v>
      </c>
      <c r="F4594" s="9" t="str">
        <f>IFERROR(__xludf.DUMMYFUNCTION("GOOGLETRANSLATE($A4594,""en"",""it"")"),"Jenin")</f>
        <v>Jenin</v>
      </c>
      <c r="G4594" s="9" t="str">
        <f>IFERROR(__xludf.DUMMYFUNCTION("GOOGLETRANSLATE($A4594,""en"",""zh-cn"")"),"杰宁")</f>
        <v>杰宁</v>
      </c>
      <c r="H4594" s="9" t="str">
        <f>IFERROR(__xludf.DUMMYFUNCTION("GOOGLETRANSLATE($A4594,""en"",""ja"")"),"ジェニン")</f>
        <v>ジェニン</v>
      </c>
      <c r="I4594" s="9" t="str">
        <f>IFERROR(__xludf.DUMMYFUNCTION("GOOGLETRANSLATE($A4594,""en"",""ko"")"),"제닌")</f>
        <v>제닌</v>
      </c>
      <c r="J4594" s="9" t="str">
        <f>IFERROR(__xludf.DUMMYFUNCTION("GOOGLETRANSLATE($A4594,""en"",""pt-BR"")"),"Jenin")</f>
        <v>Jenin</v>
      </c>
    </row>
    <row r="4595">
      <c r="A4595" s="9" t="str">
        <f>IFERROR(__xludf.DUMMYFUNCTION("""COMPUTED_VALUE"""),"Al Qaḑārif")</f>
        <v>Al Qaḑārif</v>
      </c>
      <c r="B4595" s="9" t="str">
        <f>IFERROR(__xludf.DUMMYFUNCTION("""COMPUTED_VALUE"""),"sd-gd")</f>
        <v>sd-gd</v>
      </c>
      <c r="C4595" s="9" t="str">
        <f>IFERROR(__xludf.DUMMYFUNCTION("GOOGLETRANSLATE($A4595,""en"",""de"")"),"Al Qaḑārif")</f>
        <v>Al Qaḑārif</v>
      </c>
      <c r="D4595" s="9" t="str">
        <f>IFERROR(__xludf.DUMMYFUNCTION("GOOGLETRANSLATE($A4595,""en"",""fr"")"),"Al Qaḑarif")</f>
        <v>Al Qaḑarif</v>
      </c>
      <c r="E4595" s="9" t="str">
        <f>IFERROR(__xludf.DUMMYFUNCTION("GOOGLETRANSLATE($A4595,""en"",""es"")"),"Al Qaḑārif")</f>
        <v>Al Qaḑārif</v>
      </c>
      <c r="F4595" s="9" t="str">
        <f>IFERROR(__xludf.DUMMYFUNCTION("GOOGLETRANSLATE($A4595,""en"",""it"")"),"Al Qaḑārif")</f>
        <v>Al Qaḑārif</v>
      </c>
      <c r="G4595" s="9" t="str">
        <f>IFERROR(__xludf.DUMMYFUNCTION("GOOGLETRANSLATE($A4595,""en"",""zh-cn"")"),"卡塔里夫")</f>
        <v>卡塔里夫</v>
      </c>
      <c r="H4595" s="9" t="str">
        <f>IFERROR(__xludf.DUMMYFUNCTION("GOOGLETRANSLATE($A4595,""en"",""ja"")"),"アル・カーリフ")</f>
        <v>アル・カーリフ</v>
      </c>
      <c r="I4595" s="9" t="str">
        <f>IFERROR(__xludf.DUMMYFUNCTION("GOOGLETRANSLATE($A4595,""en"",""ko"")"),"알 카하리프")</f>
        <v>알 카하리프</v>
      </c>
      <c r="J4595" s="9" t="str">
        <f>IFERROR(__xludf.DUMMYFUNCTION("GOOGLETRANSLATE($A4595,""en"",""pt-BR"")"),"Al Qaḑārif")</f>
        <v>Al Qaḑārif</v>
      </c>
    </row>
    <row r="4596">
      <c r="A4596" s="9" t="str">
        <f>IFERROR(__xludf.DUMMYFUNCTION("""COMPUTED_VALUE"""),"Ash Shamālīyah (SD)")</f>
        <v>Ash Shamālīyah (SD)</v>
      </c>
      <c r="B4596" s="9" t="str">
        <f>IFERROR(__xludf.DUMMYFUNCTION("""COMPUTED_VALUE"""),"sd-no")</f>
        <v>sd-no</v>
      </c>
      <c r="C4596" s="9" t="str">
        <f>IFERROR(__xludf.DUMMYFUNCTION("GOOGLETRANSLATE($A4596,""en"",""de"")"),"Ash Shamālīyah (SD)")</f>
        <v>Ash Shamālīyah (SD)</v>
      </c>
      <c r="D4596" s="9" t="str">
        <f>IFERROR(__xludf.DUMMYFUNCTION("GOOGLETRANSLATE($A4596,""en"",""fr"")"),"Ash Shamaliyah (SD)")</f>
        <v>Ash Shamaliyah (SD)</v>
      </c>
      <c r="E4596" s="9" t="str">
        <f>IFERROR(__xludf.DUMMYFUNCTION("GOOGLETRANSLATE($A4596,""en"",""es"")"),"Ash Shamālīyah (SD)")</f>
        <v>Ash Shamālīyah (SD)</v>
      </c>
      <c r="F4596" s="9" t="str">
        <f>IFERROR(__xludf.DUMMYFUNCTION("GOOGLETRANSLATE($A4596,""en"",""it"")"),"Ash Shamaliyah (SD)")</f>
        <v>Ash Shamaliyah (SD)</v>
      </c>
      <c r="G4596" s="9" t="str">
        <f>IFERROR(__xludf.DUMMYFUNCTION("GOOGLETRANSLATE($A4596,""en"",""zh-cn"")"),"阿什·沙玛利亚 (SD)")</f>
        <v>阿什·沙玛利亚 (SD)</v>
      </c>
      <c r="H4596" s="9" t="str">
        <f>IFERROR(__xludf.DUMMYFUNCTION("GOOGLETRANSLATE($A4596,""en"",""ja"")"),"アッシュ・シャマーリーヤ (SD)")</f>
        <v>アッシュ・シャマーリーヤ (SD)</v>
      </c>
      <c r="I4596" s="9" t="str">
        <f>IFERROR(__xludf.DUMMYFUNCTION("GOOGLETRANSLATE($A4596,""en"",""ko"")"),"애쉬 샤말리야(SD)")</f>
        <v>애쉬 샤말리야(SD)</v>
      </c>
      <c r="J4596" s="9" t="str">
        <f>IFERROR(__xludf.DUMMYFUNCTION("GOOGLETRANSLATE($A4596,""en"",""pt-BR"")"),"Ash Shamaliyah (SD)")</f>
        <v>Ash Shamaliyah (SD)</v>
      </c>
    </row>
    <row r="4597">
      <c r="A4597" s="9" t="str">
        <f>IFERROR(__xludf.DUMMYFUNCTION("""COMPUTED_VALUE"""),"Zalingei")</f>
        <v>Zalingei</v>
      </c>
      <c r="B4597" s="9" t="str">
        <f>IFERROR(__xludf.DUMMYFUNCTION("""COMPUTED_VALUE"""),"sd-dc")</f>
        <v>sd-dc</v>
      </c>
      <c r="C4597" s="9" t="str">
        <f>IFERROR(__xludf.DUMMYFUNCTION("GOOGLETRANSLATE($A4597,""en"",""de"")"),"Zalingei")</f>
        <v>Zalingei</v>
      </c>
      <c r="D4597" s="9" t="str">
        <f>IFERROR(__xludf.DUMMYFUNCTION("GOOGLETRANSLATE($A4597,""en"",""fr"")"),"Zalingeï")</f>
        <v>Zalingeï</v>
      </c>
      <c r="E4597" s="9" t="str">
        <f>IFERROR(__xludf.DUMMYFUNCTION("GOOGLETRANSLATE($A4597,""en"",""es"")"),"Zalingei")</f>
        <v>Zalingei</v>
      </c>
      <c r="F4597" s="9" t="str">
        <f>IFERROR(__xludf.DUMMYFUNCTION("GOOGLETRANSLATE($A4597,""en"",""it"")"),"Zalingei")</f>
        <v>Zalingei</v>
      </c>
      <c r="G4597" s="9" t="str">
        <f>IFERROR(__xludf.DUMMYFUNCTION("GOOGLETRANSLATE($A4597,""en"",""zh-cn"")"),"扎林盖")</f>
        <v>扎林盖</v>
      </c>
      <c r="H4597" s="9" t="str">
        <f>IFERROR(__xludf.DUMMYFUNCTION("GOOGLETRANSLATE($A4597,""en"",""ja"")"),"ザリンゲイ")</f>
        <v>ザリンゲイ</v>
      </c>
      <c r="I4597" s="9" t="str">
        <f>IFERROR(__xludf.DUMMYFUNCTION("GOOGLETRANSLATE($A4597,""en"",""ko"")"),"잘린게이")</f>
        <v>잘린게이</v>
      </c>
      <c r="J4597" s="9" t="str">
        <f>IFERROR(__xludf.DUMMYFUNCTION("GOOGLETRANSLATE($A4597,""en"",""pt-BR"")"),"Zalingei")</f>
        <v>Zalingei</v>
      </c>
    </row>
    <row r="4598">
      <c r="A4598" s="9" t="str">
        <f>IFERROR(__xludf.DUMMYFUNCTION("""COMPUTED_VALUE"""),"An Nīl al Abyaḑ")</f>
        <v>An Nīl al Abyaḑ</v>
      </c>
      <c r="B4598" s="9" t="str">
        <f>IFERROR(__xludf.DUMMYFUNCTION("""COMPUTED_VALUE"""),"sd-nw")</f>
        <v>sd-nw</v>
      </c>
      <c r="C4598" s="9" t="str">
        <f>IFERROR(__xludf.DUMMYFUNCTION("GOOGLETRANSLATE($A4598,""en"",""de"")"),"An Nīl al Abyaḑ")</f>
        <v>An Nīl al Abyaḑ</v>
      </c>
      <c r="D4598" s="9" t="str">
        <f>IFERROR(__xludf.DUMMYFUNCTION("GOOGLETRANSLATE($A4598,""en"",""fr"")"),"An Nil al Abyad")</f>
        <v>An Nil al Abyad</v>
      </c>
      <c r="E4598" s="9" t="str">
        <f>IFERROR(__xludf.DUMMYFUNCTION("GOOGLETRANSLATE($A4598,""en"",""es"")"),"An Nīl al Abyaḑ")</f>
        <v>An Nīl al Abyaḑ</v>
      </c>
      <c r="F4598" s="9" t="str">
        <f>IFERROR(__xludf.DUMMYFUNCTION("GOOGLETRANSLATE($A4598,""en"",""it"")"),"An Nīl al Abyaḑ")</f>
        <v>An Nīl al Abyaḑ</v>
      </c>
      <c r="G4598" s="9" t="str">
        <f>IFERROR(__xludf.DUMMYFUNCTION("GOOGLETRANSLATE($A4598,""en"",""zh-cn"")"),"安尼尔阿比亚赫")</f>
        <v>安尼尔阿比亚赫</v>
      </c>
      <c r="H4598" s="9" t="str">
        <f>IFERROR(__xludf.DUMMYFUNCTION("GOOGLETRANSLATE($A4598,""en"",""ja"")"),"アン・ニール・アル・アブヤ")</f>
        <v>アン・ニール・アル・アブヤ</v>
      </c>
      <c r="I4598" s="9" t="str">
        <f>IFERROR(__xludf.DUMMYFUNCTION("GOOGLETRANSLATE($A4598,""en"",""ko"")"),"안 닐 알 아뱌(An Nīl al Abyaḑ)")</f>
        <v>안 닐 알 아뱌(An Nīl al Abyaḑ)</v>
      </c>
      <c r="J4598" s="9" t="str">
        <f>IFERROR(__xludf.DUMMYFUNCTION("GOOGLETRANSLATE($A4598,""en"",""pt-BR"")"),"An Nīl al Abyaḑ")</f>
        <v>An Nīl al Abyaḑ</v>
      </c>
    </row>
    <row r="4599">
      <c r="A4599" s="9" t="str">
        <f>IFERROR(__xludf.DUMMYFUNCTION("""COMPUTED_VALUE"""),"Shamāl Kurdufān")</f>
        <v>Shamāl Kurdufān</v>
      </c>
      <c r="B4599" s="9" t="str">
        <f>IFERROR(__xludf.DUMMYFUNCTION("""COMPUTED_VALUE"""),"sd-kn")</f>
        <v>sd-kn</v>
      </c>
      <c r="C4599" s="9" t="str">
        <f>IFERROR(__xludf.DUMMYFUNCTION("GOOGLETRANSLATE($A4599,""en"",""de"")"),"Shamāl Kurdufān")</f>
        <v>Shamāl Kurdufān</v>
      </c>
      <c r="D4599" s="9" t="str">
        <f>IFERROR(__xludf.DUMMYFUNCTION("GOOGLETRANSLATE($A4599,""en"",""fr"")"),"Shamal Kurdufan")</f>
        <v>Shamal Kurdufan</v>
      </c>
      <c r="E4599" s="9" t="str">
        <f>IFERROR(__xludf.DUMMYFUNCTION("GOOGLETRANSLATE($A4599,""en"",""es"")"),"Shamāl Kurdufān")</f>
        <v>Shamāl Kurdufān</v>
      </c>
      <c r="F4599" s="9" t="str">
        <f>IFERROR(__xludf.DUMMYFUNCTION("GOOGLETRANSLATE($A4599,""en"",""it"")"),"Shamal Kurdufan")</f>
        <v>Shamal Kurdufan</v>
      </c>
      <c r="G4599" s="9" t="str">
        <f>IFERROR(__xludf.DUMMYFUNCTION("GOOGLETRANSLATE($A4599,""en"",""zh-cn"")"),"沙玛尔·库杜凡")</f>
        <v>沙玛尔·库杜凡</v>
      </c>
      <c r="H4599" s="9" t="str">
        <f>IFERROR(__xludf.DUMMYFUNCTION("GOOGLETRANSLATE($A4599,""en"",""ja"")"),"シャマル・クルドゥファン")</f>
        <v>シャマル・クルドゥファン</v>
      </c>
      <c r="I4599" s="9" t="str">
        <f>IFERROR(__xludf.DUMMYFUNCTION("GOOGLETRANSLATE($A4599,""en"",""ko"")"),"샤말 쿠르두판")</f>
        <v>샤말 쿠르두판</v>
      </c>
      <c r="J4599" s="9" t="str">
        <f>IFERROR(__xludf.DUMMYFUNCTION("GOOGLETRANSLATE($A4599,""en"",""pt-BR"")"),"Shamal Kurdufan")</f>
        <v>Shamal Kurdufan</v>
      </c>
    </row>
    <row r="4600">
      <c r="A4600" s="9" t="str">
        <f>IFERROR(__xludf.DUMMYFUNCTION("""COMPUTED_VALUE"""),"Gharb Dārfūr")</f>
        <v>Gharb Dārfūr</v>
      </c>
      <c r="B4600" s="9" t="str">
        <f>IFERROR(__xludf.DUMMYFUNCTION("""COMPUTED_VALUE"""),"sd-dw")</f>
        <v>sd-dw</v>
      </c>
      <c r="C4600" s="9" t="str">
        <f>IFERROR(__xludf.DUMMYFUNCTION("GOOGLETRANSLATE($A4600,""en"",""de"")"),"Gharb Dārfur")</f>
        <v>Gharb Dārfur</v>
      </c>
      <c r="D4600" s="9" t="str">
        <f>IFERROR(__xludf.DUMMYFUNCTION("GOOGLETRANSLATE($A4600,""en"",""fr"")"),"Gharb Darfur")</f>
        <v>Gharb Darfur</v>
      </c>
      <c r="E4600" s="9" t="str">
        <f>IFERROR(__xludf.DUMMYFUNCTION("GOOGLETRANSLATE($A4600,""en"",""es"")"),"Gharb Darfur")</f>
        <v>Gharb Darfur</v>
      </c>
      <c r="F4600" s="9" t="str">
        <f>IFERROR(__xludf.DUMMYFUNCTION("GOOGLETRANSLATE($A4600,""en"",""it"")"),"Gharb Darfur")</f>
        <v>Gharb Darfur</v>
      </c>
      <c r="G4600" s="9" t="str">
        <f>IFERROR(__xludf.DUMMYFUNCTION("GOOGLETRANSLATE($A4600,""en"",""zh-cn"")"),"达尔富尔")</f>
        <v>达尔富尔</v>
      </c>
      <c r="H4600" s="9" t="str">
        <f>IFERROR(__xludf.DUMMYFUNCTION("GOOGLETRANSLATE($A4600,""en"",""ja"")"),"ガルブ・ダルフール")</f>
        <v>ガルブ・ダルフール</v>
      </c>
      <c r="I4600" s="9" t="str">
        <f>IFERROR(__xludf.DUMMYFUNCTION("GOOGLETRANSLATE($A4600,""en"",""ko"")"),"가르브 다르푸르")</f>
        <v>가르브 다르푸르</v>
      </c>
      <c r="J4600" s="9" t="str">
        <f>IFERROR(__xludf.DUMMYFUNCTION("GOOGLETRANSLATE($A4600,""en"",""pt-BR"")"),"Gharb Darfur")</f>
        <v>Gharb Darfur</v>
      </c>
    </row>
    <row r="4601">
      <c r="A4601" s="9" t="str">
        <f>IFERROR(__xludf.DUMMYFUNCTION("""COMPUTED_VALUE"""),"Sharq Dārfūr")</f>
        <v>Sharq Dārfūr</v>
      </c>
      <c r="B4601" s="9" t="str">
        <f>IFERROR(__xludf.DUMMYFUNCTION("""COMPUTED_VALUE"""),"sd-de")</f>
        <v>sd-de</v>
      </c>
      <c r="C4601" s="9" t="str">
        <f>IFERROR(__xludf.DUMMYFUNCTION("GOOGLETRANSLATE($A4601,""en"",""de"")"),"Sharq Dārfur")</f>
        <v>Sharq Dārfur</v>
      </c>
      <c r="D4601" s="9" t="str">
        <f>IFERROR(__xludf.DUMMYFUNCTION("GOOGLETRANSLATE($A4601,""en"",""fr"")"),"Sharq Darfur")</f>
        <v>Sharq Darfur</v>
      </c>
      <c r="E4601" s="9" t="str">
        <f>IFERROR(__xludf.DUMMYFUNCTION("GOOGLETRANSLATE($A4601,""en"",""es"")"),"Sharq Darfur")</f>
        <v>Sharq Darfur</v>
      </c>
      <c r="F4601" s="9" t="str">
        <f>IFERROR(__xludf.DUMMYFUNCTION("GOOGLETRANSLATE($A4601,""en"",""it"")"),"Sharq Darfur")</f>
        <v>Sharq Darfur</v>
      </c>
      <c r="G4601" s="9" t="str">
        <f>IFERROR(__xludf.DUMMYFUNCTION("GOOGLETRANSLATE($A4601,""en"",""zh-cn"")"),"沙克·达尔富尔")</f>
        <v>沙克·达尔富尔</v>
      </c>
      <c r="H4601" s="9" t="str">
        <f>IFERROR(__xludf.DUMMYFUNCTION("GOOGLETRANSLATE($A4601,""en"",""ja"")"),"シャルク・ダルフール")</f>
        <v>シャルク・ダルフール</v>
      </c>
      <c r="I4601" s="9" t="str">
        <f>IFERROR(__xludf.DUMMYFUNCTION("GOOGLETRANSLATE($A4601,""en"",""ko"")"),"샤르크 다르푸르")</f>
        <v>샤르크 다르푸르</v>
      </c>
      <c r="J4601" s="9" t="str">
        <f>IFERROR(__xludf.DUMMYFUNCTION("GOOGLETRANSLATE($A4601,""en"",""pt-BR"")"),"Sharq Darfur")</f>
        <v>Sharq Darfur</v>
      </c>
    </row>
    <row r="4602">
      <c r="A4602" s="9" t="str">
        <f>IFERROR(__xludf.DUMMYFUNCTION("""COMPUTED_VALUE"""),"An Nīl al Azraq")</f>
        <v>An Nīl al Azraq</v>
      </c>
      <c r="B4602" s="9" t="str">
        <f>IFERROR(__xludf.DUMMYFUNCTION("""COMPUTED_VALUE"""),"sd-nb")</f>
        <v>sd-nb</v>
      </c>
      <c r="C4602" s="9" t="str">
        <f>IFERROR(__xludf.DUMMYFUNCTION("GOOGLETRANSLATE($A4602,""en"",""de"")"),"Ein Nīl al Azraq")</f>
        <v>Ein Nīl al Azraq</v>
      </c>
      <c r="D4602" s="9" t="str">
        <f>IFERROR(__xludf.DUMMYFUNCTION("GOOGLETRANSLATE($A4602,""en"",""fr"")"),"An Nil al Azraq")</f>
        <v>An Nil al Azraq</v>
      </c>
      <c r="E4602" s="9" t="str">
        <f>IFERROR(__xludf.DUMMYFUNCTION("GOOGLETRANSLATE($A4602,""en"",""es"")"),"An Nīl al Azraq")</f>
        <v>An Nīl al Azraq</v>
      </c>
      <c r="F4602" s="9" t="str">
        <f>IFERROR(__xludf.DUMMYFUNCTION("GOOGLETRANSLATE($A4602,""en"",""it"")"),"An Nīl al Azraq")</f>
        <v>An Nīl al Azraq</v>
      </c>
      <c r="G4602" s="9" t="str">
        <f>IFERROR(__xludf.DUMMYFUNCTION("GOOGLETRANSLATE($A4602,""en"",""zh-cn"")"),"安·尼尔·阿兹拉克")</f>
        <v>安·尼尔·阿兹拉克</v>
      </c>
      <c r="H4602" s="9" t="str">
        <f>IFERROR(__xludf.DUMMYFUNCTION("GOOGLETRANSLATE($A4602,""en"",""ja"")"),"アン・ニール・アル・アズラク")</f>
        <v>アン・ニール・アル・アズラク</v>
      </c>
      <c r="I4602" s="9" t="str">
        <f>IFERROR(__xludf.DUMMYFUNCTION("GOOGLETRANSLATE($A4602,""en"",""ko"")"),"안 닐 알 아즈라크")</f>
        <v>안 닐 알 아즈라크</v>
      </c>
      <c r="J4602" s="9" t="str">
        <f>IFERROR(__xludf.DUMMYFUNCTION("GOOGLETRANSLATE($A4602,""en"",""pt-BR"")"),"An Nil al Azraq")</f>
        <v>An Nil al Azraq</v>
      </c>
    </row>
    <row r="4603">
      <c r="A4603" s="9" t="str">
        <f>IFERROR(__xludf.DUMMYFUNCTION("""COMPUTED_VALUE"""),"Janūb Dārfūr")</f>
        <v>Janūb Dārfūr</v>
      </c>
      <c r="B4603" s="9" t="str">
        <f>IFERROR(__xludf.DUMMYFUNCTION("""COMPUTED_VALUE"""),"sd-ds")</f>
        <v>sd-ds</v>
      </c>
      <c r="C4603" s="9" t="str">
        <f>IFERROR(__xludf.DUMMYFUNCTION("GOOGLETRANSLATE($A4603,""en"",""de"")"),"Janūb Dārfūr")</f>
        <v>Janūb Dārfūr</v>
      </c>
      <c r="D4603" s="9" t="str">
        <f>IFERROR(__xludf.DUMMYFUNCTION("GOOGLETRANSLATE($A4603,""en"",""fr"")"),"Janūb Darfur")</f>
        <v>Janūb Darfur</v>
      </c>
      <c r="E4603" s="9" t="str">
        <f>IFERROR(__xludf.DUMMYFUNCTION("GOOGLETRANSLATE($A4603,""en"",""es"")"),"Janūb Darfur")</f>
        <v>Janūb Darfur</v>
      </c>
      <c r="F4603" s="9" t="str">
        <f>IFERROR(__xludf.DUMMYFUNCTION("GOOGLETRANSLATE($A4603,""en"",""it"")"),"Janūb Dārfūr")</f>
        <v>Janūb Dārfūr</v>
      </c>
      <c r="G4603" s="9" t="str">
        <f>IFERROR(__xludf.DUMMYFUNCTION("GOOGLETRANSLATE($A4603,""en"",""zh-cn"")"),"贾努布·达尔富尔")</f>
        <v>贾努布·达尔富尔</v>
      </c>
      <c r="H4603" s="9" t="str">
        <f>IFERROR(__xludf.DUMMYFUNCTION("GOOGLETRANSLATE($A4603,""en"",""ja"")"),"ジャヌーブ・ダルフール")</f>
        <v>ジャヌーブ・ダルフール</v>
      </c>
      <c r="I4603" s="9" t="str">
        <f>IFERROR(__xludf.DUMMYFUNCTION("GOOGLETRANSLATE($A4603,""en"",""ko"")"),"자눕 다르푸르")</f>
        <v>자눕 다르푸르</v>
      </c>
      <c r="J4603" s="9" t="str">
        <f>IFERROR(__xludf.DUMMYFUNCTION("GOOGLETRANSLATE($A4603,""en"",""pt-BR"")"),"Janūb Darfur")</f>
        <v>Janūb Darfur</v>
      </c>
    </row>
    <row r="4604">
      <c r="A4604" s="9" t="str">
        <f>IFERROR(__xludf.DUMMYFUNCTION("""COMPUTED_VALUE"""),"Al Jazīrah")</f>
        <v>Al Jazīrah</v>
      </c>
      <c r="B4604" s="9" t="str">
        <f>IFERROR(__xludf.DUMMYFUNCTION("""COMPUTED_VALUE"""),"sd-gz")</f>
        <v>sd-gz</v>
      </c>
      <c r="C4604" s="9" t="str">
        <f>IFERROR(__xludf.DUMMYFUNCTION("GOOGLETRANSLATE($A4604,""en"",""de"")"),"Al Jazīrah")</f>
        <v>Al Jazīrah</v>
      </c>
      <c r="D4604" s="9" t="str">
        <f>IFERROR(__xludf.DUMMYFUNCTION("GOOGLETRANSLATE($A4604,""en"",""fr"")"),"Al Jazirah")</f>
        <v>Al Jazirah</v>
      </c>
      <c r="E4604" s="9" t="str">
        <f>IFERROR(__xludf.DUMMYFUNCTION("GOOGLETRANSLATE($A4604,""en"",""es"")"),"Al-Jazirah")</f>
        <v>Al-Jazirah</v>
      </c>
      <c r="F4604" s="9" t="str">
        <f>IFERROR(__xludf.DUMMYFUNCTION("GOOGLETRANSLATE($A4604,""en"",""it"")"),"Al Jazirah")</f>
        <v>Al Jazirah</v>
      </c>
      <c r="G4604" s="9" t="str">
        <f>IFERROR(__xludf.DUMMYFUNCTION("GOOGLETRANSLATE($A4604,""en"",""zh-cn"")"),"阿尔贾兹拉")</f>
        <v>阿尔贾兹拉</v>
      </c>
      <c r="H4604" s="9" t="str">
        <f>IFERROR(__xludf.DUMMYFUNCTION("GOOGLETRANSLATE($A4604,""en"",""ja"")"),"アル ジャジーラ")</f>
        <v>アル ジャジーラ</v>
      </c>
      <c r="I4604" s="9" t="str">
        <f>IFERROR(__xludf.DUMMYFUNCTION("GOOGLETRANSLATE($A4604,""en"",""ko"")"),"알자지라")</f>
        <v>알자지라</v>
      </c>
      <c r="J4604" s="9" t="str">
        <f>IFERROR(__xludf.DUMMYFUNCTION("GOOGLETRANSLATE($A4604,""en"",""pt-BR"")"),"Al Jazirah")</f>
        <v>Al Jazirah</v>
      </c>
    </row>
    <row r="4605">
      <c r="A4605" s="9" t="str">
        <f>IFERROR(__xludf.DUMMYFUNCTION("""COMPUTED_VALUE"""),"Sinnār")</f>
        <v>Sinnār</v>
      </c>
      <c r="B4605" s="9" t="str">
        <f>IFERROR(__xludf.DUMMYFUNCTION("""COMPUTED_VALUE"""),"sd-si")</f>
        <v>sd-si</v>
      </c>
      <c r="C4605" s="9" t="str">
        <f>IFERROR(__xludf.DUMMYFUNCTION("GOOGLETRANSLATE($A4605,""en"",""de"")"),"Sinnār")</f>
        <v>Sinnār</v>
      </c>
      <c r="D4605" s="9" t="str">
        <f>IFERROR(__xludf.DUMMYFUNCTION("GOOGLETRANSLATE($A4605,""en"",""fr"")"),"Sinnar")</f>
        <v>Sinnar</v>
      </c>
      <c r="E4605" s="9" t="str">
        <f>IFERROR(__xludf.DUMMYFUNCTION("GOOGLETRANSLATE($A4605,""en"",""es"")"),"Sinnar")</f>
        <v>Sinnar</v>
      </c>
      <c r="F4605" s="9" t="str">
        <f>IFERROR(__xludf.DUMMYFUNCTION("GOOGLETRANSLATE($A4605,""en"",""it"")"),"Sinnar")</f>
        <v>Sinnar</v>
      </c>
      <c r="G4605" s="9" t="str">
        <f>IFERROR(__xludf.DUMMYFUNCTION("GOOGLETRANSLATE($A4605,""en"",""zh-cn"")"),"辛纳尔")</f>
        <v>辛纳尔</v>
      </c>
      <c r="H4605" s="9" t="str">
        <f>IFERROR(__xludf.DUMMYFUNCTION("GOOGLETRANSLATE($A4605,""en"",""ja"")"),"シンナー")</f>
        <v>シンナー</v>
      </c>
      <c r="I4605" s="9" t="str">
        <f>IFERROR(__xludf.DUMMYFUNCTION("GOOGLETRANSLATE($A4605,""en"",""ko"")"),"신나르")</f>
        <v>신나르</v>
      </c>
      <c r="J4605" s="9" t="str">
        <f>IFERROR(__xludf.DUMMYFUNCTION("GOOGLETRANSLATE($A4605,""en"",""pt-BR"")"),"Sinnar")</f>
        <v>Sinnar</v>
      </c>
    </row>
    <row r="4606">
      <c r="A4606" s="9" t="str">
        <f>IFERROR(__xludf.DUMMYFUNCTION("""COMPUTED_VALUE"""),"Shamāl Dārfūr")</f>
        <v>Shamāl Dārfūr</v>
      </c>
      <c r="B4606" s="9" t="str">
        <f>IFERROR(__xludf.DUMMYFUNCTION("""COMPUTED_VALUE"""),"sd-dn")</f>
        <v>sd-dn</v>
      </c>
      <c r="C4606" s="9" t="str">
        <f>IFERROR(__xludf.DUMMYFUNCTION("GOOGLETRANSLATE($A4606,""en"",""de"")"),"Shamāl Dārfūr")</f>
        <v>Shamāl Dārfūr</v>
      </c>
      <c r="D4606" s="9" t="str">
        <f>IFERROR(__xludf.DUMMYFUNCTION("GOOGLETRANSLATE($A4606,""en"",""fr"")"),"Shamal Darfur")</f>
        <v>Shamal Darfur</v>
      </c>
      <c r="E4606" s="9" t="str">
        <f>IFERROR(__xludf.DUMMYFUNCTION("GOOGLETRANSLATE($A4606,""en"",""es"")"),"Shamāl Darfūr")</f>
        <v>Shamāl Darfūr</v>
      </c>
      <c r="F4606" s="9" t="str">
        <f>IFERROR(__xludf.DUMMYFUNCTION("GOOGLETRANSLATE($A4606,""en"",""it"")"),"Shamal Darfur")</f>
        <v>Shamal Darfur</v>
      </c>
      <c r="G4606" s="9" t="str">
        <f>IFERROR(__xludf.DUMMYFUNCTION("GOOGLETRANSLATE($A4606,""en"",""zh-cn"")"),"沙玛尔·达尔富尔")</f>
        <v>沙玛尔·达尔富尔</v>
      </c>
      <c r="H4606" s="9" t="str">
        <f>IFERROR(__xludf.DUMMYFUNCTION("GOOGLETRANSLATE($A4606,""en"",""ja"")"),"シャマル・ダルフール")</f>
        <v>シャマル・ダルフール</v>
      </c>
      <c r="I4606" s="9" t="str">
        <f>IFERROR(__xludf.DUMMYFUNCTION("GOOGLETRANSLATE($A4606,""en"",""ko"")"),"샤말 다르푸르")</f>
        <v>샤말 다르푸르</v>
      </c>
      <c r="J4606" s="9" t="str">
        <f>IFERROR(__xludf.DUMMYFUNCTION("GOOGLETRANSLATE($A4606,""en"",""pt-BR"")"),"Shamal Darfur")</f>
        <v>Shamal Darfur</v>
      </c>
    </row>
    <row r="4607">
      <c r="A4607" s="9" t="str">
        <f>IFERROR(__xludf.DUMMYFUNCTION("""COMPUTED_VALUE"""),"Al Baḩr al Aḩmar (SD)")</f>
        <v>Al Baḩr al Aḩmar (SD)</v>
      </c>
      <c r="B4607" s="9" t="str">
        <f>IFERROR(__xludf.DUMMYFUNCTION("""COMPUTED_VALUE"""),"sd-rs")</f>
        <v>sd-rs</v>
      </c>
      <c r="C4607" s="9" t="str">
        <f>IFERROR(__xludf.DUMMYFUNCTION("GOOGLETRANSLATE($A4607,""en"",""de"")"),"Al Baḩr al Aḩmar (SD)")</f>
        <v>Al Baḩr al Aḩmar (SD)</v>
      </c>
      <c r="D4607" s="9" t="str">
        <f>IFERROR(__xludf.DUMMYFUNCTION("GOOGLETRANSLATE($A4607,""en"",""fr"")"),"Al Baḩr al Aḩmar (SD)")</f>
        <v>Al Baḩr al Aḩmar (SD)</v>
      </c>
      <c r="E4607" s="9" t="str">
        <f>IFERROR(__xludf.DUMMYFUNCTION("GOOGLETRANSLATE($A4607,""en"",""es"")"),"Al Baḩr al Aḩmar (SD)")</f>
        <v>Al Baḩr al Aḩmar (SD)</v>
      </c>
      <c r="F4607" s="9" t="str">
        <f>IFERROR(__xludf.DUMMYFUNCTION("GOOGLETRANSLATE($A4607,""en"",""it"")"),"Al Baḩr al Aḩmar (SD)")</f>
        <v>Al Baḩr al Aḩmar (SD)</v>
      </c>
      <c r="G4607" s="9" t="str">
        <f>IFERROR(__xludf.DUMMYFUNCTION("GOOGLETRANSLATE($A4607,""en"",""zh-cn"")"),"巴哈尔阿马尔 (SD)")</f>
        <v>巴哈尔阿马尔 (SD)</v>
      </c>
      <c r="H4607" s="9" t="str">
        <f>IFERROR(__xludf.DUMMYFUNCTION("GOOGLETRANSLATE($A4607,""en"",""ja"")"),"アル・バハル・アル・アムマル (SD)")</f>
        <v>アル・バハル・アル・アムマル (SD)</v>
      </c>
      <c r="I4607" s="9" t="str">
        <f>IFERROR(__xludf.DUMMYFUNCTION("GOOGLETRANSLATE($A4607,""en"",""ko"")"),"알 바르 알 아마마르(SD)")</f>
        <v>알 바르 알 아마마르(SD)</v>
      </c>
      <c r="J4607" s="9" t="str">
        <f>IFERROR(__xludf.DUMMYFUNCTION("GOOGLETRANSLATE($A4607,""en"",""pt-BR"")"),"Al Bahr al Ahmar (SD)")</f>
        <v>Al Bahr al Ahmar (SD)</v>
      </c>
    </row>
    <row r="4608">
      <c r="A4608" s="9" t="str">
        <f>IFERROR(__xludf.DUMMYFUNCTION("""COMPUTED_VALUE"""),"Al Kharţūm")</f>
        <v>Al Kharţūm</v>
      </c>
      <c r="B4608" s="9" t="str">
        <f>IFERROR(__xludf.DUMMYFUNCTION("""COMPUTED_VALUE"""),"sd-kh")</f>
        <v>sd-kh</v>
      </c>
      <c r="C4608" s="9" t="str">
        <f>IFERROR(__xludf.DUMMYFUNCTION("GOOGLETRANSLATE($A4608,""en"",""de"")"),"Al Kharţūm")</f>
        <v>Al Kharţūm</v>
      </c>
      <c r="D4608" s="9" t="str">
        <f>IFERROR(__xludf.DUMMYFUNCTION("GOOGLETRANSLATE($A4608,""en"",""fr"")"),"Al Khartoum")</f>
        <v>Al Khartoum</v>
      </c>
      <c r="E4608" s="9" t="str">
        <f>IFERROR(__xludf.DUMMYFUNCTION("GOOGLETRANSLATE($A4608,""en"",""es"")"),"Al Kharţum")</f>
        <v>Al Kharţum</v>
      </c>
      <c r="F4608" s="9" t="str">
        <f>IFERROR(__xludf.DUMMYFUNCTION("GOOGLETRANSLATE($A4608,""en"",""it"")"),"Al Kharţūm")</f>
        <v>Al Kharţūm</v>
      </c>
      <c r="G4608" s="9" t="str">
        <f>IFERROR(__xludf.DUMMYFUNCTION("GOOGLETRANSLATE($A4608,""en"",""zh-cn"")"),"哈鲁姆")</f>
        <v>哈鲁姆</v>
      </c>
      <c r="H4608" s="9" t="str">
        <f>IFERROR(__xludf.DUMMYFUNCTION("GOOGLETRANSLATE($A4608,""en"",""ja"")"),"アル・ハルシュム")</f>
        <v>アル・ハルシュム</v>
      </c>
      <c r="I4608" s="9" t="str">
        <f>IFERROR(__xludf.DUMMYFUNCTION("GOOGLETRANSLATE($A4608,""en"",""ko"")"),"알 카르줌")</f>
        <v>알 카르줌</v>
      </c>
      <c r="J4608" s="9" t="str">
        <f>IFERROR(__xludf.DUMMYFUNCTION("GOOGLETRANSLATE($A4608,""en"",""pt-BR"")"),"Al Kharţum")</f>
        <v>Al Kharţum</v>
      </c>
    </row>
    <row r="4609">
      <c r="A4609" s="9" t="str">
        <f>IFERROR(__xludf.DUMMYFUNCTION("""COMPUTED_VALUE"""),"Janūb Kurdufān")</f>
        <v>Janūb Kurdufān</v>
      </c>
      <c r="B4609" s="9" t="str">
        <f>IFERROR(__xludf.DUMMYFUNCTION("""COMPUTED_VALUE"""),"sd-ks")</f>
        <v>sd-ks</v>
      </c>
      <c r="C4609" s="9" t="str">
        <f>IFERROR(__xludf.DUMMYFUNCTION("GOOGLETRANSLATE($A4609,""en"",""de"")"),"Janūb Kurdufān")</f>
        <v>Janūb Kurdufān</v>
      </c>
      <c r="D4609" s="9" t="str">
        <f>IFERROR(__xludf.DUMMYFUNCTION("GOOGLETRANSLATE($A4609,""en"",""fr"")"),"Janūb Kurdufan")</f>
        <v>Janūb Kurdufan</v>
      </c>
      <c r="E4609" s="9" t="str">
        <f>IFERROR(__xludf.DUMMYFUNCTION("GOOGLETRANSLATE($A4609,""en"",""es"")"),"Janūb Kurdufān")</f>
        <v>Janūb Kurdufān</v>
      </c>
      <c r="F4609" s="9" t="str">
        <f>IFERROR(__xludf.DUMMYFUNCTION("GOOGLETRANSLATE($A4609,""en"",""it"")"),"Janūb Kurdufān")</f>
        <v>Janūb Kurdufān</v>
      </c>
      <c r="G4609" s="9" t="str">
        <f>IFERROR(__xludf.DUMMYFUNCTION("GOOGLETRANSLATE($A4609,""en"",""zh-cn"")"),"贾努布·库杜凡")</f>
        <v>贾努布·库杜凡</v>
      </c>
      <c r="H4609" s="9" t="str">
        <f>IFERROR(__xludf.DUMMYFUNCTION("GOOGLETRANSLATE($A4609,""en"",""ja"")"),"ジャヌーブ・クルドゥファン")</f>
        <v>ジャヌーブ・クルドゥファン</v>
      </c>
      <c r="I4609" s="9" t="str">
        <f>IFERROR(__xludf.DUMMYFUNCTION("GOOGLETRANSLATE($A4609,""en"",""ko"")"),"자눕 쿠르두판")</f>
        <v>자눕 쿠르두판</v>
      </c>
      <c r="J4609" s="9" t="str">
        <f>IFERROR(__xludf.DUMMYFUNCTION("GOOGLETRANSLATE($A4609,""en"",""pt-BR"")"),"Janūb Kurdufan")</f>
        <v>Janūb Kurdufan</v>
      </c>
    </row>
    <row r="4610">
      <c r="A4610" s="9" t="str">
        <f>IFERROR(__xludf.DUMMYFUNCTION("""COMPUTED_VALUE"""),"Kassalā")</f>
        <v>Kassalā</v>
      </c>
      <c r="B4610" s="9" t="str">
        <f>IFERROR(__xludf.DUMMYFUNCTION("""COMPUTED_VALUE"""),"sd-ka")</f>
        <v>sd-ka</v>
      </c>
      <c r="C4610" s="9" t="str">
        <f>IFERROR(__xludf.DUMMYFUNCTION("GOOGLETRANSLATE($A4610,""en"",""de"")"),"Kassala")</f>
        <v>Kassala</v>
      </c>
      <c r="D4610" s="9" t="str">
        <f>IFERROR(__xludf.DUMMYFUNCTION("GOOGLETRANSLATE($A4610,""en"",""fr"")"),"Kassala")</f>
        <v>Kassala</v>
      </c>
      <c r="E4610" s="9" t="str">
        <f>IFERROR(__xludf.DUMMYFUNCTION("GOOGLETRANSLATE($A4610,""en"",""es"")"),"Kassalá")</f>
        <v>Kassalá</v>
      </c>
      <c r="F4610" s="9" t="str">
        <f>IFERROR(__xludf.DUMMYFUNCTION("GOOGLETRANSLATE($A4610,""en"",""it"")"),"Kassala")</f>
        <v>Kassala</v>
      </c>
      <c r="G4610" s="9" t="str">
        <f>IFERROR(__xludf.DUMMYFUNCTION("GOOGLETRANSLATE($A4610,""en"",""zh-cn"")"),"卡萨拉")</f>
        <v>卡萨拉</v>
      </c>
      <c r="H4610" s="9" t="str">
        <f>IFERROR(__xludf.DUMMYFUNCTION("GOOGLETRANSLATE($A4610,""en"",""ja"")"),"カサラ")</f>
        <v>カサラ</v>
      </c>
      <c r="I4610" s="9" t="str">
        <f>IFERROR(__xludf.DUMMYFUNCTION("GOOGLETRANSLATE($A4610,""en"",""ko"")"),"카살라")</f>
        <v>카살라</v>
      </c>
      <c r="J4610" s="9" t="str">
        <f>IFERROR(__xludf.DUMMYFUNCTION("GOOGLETRANSLATE($A4610,""en"",""pt-BR"")"),"Kassala")</f>
        <v>Kassala</v>
      </c>
    </row>
    <row r="4611">
      <c r="A4611" s="9" t="str">
        <f>IFERROR(__xludf.DUMMYFUNCTION("""COMPUTED_VALUE"""),"An Nīl")</f>
        <v>An Nīl</v>
      </c>
      <c r="B4611" s="9" t="str">
        <f>IFERROR(__xludf.DUMMYFUNCTION("""COMPUTED_VALUE"""),"sd-nr")</f>
        <v>sd-nr</v>
      </c>
      <c r="C4611" s="9" t="str">
        <f>IFERROR(__xludf.DUMMYFUNCTION("GOOGLETRANSLATE($A4611,""en"",""de"")"),"Ein Nīl")</f>
        <v>Ein Nīl</v>
      </c>
      <c r="D4611" s="9" t="str">
        <f>IFERROR(__xludf.DUMMYFUNCTION("GOOGLETRANSLATE($A4611,""en"",""fr"")"),"Un néant")</f>
        <v>Un néant</v>
      </c>
      <c r="E4611" s="9" t="str">
        <f>IFERROR(__xludf.DUMMYFUNCTION("GOOGLETRANSLATE($A4611,""en"",""es"")"),"An Nīl")</f>
        <v>An Nīl</v>
      </c>
      <c r="F4611" s="9" t="str">
        <f>IFERROR(__xludf.DUMMYFUNCTION("GOOGLETRANSLATE($A4611,""en"",""it"")"),"An Nil")</f>
        <v>An Nil</v>
      </c>
      <c r="G4611" s="9" t="str">
        <f>IFERROR(__xludf.DUMMYFUNCTION("GOOGLETRANSLATE($A4611,""en"",""zh-cn"")"),"安·尼尔")</f>
        <v>安·尼尔</v>
      </c>
      <c r="H4611" s="9" t="str">
        <f>IFERROR(__xludf.DUMMYFUNCTION("GOOGLETRANSLATE($A4611,""en"",""ja"")"),"アン・ニール")</f>
        <v>アン・ニール</v>
      </c>
      <c r="I4611" s="9" t="str">
        <f>IFERROR(__xludf.DUMMYFUNCTION("GOOGLETRANSLATE($A4611,""en"",""ko"")"),"안닐")</f>
        <v>안닐</v>
      </c>
      <c r="J4611" s="9" t="str">
        <f>IFERROR(__xludf.DUMMYFUNCTION("GOOGLETRANSLATE($A4611,""en"",""pt-BR"")"),"Um Nil")</f>
        <v>Um Nil</v>
      </c>
    </row>
    <row r="4612">
      <c r="A4612" s="9" t="str">
        <f>IFERROR(__xludf.DUMMYFUNCTION("""COMPUTED_VALUE"""),"Sipaliwini")</f>
        <v>Sipaliwini</v>
      </c>
      <c r="B4612" s="9" t="str">
        <f>IFERROR(__xludf.DUMMYFUNCTION("""COMPUTED_VALUE"""),"sr-si")</f>
        <v>sr-si</v>
      </c>
      <c r="C4612" s="9" t="str">
        <f>IFERROR(__xludf.DUMMYFUNCTION("GOOGLETRANSLATE($A4612,""en"",""de"")"),"Sipaliwini")</f>
        <v>Sipaliwini</v>
      </c>
      <c r="D4612" s="9" t="str">
        <f>IFERROR(__xludf.DUMMYFUNCTION("GOOGLETRANSLATE($A4612,""en"",""fr"")"),"Sipaliwini")</f>
        <v>Sipaliwini</v>
      </c>
      <c r="E4612" s="9" t="str">
        <f>IFERROR(__xludf.DUMMYFUNCTION("GOOGLETRANSLATE($A4612,""en"",""es"")"),"Sipaliwini")</f>
        <v>Sipaliwini</v>
      </c>
      <c r="F4612" s="9" t="str">
        <f>IFERROR(__xludf.DUMMYFUNCTION("GOOGLETRANSLATE($A4612,""en"",""it"")"),"Sipaliwini")</f>
        <v>Sipaliwini</v>
      </c>
      <c r="G4612" s="9" t="str">
        <f>IFERROR(__xludf.DUMMYFUNCTION("GOOGLETRANSLATE($A4612,""en"",""zh-cn"")"),"西帕利维尼")</f>
        <v>西帕利维尼</v>
      </c>
      <c r="H4612" s="9" t="str">
        <f>IFERROR(__xludf.DUMMYFUNCTION("GOOGLETRANSLATE($A4612,""en"",""ja"")"),"シパリウィニ")</f>
        <v>シパリウィニ</v>
      </c>
      <c r="I4612" s="9" t="str">
        <f>IFERROR(__xludf.DUMMYFUNCTION("GOOGLETRANSLATE($A4612,""en"",""ko"")"),"시팔리위니")</f>
        <v>시팔리위니</v>
      </c>
      <c r="J4612" s="9" t="str">
        <f>IFERROR(__xludf.DUMMYFUNCTION("GOOGLETRANSLATE($A4612,""en"",""pt-BR"")"),"Sipaliwini")</f>
        <v>Sipaliwini</v>
      </c>
    </row>
    <row r="4613">
      <c r="A4613" s="9" t="str">
        <f>IFERROR(__xludf.DUMMYFUNCTION("""COMPUTED_VALUE"""),"Brokopondo")</f>
        <v>Brokopondo</v>
      </c>
      <c r="B4613" s="9" t="str">
        <f>IFERROR(__xludf.DUMMYFUNCTION("""COMPUTED_VALUE"""),"sr-br")</f>
        <v>sr-br</v>
      </c>
      <c r="C4613" s="9" t="str">
        <f>IFERROR(__xludf.DUMMYFUNCTION("GOOGLETRANSLATE($A4613,""en"",""de"")"),"Brokopondo")</f>
        <v>Brokopondo</v>
      </c>
      <c r="D4613" s="9" t="str">
        <f>IFERROR(__xludf.DUMMYFUNCTION("GOOGLETRANSLATE($A4613,""en"",""fr"")"),"Brokopondo")</f>
        <v>Brokopondo</v>
      </c>
      <c r="E4613" s="9" t="str">
        <f>IFERROR(__xludf.DUMMYFUNCTION("GOOGLETRANSLATE($A4613,""en"",""es"")"),"Brokopondo")</f>
        <v>Brokopondo</v>
      </c>
      <c r="F4613" s="9" t="str">
        <f>IFERROR(__xludf.DUMMYFUNCTION("GOOGLETRANSLATE($A4613,""en"",""it"")"),"Brokopondo")</f>
        <v>Brokopondo</v>
      </c>
      <c r="G4613" s="9" t="str">
        <f>IFERROR(__xludf.DUMMYFUNCTION("GOOGLETRANSLATE($A4613,""en"",""zh-cn"")"),"布罗科蓬多")</f>
        <v>布罗科蓬多</v>
      </c>
      <c r="H4613" s="9" t="str">
        <f>IFERROR(__xludf.DUMMYFUNCTION("GOOGLETRANSLATE($A4613,""en"",""ja"")"),"ブロコポンド")</f>
        <v>ブロコポンド</v>
      </c>
      <c r="I4613" s="9" t="str">
        <f>IFERROR(__xludf.DUMMYFUNCTION("GOOGLETRANSLATE($A4613,""en"",""ko"")"),"브로코폰도")</f>
        <v>브로코폰도</v>
      </c>
      <c r="J4613" s="9" t="str">
        <f>IFERROR(__xludf.DUMMYFUNCTION("GOOGLETRANSLATE($A4613,""en"",""pt-BR"")"),"Brokopondo")</f>
        <v>Brokopondo</v>
      </c>
    </row>
    <row r="4614">
      <c r="A4614" s="9" t="str">
        <f>IFERROR(__xludf.DUMMYFUNCTION("""COMPUTED_VALUE"""),"Coronie")</f>
        <v>Coronie</v>
      </c>
      <c r="B4614" s="9" t="str">
        <f>IFERROR(__xludf.DUMMYFUNCTION("""COMPUTED_VALUE"""),"sr-cr")</f>
        <v>sr-cr</v>
      </c>
      <c r="C4614" s="9" t="str">
        <f>IFERROR(__xludf.DUMMYFUNCTION("GOOGLETRANSLATE($A4614,""en"",""de"")"),"Coronie")</f>
        <v>Coronie</v>
      </c>
      <c r="D4614" s="9" t="str">
        <f>IFERROR(__xludf.DUMMYFUNCTION("GOOGLETRANSLATE($A4614,""en"",""fr"")"),"Coronie")</f>
        <v>Coronie</v>
      </c>
      <c r="E4614" s="9" t="str">
        <f>IFERROR(__xludf.DUMMYFUNCTION("GOOGLETRANSLATE($A4614,""en"",""es"")"),"corona")</f>
        <v>corona</v>
      </c>
      <c r="F4614" s="9" t="str">
        <f>IFERROR(__xludf.DUMMYFUNCTION("GOOGLETRANSLATE($A4614,""en"",""it"")"),"Coronie")</f>
        <v>Coronie</v>
      </c>
      <c r="G4614" s="9" t="str">
        <f>IFERROR(__xludf.DUMMYFUNCTION("GOOGLETRANSLATE($A4614,""en"",""zh-cn"")"),"科罗妮")</f>
        <v>科罗妮</v>
      </c>
      <c r="H4614" s="9" t="str">
        <f>IFERROR(__xludf.DUMMYFUNCTION("GOOGLETRANSLATE($A4614,""en"",""ja"")"),"コロニー")</f>
        <v>コロニー</v>
      </c>
      <c r="I4614" s="9" t="str">
        <f>IFERROR(__xludf.DUMMYFUNCTION("GOOGLETRANSLATE($A4614,""en"",""ko"")"),"코로니")</f>
        <v>코로니</v>
      </c>
      <c r="J4614" s="9" t="str">
        <f>IFERROR(__xludf.DUMMYFUNCTION("GOOGLETRANSLATE($A4614,""en"",""pt-BR"")"),"Coroa")</f>
        <v>Coroa</v>
      </c>
    </row>
    <row r="4615">
      <c r="A4615" s="9" t="str">
        <f>IFERROR(__xludf.DUMMYFUNCTION("""COMPUTED_VALUE"""),"Commewijne")</f>
        <v>Commewijne</v>
      </c>
      <c r="B4615" s="9" t="str">
        <f>IFERROR(__xludf.DUMMYFUNCTION("""COMPUTED_VALUE"""),"sr-cm")</f>
        <v>sr-cm</v>
      </c>
      <c r="C4615" s="9" t="str">
        <f>IFERROR(__xludf.DUMMYFUNCTION("GOOGLETRANSLATE($A4615,""en"",""de"")"),"Commewijne")</f>
        <v>Commewijne</v>
      </c>
      <c r="D4615" s="9" t="str">
        <f>IFERROR(__xludf.DUMMYFUNCTION("GOOGLETRANSLATE($A4615,""en"",""fr"")"),"Commewijne")</f>
        <v>Commewijne</v>
      </c>
      <c r="E4615" s="9" t="str">
        <f>IFERROR(__xludf.DUMMYFUNCTION("GOOGLETRANSLATE($A4615,""en"",""es"")"),"Commewijne")</f>
        <v>Commewijne</v>
      </c>
      <c r="F4615" s="9" t="str">
        <f>IFERROR(__xludf.DUMMYFUNCTION("GOOGLETRANSLATE($A4615,""en"",""it"")"),"Commewijne")</f>
        <v>Commewijne</v>
      </c>
      <c r="G4615" s="9" t="str">
        <f>IFERROR(__xludf.DUMMYFUNCTION("GOOGLETRANSLATE($A4615,""en"",""zh-cn"")"),"科梅韦内")</f>
        <v>科梅韦内</v>
      </c>
      <c r="H4615" s="9" t="str">
        <f>IFERROR(__xludf.DUMMYFUNCTION("GOOGLETRANSLATE($A4615,""en"",""ja"")"),"コムワインネ")</f>
        <v>コムワインネ</v>
      </c>
      <c r="I4615" s="9" t="str">
        <f>IFERROR(__xludf.DUMMYFUNCTION("GOOGLETRANSLATE($A4615,""en"",""ko"")"),"코메베인")</f>
        <v>코메베인</v>
      </c>
      <c r="J4615" s="9" t="str">
        <f>IFERROR(__xludf.DUMMYFUNCTION("GOOGLETRANSLATE($A4615,""en"",""pt-BR"")"),"Commewijne")</f>
        <v>Commewijne</v>
      </c>
    </row>
    <row r="4616">
      <c r="A4616" s="9" t="str">
        <f>IFERROR(__xludf.DUMMYFUNCTION("""COMPUTED_VALUE"""),"Wanica")</f>
        <v>Wanica</v>
      </c>
      <c r="B4616" s="9" t="str">
        <f>IFERROR(__xludf.DUMMYFUNCTION("""COMPUTED_VALUE"""),"sr-wa")</f>
        <v>sr-wa</v>
      </c>
      <c r="C4616" s="9" t="str">
        <f>IFERROR(__xludf.DUMMYFUNCTION("GOOGLETRANSLATE($A4616,""en"",""de"")"),"Wanica")</f>
        <v>Wanica</v>
      </c>
      <c r="D4616" s="9" t="str">
        <f>IFERROR(__xludf.DUMMYFUNCTION("GOOGLETRANSLATE($A4616,""en"",""fr"")"),"Wanica")</f>
        <v>Wanica</v>
      </c>
      <c r="E4616" s="9" t="str">
        <f>IFERROR(__xludf.DUMMYFUNCTION("GOOGLETRANSLATE($A4616,""en"",""es"")"),"Wánica")</f>
        <v>Wánica</v>
      </c>
      <c r="F4616" s="9" t="str">
        <f>IFERROR(__xludf.DUMMYFUNCTION("GOOGLETRANSLATE($A4616,""en"",""it"")"),"Wanica")</f>
        <v>Wanica</v>
      </c>
      <c r="G4616" s="9" t="str">
        <f>IFERROR(__xludf.DUMMYFUNCTION("GOOGLETRANSLATE($A4616,""en"",""zh-cn"")"),"瓦尼卡")</f>
        <v>瓦尼卡</v>
      </c>
      <c r="H4616" s="9" t="str">
        <f>IFERROR(__xludf.DUMMYFUNCTION("GOOGLETRANSLATE($A4616,""en"",""ja"")"),"ワニカ")</f>
        <v>ワニカ</v>
      </c>
      <c r="I4616" s="9" t="str">
        <f>IFERROR(__xludf.DUMMYFUNCTION("GOOGLETRANSLATE($A4616,""en"",""ko"")"),"와니카")</f>
        <v>와니카</v>
      </c>
      <c r="J4616" s="9" t="str">
        <f>IFERROR(__xludf.DUMMYFUNCTION("GOOGLETRANSLATE($A4616,""en"",""pt-BR"")"),"Wanica")</f>
        <v>Wanica</v>
      </c>
    </row>
    <row r="4617">
      <c r="A4617" s="9" t="str">
        <f>IFERROR(__xludf.DUMMYFUNCTION("""COMPUTED_VALUE"""),"Paramaribo")</f>
        <v>Paramaribo</v>
      </c>
      <c r="B4617" s="9" t="str">
        <f>IFERROR(__xludf.DUMMYFUNCTION("""COMPUTED_VALUE"""),"sr-pm")</f>
        <v>sr-pm</v>
      </c>
      <c r="C4617" s="9" t="str">
        <f>IFERROR(__xludf.DUMMYFUNCTION("GOOGLETRANSLATE($A4617,""en"",""de"")"),"Paramaribo")</f>
        <v>Paramaribo</v>
      </c>
      <c r="D4617" s="9" t="str">
        <f>IFERROR(__xludf.DUMMYFUNCTION("GOOGLETRANSLATE($A4617,""en"",""fr"")"),"Paramaribo")</f>
        <v>Paramaribo</v>
      </c>
      <c r="E4617" s="9" t="str">
        <f>IFERROR(__xludf.DUMMYFUNCTION("GOOGLETRANSLATE($A4617,""en"",""es"")"),"Paramaribo")</f>
        <v>Paramaribo</v>
      </c>
      <c r="F4617" s="9" t="str">
        <f>IFERROR(__xludf.DUMMYFUNCTION("GOOGLETRANSLATE($A4617,""en"",""it"")"),"Paramaribo")</f>
        <v>Paramaribo</v>
      </c>
      <c r="G4617" s="9" t="str">
        <f>IFERROR(__xludf.DUMMYFUNCTION("GOOGLETRANSLATE($A4617,""en"",""zh-cn"")"),"帕拉马里博")</f>
        <v>帕拉马里博</v>
      </c>
      <c r="H4617" s="9" t="str">
        <f>IFERROR(__xludf.DUMMYFUNCTION("GOOGLETRANSLATE($A4617,""en"",""ja"")"),"パラマリボ")</f>
        <v>パラマリボ</v>
      </c>
      <c r="I4617" s="9" t="str">
        <f>IFERROR(__xludf.DUMMYFUNCTION("GOOGLETRANSLATE($A4617,""en"",""ko"")"),"파라마리보")</f>
        <v>파라마리보</v>
      </c>
      <c r="J4617" s="9" t="str">
        <f>IFERROR(__xludf.DUMMYFUNCTION("GOOGLETRANSLATE($A4617,""en"",""pt-BR"")"),"Paramaribo")</f>
        <v>Paramaribo</v>
      </c>
    </row>
    <row r="4618">
      <c r="A4618" s="9" t="str">
        <f>IFERROR(__xludf.DUMMYFUNCTION("""COMPUTED_VALUE"""),"Marowijne")</f>
        <v>Marowijne</v>
      </c>
      <c r="B4618" s="9" t="str">
        <f>IFERROR(__xludf.DUMMYFUNCTION("""COMPUTED_VALUE"""),"sr-ma")</f>
        <v>sr-ma</v>
      </c>
      <c r="C4618" s="9" t="str">
        <f>IFERROR(__xludf.DUMMYFUNCTION("GOOGLETRANSLATE($A4618,""en"",""de"")"),"Marowijne")</f>
        <v>Marowijne</v>
      </c>
      <c r="D4618" s="9" t="str">
        <f>IFERROR(__xludf.DUMMYFUNCTION("GOOGLETRANSLATE($A4618,""en"",""fr"")"),"Marowijne")</f>
        <v>Marowijne</v>
      </c>
      <c r="E4618" s="9" t="str">
        <f>IFERROR(__xludf.DUMMYFUNCTION("GOOGLETRANSLATE($A4618,""en"",""es"")"),"Marowijne")</f>
        <v>Marowijne</v>
      </c>
      <c r="F4618" s="9" t="str">
        <f>IFERROR(__xludf.DUMMYFUNCTION("GOOGLETRANSLATE($A4618,""en"",""it"")"),"Marowijne")</f>
        <v>Marowijne</v>
      </c>
      <c r="G4618" s="9" t="str">
        <f>IFERROR(__xludf.DUMMYFUNCTION("GOOGLETRANSLATE($A4618,""en"",""zh-cn"")"),"马罗韦内")</f>
        <v>马罗韦内</v>
      </c>
      <c r="H4618" s="9" t="str">
        <f>IFERROR(__xludf.DUMMYFUNCTION("GOOGLETRANSLATE($A4618,""en"",""ja"")"),"マロワイン")</f>
        <v>マロワイン</v>
      </c>
      <c r="I4618" s="9" t="str">
        <f>IFERROR(__xludf.DUMMYFUNCTION("GOOGLETRANSLATE($A4618,""en"",""ko"")"),"마로윈")</f>
        <v>마로윈</v>
      </c>
      <c r="J4618" s="9" t="str">
        <f>IFERROR(__xludf.DUMMYFUNCTION("GOOGLETRANSLATE($A4618,""en"",""pt-BR"")"),"Marowijne")</f>
        <v>Marowijne</v>
      </c>
    </row>
    <row r="4619">
      <c r="A4619" s="9" t="str">
        <f>IFERROR(__xludf.DUMMYFUNCTION("""COMPUTED_VALUE"""),"Para (State)")</f>
        <v>Para (State)</v>
      </c>
      <c r="B4619" s="9" t="str">
        <f>IFERROR(__xludf.DUMMYFUNCTION("""COMPUTED_VALUE"""),"sr-pr")</f>
        <v>sr-pr</v>
      </c>
      <c r="C4619" s="9" t="str">
        <f>IFERROR(__xludf.DUMMYFUNCTION("GOOGLETRANSLATE($A4619,""en"",""de"")"),"Para (Staat)")</f>
        <v>Para (Staat)</v>
      </c>
      <c r="D4619" s="9" t="str">
        <f>IFERROR(__xludf.DUMMYFUNCTION("GOOGLETRANSLATE($A4619,""en"",""fr"")"),"Para (État)")</f>
        <v>Para (État)</v>
      </c>
      <c r="E4619" s="9" t="str">
        <f>IFERROR(__xludf.DUMMYFUNCTION("GOOGLETRANSLATE($A4619,""en"",""es"")"),"Párrafo (Estado)")</f>
        <v>Párrafo (Estado)</v>
      </c>
      <c r="F4619" s="9" t="str">
        <f>IFERROR(__xludf.DUMMYFUNCTION("GOOGLETRANSLATE($A4619,""en"",""it"")"),"Para (Stato)")</f>
        <v>Para (Stato)</v>
      </c>
      <c r="G4619" s="9" t="str">
        <f>IFERROR(__xludf.DUMMYFUNCTION("GOOGLETRANSLATE($A4619,""en"",""zh-cn"")"),"帕拉（州）")</f>
        <v>帕拉（州）</v>
      </c>
      <c r="H4619" s="9" t="str">
        <f>IFERROR(__xludf.DUMMYFUNCTION("GOOGLETRANSLATE($A4619,""en"",""ja"")"),"パラ (州)")</f>
        <v>パラ (州)</v>
      </c>
      <c r="I4619" s="9" t="str">
        <f>IFERROR(__xludf.DUMMYFUNCTION("GOOGLETRANSLATE($A4619,""en"",""ko"")"),"파라(주)")</f>
        <v>파라(주)</v>
      </c>
      <c r="J4619" s="9" t="str">
        <f>IFERROR(__xludf.DUMMYFUNCTION("GOOGLETRANSLATE($A4619,""en"",""pt-BR"")"),"Pará (Estado)")</f>
        <v>Pará (Estado)</v>
      </c>
    </row>
    <row r="4620">
      <c r="A4620" s="9" t="str">
        <f>IFERROR(__xludf.DUMMYFUNCTION("""COMPUTED_VALUE"""),"Nickerie")</f>
        <v>Nickerie</v>
      </c>
      <c r="B4620" s="9" t="str">
        <f>IFERROR(__xludf.DUMMYFUNCTION("""COMPUTED_VALUE"""),"sr-ni")</f>
        <v>sr-ni</v>
      </c>
      <c r="C4620" s="9" t="str">
        <f>IFERROR(__xludf.DUMMYFUNCTION("GOOGLETRANSLATE($A4620,""en"",""de"")"),"Nickerie")</f>
        <v>Nickerie</v>
      </c>
      <c r="D4620" s="9" t="str">
        <f>IFERROR(__xludf.DUMMYFUNCTION("GOOGLETRANSLATE($A4620,""en"",""fr"")"),"Nickerie")</f>
        <v>Nickerie</v>
      </c>
      <c r="E4620" s="9" t="str">
        <f>IFERROR(__xludf.DUMMYFUNCTION("GOOGLETRANSLATE($A4620,""en"",""es"")"),"Nickerie")</f>
        <v>Nickerie</v>
      </c>
      <c r="F4620" s="9" t="str">
        <f>IFERROR(__xludf.DUMMYFUNCTION("GOOGLETRANSLATE($A4620,""en"",""it"")"),"Nickerie")</f>
        <v>Nickerie</v>
      </c>
      <c r="G4620" s="9" t="str">
        <f>IFERROR(__xludf.DUMMYFUNCTION("GOOGLETRANSLATE($A4620,""en"",""zh-cn"")"),"尼克里")</f>
        <v>尼克里</v>
      </c>
      <c r="H4620" s="9" t="str">
        <f>IFERROR(__xludf.DUMMYFUNCTION("GOOGLETRANSLATE($A4620,""en"",""ja"")"),"ニッケリー")</f>
        <v>ニッケリー</v>
      </c>
      <c r="I4620" s="9" t="str">
        <f>IFERROR(__xludf.DUMMYFUNCTION("GOOGLETRANSLATE($A4620,""en"",""ko"")"),"니케리")</f>
        <v>니케리</v>
      </c>
      <c r="J4620" s="9" t="str">
        <f>IFERROR(__xludf.DUMMYFUNCTION("GOOGLETRANSLATE($A4620,""en"",""pt-BR"")"),"Nickerie")</f>
        <v>Nickerie</v>
      </c>
    </row>
    <row r="4621">
      <c r="A4621" s="9" t="str">
        <f>IFERROR(__xludf.DUMMYFUNCTION("""COMPUTED_VALUE"""),"Saramacca")</f>
        <v>Saramacca</v>
      </c>
      <c r="B4621" s="9" t="str">
        <f>IFERROR(__xludf.DUMMYFUNCTION("""COMPUTED_VALUE"""),"sr-sa")</f>
        <v>sr-sa</v>
      </c>
      <c r="C4621" s="9" t="str">
        <f>IFERROR(__xludf.DUMMYFUNCTION("GOOGLETRANSLATE($A4621,""en"",""de"")"),"Saramacca")</f>
        <v>Saramacca</v>
      </c>
      <c r="D4621" s="9" t="str">
        <f>IFERROR(__xludf.DUMMYFUNCTION("GOOGLETRANSLATE($A4621,""en"",""fr"")"),"Saramacca")</f>
        <v>Saramacca</v>
      </c>
      <c r="E4621" s="9" t="str">
        <f>IFERROR(__xludf.DUMMYFUNCTION("GOOGLETRANSLATE($A4621,""en"",""es"")"),"saramaca")</f>
        <v>saramaca</v>
      </c>
      <c r="F4621" s="9" t="str">
        <f>IFERROR(__xludf.DUMMYFUNCTION("GOOGLETRANSLATE($A4621,""en"",""it"")"),"Saramacca")</f>
        <v>Saramacca</v>
      </c>
      <c r="G4621" s="9" t="str">
        <f>IFERROR(__xludf.DUMMYFUNCTION("GOOGLETRANSLATE($A4621,""en"",""zh-cn"")"),"萨拉马卡")</f>
        <v>萨拉马卡</v>
      </c>
      <c r="H4621" s="9" t="str">
        <f>IFERROR(__xludf.DUMMYFUNCTION("GOOGLETRANSLATE($A4621,""en"",""ja"")"),"サラマッカ")</f>
        <v>サラマッカ</v>
      </c>
      <c r="I4621" s="9" t="str">
        <f>IFERROR(__xludf.DUMMYFUNCTION("GOOGLETRANSLATE($A4621,""en"",""ko"")"),"사라마카")</f>
        <v>사라마카</v>
      </c>
      <c r="J4621" s="9" t="str">
        <f>IFERROR(__xludf.DUMMYFUNCTION("GOOGLETRANSLATE($A4621,""en"",""pt-BR"")"),"Saramacca")</f>
        <v>Saramacca</v>
      </c>
    </row>
    <row r="4622">
      <c r="A4622" s="9" t="str">
        <f>IFERROR(__xludf.DUMMYFUNCTION("""COMPUTED_VALUE"""),"Hhohho")</f>
        <v>Hhohho</v>
      </c>
      <c r="B4622" s="9" t="str">
        <f>IFERROR(__xludf.DUMMYFUNCTION("""COMPUTED_VALUE"""),"sz-hh")</f>
        <v>sz-hh</v>
      </c>
      <c r="C4622" s="9" t="str">
        <f>IFERROR(__xludf.DUMMYFUNCTION("GOOGLETRANSLATE($A4622,""en"",""de"")"),"Hhohho")</f>
        <v>Hhohho</v>
      </c>
      <c r="D4622" s="9" t="str">
        <f>IFERROR(__xludf.DUMMYFUNCTION("GOOGLETRANSLATE($A4622,""en"",""fr"")"),"Hhohho")</f>
        <v>Hhohho</v>
      </c>
      <c r="E4622" s="9" t="str">
        <f>IFERROR(__xludf.DUMMYFUNCTION("GOOGLETRANSLATE($A4622,""en"",""es"")"),"hohoho")</f>
        <v>hohoho</v>
      </c>
      <c r="F4622" s="9" t="str">
        <f>IFERROR(__xludf.DUMMYFUNCTION("GOOGLETRANSLATE($A4622,""en"",""it"")"),"Hhohho")</f>
        <v>Hhohho</v>
      </c>
      <c r="G4622" s="9" t="str">
        <f>IFERROR(__xludf.DUMMYFUNCTION("GOOGLETRANSLATE($A4622,""en"",""zh-cn"")"),"呼呼")</f>
        <v>呼呼</v>
      </c>
      <c r="H4622" s="9" t="str">
        <f>IFERROR(__xludf.DUMMYFUNCTION("GOOGLETRANSLATE($A4622,""en"",""ja"")"),"ほほほ")</f>
        <v>ほほほ</v>
      </c>
      <c r="I4622" s="9" t="str">
        <f>IFERROR(__xludf.DUMMYFUNCTION("GOOGLETRANSLATE($A4622,""en"",""ko"")"),"호호호")</f>
        <v>호호호</v>
      </c>
      <c r="J4622" s="9" t="str">
        <f>IFERROR(__xludf.DUMMYFUNCTION("GOOGLETRANSLATE($A4622,""en"",""pt-BR"")"),"Hhohho")</f>
        <v>Hhohho</v>
      </c>
    </row>
    <row r="4623">
      <c r="A4623" s="9" t="str">
        <f>IFERROR(__xludf.DUMMYFUNCTION("""COMPUTED_VALUE"""),"Lubombo")</f>
        <v>Lubombo</v>
      </c>
      <c r="B4623" s="9" t="str">
        <f>IFERROR(__xludf.DUMMYFUNCTION("""COMPUTED_VALUE"""),"sz-lu")</f>
        <v>sz-lu</v>
      </c>
      <c r="C4623" s="9" t="str">
        <f>IFERROR(__xludf.DUMMYFUNCTION("GOOGLETRANSLATE($A4623,""en"",""de"")"),"Lubombo")</f>
        <v>Lubombo</v>
      </c>
      <c r="D4623" s="9" t="str">
        <f>IFERROR(__xludf.DUMMYFUNCTION("GOOGLETRANSLATE($A4623,""en"",""fr"")"),"Lubombo")</f>
        <v>Lubombo</v>
      </c>
      <c r="E4623" s="9" t="str">
        <f>IFERROR(__xludf.DUMMYFUNCTION("GOOGLETRANSLATE($A4623,""en"",""es"")"),"Lubombo")</f>
        <v>Lubombo</v>
      </c>
      <c r="F4623" s="9" t="str">
        <f>IFERROR(__xludf.DUMMYFUNCTION("GOOGLETRANSLATE($A4623,""en"",""it"")"),"Lubombo")</f>
        <v>Lubombo</v>
      </c>
      <c r="G4623" s="9" t="str">
        <f>IFERROR(__xludf.DUMMYFUNCTION("GOOGLETRANSLATE($A4623,""en"",""zh-cn"")"),"卢邦博")</f>
        <v>卢邦博</v>
      </c>
      <c r="H4623" s="9" t="str">
        <f>IFERROR(__xludf.DUMMYFUNCTION("GOOGLETRANSLATE($A4623,""en"",""ja"")"),"ルボンボ")</f>
        <v>ルボンボ</v>
      </c>
      <c r="I4623" s="9" t="str">
        <f>IFERROR(__xludf.DUMMYFUNCTION("GOOGLETRANSLATE($A4623,""en"",""ko"")"),"루봄보")</f>
        <v>루봄보</v>
      </c>
      <c r="J4623" s="9" t="str">
        <f>IFERROR(__xludf.DUMMYFUNCTION("GOOGLETRANSLATE($A4623,""en"",""pt-BR"")"),"Lubombo")</f>
        <v>Lubombo</v>
      </c>
    </row>
    <row r="4624">
      <c r="A4624" s="9" t="str">
        <f>IFERROR(__xludf.DUMMYFUNCTION("""COMPUTED_VALUE"""),"Shiselweni")</f>
        <v>Shiselweni</v>
      </c>
      <c r="B4624" s="9" t="str">
        <f>IFERROR(__xludf.DUMMYFUNCTION("""COMPUTED_VALUE"""),"sz-sh")</f>
        <v>sz-sh</v>
      </c>
      <c r="C4624" s="9" t="str">
        <f>IFERROR(__xludf.DUMMYFUNCTION("GOOGLETRANSLATE($A4624,""en"",""de"")"),"Shiselweni")</f>
        <v>Shiselweni</v>
      </c>
      <c r="D4624" s="9" t="str">
        <f>IFERROR(__xludf.DUMMYFUNCTION("GOOGLETRANSLATE($A4624,""en"",""fr"")"),"Shiselweni")</f>
        <v>Shiselweni</v>
      </c>
      <c r="E4624" s="9" t="str">
        <f>IFERROR(__xludf.DUMMYFUNCTION("GOOGLETRANSLATE($A4624,""en"",""es"")"),"Shiselweni")</f>
        <v>Shiselweni</v>
      </c>
      <c r="F4624" s="9" t="str">
        <f>IFERROR(__xludf.DUMMYFUNCTION("GOOGLETRANSLATE($A4624,""en"",""it"")"),"Shiselweni")</f>
        <v>Shiselweni</v>
      </c>
      <c r="G4624" s="9" t="str">
        <f>IFERROR(__xludf.DUMMYFUNCTION("GOOGLETRANSLATE($A4624,""en"",""zh-cn"")"),"希塞韦尼")</f>
        <v>希塞韦尼</v>
      </c>
      <c r="H4624" s="9" t="str">
        <f>IFERROR(__xludf.DUMMYFUNCTION("GOOGLETRANSLATE($A4624,""en"",""ja"")"),"シセルウェニ")</f>
        <v>シセルウェニ</v>
      </c>
      <c r="I4624" s="9" t="str">
        <f>IFERROR(__xludf.DUMMYFUNCTION("GOOGLETRANSLATE($A4624,""en"",""ko"")"),"시셀웨니")</f>
        <v>시셀웨니</v>
      </c>
      <c r="J4624" s="9" t="str">
        <f>IFERROR(__xludf.DUMMYFUNCTION("GOOGLETRANSLATE($A4624,""en"",""pt-BR"")"),"Shiselweni")</f>
        <v>Shiselweni</v>
      </c>
    </row>
    <row r="4625">
      <c r="A4625" s="9" t="str">
        <f>IFERROR(__xludf.DUMMYFUNCTION("""COMPUTED_VALUE"""),"Manzini")</f>
        <v>Manzini</v>
      </c>
      <c r="B4625" s="9" t="str">
        <f>IFERROR(__xludf.DUMMYFUNCTION("""COMPUTED_VALUE"""),"sz-ma")</f>
        <v>sz-ma</v>
      </c>
      <c r="C4625" s="9" t="str">
        <f>IFERROR(__xludf.DUMMYFUNCTION("GOOGLETRANSLATE($A4625,""en"",""de"")"),"Manzini")</f>
        <v>Manzini</v>
      </c>
      <c r="D4625" s="9" t="str">
        <f>IFERROR(__xludf.DUMMYFUNCTION("GOOGLETRANSLATE($A4625,""en"",""fr"")"),"Manzini")</f>
        <v>Manzini</v>
      </c>
      <c r="E4625" s="9" t="str">
        <f>IFERROR(__xludf.DUMMYFUNCTION("GOOGLETRANSLATE($A4625,""en"",""es"")"),"Manzini")</f>
        <v>Manzini</v>
      </c>
      <c r="F4625" s="9" t="str">
        <f>IFERROR(__xludf.DUMMYFUNCTION("GOOGLETRANSLATE($A4625,""en"",""it"")"),"Manzini")</f>
        <v>Manzini</v>
      </c>
      <c r="G4625" s="9" t="str">
        <f>IFERROR(__xludf.DUMMYFUNCTION("GOOGLETRANSLATE($A4625,""en"",""zh-cn"")"),"曼齐尼")</f>
        <v>曼齐尼</v>
      </c>
      <c r="H4625" s="9" t="str">
        <f>IFERROR(__xludf.DUMMYFUNCTION("GOOGLETRANSLATE($A4625,""en"",""ja"")"),"マンジニ")</f>
        <v>マンジニ</v>
      </c>
      <c r="I4625" s="9" t="str">
        <f>IFERROR(__xludf.DUMMYFUNCTION("GOOGLETRANSLATE($A4625,""en"",""ko"")"),"만지니")</f>
        <v>만지니</v>
      </c>
      <c r="J4625" s="9" t="str">
        <f>IFERROR(__xludf.DUMMYFUNCTION("GOOGLETRANSLATE($A4625,""en"",""pt-BR"")"),"Manzini")</f>
        <v>Manzini</v>
      </c>
    </row>
    <row r="4626">
      <c r="A4626" s="9" t="str">
        <f>IFERROR(__xludf.DUMMYFUNCTION("""COMPUTED_VALUE"""),"Örebro County")</f>
        <v>Örebro County</v>
      </c>
      <c r="B4626" s="9" t="str">
        <f>IFERROR(__xludf.DUMMYFUNCTION("""COMPUTED_VALUE"""),"se-t")</f>
        <v>se-t</v>
      </c>
      <c r="C4626" s="9" t="str">
        <f>IFERROR(__xludf.DUMMYFUNCTION("GOOGLETRANSLATE($A4626,""en"",""de"")"),"Kreis Örebro")</f>
        <v>Kreis Örebro</v>
      </c>
      <c r="D4626" s="9" t="str">
        <f>IFERROR(__xludf.DUMMYFUNCTION("GOOGLETRANSLATE($A4626,""en"",""fr"")"),"Comté d'Örebro")</f>
        <v>Comté d'Örebro</v>
      </c>
      <c r="E4626" s="9" t="str">
        <f>IFERROR(__xludf.DUMMYFUNCTION("GOOGLETRANSLATE($A4626,""en"",""es"")"),"Condado de Örebro")</f>
        <v>Condado de Örebro</v>
      </c>
      <c r="F4626" s="9" t="str">
        <f>IFERROR(__xludf.DUMMYFUNCTION("GOOGLETRANSLATE($A4626,""en"",""it"")"),"Contea di Örebro")</f>
        <v>Contea di Örebro</v>
      </c>
      <c r="G4626" s="9" t="str">
        <f>IFERROR(__xludf.DUMMYFUNCTION("GOOGLETRANSLATE($A4626,""en"",""zh-cn"")"),"厄勒布鲁县")</f>
        <v>厄勒布鲁县</v>
      </c>
      <c r="H4626" s="9" t="str">
        <f>IFERROR(__xludf.DUMMYFUNCTION("GOOGLETRANSLATE($A4626,""en"",""ja"")"),"オレブロ郡")</f>
        <v>オレブロ郡</v>
      </c>
      <c r="I4626" s="9" t="str">
        <f>IFERROR(__xludf.DUMMYFUNCTION("GOOGLETRANSLATE($A4626,""en"",""ko"")"),"외레브로 카운티")</f>
        <v>외레브로 카운티</v>
      </c>
      <c r="J4626" s="9" t="str">
        <f>IFERROR(__xludf.DUMMYFUNCTION("GOOGLETRANSLATE($A4626,""en"",""pt-BR"")"),"Condado de Örebro")</f>
        <v>Condado de Örebro</v>
      </c>
    </row>
    <row r="4627">
      <c r="A4627" s="9" t="str">
        <f>IFERROR(__xludf.DUMMYFUNCTION("""COMPUTED_VALUE"""),"Östergötlands County")</f>
        <v>Östergötlands County</v>
      </c>
      <c r="B4627" s="9" t="str">
        <f>IFERROR(__xludf.DUMMYFUNCTION("""COMPUTED_VALUE"""),"se-e")</f>
        <v>se-e</v>
      </c>
      <c r="C4627" s="9" t="str">
        <f>IFERROR(__xludf.DUMMYFUNCTION("GOOGLETRANSLATE($A4627,""en"",""de"")"),"Östergötlands Kreis")</f>
        <v>Östergötlands Kreis</v>
      </c>
      <c r="D4627" s="9" t="str">
        <f>IFERROR(__xludf.DUMMYFUNCTION("GOOGLETRANSLATE($A4627,""en"",""fr"")"),"Comté d'Östergötlands")</f>
        <v>Comté d'Östergötlands</v>
      </c>
      <c r="E4627" s="9" t="str">
        <f>IFERROR(__xludf.DUMMYFUNCTION("GOOGLETRANSLATE($A4627,""en"",""es"")"),"Condado de Östergotland")</f>
        <v>Condado de Östergotland</v>
      </c>
      <c r="F4627" s="9" t="str">
        <f>IFERROR(__xludf.DUMMYFUNCTION("GOOGLETRANSLATE($A4627,""en"",""it"")"),"Contea di Östergötlands")</f>
        <v>Contea di Östergötlands</v>
      </c>
      <c r="G4627" s="9" t="str">
        <f>IFERROR(__xludf.DUMMYFUNCTION("GOOGLETRANSLATE($A4627,""en"",""zh-cn"")"),"东约特兰县")</f>
        <v>东约特兰县</v>
      </c>
      <c r="H4627" s="9" t="str">
        <f>IFERROR(__xludf.DUMMYFUNCTION("GOOGLETRANSLATE($A4627,""en"",""ja"")"),"エステルイェートランズ郡")</f>
        <v>エステルイェートランズ郡</v>
      </c>
      <c r="I4627" s="9" t="str">
        <f>IFERROR(__xludf.DUMMYFUNCTION("GOOGLETRANSLATE($A4627,""en"",""ko"")"),"Östergötlands 카운티")</f>
        <v>Östergötlands 카운티</v>
      </c>
      <c r="J4627" s="9" t="str">
        <f>IFERROR(__xludf.DUMMYFUNCTION("GOOGLETRANSLATE($A4627,""en"",""pt-BR"")"),"Condado de Östergötlands")</f>
        <v>Condado de Östergötlands</v>
      </c>
    </row>
    <row r="4628">
      <c r="A4628" s="9" t="str">
        <f>IFERROR(__xludf.DUMMYFUNCTION("""COMPUTED_VALUE"""),"Västerbottens County")</f>
        <v>Västerbottens County</v>
      </c>
      <c r="B4628" s="9" t="str">
        <f>IFERROR(__xludf.DUMMYFUNCTION("""COMPUTED_VALUE"""),"se-ac")</f>
        <v>se-ac</v>
      </c>
      <c r="C4628" s="9" t="str">
        <f>IFERROR(__xludf.DUMMYFUNCTION("GOOGLETRANSLATE($A4628,""en"",""de"")"),"Västerbottens Kreis")</f>
        <v>Västerbottens Kreis</v>
      </c>
      <c r="D4628" s="9" t="str">
        <f>IFERROR(__xludf.DUMMYFUNCTION("GOOGLETRANSLATE($A4628,""en"",""fr"")"),"Comté de Västerbottens")</f>
        <v>Comté de Västerbottens</v>
      </c>
      <c r="E4628" s="9" t="str">
        <f>IFERROR(__xludf.DUMMYFUNCTION("GOOGLETRANSLATE($A4628,""en"",""es"")"),"Condado de Västerbottens")</f>
        <v>Condado de Västerbottens</v>
      </c>
      <c r="F4628" s="9" t="str">
        <f>IFERROR(__xludf.DUMMYFUNCTION("GOOGLETRANSLATE($A4628,""en"",""it"")"),"Contea di Västerbottens")</f>
        <v>Contea di Västerbottens</v>
      </c>
      <c r="G4628" s="9" t="str">
        <f>IFERROR(__xludf.DUMMYFUNCTION("GOOGLETRANSLATE($A4628,""en"",""zh-cn"")"),"西博滕省")</f>
        <v>西博滕省</v>
      </c>
      <c r="H4628" s="9" t="str">
        <f>IFERROR(__xludf.DUMMYFUNCTION("GOOGLETRANSLATE($A4628,""en"",""ja"")"),"ヴェステルボッテンス郡")</f>
        <v>ヴェステルボッテンス郡</v>
      </c>
      <c r="I4628" s="9" t="str">
        <f>IFERROR(__xludf.DUMMYFUNCTION("GOOGLETRANSLATE($A4628,""en"",""ko"")"),"Västerbottens 카운티")</f>
        <v>Västerbottens 카운티</v>
      </c>
      <c r="J4628" s="9" t="str">
        <f>IFERROR(__xludf.DUMMYFUNCTION("GOOGLETRANSLATE($A4628,""en"",""pt-BR"")"),"Condado de Västerbottens")</f>
        <v>Condado de Västerbottens</v>
      </c>
    </row>
    <row r="4629">
      <c r="A4629" s="9" t="str">
        <f>IFERROR(__xludf.DUMMYFUNCTION("""COMPUTED_VALUE"""),"Västernorrlands County")</f>
        <v>Västernorrlands County</v>
      </c>
      <c r="B4629" s="9" t="str">
        <f>IFERROR(__xludf.DUMMYFUNCTION("""COMPUTED_VALUE"""),"se-y")</f>
        <v>se-y</v>
      </c>
      <c r="C4629" s="9" t="str">
        <f>IFERROR(__xludf.DUMMYFUNCTION("GOOGLETRANSLATE($A4629,""en"",""de"")"),"Västernorrlands Kreis")</f>
        <v>Västernorrlands Kreis</v>
      </c>
      <c r="D4629" s="9" t="str">
        <f>IFERROR(__xludf.DUMMYFUNCTION("GOOGLETRANSLATE($A4629,""en"",""fr"")"),"Comté de Västernorrlands")</f>
        <v>Comté de Västernorrlands</v>
      </c>
      <c r="E4629" s="9" t="str">
        <f>IFERROR(__xludf.DUMMYFUNCTION("GOOGLETRANSLATE($A4629,""en"",""es"")"),"Provincia de Västernorrland")</f>
        <v>Provincia de Västernorrland</v>
      </c>
      <c r="F4629" s="9" t="str">
        <f>IFERROR(__xludf.DUMMYFUNCTION("GOOGLETRANSLATE($A4629,""en"",""it"")"),"Contea di Västernorrlands")</f>
        <v>Contea di Västernorrlands</v>
      </c>
      <c r="G4629" s="9" t="str">
        <f>IFERROR(__xludf.DUMMYFUNCTION("GOOGLETRANSLATE($A4629,""en"",""zh-cn"")"),"西诺兰县")</f>
        <v>西诺兰县</v>
      </c>
      <c r="H4629" s="9" t="str">
        <f>IFERROR(__xludf.DUMMYFUNCTION("GOOGLETRANSLATE($A4629,""en"",""ja"")"),"ヴェステルノルランズ郡")</f>
        <v>ヴェステルノルランズ郡</v>
      </c>
      <c r="I4629" s="9" t="str">
        <f>IFERROR(__xludf.DUMMYFUNCTION("GOOGLETRANSLATE($A4629,""en"",""ko"")"),"Västernorrlands 카운티")</f>
        <v>Västernorrlands 카운티</v>
      </c>
      <c r="J4629" s="9" t="str">
        <f>IFERROR(__xludf.DUMMYFUNCTION("GOOGLETRANSLATE($A4629,""en"",""pt-BR"")"),"Condado de Västernorrlands")</f>
        <v>Condado de Västernorrlands</v>
      </c>
    </row>
    <row r="4630">
      <c r="A4630" s="9" t="str">
        <f>IFERROR(__xludf.DUMMYFUNCTION("""COMPUTED_VALUE"""),"Västmanlands County")</f>
        <v>Västmanlands County</v>
      </c>
      <c r="B4630" s="9" t="str">
        <f>IFERROR(__xludf.DUMMYFUNCTION("""COMPUTED_VALUE"""),"se-u")</f>
        <v>se-u</v>
      </c>
      <c r="C4630" s="9" t="str">
        <f>IFERROR(__xludf.DUMMYFUNCTION("GOOGLETRANSLATE($A4630,""en"",""de"")"),"Västmanlands Kreis")</f>
        <v>Västmanlands Kreis</v>
      </c>
      <c r="D4630" s="9" t="str">
        <f>IFERROR(__xludf.DUMMYFUNCTION("GOOGLETRANSLATE($A4630,""en"",""fr"")"),"Comté de Västmanlands")</f>
        <v>Comté de Västmanlands</v>
      </c>
      <c r="E4630" s="9" t="str">
        <f>IFERROR(__xludf.DUMMYFUNCTION("GOOGLETRANSLATE($A4630,""en"",""es"")"),"Condado de Västmanlands")</f>
        <v>Condado de Västmanlands</v>
      </c>
      <c r="F4630" s="9" t="str">
        <f>IFERROR(__xludf.DUMMYFUNCTION("GOOGLETRANSLATE($A4630,""en"",""it"")"),"Contea di Västmanlands")</f>
        <v>Contea di Västmanlands</v>
      </c>
      <c r="G4630" s="9" t="str">
        <f>IFERROR(__xludf.DUMMYFUNCTION("GOOGLETRANSLATE($A4630,""en"",""zh-cn"")"),"西曼兰省")</f>
        <v>西曼兰省</v>
      </c>
      <c r="H4630" s="9" t="str">
        <f>IFERROR(__xludf.DUMMYFUNCTION("GOOGLETRANSLATE($A4630,""en"",""ja"")"),"ヴェストマンランズ郡")</f>
        <v>ヴェストマンランズ郡</v>
      </c>
      <c r="I4630" s="9" t="str">
        <f>IFERROR(__xludf.DUMMYFUNCTION("GOOGLETRANSLATE($A4630,""en"",""ko"")"),"베스트만란드 주")</f>
        <v>베스트만란드 주</v>
      </c>
      <c r="J4630" s="9" t="str">
        <f>IFERROR(__xludf.DUMMYFUNCTION("GOOGLETRANSLATE($A4630,""en"",""pt-BR"")"),"Condado de Västmanlands")</f>
        <v>Condado de Västmanlands</v>
      </c>
    </row>
    <row r="4631">
      <c r="A4631" s="9" t="str">
        <f>IFERROR(__xludf.DUMMYFUNCTION("""COMPUTED_VALUE"""),"Västra Götalands County")</f>
        <v>Västra Götalands County</v>
      </c>
      <c r="B4631" s="9" t="str">
        <f>IFERROR(__xludf.DUMMYFUNCTION("""COMPUTED_VALUE"""),"se-o")</f>
        <v>se-o</v>
      </c>
      <c r="C4631" s="9" t="str">
        <f>IFERROR(__xludf.DUMMYFUNCTION("GOOGLETRANSLATE($A4631,""en"",""de"")"),"Västra Götalands Kreis")</f>
        <v>Västra Götalands Kreis</v>
      </c>
      <c r="D4631" s="9" t="str">
        <f>IFERROR(__xludf.DUMMYFUNCTION("GOOGLETRANSLATE($A4631,""en"",""fr"")"),"Comté de Västra Götalands")</f>
        <v>Comté de Västra Götalands</v>
      </c>
      <c r="E4631" s="9" t="str">
        <f>IFERROR(__xludf.DUMMYFUNCTION("GOOGLETRANSLATE($A4631,""en"",""es"")"),"Condado de Västra Götalands")</f>
        <v>Condado de Västra Götalands</v>
      </c>
      <c r="F4631" s="9" t="str">
        <f>IFERROR(__xludf.DUMMYFUNCTION("GOOGLETRANSLATE($A4631,""en"",""it"")"),"Contea di Västra Götalands")</f>
        <v>Contea di Västra Götalands</v>
      </c>
      <c r="G4631" s="9" t="str">
        <f>IFERROR(__xludf.DUMMYFUNCTION("GOOGLETRANSLATE($A4631,""en"",""zh-cn"")"),"西约塔兰省")</f>
        <v>西约塔兰省</v>
      </c>
      <c r="H4631" s="9" t="str">
        <f>IFERROR(__xludf.DUMMYFUNCTION("GOOGLETRANSLATE($A4631,""en"",""ja"")"),"ヴェストラ イェータランド郡")</f>
        <v>ヴェストラ イェータランド郡</v>
      </c>
      <c r="I4631" s="9" t="str">
        <f>IFERROR(__xludf.DUMMYFUNCTION("GOOGLETRANSLATE($A4631,""en"",""ko"")"),"베스트라 예탈란드 카운티")</f>
        <v>베스트라 예탈란드 카운티</v>
      </c>
      <c r="J4631" s="9" t="str">
        <f>IFERROR(__xludf.DUMMYFUNCTION("GOOGLETRANSLATE($A4631,""en"",""pt-BR"")"),"Condado de Västra Götalands")</f>
        <v>Condado de Västra Götalands</v>
      </c>
    </row>
    <row r="4632">
      <c r="A4632" s="9" t="str">
        <f>IFERROR(__xludf.DUMMYFUNCTION("""COMPUTED_VALUE"""),"Stockholms County")</f>
        <v>Stockholms County</v>
      </c>
      <c r="B4632" s="9" t="str">
        <f>IFERROR(__xludf.DUMMYFUNCTION("""COMPUTED_VALUE"""),"se-ab")</f>
        <v>se-ab</v>
      </c>
      <c r="C4632" s="9" t="str">
        <f>IFERROR(__xludf.DUMMYFUNCTION("GOOGLETRANSLATE($A4632,""en"",""de"")"),"Bezirk Stockholm")</f>
        <v>Bezirk Stockholm</v>
      </c>
      <c r="D4632" s="9" t="str">
        <f>IFERROR(__xludf.DUMMYFUNCTION("GOOGLETRANSLATE($A4632,""en"",""fr"")"),"Comté de Stockholm")</f>
        <v>Comté de Stockholm</v>
      </c>
      <c r="E4632" s="9" t="str">
        <f>IFERROR(__xludf.DUMMYFUNCTION("GOOGLETRANSLATE($A4632,""en"",""es"")"),"Condado de Estocolmo")</f>
        <v>Condado de Estocolmo</v>
      </c>
      <c r="F4632" s="9" t="str">
        <f>IFERROR(__xludf.DUMMYFUNCTION("GOOGLETRANSLATE($A4632,""en"",""it"")"),"Contea di Stoccolma")</f>
        <v>Contea di Stoccolma</v>
      </c>
      <c r="G4632" s="9" t="str">
        <f>IFERROR(__xludf.DUMMYFUNCTION("GOOGLETRANSLATE($A4632,""en"",""zh-cn"")"),"斯德哥尔摩县")</f>
        <v>斯德哥尔摩县</v>
      </c>
      <c r="H4632" s="9" t="str">
        <f>IFERROR(__xludf.DUMMYFUNCTION("GOOGLETRANSLATE($A4632,""en"",""ja"")"),"ストックホルム郡")</f>
        <v>ストックホルム郡</v>
      </c>
      <c r="I4632" s="9" t="str">
        <f>IFERROR(__xludf.DUMMYFUNCTION("GOOGLETRANSLATE($A4632,""en"",""ko"")"),"스톡홀름 카운티")</f>
        <v>스톡홀름 카운티</v>
      </c>
      <c r="J4632" s="9" t="str">
        <f>IFERROR(__xludf.DUMMYFUNCTION("GOOGLETRANSLATE($A4632,""en"",""pt-BR"")"),"Condado de Estocolmo")</f>
        <v>Condado de Estocolmo</v>
      </c>
    </row>
    <row r="4633">
      <c r="A4633" s="9" t="str">
        <f>IFERROR(__xludf.DUMMYFUNCTION("""COMPUTED_VALUE"""),"Södermanlands County")</f>
        <v>Södermanlands County</v>
      </c>
      <c r="B4633" s="9" t="str">
        <f>IFERROR(__xludf.DUMMYFUNCTION("""COMPUTED_VALUE"""),"se-d")</f>
        <v>se-d</v>
      </c>
      <c r="C4633" s="9" t="str">
        <f>IFERROR(__xludf.DUMMYFUNCTION("GOOGLETRANSLATE($A4633,""en"",""de"")"),"Södermanlands Kreis")</f>
        <v>Södermanlands Kreis</v>
      </c>
      <c r="D4633" s="9" t="str">
        <f>IFERROR(__xludf.DUMMYFUNCTION("GOOGLETRANSLATE($A4633,""en"",""fr"")"),"Comté de Södermanlands")</f>
        <v>Comté de Södermanlands</v>
      </c>
      <c r="E4633" s="9" t="str">
        <f>IFERROR(__xludf.DUMMYFUNCTION("GOOGLETRANSLATE($A4633,""en"",""es"")"),"Condado de Södermanlands")</f>
        <v>Condado de Södermanlands</v>
      </c>
      <c r="F4633" s="9" t="str">
        <f>IFERROR(__xludf.DUMMYFUNCTION("GOOGLETRANSLATE($A4633,""en"",""it"")"),"Contea di Södermanlands")</f>
        <v>Contea di Södermanlands</v>
      </c>
      <c r="G4633" s="9" t="str">
        <f>IFERROR(__xludf.DUMMYFUNCTION("GOOGLETRANSLATE($A4633,""en"",""zh-cn"")"),"南曼兰县")</f>
        <v>南曼兰县</v>
      </c>
      <c r="H4633" s="9" t="str">
        <f>IFERROR(__xludf.DUMMYFUNCTION("GOOGLETRANSLATE($A4633,""en"",""ja"")"),"セーデルマンランズ郡")</f>
        <v>セーデルマンランズ郡</v>
      </c>
      <c r="I4633" s="9" t="str">
        <f>IFERROR(__xludf.DUMMYFUNCTION("GOOGLETRANSLATE($A4633,""en"",""ko"")"),"Södermanlands 카운티")</f>
        <v>Södermanlands 카운티</v>
      </c>
      <c r="J4633" s="9" t="str">
        <f>IFERROR(__xludf.DUMMYFUNCTION("GOOGLETRANSLATE($A4633,""en"",""pt-BR"")"),"Condado de Södermanlands")</f>
        <v>Condado de Södermanlands</v>
      </c>
    </row>
    <row r="4634">
      <c r="A4634" s="9" t="str">
        <f>IFERROR(__xludf.DUMMYFUNCTION("""COMPUTED_VALUE"""),"Uppsala County")</f>
        <v>Uppsala County</v>
      </c>
      <c r="B4634" s="9" t="str">
        <f>IFERROR(__xludf.DUMMYFUNCTION("""COMPUTED_VALUE"""),"se-c")</f>
        <v>se-c</v>
      </c>
      <c r="C4634" s="9" t="str">
        <f>IFERROR(__xludf.DUMMYFUNCTION("GOOGLETRANSLATE($A4634,""en"",""de"")"),"Landkreis Uppsala")</f>
        <v>Landkreis Uppsala</v>
      </c>
      <c r="D4634" s="9" t="str">
        <f>IFERROR(__xludf.DUMMYFUNCTION("GOOGLETRANSLATE($A4634,""en"",""fr"")"),"Comté d'Uppsala")</f>
        <v>Comté d'Uppsala</v>
      </c>
      <c r="E4634" s="9" t="str">
        <f>IFERROR(__xludf.DUMMYFUNCTION("GOOGLETRANSLATE($A4634,""en"",""es"")"),"Condado de Upsala")</f>
        <v>Condado de Upsala</v>
      </c>
      <c r="F4634" s="9" t="str">
        <f>IFERROR(__xludf.DUMMYFUNCTION("GOOGLETRANSLATE($A4634,""en"",""it"")"),"Contea di Uppsala")</f>
        <v>Contea di Uppsala</v>
      </c>
      <c r="G4634" s="9" t="str">
        <f>IFERROR(__xludf.DUMMYFUNCTION("GOOGLETRANSLATE($A4634,""en"",""zh-cn"")"),"乌普萨拉县")</f>
        <v>乌普萨拉县</v>
      </c>
      <c r="H4634" s="9" t="str">
        <f>IFERROR(__xludf.DUMMYFUNCTION("GOOGLETRANSLATE($A4634,""en"",""ja"")"),"ウプサラ郡")</f>
        <v>ウプサラ郡</v>
      </c>
      <c r="I4634" s="9" t="str">
        <f>IFERROR(__xludf.DUMMYFUNCTION("GOOGLETRANSLATE($A4634,""en"",""ko"")"),"웁살라 카운티")</f>
        <v>웁살라 카운티</v>
      </c>
      <c r="J4634" s="9" t="str">
        <f>IFERROR(__xludf.DUMMYFUNCTION("GOOGLETRANSLATE($A4634,""en"",""pt-BR"")"),"Condado de Uppsala")</f>
        <v>Condado de Uppsala</v>
      </c>
    </row>
    <row r="4635">
      <c r="A4635" s="9" t="str">
        <f>IFERROR(__xludf.DUMMYFUNCTION("""COMPUTED_VALUE"""),"Värmlands County")</f>
        <v>Värmlands County</v>
      </c>
      <c r="B4635" s="9" t="str">
        <f>IFERROR(__xludf.DUMMYFUNCTION("""COMPUTED_VALUE"""),"se-s")</f>
        <v>se-s</v>
      </c>
      <c r="C4635" s="9" t="str">
        <f>IFERROR(__xludf.DUMMYFUNCTION("GOOGLETRANSLATE($A4635,""en"",""de"")"),"Värmlands Kreis")</f>
        <v>Värmlands Kreis</v>
      </c>
      <c r="D4635" s="9" t="str">
        <f>IFERROR(__xludf.DUMMYFUNCTION("GOOGLETRANSLATE($A4635,""en"",""fr"")"),"Comté de Värmlands")</f>
        <v>Comté de Värmlands</v>
      </c>
      <c r="E4635" s="9" t="str">
        <f>IFERROR(__xludf.DUMMYFUNCTION("GOOGLETRANSLATE($A4635,""en"",""es"")"),"Condado de Värmlands")</f>
        <v>Condado de Värmlands</v>
      </c>
      <c r="F4635" s="9" t="str">
        <f>IFERROR(__xludf.DUMMYFUNCTION("GOOGLETRANSLATE($A4635,""en"",""it"")"),"Contea di Värmlands")</f>
        <v>Contea di Värmlands</v>
      </c>
      <c r="G4635" s="9" t="str">
        <f>IFERROR(__xludf.DUMMYFUNCTION("GOOGLETRANSLATE($A4635,""en"",""zh-cn"")"),"韦姆兰县")</f>
        <v>韦姆兰县</v>
      </c>
      <c r="H4635" s="9" t="str">
        <f>IFERROR(__xludf.DUMMYFUNCTION("GOOGLETRANSLATE($A4635,""en"",""ja"")"),"ヴェルムランズ郡")</f>
        <v>ヴェルムランズ郡</v>
      </c>
      <c r="I4635" s="9" t="str">
        <f>IFERROR(__xludf.DUMMYFUNCTION("GOOGLETRANSLATE($A4635,""en"",""ko"")"),"베름란드 카운티")</f>
        <v>베름란드 카운티</v>
      </c>
      <c r="J4635" s="9" t="str">
        <f>IFERROR(__xludf.DUMMYFUNCTION("GOOGLETRANSLATE($A4635,""en"",""pt-BR"")"),"Condado de Värmlands")</f>
        <v>Condado de Värmlands</v>
      </c>
    </row>
    <row r="4636">
      <c r="A4636" s="9" t="str">
        <f>IFERROR(__xludf.DUMMYFUNCTION("""COMPUTED_VALUE"""),"Gotlands County")</f>
        <v>Gotlands County</v>
      </c>
      <c r="B4636" s="9" t="str">
        <f>IFERROR(__xludf.DUMMYFUNCTION("""COMPUTED_VALUE"""),"se-i")</f>
        <v>se-i</v>
      </c>
      <c r="C4636" s="9" t="str">
        <f>IFERROR(__xludf.DUMMYFUNCTION("GOOGLETRANSLATE($A4636,""en"",""de"")"),"Gotlands County")</f>
        <v>Gotlands County</v>
      </c>
      <c r="D4636" s="9" t="str">
        <f>IFERROR(__xludf.DUMMYFUNCTION("GOOGLETRANSLATE($A4636,""en"",""fr"")"),"Comté de Gotland")</f>
        <v>Comté de Gotland</v>
      </c>
      <c r="E4636" s="9" t="str">
        <f>IFERROR(__xludf.DUMMYFUNCTION("GOOGLETRANSLATE($A4636,""en"",""es"")"),"Condado de Gotland")</f>
        <v>Condado de Gotland</v>
      </c>
      <c r="F4636" s="9" t="str">
        <f>IFERROR(__xludf.DUMMYFUNCTION("GOOGLETRANSLATE($A4636,""en"",""it"")"),"Contea di Gotland")</f>
        <v>Contea di Gotland</v>
      </c>
      <c r="G4636" s="9" t="str">
        <f>IFERROR(__xludf.DUMMYFUNCTION("GOOGLETRANSLATE($A4636,""en"",""zh-cn"")"),"哥特兰郡")</f>
        <v>哥特兰郡</v>
      </c>
      <c r="H4636" s="9" t="str">
        <f>IFERROR(__xludf.DUMMYFUNCTION("GOOGLETRANSLATE($A4636,""en"",""ja"")"),"ゴットランド郡")</f>
        <v>ゴットランド郡</v>
      </c>
      <c r="I4636" s="9" t="str">
        <f>IFERROR(__xludf.DUMMYFUNCTION("GOOGLETRANSLATE($A4636,""en"",""ko"")"),"고틀란드 카운티")</f>
        <v>고틀란드 카운티</v>
      </c>
      <c r="J4636" s="9" t="str">
        <f>IFERROR(__xludf.DUMMYFUNCTION("GOOGLETRANSLATE($A4636,""en"",""pt-BR"")"),"Condado de Gotlands")</f>
        <v>Condado de Gotlands</v>
      </c>
    </row>
    <row r="4637">
      <c r="A4637" s="9" t="str">
        <f>IFERROR(__xludf.DUMMYFUNCTION("""COMPUTED_VALUE"""),"Gävleborgs County")</f>
        <v>Gävleborgs County</v>
      </c>
      <c r="B4637" s="9" t="str">
        <f>IFERROR(__xludf.DUMMYFUNCTION("""COMPUTED_VALUE"""),"se-x")</f>
        <v>se-x</v>
      </c>
      <c r="C4637" s="9" t="str">
        <f>IFERROR(__xludf.DUMMYFUNCTION("GOOGLETRANSLATE($A4637,""en"",""de"")"),"Kreis Gävleborgs")</f>
        <v>Kreis Gävleborgs</v>
      </c>
      <c r="D4637" s="9" t="str">
        <f>IFERROR(__xludf.DUMMYFUNCTION("GOOGLETRANSLATE($A4637,""en"",""fr"")"),"Comté de Gävleborgs")</f>
        <v>Comté de Gävleborgs</v>
      </c>
      <c r="E4637" s="9" t="str">
        <f>IFERROR(__xludf.DUMMYFUNCTION("GOOGLETRANSLATE($A4637,""en"",""es"")"),"Condado de Gävleborgs")</f>
        <v>Condado de Gävleborgs</v>
      </c>
      <c r="F4637" s="9" t="str">
        <f>IFERROR(__xludf.DUMMYFUNCTION("GOOGLETRANSLATE($A4637,""en"",""it"")"),"Contea di Gävleborgs")</f>
        <v>Contea di Gävleborgs</v>
      </c>
      <c r="G4637" s="9" t="str">
        <f>IFERROR(__xludf.DUMMYFUNCTION("GOOGLETRANSLATE($A4637,""en"",""zh-cn"")"),"耶夫勒堡县")</f>
        <v>耶夫勒堡县</v>
      </c>
      <c r="H4637" s="9" t="str">
        <f>IFERROR(__xludf.DUMMYFUNCTION("GOOGLETRANSLATE($A4637,""en"",""ja"")"),"イェブレボルグ郡")</f>
        <v>イェブレボルグ郡</v>
      </c>
      <c r="I4637" s="9" t="str">
        <f>IFERROR(__xludf.DUMMYFUNCTION("GOOGLETRANSLATE($A4637,""en"",""ko"")"),"예블레보르그스 카운티")</f>
        <v>예블레보르그스 카운티</v>
      </c>
      <c r="J4637" s="9" t="str">
        <f>IFERROR(__xludf.DUMMYFUNCTION("GOOGLETRANSLATE($A4637,""en"",""pt-BR"")"),"Condado de Gävleborgs")</f>
        <v>Condado de Gävleborgs</v>
      </c>
    </row>
    <row r="4638">
      <c r="A4638" s="9" t="str">
        <f>IFERROR(__xludf.DUMMYFUNCTION("""COMPUTED_VALUE"""),"Hallands County")</f>
        <v>Hallands County</v>
      </c>
      <c r="B4638" s="9" t="str">
        <f>IFERROR(__xludf.DUMMYFUNCTION("""COMPUTED_VALUE"""),"se-n")</f>
        <v>se-n</v>
      </c>
      <c r="C4638" s="9" t="str">
        <f>IFERROR(__xludf.DUMMYFUNCTION("GOOGLETRANSLATE($A4638,""en"",""de"")"),"Hallands County")</f>
        <v>Hallands County</v>
      </c>
      <c r="D4638" s="9" t="str">
        <f>IFERROR(__xludf.DUMMYFUNCTION("GOOGLETRANSLATE($A4638,""en"",""fr"")"),"Comté de Hallands")</f>
        <v>Comté de Hallands</v>
      </c>
      <c r="E4638" s="9" t="str">
        <f>IFERROR(__xludf.DUMMYFUNCTION("GOOGLETRANSLATE($A4638,""en"",""es"")"),"Condado de Hallands")</f>
        <v>Condado de Hallands</v>
      </c>
      <c r="F4638" s="9" t="str">
        <f>IFERROR(__xludf.DUMMYFUNCTION("GOOGLETRANSLATE($A4638,""en"",""it"")"),"Contea di Hallands")</f>
        <v>Contea di Hallands</v>
      </c>
      <c r="G4638" s="9" t="str">
        <f>IFERROR(__xludf.DUMMYFUNCTION("GOOGLETRANSLATE($A4638,""en"",""zh-cn"")"),"哈兰县")</f>
        <v>哈兰县</v>
      </c>
      <c r="H4638" s="9" t="str">
        <f>IFERROR(__xludf.DUMMYFUNCTION("GOOGLETRANSLATE($A4638,""en"",""ja"")"),"ハッランド郡")</f>
        <v>ハッランド郡</v>
      </c>
      <c r="I4638" s="9" t="str">
        <f>IFERROR(__xludf.DUMMYFUNCTION("GOOGLETRANSLATE($A4638,""en"",""ko"")"),"할랜즈 카운티")</f>
        <v>할랜즈 카운티</v>
      </c>
      <c r="J4638" s="9" t="str">
        <f>IFERROR(__xludf.DUMMYFUNCTION("GOOGLETRANSLATE($A4638,""en"",""pt-BR"")"),"Condado de Hallands")</f>
        <v>Condado de Hallands</v>
      </c>
    </row>
    <row r="4639">
      <c r="A4639" s="9" t="str">
        <f>IFERROR(__xludf.DUMMYFUNCTION("""COMPUTED_VALUE"""),"Jämtlands County")</f>
        <v>Jämtlands County</v>
      </c>
      <c r="B4639" s="9" t="str">
        <f>IFERROR(__xludf.DUMMYFUNCTION("""COMPUTED_VALUE"""),"se-z")</f>
        <v>se-z</v>
      </c>
      <c r="C4639" s="9" t="str">
        <f>IFERROR(__xludf.DUMMYFUNCTION("GOOGLETRANSLATE($A4639,""en"",""de"")"),"Kreis Jämtlands")</f>
        <v>Kreis Jämtlands</v>
      </c>
      <c r="D4639" s="9" t="str">
        <f>IFERROR(__xludf.DUMMYFUNCTION("GOOGLETRANSLATE($A4639,""en"",""fr"")"),"Comté de Jämtlands")</f>
        <v>Comté de Jämtlands</v>
      </c>
      <c r="E4639" s="9" t="str">
        <f>IFERROR(__xludf.DUMMYFUNCTION("GOOGLETRANSLATE($A4639,""en"",""es"")"),"Condado de Jämtlands")</f>
        <v>Condado de Jämtlands</v>
      </c>
      <c r="F4639" s="9" t="str">
        <f>IFERROR(__xludf.DUMMYFUNCTION("GOOGLETRANSLATE($A4639,""en"",""it"")"),"Contea di Jämtlands")</f>
        <v>Contea di Jämtlands</v>
      </c>
      <c r="G4639" s="9" t="str">
        <f>IFERROR(__xludf.DUMMYFUNCTION("GOOGLETRANSLATE($A4639,""en"",""zh-cn"")"),"耶姆特兰县")</f>
        <v>耶姆特兰县</v>
      </c>
      <c r="H4639" s="9" t="str">
        <f>IFERROR(__xludf.DUMMYFUNCTION("GOOGLETRANSLATE($A4639,""en"",""ja"")"),"ジャムトランズ郡")</f>
        <v>ジャムトランズ郡</v>
      </c>
      <c r="I4639" s="9" t="str">
        <f>IFERROR(__xludf.DUMMYFUNCTION("GOOGLETRANSLATE($A4639,""en"",""ko"")"),"얌틀란드 카운티")</f>
        <v>얌틀란드 카운티</v>
      </c>
      <c r="J4639" s="9" t="str">
        <f>IFERROR(__xludf.DUMMYFUNCTION("GOOGLETRANSLATE($A4639,""en"",""pt-BR"")"),"Condado de Jämtlands")</f>
        <v>Condado de Jämtlands</v>
      </c>
    </row>
    <row r="4640">
      <c r="A4640" s="9" t="str">
        <f>IFERROR(__xludf.DUMMYFUNCTION("""COMPUTED_VALUE"""),"Blekinge County")</f>
        <v>Blekinge County</v>
      </c>
      <c r="B4640" s="9" t="str">
        <f>IFERROR(__xludf.DUMMYFUNCTION("""COMPUTED_VALUE"""),"se-k")</f>
        <v>se-k</v>
      </c>
      <c r="C4640" s="9" t="str">
        <f>IFERROR(__xludf.DUMMYFUNCTION("GOOGLETRANSLATE($A4640,""en"",""de"")"),"Kreis Blekinge")</f>
        <v>Kreis Blekinge</v>
      </c>
      <c r="D4640" s="9" t="str">
        <f>IFERROR(__xludf.DUMMYFUNCTION("GOOGLETRANSLATE($A4640,""en"",""fr"")"),"Comté de Blekinge")</f>
        <v>Comté de Blekinge</v>
      </c>
      <c r="E4640" s="9" t="str">
        <f>IFERROR(__xludf.DUMMYFUNCTION("GOOGLETRANSLATE($A4640,""en"",""es"")"),"Condado de Blekinge")</f>
        <v>Condado de Blekinge</v>
      </c>
      <c r="F4640" s="9" t="str">
        <f>IFERROR(__xludf.DUMMYFUNCTION("GOOGLETRANSLATE($A4640,""en"",""it"")"),"Contea di Blekinge")</f>
        <v>Contea di Blekinge</v>
      </c>
      <c r="G4640" s="9" t="str">
        <f>IFERROR(__xludf.DUMMYFUNCTION("GOOGLETRANSLATE($A4640,""en"",""zh-cn"")"),"布莱金厄县")</f>
        <v>布莱金厄县</v>
      </c>
      <c r="H4640" s="9" t="str">
        <f>IFERROR(__xludf.DUMMYFUNCTION("GOOGLETRANSLATE($A4640,""en"",""ja"")"),"ブレーキンゲ郡")</f>
        <v>ブレーキンゲ郡</v>
      </c>
      <c r="I4640" s="9" t="str">
        <f>IFERROR(__xludf.DUMMYFUNCTION("GOOGLETRANSLATE($A4640,""en"",""ko"")"),"블레킹에 카운티")</f>
        <v>블레킹에 카운티</v>
      </c>
      <c r="J4640" s="9" t="str">
        <f>IFERROR(__xludf.DUMMYFUNCTION("GOOGLETRANSLATE($A4640,""en"",""pt-BR"")"),"Condado de Blekinge")</f>
        <v>Condado de Blekinge</v>
      </c>
    </row>
    <row r="4641">
      <c r="A4641" s="9" t="str">
        <f>IFERROR(__xludf.DUMMYFUNCTION("""COMPUTED_VALUE"""),"Dalarnas County")</f>
        <v>Dalarnas County</v>
      </c>
      <c r="B4641" s="9" t="str">
        <f>IFERROR(__xludf.DUMMYFUNCTION("""COMPUTED_VALUE"""),"se-w")</f>
        <v>se-w</v>
      </c>
      <c r="C4641" s="9" t="str">
        <f>IFERROR(__xludf.DUMMYFUNCTION("GOOGLETRANSLATE($A4641,""en"",""de"")"),"Kreis Dalarnas")</f>
        <v>Kreis Dalarnas</v>
      </c>
      <c r="D4641" s="9" t="str">
        <f>IFERROR(__xludf.DUMMYFUNCTION("GOOGLETRANSLATE($A4641,""en"",""fr"")"),"Comté de Dalécarlie")</f>
        <v>Comté de Dalécarlie</v>
      </c>
      <c r="E4641" s="9" t="str">
        <f>IFERROR(__xludf.DUMMYFUNCTION("GOOGLETRANSLATE($A4641,""en"",""es"")"),"Condado de Dalarnas")</f>
        <v>Condado de Dalarnas</v>
      </c>
      <c r="F4641" s="9" t="str">
        <f>IFERROR(__xludf.DUMMYFUNCTION("GOOGLETRANSLATE($A4641,""en"",""it"")"),"Contea di Dalarnas")</f>
        <v>Contea di Dalarnas</v>
      </c>
      <c r="G4641" s="9" t="str">
        <f>IFERROR(__xludf.DUMMYFUNCTION("GOOGLETRANSLATE($A4641,""en"",""zh-cn"")"),"达拉纳斯县")</f>
        <v>达拉纳斯县</v>
      </c>
      <c r="H4641" s="9" t="str">
        <f>IFERROR(__xludf.DUMMYFUNCTION("GOOGLETRANSLATE($A4641,""en"",""ja"")"),"ダーラナス郡")</f>
        <v>ダーラナス郡</v>
      </c>
      <c r="I4641" s="9" t="str">
        <f>IFERROR(__xludf.DUMMYFUNCTION("GOOGLETRANSLATE($A4641,""en"",""ko"")"),"달라르나스 카운티")</f>
        <v>달라르나스 카운티</v>
      </c>
      <c r="J4641" s="9" t="str">
        <f>IFERROR(__xludf.DUMMYFUNCTION("GOOGLETRANSLATE($A4641,""en"",""pt-BR"")"),"Condado de Dalarnas")</f>
        <v>Condado de Dalarnas</v>
      </c>
    </row>
    <row r="4642">
      <c r="A4642" s="9" t="str">
        <f>IFERROR(__xludf.DUMMYFUNCTION("""COMPUTED_VALUE"""),"Skåne County")</f>
        <v>Skåne County</v>
      </c>
      <c r="B4642" s="9" t="str">
        <f>IFERROR(__xludf.DUMMYFUNCTION("""COMPUTED_VALUE"""),"se-m")</f>
        <v>se-m</v>
      </c>
      <c r="C4642" s="9" t="str">
        <f>IFERROR(__xludf.DUMMYFUNCTION("GOOGLETRANSLATE($A4642,""en"",""de"")"),"Kreis Skåne")</f>
        <v>Kreis Skåne</v>
      </c>
      <c r="D4642" s="9" t="str">
        <f>IFERROR(__xludf.DUMMYFUNCTION("GOOGLETRANSLATE($A4642,""en"",""fr"")"),"Comté de Scanie")</f>
        <v>Comté de Scanie</v>
      </c>
      <c r="E4642" s="9" t="str">
        <f>IFERROR(__xludf.DUMMYFUNCTION("GOOGLETRANSLATE($A4642,""en"",""es"")"),"Condado de Skåne")</f>
        <v>Condado de Skåne</v>
      </c>
      <c r="F4642" s="9" t="str">
        <f>IFERROR(__xludf.DUMMYFUNCTION("GOOGLETRANSLATE($A4642,""en"",""it"")"),"Contea di Scania")</f>
        <v>Contea di Scania</v>
      </c>
      <c r="G4642" s="9" t="str">
        <f>IFERROR(__xludf.DUMMYFUNCTION("GOOGLETRANSLATE($A4642,""en"",""zh-cn"")"),"斯科讷县")</f>
        <v>斯科讷县</v>
      </c>
      <c r="H4642" s="9" t="str">
        <f>IFERROR(__xludf.DUMMYFUNCTION("GOOGLETRANSLATE($A4642,""en"",""ja"")"),"スコーネ郡")</f>
        <v>スコーネ郡</v>
      </c>
      <c r="I4642" s="9" t="str">
        <f>IFERROR(__xludf.DUMMYFUNCTION("GOOGLETRANSLATE($A4642,""en"",""ko"")"),"스코네 카운티")</f>
        <v>스코네 카운티</v>
      </c>
      <c r="J4642" s="9" t="str">
        <f>IFERROR(__xludf.DUMMYFUNCTION("GOOGLETRANSLATE($A4642,""en"",""pt-BR"")"),"Condado de Escânia")</f>
        <v>Condado de Escânia</v>
      </c>
    </row>
    <row r="4643">
      <c r="A4643" s="9" t="str">
        <f>IFERROR(__xludf.DUMMYFUNCTION("""COMPUTED_VALUE"""),"Jönköpings County")</f>
        <v>Jönköpings County</v>
      </c>
      <c r="B4643" s="9" t="str">
        <f>IFERROR(__xludf.DUMMYFUNCTION("""COMPUTED_VALUE"""),"se-f")</f>
        <v>se-f</v>
      </c>
      <c r="C4643" s="9" t="str">
        <f>IFERROR(__xludf.DUMMYFUNCTION("GOOGLETRANSLATE($A4643,""en"",""de"")"),"Jönköpings Kreis")</f>
        <v>Jönköpings Kreis</v>
      </c>
      <c r="D4643" s="9" t="str">
        <f>IFERROR(__xludf.DUMMYFUNCTION("GOOGLETRANSLATE($A4643,""en"",""fr"")"),"Comté de Jönkopings")</f>
        <v>Comté de Jönkopings</v>
      </c>
      <c r="E4643" s="9" t="str">
        <f>IFERROR(__xludf.DUMMYFUNCTION("GOOGLETRANSLATE($A4643,""en"",""es"")"),"Condado de Jönköpings")</f>
        <v>Condado de Jönköpings</v>
      </c>
      <c r="F4643" s="9" t="str">
        <f>IFERROR(__xludf.DUMMYFUNCTION("GOOGLETRANSLATE($A4643,""en"",""it"")"),"Contea di Jönköpings")</f>
        <v>Contea di Jönköpings</v>
      </c>
      <c r="G4643" s="9" t="str">
        <f>IFERROR(__xludf.DUMMYFUNCTION("GOOGLETRANSLATE($A4643,""en"",""zh-cn"")"),"延雪平县")</f>
        <v>延雪平县</v>
      </c>
      <c r="H4643" s="9" t="str">
        <f>IFERROR(__xludf.DUMMYFUNCTION("GOOGLETRANSLATE($A4643,""en"",""ja"")"),"ヨンショーピングス県")</f>
        <v>ヨンショーピングス県</v>
      </c>
      <c r="I4643" s="9" t="str">
        <f>IFERROR(__xludf.DUMMYFUNCTION("GOOGLETRANSLATE($A4643,""en"",""ko"")"),"옌셰핑스 카운티")</f>
        <v>옌셰핑스 카운티</v>
      </c>
      <c r="J4643" s="9" t="str">
        <f>IFERROR(__xludf.DUMMYFUNCTION("GOOGLETRANSLATE($A4643,""en"",""pt-BR"")"),"Condado de Jonkopings")</f>
        <v>Condado de Jonkopings</v>
      </c>
    </row>
    <row r="4644">
      <c r="A4644" s="9" t="str">
        <f>IFERROR(__xludf.DUMMYFUNCTION("""COMPUTED_VALUE"""),"Kalmar County")</f>
        <v>Kalmar County</v>
      </c>
      <c r="B4644" s="9" t="str">
        <f>IFERROR(__xludf.DUMMYFUNCTION("""COMPUTED_VALUE"""),"se-h")</f>
        <v>se-h</v>
      </c>
      <c r="C4644" s="9" t="str">
        <f>IFERROR(__xludf.DUMMYFUNCTION("GOOGLETRANSLATE($A4644,""en"",""de"")"),"Kreis Kalmar")</f>
        <v>Kreis Kalmar</v>
      </c>
      <c r="D4644" s="9" t="str">
        <f>IFERROR(__xludf.DUMMYFUNCTION("GOOGLETRANSLATE($A4644,""en"",""fr"")"),"Comté de Kalmar")</f>
        <v>Comté de Kalmar</v>
      </c>
      <c r="E4644" s="9" t="str">
        <f>IFERROR(__xludf.DUMMYFUNCTION("GOOGLETRANSLATE($A4644,""en"",""es"")"),"Condado de Kalmar")</f>
        <v>Condado de Kalmar</v>
      </c>
      <c r="F4644" s="9" t="str">
        <f>IFERROR(__xludf.DUMMYFUNCTION("GOOGLETRANSLATE($A4644,""en"",""it"")"),"Contea di Kalmar")</f>
        <v>Contea di Kalmar</v>
      </c>
      <c r="G4644" s="9" t="str">
        <f>IFERROR(__xludf.DUMMYFUNCTION("GOOGLETRANSLATE($A4644,""en"",""zh-cn"")"),"卡尔马县")</f>
        <v>卡尔马县</v>
      </c>
      <c r="H4644" s="9" t="str">
        <f>IFERROR(__xludf.DUMMYFUNCTION("GOOGLETRANSLATE($A4644,""en"",""ja"")"),"カルマル県")</f>
        <v>カルマル県</v>
      </c>
      <c r="I4644" s="9" t="str">
        <f>IFERROR(__xludf.DUMMYFUNCTION("GOOGLETRANSLATE($A4644,""en"",""ko"")"),"칼마르 카운티")</f>
        <v>칼마르 카운티</v>
      </c>
      <c r="J4644" s="9" t="str">
        <f>IFERROR(__xludf.DUMMYFUNCTION("GOOGLETRANSLATE($A4644,""en"",""pt-BR"")"),"Condado de Kalmar")</f>
        <v>Condado de Kalmar</v>
      </c>
    </row>
    <row r="4645">
      <c r="A4645" s="9" t="str">
        <f>IFERROR(__xludf.DUMMYFUNCTION("""COMPUTED_VALUE"""),"Kronobergs County")</f>
        <v>Kronobergs County</v>
      </c>
      <c r="B4645" s="9" t="str">
        <f>IFERROR(__xludf.DUMMYFUNCTION("""COMPUTED_VALUE"""),"se-g")</f>
        <v>se-g</v>
      </c>
      <c r="C4645" s="9" t="str">
        <f>IFERROR(__xludf.DUMMYFUNCTION("GOOGLETRANSLATE($A4645,""en"",""de"")"),"Kreis Kronobergs")</f>
        <v>Kreis Kronobergs</v>
      </c>
      <c r="D4645" s="9" t="str">
        <f>IFERROR(__xludf.DUMMYFUNCTION("GOOGLETRANSLATE($A4645,""en"",""fr"")"),"Comté de Kronobergs")</f>
        <v>Comté de Kronobergs</v>
      </c>
      <c r="E4645" s="9" t="str">
        <f>IFERROR(__xludf.DUMMYFUNCTION("GOOGLETRANSLATE($A4645,""en"",""es"")"),"Condado de Kronoberg")</f>
        <v>Condado de Kronoberg</v>
      </c>
      <c r="F4645" s="9" t="str">
        <f>IFERROR(__xludf.DUMMYFUNCTION("GOOGLETRANSLATE($A4645,""en"",""it"")"),"Contea di Kronobergs")</f>
        <v>Contea di Kronobergs</v>
      </c>
      <c r="G4645" s="9" t="str">
        <f>IFERROR(__xludf.DUMMYFUNCTION("GOOGLETRANSLATE($A4645,""en"",""zh-cn"")"),"克鲁努贝里县")</f>
        <v>克鲁努贝里县</v>
      </c>
      <c r="H4645" s="9" t="str">
        <f>IFERROR(__xludf.DUMMYFUNCTION("GOOGLETRANSLATE($A4645,""en"",""ja"")"),"クロノバーグ郡")</f>
        <v>クロノバーグ郡</v>
      </c>
      <c r="I4645" s="9" t="str">
        <f>IFERROR(__xludf.DUMMYFUNCTION("GOOGLETRANSLATE($A4645,""en"",""ko"")"),"크로노버그 카운티")</f>
        <v>크로노버그 카운티</v>
      </c>
      <c r="J4645" s="9" t="str">
        <f>IFERROR(__xludf.DUMMYFUNCTION("GOOGLETRANSLATE($A4645,""en"",""pt-BR"")"),"Condado de Kronobergs")</f>
        <v>Condado de Kronobergs</v>
      </c>
    </row>
    <row r="4646">
      <c r="A4646" s="9" t="str">
        <f>IFERROR(__xludf.DUMMYFUNCTION("""COMPUTED_VALUE"""),"Norrbottens County")</f>
        <v>Norrbottens County</v>
      </c>
      <c r="B4646" s="9" t="str">
        <f>IFERROR(__xludf.DUMMYFUNCTION("""COMPUTED_VALUE"""),"se-bd")</f>
        <v>se-bd</v>
      </c>
      <c r="C4646" s="9" t="str">
        <f>IFERROR(__xludf.DUMMYFUNCTION("GOOGLETRANSLATE($A4646,""en"",""de"")"),"Norrbottens County")</f>
        <v>Norrbottens County</v>
      </c>
      <c r="D4646" s="9" t="str">
        <f>IFERROR(__xludf.DUMMYFUNCTION("GOOGLETRANSLATE($A4646,""en"",""fr"")"),"Comté de Norbottens")</f>
        <v>Comté de Norbottens</v>
      </c>
      <c r="E4646" s="9" t="str">
        <f>IFERROR(__xludf.DUMMYFUNCTION("GOOGLETRANSLATE($A4646,""en"",""es"")"),"Condado de Norbotnia")</f>
        <v>Condado de Norbotnia</v>
      </c>
      <c r="F4646" s="9" t="str">
        <f>IFERROR(__xludf.DUMMYFUNCTION("GOOGLETRANSLATE($A4646,""en"",""it"")"),"Contea di Norrbottens")</f>
        <v>Contea di Norrbottens</v>
      </c>
      <c r="G4646" s="9" t="str">
        <f>IFERROR(__xludf.DUMMYFUNCTION("GOOGLETRANSLATE($A4646,""en"",""zh-cn"")"),"北博滕斯县")</f>
        <v>北博滕斯县</v>
      </c>
      <c r="H4646" s="9" t="str">
        <f>IFERROR(__xludf.DUMMYFUNCTION("GOOGLETRANSLATE($A4646,""en"",""ja"")"),"ノールボッテンス郡")</f>
        <v>ノールボッテンス郡</v>
      </c>
      <c r="I4646" s="9" t="str">
        <f>IFERROR(__xludf.DUMMYFUNCTION("GOOGLETRANSLATE($A4646,""en"",""ko"")"),"노르보텐스 카운티")</f>
        <v>노르보텐스 카운티</v>
      </c>
      <c r="J4646" s="9" t="str">
        <f>IFERROR(__xludf.DUMMYFUNCTION("GOOGLETRANSLATE($A4646,""en"",""pt-BR"")"),"Condado de Norrbottens")</f>
        <v>Condado de Norrbottens</v>
      </c>
    </row>
    <row r="4647">
      <c r="A4647" s="9" t="str">
        <f>IFERROR(__xludf.DUMMYFUNCTION("""COMPUTED_VALUE"""),"Zug")</f>
        <v>Zug</v>
      </c>
      <c r="B4647" s="9" t="str">
        <f>IFERROR(__xludf.DUMMYFUNCTION("""COMPUTED_VALUE"""),"ch-zg")</f>
        <v>ch-zg</v>
      </c>
      <c r="C4647" s="9" t="str">
        <f>IFERROR(__xludf.DUMMYFUNCTION("GOOGLETRANSLATE($A4647,""en"",""de"")"),"Zug")</f>
        <v>Zug</v>
      </c>
      <c r="D4647" s="9" t="str">
        <f>IFERROR(__xludf.DUMMYFUNCTION("GOOGLETRANSLATE($A4647,""en"",""fr"")"),"Zoug")</f>
        <v>Zoug</v>
      </c>
      <c r="E4647" s="9" t="str">
        <f>IFERROR(__xludf.DUMMYFUNCTION("GOOGLETRANSLATE($A4647,""en"",""es"")"),"Zug")</f>
        <v>Zug</v>
      </c>
      <c r="F4647" s="9" t="str">
        <f>IFERROR(__xludf.DUMMYFUNCTION("GOOGLETRANSLATE($A4647,""en"",""it"")"),"Zugo")</f>
        <v>Zugo</v>
      </c>
      <c r="G4647" s="9" t="str">
        <f>IFERROR(__xludf.DUMMYFUNCTION("GOOGLETRANSLATE($A4647,""en"",""zh-cn"")"),"楚格")</f>
        <v>楚格</v>
      </c>
      <c r="H4647" s="9" t="str">
        <f>IFERROR(__xludf.DUMMYFUNCTION("GOOGLETRANSLATE($A4647,""en"",""ja"")"),"ツーク")</f>
        <v>ツーク</v>
      </c>
      <c r="I4647" s="9" t="str">
        <f>IFERROR(__xludf.DUMMYFUNCTION("GOOGLETRANSLATE($A4647,""en"",""ko"")"),"추크")</f>
        <v>추크</v>
      </c>
      <c r="J4647" s="9" t="str">
        <f>IFERROR(__xludf.DUMMYFUNCTION("GOOGLETRANSLATE($A4647,""en"",""pt-BR"")"),"Zugo")</f>
        <v>Zugo</v>
      </c>
    </row>
    <row r="4648">
      <c r="A4648" s="9" t="str">
        <f>IFERROR(__xludf.DUMMYFUNCTION("""COMPUTED_VALUE"""),"Zürich")</f>
        <v>Zürich</v>
      </c>
      <c r="B4648" s="9" t="str">
        <f>IFERROR(__xludf.DUMMYFUNCTION("""COMPUTED_VALUE"""),"ch-zh")</f>
        <v>ch-zh</v>
      </c>
      <c r="C4648" s="9" t="str">
        <f>IFERROR(__xludf.DUMMYFUNCTION("GOOGLETRANSLATE($A4648,""en"",""de"")"),"Zürich")</f>
        <v>Zürich</v>
      </c>
      <c r="D4648" s="9" t="str">
        <f>IFERROR(__xludf.DUMMYFUNCTION("GOOGLETRANSLATE($A4648,""en"",""fr"")"),"Zurich")</f>
        <v>Zurich</v>
      </c>
      <c r="E4648" s="9" t="str">
        <f>IFERROR(__xludf.DUMMYFUNCTION("GOOGLETRANSLATE($A4648,""en"",""es"")"),"Zúrich")</f>
        <v>Zúrich</v>
      </c>
      <c r="F4648" s="9" t="str">
        <f>IFERROR(__xludf.DUMMYFUNCTION("GOOGLETRANSLATE($A4648,""en"",""it"")"),"Zurigo")</f>
        <v>Zurigo</v>
      </c>
      <c r="G4648" s="9" t="str">
        <f>IFERROR(__xludf.DUMMYFUNCTION("GOOGLETRANSLATE($A4648,""en"",""zh-cn"")"),"苏黎世")</f>
        <v>苏黎世</v>
      </c>
      <c r="H4648" s="9" t="str">
        <f>IFERROR(__xludf.DUMMYFUNCTION("GOOGLETRANSLATE($A4648,""en"",""ja"")"),"チューリッヒ")</f>
        <v>チューリッヒ</v>
      </c>
      <c r="I4648" s="9" t="str">
        <f>IFERROR(__xludf.DUMMYFUNCTION("GOOGLETRANSLATE($A4648,""en"",""ko"")"),"취리히")</f>
        <v>취리히</v>
      </c>
      <c r="J4648" s="9" t="str">
        <f>IFERROR(__xludf.DUMMYFUNCTION("GOOGLETRANSLATE($A4648,""en"",""pt-BR"")"),"Zurique")</f>
        <v>Zurique</v>
      </c>
    </row>
    <row r="4649">
      <c r="A4649" s="9" t="str">
        <f>IFERROR(__xludf.DUMMYFUNCTION("""COMPUTED_VALUE"""),"Ticino")</f>
        <v>Ticino</v>
      </c>
      <c r="B4649" s="9" t="str">
        <f>IFERROR(__xludf.DUMMYFUNCTION("""COMPUTED_VALUE"""),"ch-ti")</f>
        <v>ch-ti</v>
      </c>
      <c r="C4649" s="9" t="str">
        <f>IFERROR(__xludf.DUMMYFUNCTION("GOOGLETRANSLATE($A4649,""en"",""de"")"),"Tessin")</f>
        <v>Tessin</v>
      </c>
      <c r="D4649" s="9" t="str">
        <f>IFERROR(__xludf.DUMMYFUNCTION("GOOGLETRANSLATE($A4649,""en"",""fr"")"),"Tessin")</f>
        <v>Tessin</v>
      </c>
      <c r="E4649" s="9" t="str">
        <f>IFERROR(__xludf.DUMMYFUNCTION("GOOGLETRANSLATE($A4649,""en"",""es"")"),"Tesino")</f>
        <v>Tesino</v>
      </c>
      <c r="F4649" s="9" t="str">
        <f>IFERROR(__xludf.DUMMYFUNCTION("GOOGLETRANSLATE($A4649,""en"",""it"")"),"Ticino")</f>
        <v>Ticino</v>
      </c>
      <c r="G4649" s="9" t="str">
        <f>IFERROR(__xludf.DUMMYFUNCTION("GOOGLETRANSLATE($A4649,""en"",""zh-cn"")"),"提契诺州")</f>
        <v>提契诺州</v>
      </c>
      <c r="H4649" s="9" t="str">
        <f>IFERROR(__xludf.DUMMYFUNCTION("GOOGLETRANSLATE($A4649,""en"",""ja"")"),"ティチーノ州")</f>
        <v>ティチーノ州</v>
      </c>
      <c r="I4649" s="9" t="str">
        <f>IFERROR(__xludf.DUMMYFUNCTION("GOOGLETRANSLATE($A4649,""en"",""ko"")"),"티치노")</f>
        <v>티치노</v>
      </c>
      <c r="J4649" s="9" t="str">
        <f>IFERROR(__xludf.DUMMYFUNCTION("GOOGLETRANSLATE($A4649,""en"",""pt-BR"")"),"Ticino")</f>
        <v>Ticino</v>
      </c>
    </row>
    <row r="4650">
      <c r="A4650" s="9" t="str">
        <f>IFERROR(__xludf.DUMMYFUNCTION("""COMPUTED_VALUE"""),"Uri")</f>
        <v>Uri</v>
      </c>
      <c r="B4650" s="9" t="str">
        <f>IFERROR(__xludf.DUMMYFUNCTION("""COMPUTED_VALUE"""),"ch-ur")</f>
        <v>ch-ur</v>
      </c>
      <c r="C4650" s="9" t="str">
        <f>IFERROR(__xludf.DUMMYFUNCTION("GOOGLETRANSLATE($A4650,""en"",""de"")"),"Uri")</f>
        <v>Uri</v>
      </c>
      <c r="D4650" s="9" t="str">
        <f>IFERROR(__xludf.DUMMYFUNCTION("GOOGLETRANSLATE($A4650,""en"",""fr"")"),"Uri")</f>
        <v>Uri</v>
      </c>
      <c r="E4650" s="9" t="str">
        <f>IFERROR(__xludf.DUMMYFUNCTION("GOOGLETRANSLATE($A4650,""en"",""es"")"),"uri")</f>
        <v>uri</v>
      </c>
      <c r="F4650" s="9" t="str">
        <f>IFERROR(__xludf.DUMMYFUNCTION("GOOGLETRANSLATE($A4650,""en"",""it"")"),"Uri")</f>
        <v>Uri</v>
      </c>
      <c r="G4650" s="9" t="str">
        <f>IFERROR(__xludf.DUMMYFUNCTION("GOOGLETRANSLATE($A4650,""en"",""zh-cn"")"),"乌里")</f>
        <v>乌里</v>
      </c>
      <c r="H4650" s="9" t="str">
        <f>IFERROR(__xludf.DUMMYFUNCTION("GOOGLETRANSLATE($A4650,""en"",""ja"")"),"ウリ")</f>
        <v>ウリ</v>
      </c>
      <c r="I4650" s="9" t="str">
        <f>IFERROR(__xludf.DUMMYFUNCTION("GOOGLETRANSLATE($A4650,""en"",""ko"")"),"우리")</f>
        <v>우리</v>
      </c>
      <c r="J4650" s="9" t="str">
        <f>IFERROR(__xludf.DUMMYFUNCTION("GOOGLETRANSLATE($A4650,""en"",""pt-BR"")"),"Uri")</f>
        <v>Uri</v>
      </c>
    </row>
    <row r="4651">
      <c r="A4651" s="9" t="str">
        <f>IFERROR(__xludf.DUMMYFUNCTION("""COMPUTED_VALUE"""),"Valais")</f>
        <v>Valais</v>
      </c>
      <c r="B4651" s="9" t="str">
        <f>IFERROR(__xludf.DUMMYFUNCTION("""COMPUTED_VALUE"""),"ch-vs")</f>
        <v>ch-vs</v>
      </c>
      <c r="C4651" s="9" t="str">
        <f>IFERROR(__xludf.DUMMYFUNCTION("GOOGLETRANSLATE($A4651,""en"",""de"")"),"Wallis")</f>
        <v>Wallis</v>
      </c>
      <c r="D4651" s="9" t="str">
        <f>IFERROR(__xludf.DUMMYFUNCTION("GOOGLETRANSLATE($A4651,""en"",""fr"")"),"Valais")</f>
        <v>Valais</v>
      </c>
      <c r="E4651" s="9" t="str">
        <f>IFERROR(__xludf.DUMMYFUNCTION("GOOGLETRANSLATE($A4651,""en"",""es"")"),"Valais")</f>
        <v>Valais</v>
      </c>
      <c r="F4651" s="9" t="str">
        <f>IFERROR(__xludf.DUMMYFUNCTION("GOOGLETRANSLATE($A4651,""en"",""it"")"),"Vallese")</f>
        <v>Vallese</v>
      </c>
      <c r="G4651" s="9" t="str">
        <f>IFERROR(__xludf.DUMMYFUNCTION("GOOGLETRANSLATE($A4651,""en"",""zh-cn"")"),"瓦莱州")</f>
        <v>瓦莱州</v>
      </c>
      <c r="H4651" s="9" t="str">
        <f>IFERROR(__xludf.DUMMYFUNCTION("GOOGLETRANSLATE($A4651,""en"",""ja"")"),"ヴァレー州")</f>
        <v>ヴァレー州</v>
      </c>
      <c r="I4651" s="9" t="str">
        <f>IFERROR(__xludf.DUMMYFUNCTION("GOOGLETRANSLATE($A4651,""en"",""ko"")"),"발레")</f>
        <v>발레</v>
      </c>
      <c r="J4651" s="9" t="str">
        <f>IFERROR(__xludf.DUMMYFUNCTION("GOOGLETRANSLATE($A4651,""en"",""pt-BR"")"),"Valais")</f>
        <v>Valais</v>
      </c>
    </row>
    <row r="4652">
      <c r="A4652" s="9" t="str">
        <f>IFERROR(__xludf.DUMMYFUNCTION("""COMPUTED_VALUE"""),"Vaud")</f>
        <v>Vaud</v>
      </c>
      <c r="B4652" s="9" t="str">
        <f>IFERROR(__xludf.DUMMYFUNCTION("""COMPUTED_VALUE"""),"ch-vd")</f>
        <v>ch-vd</v>
      </c>
      <c r="C4652" s="9" t="str">
        <f>IFERROR(__xludf.DUMMYFUNCTION("GOOGLETRANSLATE($A4652,""en"",""de"")"),"Waadt")</f>
        <v>Waadt</v>
      </c>
      <c r="D4652" s="9" t="str">
        <f>IFERROR(__xludf.DUMMYFUNCTION("GOOGLETRANSLATE($A4652,""en"",""fr"")"),"Vaudois")</f>
        <v>Vaudois</v>
      </c>
      <c r="E4652" s="9" t="str">
        <f>IFERROR(__xludf.DUMMYFUNCTION("GOOGLETRANSLATE($A4652,""en"",""es"")"),"Vaud")</f>
        <v>Vaud</v>
      </c>
      <c r="F4652" s="9" t="str">
        <f>IFERROR(__xludf.DUMMYFUNCTION("GOOGLETRANSLATE($A4652,""en"",""it"")"),"Vaud")</f>
        <v>Vaud</v>
      </c>
      <c r="G4652" s="9" t="str">
        <f>IFERROR(__xludf.DUMMYFUNCTION("GOOGLETRANSLATE($A4652,""en"",""zh-cn"")"),"沃州")</f>
        <v>沃州</v>
      </c>
      <c r="H4652" s="9" t="str">
        <f>IFERROR(__xludf.DUMMYFUNCTION("GOOGLETRANSLATE($A4652,""en"",""ja"")"),"ヴォー")</f>
        <v>ヴォー</v>
      </c>
      <c r="I4652" s="9" t="str">
        <f>IFERROR(__xludf.DUMMYFUNCTION("GOOGLETRANSLATE($A4652,""en"",""ko"")"),"보")</f>
        <v>보</v>
      </c>
      <c r="J4652" s="9" t="str">
        <f>IFERROR(__xludf.DUMMYFUNCTION("GOOGLETRANSLATE($A4652,""en"",""pt-BR"")"),"Vaud")</f>
        <v>Vaud</v>
      </c>
    </row>
    <row r="4653">
      <c r="A4653" s="9" t="str">
        <f>IFERROR(__xludf.DUMMYFUNCTION("""COMPUTED_VALUE"""),"Aargau")</f>
        <v>Aargau</v>
      </c>
      <c r="B4653" s="9" t="str">
        <f>IFERROR(__xludf.DUMMYFUNCTION("""COMPUTED_VALUE"""),"ch-ag")</f>
        <v>ch-ag</v>
      </c>
      <c r="C4653" s="9" t="str">
        <f>IFERROR(__xludf.DUMMYFUNCTION("GOOGLETRANSLATE($A4653,""en"",""de"")"),"Aargau")</f>
        <v>Aargau</v>
      </c>
      <c r="D4653" s="9" t="str">
        <f>IFERROR(__xludf.DUMMYFUNCTION("GOOGLETRANSLATE($A4653,""en"",""fr"")"),"Argovie")</f>
        <v>Argovie</v>
      </c>
      <c r="E4653" s="9" t="str">
        <f>IFERROR(__xludf.DUMMYFUNCTION("GOOGLETRANSLATE($A4653,""en"",""es"")"),"Argovia")</f>
        <v>Argovia</v>
      </c>
      <c r="F4653" s="9" t="str">
        <f>IFERROR(__xludf.DUMMYFUNCTION("GOOGLETRANSLATE($A4653,""en"",""it"")"),"Argovia")</f>
        <v>Argovia</v>
      </c>
      <c r="G4653" s="9" t="str">
        <f>IFERROR(__xludf.DUMMYFUNCTION("GOOGLETRANSLATE($A4653,""en"",""zh-cn"")"),"阿尔高")</f>
        <v>阿尔高</v>
      </c>
      <c r="H4653" s="9" t="str">
        <f>IFERROR(__xludf.DUMMYFUNCTION("GOOGLETRANSLATE($A4653,""en"",""ja"")"),"アールガウ州")</f>
        <v>アールガウ州</v>
      </c>
      <c r="I4653" s="9" t="str">
        <f>IFERROR(__xludf.DUMMYFUNCTION("GOOGLETRANSLATE($A4653,""en"",""ko"")"),"아르가우")</f>
        <v>아르가우</v>
      </c>
      <c r="J4653" s="9" t="str">
        <f>IFERROR(__xludf.DUMMYFUNCTION("GOOGLETRANSLATE($A4653,""en"",""pt-BR"")"),"Argóvia")</f>
        <v>Argóvia</v>
      </c>
    </row>
    <row r="4654">
      <c r="A4654" s="9" t="str">
        <f>IFERROR(__xludf.DUMMYFUNCTION("""COMPUTED_VALUE"""),"Appenzell Ausserrhoden")</f>
        <v>Appenzell Ausserrhoden</v>
      </c>
      <c r="B4654" s="9" t="str">
        <f>IFERROR(__xludf.DUMMYFUNCTION("""COMPUTED_VALUE"""),"ch-ar")</f>
        <v>ch-ar</v>
      </c>
      <c r="C4654" s="9" t="str">
        <f>IFERROR(__xludf.DUMMYFUNCTION("GOOGLETRANSLATE($A4654,""en"",""de"")"),"Appenzell Ausserrhoden")</f>
        <v>Appenzell Ausserrhoden</v>
      </c>
      <c r="D4654" s="9" t="str">
        <f>IFERROR(__xludf.DUMMYFUNCTION("GOOGLETRANSLATE($A4654,""en"",""fr"")"),"Appenzell Rhodes-Extérieures")</f>
        <v>Appenzell Rhodes-Extérieures</v>
      </c>
      <c r="E4654" s="9" t="str">
        <f>IFERROR(__xludf.DUMMYFUNCTION("GOOGLETRANSLATE($A4654,""en"",""es"")"),"Appenzell Rodas Exteriores")</f>
        <v>Appenzell Rodas Exteriores</v>
      </c>
      <c r="F4654" s="9" t="str">
        <f>IFERROR(__xludf.DUMMYFUNCTION("GOOGLETRANSLATE($A4654,""en"",""it"")"),"Appenzello Esterno")</f>
        <v>Appenzello Esterno</v>
      </c>
      <c r="G4654" s="9" t="str">
        <f>IFERROR(__xludf.DUMMYFUNCTION("GOOGLETRANSLATE($A4654,""en"",""zh-cn"")"),"外阿彭策尔州")</f>
        <v>外阿彭策尔州</v>
      </c>
      <c r="H4654" s="9" t="str">
        <f>IFERROR(__xludf.DUMMYFUNCTION("GOOGLETRANSLATE($A4654,""en"",""ja"")"),"アッペンツェル オーサーローデン")</f>
        <v>アッペンツェル オーサーローデン</v>
      </c>
      <c r="I4654" s="9" t="str">
        <f>IFERROR(__xludf.DUMMYFUNCTION("GOOGLETRANSLATE($A4654,""en"",""ko"")"),"아펜첼 아우세로덴")</f>
        <v>아펜첼 아우세로덴</v>
      </c>
      <c r="J4654" s="9" t="str">
        <f>IFERROR(__xludf.DUMMYFUNCTION("GOOGLETRANSLATE($A4654,""en"",""pt-BR"")"),"Appenzell Ausserrhoden")</f>
        <v>Appenzell Ausserrhoden</v>
      </c>
    </row>
    <row r="4655">
      <c r="A4655" s="9" t="str">
        <f>IFERROR(__xludf.DUMMYFUNCTION("""COMPUTED_VALUE"""),"Obwalden")</f>
        <v>Obwalden</v>
      </c>
      <c r="B4655" s="9" t="str">
        <f>IFERROR(__xludf.DUMMYFUNCTION("""COMPUTED_VALUE"""),"ch-ow")</f>
        <v>ch-ow</v>
      </c>
      <c r="C4655" s="9" t="str">
        <f>IFERROR(__xludf.DUMMYFUNCTION("GOOGLETRANSLATE($A4655,""en"",""de"")"),"Obwalden")</f>
        <v>Obwalden</v>
      </c>
      <c r="D4655" s="9" t="str">
        <f>IFERROR(__xludf.DUMMYFUNCTION("GOOGLETRANSLATE($A4655,""en"",""fr"")"),"Obwald")</f>
        <v>Obwald</v>
      </c>
      <c r="E4655" s="9" t="str">
        <f>IFERROR(__xludf.DUMMYFUNCTION("GOOGLETRANSLATE($A4655,""en"",""es"")"),"Obwalden")</f>
        <v>Obwalden</v>
      </c>
      <c r="F4655" s="9" t="str">
        <f>IFERROR(__xludf.DUMMYFUNCTION("GOOGLETRANSLATE($A4655,""en"",""it"")"),"Obvaldo")</f>
        <v>Obvaldo</v>
      </c>
      <c r="G4655" s="9" t="str">
        <f>IFERROR(__xludf.DUMMYFUNCTION("GOOGLETRANSLATE($A4655,""en"",""zh-cn"")"),"上瓦尔登")</f>
        <v>上瓦尔登</v>
      </c>
      <c r="H4655" s="9" t="str">
        <f>IFERROR(__xludf.DUMMYFUNCTION("GOOGLETRANSLATE($A4655,""en"",""ja"")"),"オブヴァルデン")</f>
        <v>オブヴァルデン</v>
      </c>
      <c r="I4655" s="9" t="str">
        <f>IFERROR(__xludf.DUMMYFUNCTION("GOOGLETRANSLATE($A4655,""en"",""ko"")"),"오브발덴")</f>
        <v>오브발덴</v>
      </c>
      <c r="J4655" s="9" t="str">
        <f>IFERROR(__xludf.DUMMYFUNCTION("GOOGLETRANSLATE($A4655,""en"",""pt-BR"")"),"Obwalden")</f>
        <v>Obwalden</v>
      </c>
    </row>
    <row r="4656">
      <c r="A4656" s="9" t="str">
        <f>IFERROR(__xludf.DUMMYFUNCTION("""COMPUTED_VALUE"""),"St. Gallen")</f>
        <v>St. Gallen</v>
      </c>
      <c r="B4656" s="9" t="str">
        <f>IFERROR(__xludf.DUMMYFUNCTION("""COMPUTED_VALUE"""),"ch-sg")</f>
        <v>ch-sg</v>
      </c>
      <c r="C4656" s="9" t="str">
        <f>IFERROR(__xludf.DUMMYFUNCTION("GOOGLETRANSLATE($A4656,""en"",""de"")"),"St. Gallen")</f>
        <v>St. Gallen</v>
      </c>
      <c r="D4656" s="9" t="str">
        <f>IFERROR(__xludf.DUMMYFUNCTION("GOOGLETRANSLATE($A4656,""en"",""fr"")"),"Saint-Gall")</f>
        <v>Saint-Gall</v>
      </c>
      <c r="E4656" s="9" t="str">
        <f>IFERROR(__xludf.DUMMYFUNCTION("GOOGLETRANSLATE($A4656,""en"",""es"")"),"San Galo")</f>
        <v>San Galo</v>
      </c>
      <c r="F4656" s="9" t="str">
        <f>IFERROR(__xludf.DUMMYFUNCTION("GOOGLETRANSLATE($A4656,""en"",""it"")"),"San Gallo")</f>
        <v>San Gallo</v>
      </c>
      <c r="G4656" s="9" t="str">
        <f>IFERROR(__xludf.DUMMYFUNCTION("GOOGLETRANSLATE($A4656,""en"",""zh-cn"")"),"圣加仑")</f>
        <v>圣加仑</v>
      </c>
      <c r="H4656" s="9" t="str">
        <f>IFERROR(__xludf.DUMMYFUNCTION("GOOGLETRANSLATE($A4656,""en"",""ja"")"),"サンクトガレン")</f>
        <v>サンクトガレン</v>
      </c>
      <c r="I4656" s="9" t="str">
        <f>IFERROR(__xludf.DUMMYFUNCTION("GOOGLETRANSLATE($A4656,""en"",""ko"")"),"세인트 갈렌")</f>
        <v>세인트 갈렌</v>
      </c>
      <c r="J4656" s="9" t="str">
        <f>IFERROR(__xludf.DUMMYFUNCTION("GOOGLETRANSLATE($A4656,""en"",""pt-BR"")"),"São Galo")</f>
        <v>São Galo</v>
      </c>
    </row>
    <row r="4657">
      <c r="A4657" s="9" t="str">
        <f>IFERROR(__xludf.DUMMYFUNCTION("""COMPUTED_VALUE"""),"Schaffhausen")</f>
        <v>Schaffhausen</v>
      </c>
      <c r="B4657" s="9" t="str">
        <f>IFERROR(__xludf.DUMMYFUNCTION("""COMPUTED_VALUE"""),"ch-sh")</f>
        <v>ch-sh</v>
      </c>
      <c r="C4657" s="9" t="str">
        <f>IFERROR(__xludf.DUMMYFUNCTION("GOOGLETRANSLATE($A4657,""en"",""de"")"),"Schaffhausen")</f>
        <v>Schaffhausen</v>
      </c>
      <c r="D4657" s="9" t="str">
        <f>IFERROR(__xludf.DUMMYFUNCTION("GOOGLETRANSLATE($A4657,""en"",""fr"")"),"Schaffhouse")</f>
        <v>Schaffhouse</v>
      </c>
      <c r="E4657" s="9" t="str">
        <f>IFERROR(__xludf.DUMMYFUNCTION("GOOGLETRANSLATE($A4657,""en"",""es"")"),"Schaffhausen")</f>
        <v>Schaffhausen</v>
      </c>
      <c r="F4657" s="9" t="str">
        <f>IFERROR(__xludf.DUMMYFUNCTION("GOOGLETRANSLATE($A4657,""en"",""it"")"),"Sciaffusa")</f>
        <v>Sciaffusa</v>
      </c>
      <c r="G4657" s="9" t="str">
        <f>IFERROR(__xludf.DUMMYFUNCTION("GOOGLETRANSLATE($A4657,""en"",""zh-cn"")"),"沙夫豪森")</f>
        <v>沙夫豪森</v>
      </c>
      <c r="H4657" s="9" t="str">
        <f>IFERROR(__xludf.DUMMYFUNCTION("GOOGLETRANSLATE($A4657,""en"",""ja"")"),"シャフハウゼン")</f>
        <v>シャフハウゼン</v>
      </c>
      <c r="I4657" s="9" t="str">
        <f>IFERROR(__xludf.DUMMYFUNCTION("GOOGLETRANSLATE($A4657,""en"",""ko"")"),"샤프하우젠")</f>
        <v>샤프하우젠</v>
      </c>
      <c r="J4657" s="9" t="str">
        <f>IFERROR(__xludf.DUMMYFUNCTION("GOOGLETRANSLATE($A4657,""en"",""pt-BR"")"),"Schaffhausen")</f>
        <v>Schaffhausen</v>
      </c>
    </row>
    <row r="4658">
      <c r="A4658" s="9" t="str">
        <f>IFERROR(__xludf.DUMMYFUNCTION("""COMPUTED_VALUE"""),"Schwyz")</f>
        <v>Schwyz</v>
      </c>
      <c r="B4658" s="9" t="str">
        <f>IFERROR(__xludf.DUMMYFUNCTION("""COMPUTED_VALUE"""),"ch-sz")</f>
        <v>ch-sz</v>
      </c>
      <c r="C4658" s="9" t="str">
        <f>IFERROR(__xludf.DUMMYFUNCTION("GOOGLETRANSLATE($A4658,""en"",""de"")"),"Schwyz")</f>
        <v>Schwyz</v>
      </c>
      <c r="D4658" s="9" t="str">
        <f>IFERROR(__xludf.DUMMYFUNCTION("GOOGLETRANSLATE($A4658,""en"",""fr"")"),"Schwytz")</f>
        <v>Schwytz</v>
      </c>
      <c r="E4658" s="9" t="str">
        <f>IFERROR(__xludf.DUMMYFUNCTION("GOOGLETRANSLATE($A4658,""en"",""es"")"),"Schwyz")</f>
        <v>Schwyz</v>
      </c>
      <c r="F4658" s="9" t="str">
        <f>IFERROR(__xludf.DUMMYFUNCTION("GOOGLETRANSLATE($A4658,""en"",""it"")"),"Svitto")</f>
        <v>Svitto</v>
      </c>
      <c r="G4658" s="9" t="str">
        <f>IFERROR(__xludf.DUMMYFUNCTION("GOOGLETRANSLATE($A4658,""en"",""zh-cn"")"),"施维茨")</f>
        <v>施维茨</v>
      </c>
      <c r="H4658" s="9" t="str">
        <f>IFERROR(__xludf.DUMMYFUNCTION("GOOGLETRANSLATE($A4658,""en"",""ja"")"),"シュヴィーツ")</f>
        <v>シュヴィーツ</v>
      </c>
      <c r="I4658" s="9" t="str">
        <f>IFERROR(__xludf.DUMMYFUNCTION("GOOGLETRANSLATE($A4658,""en"",""ko"")"),"슈비츠")</f>
        <v>슈비츠</v>
      </c>
      <c r="J4658" s="9" t="str">
        <f>IFERROR(__xludf.DUMMYFUNCTION("GOOGLETRANSLATE($A4658,""en"",""pt-BR"")"),"Schwyz")</f>
        <v>Schwyz</v>
      </c>
    </row>
    <row r="4659">
      <c r="A4659" s="9" t="str">
        <f>IFERROR(__xludf.DUMMYFUNCTION("""COMPUTED_VALUE"""),"Canton of Jura")</f>
        <v>Canton of Jura</v>
      </c>
      <c r="B4659" s="9" t="str">
        <f>IFERROR(__xludf.DUMMYFUNCTION("""COMPUTED_VALUE"""),"ch-ju")</f>
        <v>ch-ju</v>
      </c>
      <c r="C4659" s="9" t="str">
        <f>IFERROR(__xludf.DUMMYFUNCTION("GOOGLETRANSLATE($A4659,""en"",""de"")"),"Kanton Jura")</f>
        <v>Kanton Jura</v>
      </c>
      <c r="D4659" s="9" t="str">
        <f>IFERROR(__xludf.DUMMYFUNCTION("GOOGLETRANSLATE($A4659,""en"",""fr"")"),"Canton du Jura")</f>
        <v>Canton du Jura</v>
      </c>
      <c r="E4659" s="9" t="str">
        <f>IFERROR(__xludf.DUMMYFUNCTION("GOOGLETRANSLATE($A4659,""en"",""es"")"),"Cantón del Jura")</f>
        <v>Cantón del Jura</v>
      </c>
      <c r="F4659" s="9" t="str">
        <f>IFERROR(__xludf.DUMMYFUNCTION("GOOGLETRANSLATE($A4659,""en"",""it"")"),"Canton Giura")</f>
        <v>Canton Giura</v>
      </c>
      <c r="G4659" s="9" t="str">
        <f>IFERROR(__xludf.DUMMYFUNCTION("GOOGLETRANSLATE($A4659,""en"",""zh-cn"")"),"汝拉州")</f>
        <v>汝拉州</v>
      </c>
      <c r="H4659" s="9" t="str">
        <f>IFERROR(__xludf.DUMMYFUNCTION("GOOGLETRANSLATE($A4659,""en"",""ja"")"),"ジュラ州")</f>
        <v>ジュラ州</v>
      </c>
      <c r="I4659" s="9" t="str">
        <f>IFERROR(__xludf.DUMMYFUNCTION("GOOGLETRANSLATE($A4659,""en"",""ko"")"),"쥐라 주")</f>
        <v>쥐라 주</v>
      </c>
      <c r="J4659" s="9" t="str">
        <f>IFERROR(__xludf.DUMMYFUNCTION("GOOGLETRANSLATE($A4659,""en"",""pt-BR"")"),"Cantão do Jura")</f>
        <v>Cantão do Jura</v>
      </c>
    </row>
    <row r="4660">
      <c r="A4660" s="9" t="str">
        <f>IFERROR(__xludf.DUMMYFUNCTION("""COMPUTED_VALUE"""),"Lucerne")</f>
        <v>Lucerne</v>
      </c>
      <c r="B4660" s="9" t="str">
        <f>IFERROR(__xludf.DUMMYFUNCTION("""COMPUTED_VALUE"""),"ch-lu")</f>
        <v>ch-lu</v>
      </c>
      <c r="C4660" s="9" t="str">
        <f>IFERROR(__xludf.DUMMYFUNCTION("GOOGLETRANSLATE($A4660,""en"",""de"")"),"Luzerne")</f>
        <v>Luzerne</v>
      </c>
      <c r="D4660" s="9" t="str">
        <f>IFERROR(__xludf.DUMMYFUNCTION("GOOGLETRANSLATE($A4660,""en"",""fr"")"),"Luzerne")</f>
        <v>Luzerne</v>
      </c>
      <c r="E4660" s="9" t="str">
        <f>IFERROR(__xludf.DUMMYFUNCTION("GOOGLETRANSLATE($A4660,""en"",""es"")"),"Alfalfa")</f>
        <v>Alfalfa</v>
      </c>
      <c r="F4660" s="9" t="str">
        <f>IFERROR(__xludf.DUMMYFUNCTION("GOOGLETRANSLATE($A4660,""en"",""it"")"),"Lucerna")</f>
        <v>Lucerna</v>
      </c>
      <c r="G4660" s="9" t="str">
        <f>IFERROR(__xludf.DUMMYFUNCTION("GOOGLETRANSLATE($A4660,""en"",""zh-cn"")"),"卢塞恩")</f>
        <v>卢塞恩</v>
      </c>
      <c r="H4660" s="9" t="str">
        <f>IFERROR(__xludf.DUMMYFUNCTION("GOOGLETRANSLATE($A4660,""en"",""ja"")"),"ルツェルン")</f>
        <v>ルツェルン</v>
      </c>
      <c r="I4660" s="9" t="str">
        <f>IFERROR(__xludf.DUMMYFUNCTION("GOOGLETRANSLATE($A4660,""en"",""ko"")"),"루체른")</f>
        <v>루체른</v>
      </c>
      <c r="J4660" s="9" t="str">
        <f>IFERROR(__xludf.DUMMYFUNCTION("GOOGLETRANSLATE($A4660,""en"",""pt-BR"")"),"Luzerna")</f>
        <v>Luzerna</v>
      </c>
    </row>
    <row r="4661">
      <c r="A4661" s="9" t="str">
        <f>IFERROR(__xludf.DUMMYFUNCTION("""COMPUTED_VALUE"""),"Neuchâtel")</f>
        <v>Neuchâtel</v>
      </c>
      <c r="B4661" s="9" t="str">
        <f>IFERROR(__xludf.DUMMYFUNCTION("""COMPUTED_VALUE"""),"ch-ne")</f>
        <v>ch-ne</v>
      </c>
      <c r="C4661" s="9" t="str">
        <f>IFERROR(__xludf.DUMMYFUNCTION("GOOGLETRANSLATE($A4661,""en"",""de"")"),"Neuenburg")</f>
        <v>Neuenburg</v>
      </c>
      <c r="D4661" s="9" t="str">
        <f>IFERROR(__xludf.DUMMYFUNCTION("GOOGLETRANSLATE($A4661,""en"",""fr"")"),"Neuchâtel")</f>
        <v>Neuchâtel</v>
      </c>
      <c r="E4661" s="9" t="str">
        <f>IFERROR(__xludf.DUMMYFUNCTION("GOOGLETRANSLATE($A4661,""en"",""es"")"),"Neuchatel")</f>
        <v>Neuchatel</v>
      </c>
      <c r="F4661" s="9" t="str">
        <f>IFERROR(__xludf.DUMMYFUNCTION("GOOGLETRANSLATE($A4661,""en"",""it"")"),"Neuchâtel")</f>
        <v>Neuchâtel</v>
      </c>
      <c r="G4661" s="9" t="str">
        <f>IFERROR(__xludf.DUMMYFUNCTION("GOOGLETRANSLATE($A4661,""en"",""zh-cn"")"),"纳沙泰尔")</f>
        <v>纳沙泰尔</v>
      </c>
      <c r="H4661" s="9" t="str">
        <f>IFERROR(__xludf.DUMMYFUNCTION("GOOGLETRANSLATE($A4661,""en"",""ja"")"),"ヌーシャテル")</f>
        <v>ヌーシャテル</v>
      </c>
      <c r="I4661" s="9" t="str">
        <f>IFERROR(__xludf.DUMMYFUNCTION("GOOGLETRANSLATE($A4661,""en"",""ko"")"),"뉴샤텔")</f>
        <v>뉴샤텔</v>
      </c>
      <c r="J4661" s="9" t="str">
        <f>IFERROR(__xludf.DUMMYFUNCTION("GOOGLETRANSLATE($A4661,""en"",""pt-BR"")"),"Neuchâtel")</f>
        <v>Neuchâtel</v>
      </c>
    </row>
    <row r="4662">
      <c r="A4662" s="9" t="str">
        <f>IFERROR(__xludf.DUMMYFUNCTION("""COMPUTED_VALUE"""),"Nidwalden")</f>
        <v>Nidwalden</v>
      </c>
      <c r="B4662" s="9" t="str">
        <f>IFERROR(__xludf.DUMMYFUNCTION("""COMPUTED_VALUE"""),"ch-nw")</f>
        <v>ch-nw</v>
      </c>
      <c r="C4662" s="9" t="str">
        <f>IFERROR(__xludf.DUMMYFUNCTION("GOOGLETRANSLATE($A4662,""en"",""de"")"),"Nidwalden")</f>
        <v>Nidwalden</v>
      </c>
      <c r="D4662" s="9" t="str">
        <f>IFERROR(__xludf.DUMMYFUNCTION("GOOGLETRANSLATE($A4662,""en"",""fr"")"),"Nidwald")</f>
        <v>Nidwald</v>
      </c>
      <c r="E4662" s="9" t="str">
        <f>IFERROR(__xludf.DUMMYFUNCTION("GOOGLETRANSLATE($A4662,""en"",""es"")"),"Nidwalden")</f>
        <v>Nidwalden</v>
      </c>
      <c r="F4662" s="9" t="str">
        <f>IFERROR(__xludf.DUMMYFUNCTION("GOOGLETRANSLATE($A4662,""en"",""it"")"),"Nidvaldo")</f>
        <v>Nidvaldo</v>
      </c>
      <c r="G4662" s="9" t="str">
        <f>IFERROR(__xludf.DUMMYFUNCTION("GOOGLETRANSLATE($A4662,""en"",""zh-cn"")"),"下瓦尔登州")</f>
        <v>下瓦尔登州</v>
      </c>
      <c r="H4662" s="9" t="str">
        <f>IFERROR(__xludf.DUMMYFUNCTION("GOOGLETRANSLATE($A4662,""en"",""ja"")"),"ニトヴァルデン")</f>
        <v>ニトヴァルデン</v>
      </c>
      <c r="I4662" s="9" t="str">
        <f>IFERROR(__xludf.DUMMYFUNCTION("GOOGLETRANSLATE($A4662,""en"",""ko"")"),"니드발덴")</f>
        <v>니드발덴</v>
      </c>
      <c r="J4662" s="9" t="str">
        <f>IFERROR(__xludf.DUMMYFUNCTION("GOOGLETRANSLATE($A4662,""en"",""pt-BR"")"),"Nidwalden")</f>
        <v>Nidwalden</v>
      </c>
    </row>
    <row r="4663">
      <c r="A4663" s="9" t="str">
        <f>IFERROR(__xludf.DUMMYFUNCTION("""COMPUTED_VALUE"""),"Freiburg")</f>
        <v>Freiburg</v>
      </c>
      <c r="B4663" s="9" t="str">
        <f>IFERROR(__xludf.DUMMYFUNCTION("""COMPUTED_VALUE"""),"ch-fr")</f>
        <v>ch-fr</v>
      </c>
      <c r="C4663" s="9" t="str">
        <f>IFERROR(__xludf.DUMMYFUNCTION("GOOGLETRANSLATE($A4663,""en"",""de"")"),"Freiburg")</f>
        <v>Freiburg</v>
      </c>
      <c r="D4663" s="9" t="str">
        <f>IFERROR(__xludf.DUMMYFUNCTION("GOOGLETRANSLATE($A4663,""en"",""fr"")"),"Fribourg")</f>
        <v>Fribourg</v>
      </c>
      <c r="E4663" s="9" t="str">
        <f>IFERROR(__xludf.DUMMYFUNCTION("GOOGLETRANSLATE($A4663,""en"",""es"")"),"Friburgo")</f>
        <v>Friburgo</v>
      </c>
      <c r="F4663" s="9" t="str">
        <f>IFERROR(__xludf.DUMMYFUNCTION("GOOGLETRANSLATE($A4663,""en"",""it"")"),"Friburgo")</f>
        <v>Friburgo</v>
      </c>
      <c r="G4663" s="9" t="str">
        <f>IFERROR(__xludf.DUMMYFUNCTION("GOOGLETRANSLATE($A4663,""en"",""zh-cn"")"),"弗莱堡")</f>
        <v>弗莱堡</v>
      </c>
      <c r="H4663" s="9" t="str">
        <f>IFERROR(__xludf.DUMMYFUNCTION("GOOGLETRANSLATE($A4663,""en"",""ja"")"),"フライブルク")</f>
        <v>フライブルク</v>
      </c>
      <c r="I4663" s="9" t="str">
        <f>IFERROR(__xludf.DUMMYFUNCTION("GOOGLETRANSLATE($A4663,""en"",""ko"")"),"프라이부르크")</f>
        <v>프라이부르크</v>
      </c>
      <c r="J4663" s="9" t="str">
        <f>IFERROR(__xludf.DUMMYFUNCTION("GOOGLETRANSLATE($A4663,""en"",""pt-BR"")"),"Friburgo")</f>
        <v>Friburgo</v>
      </c>
    </row>
    <row r="4664">
      <c r="A4664" s="9" t="str">
        <f>IFERROR(__xludf.DUMMYFUNCTION("""COMPUTED_VALUE"""),"Geneva")</f>
        <v>Geneva</v>
      </c>
      <c r="B4664" s="9" t="str">
        <f>IFERROR(__xludf.DUMMYFUNCTION("""COMPUTED_VALUE"""),"ch-ge")</f>
        <v>ch-ge</v>
      </c>
      <c r="C4664" s="9" t="str">
        <f>IFERROR(__xludf.DUMMYFUNCTION("GOOGLETRANSLATE($A4664,""en"",""de"")"),"Genf")</f>
        <v>Genf</v>
      </c>
      <c r="D4664" s="9" t="str">
        <f>IFERROR(__xludf.DUMMYFUNCTION("GOOGLETRANSLATE($A4664,""en"",""fr"")"),"Genève")</f>
        <v>Genève</v>
      </c>
      <c r="E4664" s="9" t="str">
        <f>IFERROR(__xludf.DUMMYFUNCTION("GOOGLETRANSLATE($A4664,""en"",""es"")"),"Ginebra")</f>
        <v>Ginebra</v>
      </c>
      <c r="F4664" s="9" t="str">
        <f>IFERROR(__xludf.DUMMYFUNCTION("GOOGLETRANSLATE($A4664,""en"",""it"")"),"Ginevra")</f>
        <v>Ginevra</v>
      </c>
      <c r="G4664" s="9" t="str">
        <f>IFERROR(__xludf.DUMMYFUNCTION("GOOGLETRANSLATE($A4664,""en"",""zh-cn"")"),"日内瓦")</f>
        <v>日内瓦</v>
      </c>
      <c r="H4664" s="9" t="str">
        <f>IFERROR(__xludf.DUMMYFUNCTION("GOOGLETRANSLATE($A4664,""en"",""ja"")"),"ジュネーブ")</f>
        <v>ジュネーブ</v>
      </c>
      <c r="I4664" s="9" t="str">
        <f>IFERROR(__xludf.DUMMYFUNCTION("GOOGLETRANSLATE($A4664,""en"",""ko"")"),"제네바")</f>
        <v>제네바</v>
      </c>
      <c r="J4664" s="9" t="str">
        <f>IFERROR(__xludf.DUMMYFUNCTION("GOOGLETRANSLATE($A4664,""en"",""pt-BR"")"),"Genebra")</f>
        <v>Genebra</v>
      </c>
    </row>
    <row r="4665">
      <c r="A4665" s="9" t="str">
        <f>IFERROR(__xludf.DUMMYFUNCTION("""COMPUTED_VALUE"""),"Glarus")</f>
        <v>Glarus</v>
      </c>
      <c r="B4665" s="9" t="str">
        <f>IFERROR(__xludf.DUMMYFUNCTION("""COMPUTED_VALUE"""),"ch-gl")</f>
        <v>ch-gl</v>
      </c>
      <c r="C4665" s="9" t="str">
        <f>IFERROR(__xludf.DUMMYFUNCTION("GOOGLETRANSLATE($A4665,""en"",""de"")"),"Glarus")</f>
        <v>Glarus</v>
      </c>
      <c r="D4665" s="9" t="str">
        <f>IFERROR(__xludf.DUMMYFUNCTION("GOOGLETRANSLATE($A4665,""en"",""fr"")"),"Glaris")</f>
        <v>Glaris</v>
      </c>
      <c r="E4665" s="9" t="str">
        <f>IFERROR(__xludf.DUMMYFUNCTION("GOOGLETRANSLATE($A4665,""en"",""es"")"),"Glaris")</f>
        <v>Glaris</v>
      </c>
      <c r="F4665" s="9" t="str">
        <f>IFERROR(__xludf.DUMMYFUNCTION("GOOGLETRANSLATE($A4665,""en"",""it"")"),"Glarona")</f>
        <v>Glarona</v>
      </c>
      <c r="G4665" s="9" t="str">
        <f>IFERROR(__xludf.DUMMYFUNCTION("GOOGLETRANSLATE($A4665,""en"",""zh-cn"")"),"格拉鲁斯")</f>
        <v>格拉鲁斯</v>
      </c>
      <c r="H4665" s="9" t="str">
        <f>IFERROR(__xludf.DUMMYFUNCTION("GOOGLETRANSLATE($A4665,""en"",""ja"")"),"グラールス")</f>
        <v>グラールス</v>
      </c>
      <c r="I4665" s="9" t="str">
        <f>IFERROR(__xludf.DUMMYFUNCTION("GOOGLETRANSLATE($A4665,""en"",""ko"")"),"글라루스")</f>
        <v>글라루스</v>
      </c>
      <c r="J4665" s="9" t="str">
        <f>IFERROR(__xludf.DUMMYFUNCTION("GOOGLETRANSLATE($A4665,""en"",""pt-BR"")"),"Glarus")</f>
        <v>Glarus</v>
      </c>
    </row>
    <row r="4666">
      <c r="A4666" s="9" t="str">
        <f>IFERROR(__xludf.DUMMYFUNCTION("""COMPUTED_VALUE"""),"Graubünden")</f>
        <v>Graubünden</v>
      </c>
      <c r="B4666" s="9" t="str">
        <f>IFERROR(__xludf.DUMMYFUNCTION("""COMPUTED_VALUE"""),"ch-gr")</f>
        <v>ch-gr</v>
      </c>
      <c r="C4666" s="9" t="str">
        <f>IFERROR(__xludf.DUMMYFUNCTION("GOOGLETRANSLATE($A4666,""en"",""de"")"),"Graubünden")</f>
        <v>Graubünden</v>
      </c>
      <c r="D4666" s="9" t="str">
        <f>IFERROR(__xludf.DUMMYFUNCTION("GOOGLETRANSLATE($A4666,""en"",""fr"")"),"Grisons")</f>
        <v>Grisons</v>
      </c>
      <c r="E4666" s="9" t="str">
        <f>IFERROR(__xludf.DUMMYFUNCTION("GOOGLETRANSLATE($A4666,""en"",""es"")"),"Grisones")</f>
        <v>Grisones</v>
      </c>
      <c r="F4666" s="9" t="str">
        <f>IFERROR(__xludf.DUMMYFUNCTION("GOOGLETRANSLATE($A4666,""en"",""it"")"),"Grigioni")</f>
        <v>Grigioni</v>
      </c>
      <c r="G4666" s="9" t="str">
        <f>IFERROR(__xludf.DUMMYFUNCTION("GOOGLETRANSLATE($A4666,""en"",""zh-cn"")"),"格劳宾登州")</f>
        <v>格劳宾登州</v>
      </c>
      <c r="H4666" s="9" t="str">
        <f>IFERROR(__xludf.DUMMYFUNCTION("GOOGLETRANSLATE($A4666,""en"",""ja"")"),"グラウビュンデン")</f>
        <v>グラウビュンデン</v>
      </c>
      <c r="I4666" s="9" t="str">
        <f>IFERROR(__xludf.DUMMYFUNCTION("GOOGLETRANSLATE($A4666,""en"",""ko"")"),"그라우뷘덴")</f>
        <v>그라우뷘덴</v>
      </c>
      <c r="J4666" s="9" t="str">
        <f>IFERROR(__xludf.DUMMYFUNCTION("GOOGLETRANSLATE($A4666,""en"",""pt-BR"")"),"Grisões")</f>
        <v>Grisões</v>
      </c>
    </row>
    <row r="4667">
      <c r="A4667" s="9" t="str">
        <f>IFERROR(__xludf.DUMMYFUNCTION("""COMPUTED_VALUE"""),"Appenzell Innerrhoden")</f>
        <v>Appenzell Innerrhoden</v>
      </c>
      <c r="B4667" s="9" t="str">
        <f>IFERROR(__xludf.DUMMYFUNCTION("""COMPUTED_VALUE"""),"ch-ai")</f>
        <v>ch-ai</v>
      </c>
      <c r="C4667" s="9" t="str">
        <f>IFERROR(__xludf.DUMMYFUNCTION("GOOGLETRANSLATE($A4667,""en"",""de"")"),"Appenzell Innerrhoden")</f>
        <v>Appenzell Innerrhoden</v>
      </c>
      <c r="D4667" s="9" t="str">
        <f>IFERROR(__xludf.DUMMYFUNCTION("GOOGLETRANSLATE($A4667,""en"",""fr"")"),"Appenzell Rhodes-Intérieures")</f>
        <v>Appenzell Rhodes-Intérieures</v>
      </c>
      <c r="E4667" s="9" t="str">
        <f>IFERROR(__xludf.DUMMYFUNCTION("GOOGLETRANSLATE($A4667,""en"",""es"")"),"Appenzell Rodas Interiores")</f>
        <v>Appenzell Rodas Interiores</v>
      </c>
      <c r="F4667" s="9" t="str">
        <f>IFERROR(__xludf.DUMMYFUNCTION("GOOGLETRANSLATE($A4667,""en"",""it"")"),"Appenzello Interno")</f>
        <v>Appenzello Interno</v>
      </c>
      <c r="G4667" s="9" t="str">
        <f>IFERROR(__xludf.DUMMYFUNCTION("GOOGLETRANSLATE($A4667,""en"",""zh-cn"")"),"内阿彭策尔州")</f>
        <v>内阿彭策尔州</v>
      </c>
      <c r="H4667" s="9" t="str">
        <f>IFERROR(__xludf.DUMMYFUNCTION("GOOGLETRANSLATE($A4667,""en"",""ja"")"),"アッペンツェル インナーローデン準州")</f>
        <v>アッペンツェル インナーローデン準州</v>
      </c>
      <c r="I4667" s="9" t="str">
        <f>IFERROR(__xludf.DUMMYFUNCTION("GOOGLETRANSLATE($A4667,""en"",""ko"")"),"아펜첼 이너로덴")</f>
        <v>아펜첼 이너로덴</v>
      </c>
      <c r="J4667" s="9" t="str">
        <f>IFERROR(__xludf.DUMMYFUNCTION("GOOGLETRANSLATE($A4667,""en"",""pt-BR"")"),"Appenzell Interior")</f>
        <v>Appenzell Interior</v>
      </c>
    </row>
    <row r="4668">
      <c r="A4668" s="9" t="str">
        <f>IFERROR(__xludf.DUMMYFUNCTION("""COMPUTED_VALUE"""),"Basel-Landschaft")</f>
        <v>Basel-Landschaft</v>
      </c>
      <c r="B4668" s="9" t="str">
        <f>IFERROR(__xludf.DUMMYFUNCTION("""COMPUTED_VALUE"""),"ch-bl")</f>
        <v>ch-bl</v>
      </c>
      <c r="C4668" s="9" t="str">
        <f>IFERROR(__xludf.DUMMYFUNCTION("GOOGLETRANSLATE($A4668,""en"",""de"")"),"Basel-Landschaft")</f>
        <v>Basel-Landschaft</v>
      </c>
      <c r="D4668" s="9" t="str">
        <f>IFERROR(__xludf.DUMMYFUNCTION("GOOGLETRANSLATE($A4668,""en"",""fr"")"),"Bâle-Campagne")</f>
        <v>Bâle-Campagne</v>
      </c>
      <c r="E4668" s="9" t="str">
        <f>IFERROR(__xludf.DUMMYFUNCTION("GOOGLETRANSLATE($A4668,""en"",""es"")"),"Basilea-Campiña")</f>
        <v>Basilea-Campiña</v>
      </c>
      <c r="F4668" s="9" t="str">
        <f>IFERROR(__xludf.DUMMYFUNCTION("GOOGLETRANSLATE($A4668,""en"",""it"")"),"Basilea Campagna")</f>
        <v>Basilea Campagna</v>
      </c>
      <c r="G4668" s="9" t="str">
        <f>IFERROR(__xludf.DUMMYFUNCTION("GOOGLETRANSLATE($A4668,""en"",""zh-cn"")"),"巴塞尔乡村")</f>
        <v>巴塞尔乡村</v>
      </c>
      <c r="H4668" s="9" t="str">
        <f>IFERROR(__xludf.DUMMYFUNCTION("GOOGLETRANSLATE($A4668,""en"",""ja"")"),"バーゼル・ラントシャフト")</f>
        <v>バーゼル・ラントシャフト</v>
      </c>
      <c r="I4668" s="9" t="str">
        <f>IFERROR(__xludf.DUMMYFUNCTION("GOOGLETRANSLATE($A4668,""en"",""ko"")"),"바젤-란트샤프트")</f>
        <v>바젤-란트샤프트</v>
      </c>
      <c r="J4668" s="9" t="str">
        <f>IFERROR(__xludf.DUMMYFUNCTION("GOOGLETRANSLATE($A4668,""en"",""pt-BR"")"),"Basileia-Campo")</f>
        <v>Basileia-Campo</v>
      </c>
    </row>
    <row r="4669">
      <c r="A4669" s="9" t="str">
        <f>IFERROR(__xludf.DUMMYFUNCTION("""COMPUTED_VALUE"""),"Basel-Stadt")</f>
        <v>Basel-Stadt</v>
      </c>
      <c r="B4669" s="9" t="str">
        <f>IFERROR(__xludf.DUMMYFUNCTION("""COMPUTED_VALUE"""),"ch-bs")</f>
        <v>ch-bs</v>
      </c>
      <c r="C4669" s="9" t="str">
        <f>IFERROR(__xludf.DUMMYFUNCTION("GOOGLETRANSLATE($A4669,""en"",""de"")"),"Basel-Stadt")</f>
        <v>Basel-Stadt</v>
      </c>
      <c r="D4669" s="9" t="str">
        <f>IFERROR(__xludf.DUMMYFUNCTION("GOOGLETRANSLATE($A4669,""en"",""fr"")"),"Bâle-Ville")</f>
        <v>Bâle-Ville</v>
      </c>
      <c r="E4669" s="9" t="str">
        <f>IFERROR(__xludf.DUMMYFUNCTION("GOOGLETRANSLATE($A4669,""en"",""es"")"),"Basilea-Ciudad")</f>
        <v>Basilea-Ciudad</v>
      </c>
      <c r="F4669" s="9" t="str">
        <f>IFERROR(__xludf.DUMMYFUNCTION("GOOGLETRANSLATE($A4669,""en"",""it"")"),"Basilea Città")</f>
        <v>Basilea Città</v>
      </c>
      <c r="G4669" s="9" t="str">
        <f>IFERROR(__xludf.DUMMYFUNCTION("GOOGLETRANSLATE($A4669,""en"",""zh-cn"")"),"巴塞尔城市")</f>
        <v>巴塞尔城市</v>
      </c>
      <c r="H4669" s="9" t="str">
        <f>IFERROR(__xludf.DUMMYFUNCTION("GOOGLETRANSLATE($A4669,""en"",""ja"")"),"バーゼルシュタット")</f>
        <v>バーゼルシュタット</v>
      </c>
      <c r="I4669" s="9" t="str">
        <f>IFERROR(__xludf.DUMMYFUNCTION("GOOGLETRANSLATE($A4669,""en"",""ko"")"),"바젤슈타트")</f>
        <v>바젤슈타트</v>
      </c>
      <c r="J4669" s="9" t="str">
        <f>IFERROR(__xludf.DUMMYFUNCTION("GOOGLETRANSLATE($A4669,""en"",""pt-BR"")"),"Basileia-Cidade")</f>
        <v>Basileia-Cidade</v>
      </c>
    </row>
    <row r="4670">
      <c r="A4670" s="9" t="str">
        <f>IFERROR(__xludf.DUMMYFUNCTION("""COMPUTED_VALUE"""),"Bern")</f>
        <v>Bern</v>
      </c>
      <c r="B4670" s="9" t="str">
        <f>IFERROR(__xludf.DUMMYFUNCTION("""COMPUTED_VALUE"""),"ch-be")</f>
        <v>ch-be</v>
      </c>
      <c r="C4670" s="9" t="str">
        <f>IFERROR(__xludf.DUMMYFUNCTION("GOOGLETRANSLATE($A4670,""en"",""de"")"),"Bern")</f>
        <v>Bern</v>
      </c>
      <c r="D4670" s="9" t="str">
        <f>IFERROR(__xludf.DUMMYFUNCTION("GOOGLETRANSLATE($A4670,""en"",""fr"")"),"Berne")</f>
        <v>Berne</v>
      </c>
      <c r="E4670" s="9" t="str">
        <f>IFERROR(__xludf.DUMMYFUNCTION("GOOGLETRANSLATE($A4670,""en"",""es"")"),"Berna")</f>
        <v>Berna</v>
      </c>
      <c r="F4670" s="9" t="str">
        <f>IFERROR(__xludf.DUMMYFUNCTION("GOOGLETRANSLATE($A4670,""en"",""it"")"),"Berna")</f>
        <v>Berna</v>
      </c>
      <c r="G4670" s="9" t="str">
        <f>IFERROR(__xludf.DUMMYFUNCTION("GOOGLETRANSLATE($A4670,""en"",""zh-cn"")"),"伯尔尼")</f>
        <v>伯尔尼</v>
      </c>
      <c r="H4670" s="9" t="str">
        <f>IFERROR(__xludf.DUMMYFUNCTION("GOOGLETRANSLATE($A4670,""en"",""ja"")"),"ベルン")</f>
        <v>ベルン</v>
      </c>
      <c r="I4670" s="9" t="str">
        <f>IFERROR(__xludf.DUMMYFUNCTION("GOOGLETRANSLATE($A4670,""en"",""ko"")"),"베른")</f>
        <v>베른</v>
      </c>
      <c r="J4670" s="9" t="str">
        <f>IFERROR(__xludf.DUMMYFUNCTION("GOOGLETRANSLATE($A4670,""en"",""pt-BR"")"),"Berna")</f>
        <v>Berna</v>
      </c>
    </row>
    <row r="4671">
      <c r="A4671" s="9" t="str">
        <f>IFERROR(__xludf.DUMMYFUNCTION("""COMPUTED_VALUE"""),"Solothurn")</f>
        <v>Solothurn</v>
      </c>
      <c r="B4671" s="9" t="str">
        <f>IFERROR(__xludf.DUMMYFUNCTION("""COMPUTED_VALUE"""),"ch-so")</f>
        <v>ch-so</v>
      </c>
      <c r="C4671" s="9" t="str">
        <f>IFERROR(__xludf.DUMMYFUNCTION("GOOGLETRANSLATE($A4671,""en"",""de"")"),"Solothurn")</f>
        <v>Solothurn</v>
      </c>
      <c r="D4671" s="9" t="str">
        <f>IFERROR(__xludf.DUMMYFUNCTION("GOOGLETRANSLATE($A4671,""en"",""fr"")"),"Soleure")</f>
        <v>Soleure</v>
      </c>
      <c r="E4671" s="9" t="str">
        <f>IFERROR(__xludf.DUMMYFUNCTION("GOOGLETRANSLATE($A4671,""en"",""es"")"),"Soleura")</f>
        <v>Soleura</v>
      </c>
      <c r="F4671" s="9" t="str">
        <f>IFERROR(__xludf.DUMMYFUNCTION("GOOGLETRANSLATE($A4671,""en"",""it"")"),"Soletta")</f>
        <v>Soletta</v>
      </c>
      <c r="G4671" s="9" t="str">
        <f>IFERROR(__xludf.DUMMYFUNCTION("GOOGLETRANSLATE($A4671,""en"",""zh-cn"")"),"索洛图恩")</f>
        <v>索洛图恩</v>
      </c>
      <c r="H4671" s="9" t="str">
        <f>IFERROR(__xludf.DUMMYFUNCTION("GOOGLETRANSLATE($A4671,""en"",""ja"")"),"ゾロトゥルン")</f>
        <v>ゾロトゥルン</v>
      </c>
      <c r="I4671" s="9" t="str">
        <f>IFERROR(__xludf.DUMMYFUNCTION("GOOGLETRANSLATE($A4671,""en"",""ko"")"),"졸로투른")</f>
        <v>졸로투른</v>
      </c>
      <c r="J4671" s="9" t="str">
        <f>IFERROR(__xludf.DUMMYFUNCTION("GOOGLETRANSLATE($A4671,""en"",""pt-BR"")"),"Soleura")</f>
        <v>Soleura</v>
      </c>
    </row>
    <row r="4672">
      <c r="A4672" s="9" t="str">
        <f>IFERROR(__xludf.DUMMYFUNCTION("""COMPUTED_VALUE"""),"Thurgovia")</f>
        <v>Thurgovia</v>
      </c>
      <c r="B4672" s="9" t="str">
        <f>IFERROR(__xludf.DUMMYFUNCTION("""COMPUTED_VALUE"""),"ch-tg")</f>
        <v>ch-tg</v>
      </c>
      <c r="C4672" s="9" t="str">
        <f>IFERROR(__xludf.DUMMYFUNCTION("GOOGLETRANSLATE($A4672,""en"",""de"")"),"Thurgau")</f>
        <v>Thurgau</v>
      </c>
      <c r="D4672" s="9" t="str">
        <f>IFERROR(__xludf.DUMMYFUNCTION("GOOGLETRANSLATE($A4672,""en"",""fr"")"),"Thurgovie")</f>
        <v>Thurgovie</v>
      </c>
      <c r="E4672" s="9" t="str">
        <f>IFERROR(__xludf.DUMMYFUNCTION("GOOGLETRANSLATE($A4672,""en"",""es"")"),"Turgovia")</f>
        <v>Turgovia</v>
      </c>
      <c r="F4672" s="9" t="str">
        <f>IFERROR(__xludf.DUMMYFUNCTION("GOOGLETRANSLATE($A4672,""en"",""it"")"),"Turgovia")</f>
        <v>Turgovia</v>
      </c>
      <c r="G4672" s="9" t="str">
        <f>IFERROR(__xludf.DUMMYFUNCTION("GOOGLETRANSLATE($A4672,""en"",""zh-cn"")"),"瑟戈维亚")</f>
        <v>瑟戈维亚</v>
      </c>
      <c r="H4672" s="9" t="str">
        <f>IFERROR(__xludf.DUMMYFUNCTION("GOOGLETRANSLATE($A4672,""en"",""ja"")"),"ツルゴビア")</f>
        <v>ツルゴビア</v>
      </c>
      <c r="I4672" s="9" t="str">
        <f>IFERROR(__xludf.DUMMYFUNCTION("GOOGLETRANSLATE($A4672,""en"",""ko"")"),"투르고비아")</f>
        <v>투르고비아</v>
      </c>
      <c r="J4672" s="9" t="str">
        <f>IFERROR(__xludf.DUMMYFUNCTION("GOOGLETRANSLATE($A4672,""en"",""pt-BR"")"),"Turgóvia")</f>
        <v>Turgóvia</v>
      </c>
    </row>
    <row r="4673">
      <c r="A4673" s="9" t="str">
        <f>IFERROR(__xludf.DUMMYFUNCTION("""COMPUTED_VALUE"""),"Ḩamāh")</f>
        <v>Ḩamāh</v>
      </c>
      <c r="B4673" s="9" t="str">
        <f>IFERROR(__xludf.DUMMYFUNCTION("""COMPUTED_VALUE"""),"sy-hm")</f>
        <v>sy-hm</v>
      </c>
      <c r="C4673" s="9" t="str">
        <f>IFERROR(__xludf.DUMMYFUNCTION("GOOGLETRANSLATE($A4673,""en"",""de"")"),"Hamah")</f>
        <v>Hamah</v>
      </c>
      <c r="D4673" s="9" t="str">
        <f>IFERROR(__xludf.DUMMYFUNCTION("GOOGLETRANSLATE($A4673,""en"",""fr"")"),"Hamah")</f>
        <v>Hamah</v>
      </c>
      <c r="E4673" s="9" t="str">
        <f>IFERROR(__xludf.DUMMYFUNCTION("GOOGLETRANSLATE($A4673,""en"",""es"")"),"hamāh")</f>
        <v>hamāh</v>
      </c>
      <c r="F4673" s="9" t="str">
        <f>IFERROR(__xludf.DUMMYFUNCTION("GOOGLETRANSLATE($A4673,""en"",""it"")"),"Hamāh")</f>
        <v>Hamāh</v>
      </c>
      <c r="G4673" s="9" t="str">
        <f>IFERROR(__xludf.DUMMYFUNCTION("GOOGLETRANSLATE($A4673,""en"",""zh-cn"")"),"哈玛")</f>
        <v>哈玛</v>
      </c>
      <c r="H4673" s="9" t="str">
        <f>IFERROR(__xludf.DUMMYFUNCTION("GOOGLETRANSLATE($A4673,""en"",""ja"")"),"ハマー")</f>
        <v>ハマー</v>
      </c>
      <c r="I4673" s="9" t="str">
        <f>IFERROR(__xludf.DUMMYFUNCTION("GOOGLETRANSLATE($A4673,""en"",""ko"")"),"하아마")</f>
        <v>하아마</v>
      </c>
      <c r="J4673" s="9" t="str">
        <f>IFERROR(__xludf.DUMMYFUNCTION("GOOGLETRANSLATE($A4673,""en"",""pt-BR"")"),"Hamah")</f>
        <v>Hamah</v>
      </c>
    </row>
    <row r="4674">
      <c r="A4674" s="9" t="str">
        <f>IFERROR(__xludf.DUMMYFUNCTION("""COMPUTED_VALUE"""),"Dimashq")</f>
        <v>Dimashq</v>
      </c>
      <c r="B4674" s="9" t="str">
        <f>IFERROR(__xludf.DUMMYFUNCTION("""COMPUTED_VALUE"""),"sy-di")</f>
        <v>sy-di</v>
      </c>
      <c r="C4674" s="9" t="str">
        <f>IFERROR(__xludf.DUMMYFUNCTION("GOOGLETRANSLATE($A4674,""en"",""de"")"),"Dimashq")</f>
        <v>Dimashq</v>
      </c>
      <c r="D4674" s="9" t="str">
        <f>IFERROR(__xludf.DUMMYFUNCTION("GOOGLETRANSLATE($A4674,""en"",""fr"")"),"Dimashq")</f>
        <v>Dimashq</v>
      </c>
      <c r="E4674" s="9" t="str">
        <f>IFERROR(__xludf.DUMMYFUNCTION("GOOGLETRANSLATE($A4674,""en"",""es"")"),"Dimashq")</f>
        <v>Dimashq</v>
      </c>
      <c r="F4674" s="9" t="str">
        <f>IFERROR(__xludf.DUMMYFUNCTION("GOOGLETRANSLATE($A4674,""en"",""it"")"),"Dimashq")</f>
        <v>Dimashq</v>
      </c>
      <c r="G4674" s="9" t="str">
        <f>IFERROR(__xludf.DUMMYFUNCTION("GOOGLETRANSLATE($A4674,""en"",""zh-cn"")"),"大马士革")</f>
        <v>大马士革</v>
      </c>
      <c r="H4674" s="9" t="str">
        <f>IFERROR(__xludf.DUMMYFUNCTION("GOOGLETRANSLATE($A4674,""en"",""ja"")"),"ディマシュク")</f>
        <v>ディマシュク</v>
      </c>
      <c r="I4674" s="9" t="str">
        <f>IFERROR(__xludf.DUMMYFUNCTION("GOOGLETRANSLATE($A4674,""en"",""ko"")"),"디마쉬크")</f>
        <v>디마쉬크</v>
      </c>
      <c r="J4674" s="9" t="str">
        <f>IFERROR(__xludf.DUMMYFUNCTION("GOOGLETRANSLATE($A4674,""en"",""pt-BR"")"),"Dimashq")</f>
        <v>Dimashq</v>
      </c>
    </row>
    <row r="4675">
      <c r="A4675" s="9" t="str">
        <f>IFERROR(__xludf.DUMMYFUNCTION("""COMPUTED_VALUE"""),"Ar Raqqah")</f>
        <v>Ar Raqqah</v>
      </c>
      <c r="B4675" s="9" t="str">
        <f>IFERROR(__xludf.DUMMYFUNCTION("""COMPUTED_VALUE"""),"sy-ra")</f>
        <v>sy-ra</v>
      </c>
      <c r="C4675" s="9" t="str">
        <f>IFERROR(__xludf.DUMMYFUNCTION("GOOGLETRANSLATE($A4675,""en"",""de"")"),"Ar-Raqqah")</f>
        <v>Ar-Raqqah</v>
      </c>
      <c r="D4675" s="9" t="str">
        <f>IFERROR(__xludf.DUMMYFUNCTION("GOOGLETRANSLATE($A4675,""en"",""fr"")"),"Ar Raqqa")</f>
        <v>Ar Raqqa</v>
      </c>
      <c r="E4675" s="9" t="str">
        <f>IFERROR(__xludf.DUMMYFUNCTION("GOOGLETRANSLATE($A4675,""en"",""es"")"),"Ar-Raqqa")</f>
        <v>Ar-Raqqa</v>
      </c>
      <c r="F4675" s="9" t="str">
        <f>IFERROR(__xludf.DUMMYFUNCTION("GOOGLETRANSLATE($A4675,""en"",""it"")"),"Ar Raqqah")</f>
        <v>Ar Raqqah</v>
      </c>
      <c r="G4675" s="9" t="str">
        <f>IFERROR(__xludf.DUMMYFUNCTION("GOOGLETRANSLATE($A4675,""en"",""zh-cn"")"),"拉卡")</f>
        <v>拉卡</v>
      </c>
      <c r="H4675" s="9" t="str">
        <f>IFERROR(__xludf.DUMMYFUNCTION("GOOGLETRANSLATE($A4675,""en"",""ja"")"),"アルラッカ")</f>
        <v>アルラッカ</v>
      </c>
      <c r="I4675" s="9" t="str">
        <f>IFERROR(__xludf.DUMMYFUNCTION("GOOGLETRANSLATE($A4675,""en"",""ko"")"),"아르 라카")</f>
        <v>아르 라카</v>
      </c>
      <c r="J4675" s="9" t="str">
        <f>IFERROR(__xludf.DUMMYFUNCTION("GOOGLETRANSLATE($A4675,""en"",""pt-BR"")"),"Ar Raqqah")</f>
        <v>Ar Raqqah</v>
      </c>
    </row>
    <row r="4676">
      <c r="A4676" s="9" t="str">
        <f>IFERROR(__xludf.DUMMYFUNCTION("""COMPUTED_VALUE"""),"Ḩalab")</f>
        <v>Ḩalab</v>
      </c>
      <c r="B4676" s="9" t="str">
        <f>IFERROR(__xludf.DUMMYFUNCTION("""COMPUTED_VALUE"""),"sy-hl")</f>
        <v>sy-hl</v>
      </c>
      <c r="C4676" s="9" t="str">
        <f>IFERROR(__xludf.DUMMYFUNCTION("GOOGLETRANSLATE($A4676,""en"",""de"")"),"Ḩalab")</f>
        <v>Ḩalab</v>
      </c>
      <c r="D4676" s="9" t="str">
        <f>IFERROR(__xludf.DUMMYFUNCTION("GOOGLETRANSLATE($A4676,""en"",""fr"")"),"Halab")</f>
        <v>Halab</v>
      </c>
      <c r="E4676" s="9" t="str">
        <f>IFERROR(__xludf.DUMMYFUNCTION("GOOGLETRANSLATE($A4676,""en"",""es"")"),"halab")</f>
        <v>halab</v>
      </c>
      <c r="F4676" s="9" t="str">
        <f>IFERROR(__xludf.DUMMYFUNCTION("GOOGLETRANSLATE($A4676,""en"",""it"")"),"Ḩalab")</f>
        <v>Ḩalab</v>
      </c>
      <c r="G4676" s="9" t="str">
        <f>IFERROR(__xludf.DUMMYFUNCTION("GOOGLETRANSLATE($A4676,""en"",""zh-cn"")"),"哈拉布")</f>
        <v>哈拉布</v>
      </c>
      <c r="H4676" s="9" t="str">
        <f>IFERROR(__xludf.DUMMYFUNCTION("GOOGLETRANSLATE($A4676,""en"",""ja"")"),"ハラブ")</f>
        <v>ハラブ</v>
      </c>
      <c r="I4676" s="9" t="str">
        <f>IFERROR(__xludf.DUMMYFUNCTION("GOOGLETRANSLATE($A4676,""en"",""ko"")"),"할랍")</f>
        <v>할랍</v>
      </c>
      <c r="J4676" s="9" t="str">
        <f>IFERROR(__xludf.DUMMYFUNCTION("GOOGLETRANSLATE($A4676,""en"",""pt-BR"")"),"Halab")</f>
        <v>Halab</v>
      </c>
    </row>
    <row r="4677">
      <c r="A4677" s="9" t="str">
        <f>IFERROR(__xludf.DUMMYFUNCTION("""COMPUTED_VALUE"""),"Al Ḩasakah")</f>
        <v>Al Ḩasakah</v>
      </c>
      <c r="B4677" s="9" t="str">
        <f>IFERROR(__xludf.DUMMYFUNCTION("""COMPUTED_VALUE"""),"sy-ha")</f>
        <v>sy-ha</v>
      </c>
      <c r="C4677" s="9" t="str">
        <f>IFERROR(__xludf.DUMMYFUNCTION("GOOGLETRANSLATE($A4677,""en"",""de"")"),"Al Ḩasakah")</f>
        <v>Al Ḩasakah</v>
      </c>
      <c r="D4677" s="9" t="str">
        <f>IFERROR(__xludf.DUMMYFUNCTION("GOOGLETRANSLATE($A4677,""en"",""fr"")"),"Al Hasakah")</f>
        <v>Al Hasakah</v>
      </c>
      <c r="E4677" s="9" t="str">
        <f>IFERROR(__xludf.DUMMYFUNCTION("GOOGLETRANSLATE($A4677,""en"",""es"")"),"Al Hasakah")</f>
        <v>Al Hasakah</v>
      </c>
      <c r="F4677" s="9" t="str">
        <f>IFERROR(__xludf.DUMMYFUNCTION("GOOGLETRANSLATE($A4677,""en"",""it"")"),"Al Ḩasakah")</f>
        <v>Al Ḩasakah</v>
      </c>
      <c r="G4677" s="9" t="str">
        <f>IFERROR(__xludf.DUMMYFUNCTION("GOOGLETRANSLATE($A4677,""en"",""zh-cn"")"),"哈萨卡")</f>
        <v>哈萨卡</v>
      </c>
      <c r="H4677" s="9" t="str">
        <f>IFERROR(__xludf.DUMMYFUNCTION("GOOGLETRANSLATE($A4677,""en"",""ja"")"),"アル・アサカ")</f>
        <v>アル・アサカ</v>
      </c>
      <c r="I4677" s="9" t="str">
        <f>IFERROR(__xludf.DUMMYFUNCTION("GOOGLETRANSLATE($A4677,""en"",""ko"")"),"알 하사카")</f>
        <v>알 하사카</v>
      </c>
      <c r="J4677" s="9" t="str">
        <f>IFERROR(__xludf.DUMMYFUNCTION("GOOGLETRANSLATE($A4677,""en"",""pt-BR"")"),"Al Hasakah")</f>
        <v>Al Hasakah</v>
      </c>
    </row>
    <row r="4678">
      <c r="A4678" s="9" t="str">
        <f>IFERROR(__xludf.DUMMYFUNCTION("""COMPUTED_VALUE"""),"Ţarţūs")</f>
        <v>Ţarţūs</v>
      </c>
      <c r="B4678" s="9" t="str">
        <f>IFERROR(__xludf.DUMMYFUNCTION("""COMPUTED_VALUE"""),"sy-ta")</f>
        <v>sy-ta</v>
      </c>
      <c r="C4678" s="9" t="str">
        <f>IFERROR(__xludf.DUMMYFUNCTION("GOOGLETRANSLATE($A4678,""en"",""de"")"),"Ţarţūs")</f>
        <v>Ţarţūs</v>
      </c>
      <c r="D4678" s="9" t="str">
        <f>IFERROR(__xludf.DUMMYFUNCTION("GOOGLETRANSLATE($A4678,""en"",""fr"")"),"Tartoûs")</f>
        <v>Tartoûs</v>
      </c>
      <c r="E4678" s="9" t="str">
        <f>IFERROR(__xludf.DUMMYFUNCTION("GOOGLETRANSLATE($A4678,""en"",""es"")"),"Tartús")</f>
        <v>Tartús</v>
      </c>
      <c r="F4678" s="9" t="str">
        <f>IFERROR(__xludf.DUMMYFUNCTION("GOOGLETRANSLATE($A4678,""en"",""it"")"),"Ţarţus")</f>
        <v>Ţarţus</v>
      </c>
      <c r="G4678" s="9" t="str">
        <f>IFERROR(__xludf.DUMMYFUNCTION("GOOGLETRANSLATE($A4678,""en"",""zh-cn"")"),"塔尔图斯")</f>
        <v>塔尔图斯</v>
      </c>
      <c r="H4678" s="9" t="str">
        <f>IFERROR(__xludf.DUMMYFUNCTION("GOOGLETRANSLATE($A4678,""en"",""ja"")"),"ザルシュス")</f>
        <v>ザルシュス</v>
      </c>
      <c r="I4678" s="9" t="str">
        <f>IFERROR(__xludf.DUMMYFUNCTION("GOOGLETRANSLATE($A4678,""en"",""ko"")"),"Ţarţūs")</f>
        <v>Ţarţūs</v>
      </c>
      <c r="J4678" s="9" t="str">
        <f>IFERROR(__xludf.DUMMYFUNCTION("GOOGLETRANSLATE($A4678,""en"",""pt-BR"")"),"Tartus")</f>
        <v>Tartus</v>
      </c>
    </row>
    <row r="4679">
      <c r="A4679" s="9" t="str">
        <f>IFERROR(__xludf.DUMMYFUNCTION("""COMPUTED_VALUE"""),"Dayr az Zawr")</f>
        <v>Dayr az Zawr</v>
      </c>
      <c r="B4679" s="9" t="str">
        <f>IFERROR(__xludf.DUMMYFUNCTION("""COMPUTED_VALUE"""),"sy-dy")</f>
        <v>sy-dy</v>
      </c>
      <c r="C4679" s="9" t="str">
        <f>IFERROR(__xludf.DUMMYFUNCTION("GOOGLETRANSLATE($A4679,""en"",""de"")"),"Dayr az Zawr")</f>
        <v>Dayr az Zawr</v>
      </c>
      <c r="D4679" s="9" t="str">
        <f>IFERROR(__xludf.DUMMYFUNCTION("GOOGLETRANSLATE($A4679,""en"",""fr"")"),"Dayr az Zawr")</f>
        <v>Dayr az Zawr</v>
      </c>
      <c r="E4679" s="9" t="str">
        <f>IFERROR(__xludf.DUMMYFUNCTION("GOOGLETRANSLATE($A4679,""en"",""es"")"),"Dayr az Zawr")</f>
        <v>Dayr az Zawr</v>
      </c>
      <c r="F4679" s="9" t="str">
        <f>IFERROR(__xludf.DUMMYFUNCTION("GOOGLETRANSLATE($A4679,""en"",""it"")"),"Dayr az Zawr")</f>
        <v>Dayr az Zawr</v>
      </c>
      <c r="G4679" s="9" t="str">
        <f>IFERROR(__xludf.DUMMYFUNCTION("GOOGLETRANSLATE($A4679,""en"",""zh-cn"")"),"代尔祖尔")</f>
        <v>代尔祖尔</v>
      </c>
      <c r="H4679" s="9" t="str">
        <f>IFERROR(__xludf.DUMMYFUNCTION("GOOGLETRANSLATE($A4679,""en"",""ja"")"),"デイル・アズ・ザウル")</f>
        <v>デイル・アズ・ザウル</v>
      </c>
      <c r="I4679" s="9" t="str">
        <f>IFERROR(__xludf.DUMMYFUNCTION("GOOGLETRANSLATE($A4679,""en"",""ko"")"),"데이르 아즈 자우르")</f>
        <v>데이르 아즈 자우르</v>
      </c>
      <c r="J4679" s="9" t="str">
        <f>IFERROR(__xludf.DUMMYFUNCTION("GOOGLETRANSLATE($A4679,""en"",""pt-BR"")"),"Dayr az Zawr")</f>
        <v>Dayr az Zawr</v>
      </c>
    </row>
    <row r="4680">
      <c r="A4680" s="9" t="str">
        <f>IFERROR(__xludf.DUMMYFUNCTION("""COMPUTED_VALUE"""),"Ḩimş")</f>
        <v>Ḩimş</v>
      </c>
      <c r="B4680" s="9" t="str">
        <f>IFERROR(__xludf.DUMMYFUNCTION("""COMPUTED_VALUE"""),"sy-hi")</f>
        <v>sy-hi</v>
      </c>
      <c r="C4680" s="9" t="str">
        <f>IFERROR(__xludf.DUMMYFUNCTION("GOOGLETRANSLATE($A4680,""en"",""de"")"),"Ḩimş")</f>
        <v>Ḩimş</v>
      </c>
      <c r="D4680" s="9" t="str">
        <f>IFERROR(__xludf.DUMMYFUNCTION("GOOGLETRANSLATE($A4680,""en"",""fr"")"),"Ḩimş")</f>
        <v>Ḩimş</v>
      </c>
      <c r="E4680" s="9" t="str">
        <f>IFERROR(__xludf.DUMMYFUNCTION("GOOGLETRANSLATE($A4680,""en"",""es"")"),"Ḩimş")</f>
        <v>Ḩimş</v>
      </c>
      <c r="F4680" s="9" t="str">
        <f>IFERROR(__xludf.DUMMYFUNCTION("GOOGLETRANSLATE($A4680,""en"",""it"")"),"Ḩimş")</f>
        <v>Ḩimş</v>
      </c>
      <c r="G4680" s="9" t="str">
        <f>IFERROR(__xludf.DUMMYFUNCTION("GOOGLETRANSLATE($A4680,""en"",""zh-cn"")"),"伊姆什")</f>
        <v>伊姆什</v>
      </c>
      <c r="H4680" s="9" t="str">
        <f>IFERROR(__xludf.DUMMYFUNCTION("GOOGLETRANSLATE($A4680,""en"",""ja"")"),"リムシュ")</f>
        <v>リムシュ</v>
      </c>
      <c r="I4680" s="9" t="str">
        <f>IFERROR(__xludf.DUMMYFUNCTION("GOOGLETRANSLATE($A4680,""en"",""ko"")"),"딤쉬")</f>
        <v>딤쉬</v>
      </c>
      <c r="J4680" s="9" t="str">
        <f>IFERROR(__xludf.DUMMYFUNCTION("GOOGLETRANSLATE($A4680,""en"",""pt-BR"")"),"Himş")</f>
        <v>Himş</v>
      </c>
    </row>
    <row r="4681">
      <c r="A4681" s="9" t="str">
        <f>IFERROR(__xludf.DUMMYFUNCTION("""COMPUTED_VALUE"""),"Al Qunayţirah")</f>
        <v>Al Qunayţirah</v>
      </c>
      <c r="B4681" s="9" t="str">
        <f>IFERROR(__xludf.DUMMYFUNCTION("""COMPUTED_VALUE"""),"sy-qu")</f>
        <v>sy-qu</v>
      </c>
      <c r="C4681" s="9" t="str">
        <f>IFERROR(__xludf.DUMMYFUNCTION("GOOGLETRANSLATE($A4681,""en"",""de"")"),"Al Qunayţirah")</f>
        <v>Al Qunayţirah</v>
      </c>
      <c r="D4681" s="9" t="str">
        <f>IFERROR(__xludf.DUMMYFUNCTION("GOOGLETRANSLATE($A4681,""en"",""fr"")"),"Al Qunayţirah")</f>
        <v>Al Qunayţirah</v>
      </c>
      <c r="E4681" s="9" t="str">
        <f>IFERROR(__xludf.DUMMYFUNCTION("GOOGLETRANSLATE($A4681,""en"",""es"")"),"Al Qunayţirah")</f>
        <v>Al Qunayţirah</v>
      </c>
      <c r="F4681" s="9" t="str">
        <f>IFERROR(__xludf.DUMMYFUNCTION("GOOGLETRANSLATE($A4681,""en"",""it"")"),"Al Qunayţirah")</f>
        <v>Al Qunayţirah</v>
      </c>
      <c r="G4681" s="9" t="str">
        <f>IFERROR(__xludf.DUMMYFUNCTION("GOOGLETRANSLATE($A4681,""en"",""zh-cn"")"),"库奈兹拉")</f>
        <v>库奈兹拉</v>
      </c>
      <c r="H4681" s="9" t="str">
        <f>IFERROR(__xludf.DUMMYFUNCTION("GOOGLETRANSLATE($A4681,""en"",""ja"")"),"アル・クナイシラ")</f>
        <v>アル・クナイシラ</v>
      </c>
      <c r="I4681" s="9" t="str">
        <f>IFERROR(__xludf.DUMMYFUNCTION("GOOGLETRANSLATE($A4681,""en"",""ko"")"),"알 쿠나이티라")</f>
        <v>알 쿠나이티라</v>
      </c>
      <c r="J4681" s="9" t="str">
        <f>IFERROR(__xludf.DUMMYFUNCTION("GOOGLETRANSLATE($A4681,""en"",""pt-BR"")"),"Al Qunayţirah")</f>
        <v>Al Qunayţirah</v>
      </c>
    </row>
    <row r="4682">
      <c r="A4682" s="9" t="str">
        <f>IFERROR(__xludf.DUMMYFUNCTION("""COMPUTED_VALUE"""),"Darٰā")</f>
        <v>Darٰā</v>
      </c>
      <c r="B4682" s="9" t="str">
        <f>IFERROR(__xludf.DUMMYFUNCTION("""COMPUTED_VALUE"""),"sy-dr")</f>
        <v>sy-dr</v>
      </c>
      <c r="C4682" s="9" t="str">
        <f>IFERROR(__xludf.DUMMYFUNCTION("GOOGLETRANSLATE($A4682,""en"",""de"")"),"Darٰā")</f>
        <v>Darٰā</v>
      </c>
      <c r="D4682" s="9" t="str">
        <f>IFERROR(__xludf.DUMMYFUNCTION("GOOGLETRANSLATE($A4682,""en"",""fr"")"),"Darٰā")</f>
        <v>Darٰā</v>
      </c>
      <c r="E4682" s="9" t="str">
        <f>IFERROR(__xludf.DUMMYFUNCTION("GOOGLETRANSLATE($A4682,""en"",""es"")"),"Darٰā")</f>
        <v>Darٰā</v>
      </c>
      <c r="F4682" s="9" t="str">
        <f>IFERROR(__xludf.DUMMYFUNCTION("GOOGLETRANSLATE($A4682,""en"",""it"")"),"Darٰā")</f>
        <v>Darٰā</v>
      </c>
      <c r="G4682" s="9" t="str">
        <f>IFERROR(__xludf.DUMMYFUNCTION("GOOGLETRANSLATE($A4682,""en"",""zh-cn"")"),"达茹阿")</f>
        <v>达茹阿</v>
      </c>
      <c r="H4682" s="9" t="str">
        <f>IFERROR(__xludf.DUMMYFUNCTION("GOOGLETRANSLATE($A4682,""en"",""ja"")"),"ダルアー")</f>
        <v>ダルアー</v>
      </c>
      <c r="I4682" s="9" t="str">
        <f>IFERROR(__xludf.DUMMYFUNCTION("GOOGLETRANSLATE($A4682,""en"",""ko"")"),"다르아")</f>
        <v>다르아</v>
      </c>
      <c r="J4682" s="9" t="str">
        <f>IFERROR(__xludf.DUMMYFUNCTION("GOOGLETRANSLATE($A4682,""en"",""pt-BR"")"),"Darٰā")</f>
        <v>Darٰā</v>
      </c>
    </row>
    <row r="4683">
      <c r="A4683" s="9" t="str">
        <f>IFERROR(__xludf.DUMMYFUNCTION("""COMPUTED_VALUE"""),"Al Lādhiqīyah")</f>
        <v>Al Lādhiqīyah</v>
      </c>
      <c r="B4683" s="9" t="str">
        <f>IFERROR(__xludf.DUMMYFUNCTION("""COMPUTED_VALUE"""),"sy-la")</f>
        <v>sy-la</v>
      </c>
      <c r="C4683" s="9" t="str">
        <f>IFERROR(__xludf.DUMMYFUNCTION("GOOGLETRANSLATE($A4683,""en"",""de"")"),"Al Lādhiqīyah")</f>
        <v>Al Lādhiqīyah</v>
      </c>
      <c r="D4683" s="9" t="str">
        <f>IFERROR(__xludf.DUMMYFUNCTION("GOOGLETRANSLATE($A4683,""en"",""fr"")"),"Al Lādhiqīyah")</f>
        <v>Al Lādhiqīyah</v>
      </c>
      <c r="E4683" s="9" t="str">
        <f>IFERROR(__xludf.DUMMYFUNCTION("GOOGLETRANSLATE($A4683,""en"",""es"")"),"Al Ladhiqīyah")</f>
        <v>Al Ladhiqīyah</v>
      </c>
      <c r="F4683" s="9" t="str">
        <f>IFERROR(__xludf.DUMMYFUNCTION("GOOGLETRANSLATE($A4683,""en"",""it"")"),"Al Lādhiqīyah")</f>
        <v>Al Lādhiqīyah</v>
      </c>
      <c r="G4683" s="9" t="str">
        <f>IFERROR(__xludf.DUMMYFUNCTION("GOOGLETRANSLATE($A4683,""en"",""zh-cn"")"),"拉迪基亚")</f>
        <v>拉迪基亚</v>
      </c>
      <c r="H4683" s="9" t="str">
        <f>IFERROR(__xludf.DUMMYFUNCTION("GOOGLETRANSLATE($A4683,""en"",""ja"")"),"アル・ラーディキーヤ")</f>
        <v>アル・ラーディキーヤ</v>
      </c>
      <c r="I4683" s="9" t="str">
        <f>IFERROR(__xludf.DUMMYFUNCTION("GOOGLETRANSLATE($A4683,""en"",""ko"")"),"알 라디키야")</f>
        <v>알 라디키야</v>
      </c>
      <c r="J4683" s="9" t="str">
        <f>IFERROR(__xludf.DUMMYFUNCTION("GOOGLETRANSLATE($A4683,""en"",""pt-BR"")"),"Al Lādhiqīyah")</f>
        <v>Al Lādhiqīyah</v>
      </c>
    </row>
    <row r="4684">
      <c r="A4684" s="9" t="str">
        <f>IFERROR(__xludf.DUMMYFUNCTION("""COMPUTED_VALUE"""),"Rīf Dimashq")</f>
        <v>Rīf Dimashq</v>
      </c>
      <c r="B4684" s="9" t="str">
        <f>IFERROR(__xludf.DUMMYFUNCTION("""COMPUTED_VALUE"""),"sy-rd")</f>
        <v>sy-rd</v>
      </c>
      <c r="C4684" s="9" t="str">
        <f>IFERROR(__xludf.DUMMYFUNCTION("GOOGLETRANSLATE($A4684,""en"",""de"")"),"Rīf Dimashq")</f>
        <v>Rīf Dimashq</v>
      </c>
      <c r="D4684" s="9" t="str">
        <f>IFERROR(__xludf.DUMMYFUNCTION("GOOGLETRANSLATE($A4684,""en"",""fr"")"),"Rif Dimashq")</f>
        <v>Rif Dimashq</v>
      </c>
      <c r="E4684" s="9" t="str">
        <f>IFERROR(__xludf.DUMMYFUNCTION("GOOGLETRANSLATE($A4684,""en"",""es"")"),"Rif Dimashq")</f>
        <v>Rif Dimashq</v>
      </c>
      <c r="F4684" s="9" t="str">
        <f>IFERROR(__xludf.DUMMYFUNCTION("GOOGLETRANSLATE($A4684,""en"",""it"")"),"Rif Dimashq")</f>
        <v>Rif Dimashq</v>
      </c>
      <c r="G4684" s="9" t="str">
        <f>IFERROR(__xludf.DUMMYFUNCTION("GOOGLETRANSLATE($A4684,""en"",""zh-cn"")"),"大马士革乡村")</f>
        <v>大马士革乡村</v>
      </c>
      <c r="H4684" s="9" t="str">
        <f>IFERROR(__xludf.DUMMYFUNCTION("GOOGLETRANSLATE($A4684,""en"",""ja"")"),"リフ・ディマシュク")</f>
        <v>リフ・ディマシュク</v>
      </c>
      <c r="I4684" s="9" t="str">
        <f>IFERROR(__xludf.DUMMYFUNCTION("GOOGLETRANSLATE($A4684,""en"",""ko"")"),"리프 디마쉬크")</f>
        <v>리프 디마쉬크</v>
      </c>
      <c r="J4684" s="9" t="str">
        <f>IFERROR(__xludf.DUMMYFUNCTION("GOOGLETRANSLATE($A4684,""en"",""pt-BR"")"),"Rif Dimashq")</f>
        <v>Rif Dimashq</v>
      </c>
    </row>
    <row r="4685">
      <c r="A4685" s="9" t="str">
        <f>IFERROR(__xludf.DUMMYFUNCTION("""COMPUTED_VALUE"""),"Idlib")</f>
        <v>Idlib</v>
      </c>
      <c r="B4685" s="9" t="str">
        <f>IFERROR(__xludf.DUMMYFUNCTION("""COMPUTED_VALUE"""),"sy-id")</f>
        <v>sy-id</v>
      </c>
      <c r="C4685" s="9" t="str">
        <f>IFERROR(__xludf.DUMMYFUNCTION("GOOGLETRANSLATE($A4685,""en"",""de"")"),"Idlib")</f>
        <v>Idlib</v>
      </c>
      <c r="D4685" s="9" t="str">
        <f>IFERROR(__xludf.DUMMYFUNCTION("GOOGLETRANSLATE($A4685,""en"",""fr"")"),"Idleb")</f>
        <v>Idleb</v>
      </c>
      <c r="E4685" s="9" t="str">
        <f>IFERROR(__xludf.DUMMYFUNCTION("GOOGLETRANSLATE($A4685,""en"",""es"")"),"Idlib")</f>
        <v>Idlib</v>
      </c>
      <c r="F4685" s="9" t="str">
        <f>IFERROR(__xludf.DUMMYFUNCTION("GOOGLETRANSLATE($A4685,""en"",""it"")"),"Idlib")</f>
        <v>Idlib</v>
      </c>
      <c r="G4685" s="9" t="str">
        <f>IFERROR(__xludf.DUMMYFUNCTION("GOOGLETRANSLATE($A4685,""en"",""zh-cn"")"),"伊德利卜")</f>
        <v>伊德利卜</v>
      </c>
      <c r="H4685" s="9" t="str">
        <f>IFERROR(__xludf.DUMMYFUNCTION("GOOGLETRANSLATE($A4685,""en"",""ja"")"),"イドリブ")</f>
        <v>イドリブ</v>
      </c>
      <c r="I4685" s="9" t="str">
        <f>IFERROR(__xludf.DUMMYFUNCTION("GOOGLETRANSLATE($A4685,""en"",""ko"")"),"이들립")</f>
        <v>이들립</v>
      </c>
      <c r="J4685" s="9" t="str">
        <f>IFERROR(__xludf.DUMMYFUNCTION("GOOGLETRANSLATE($A4685,""en"",""pt-BR"")"),"Idlib")</f>
        <v>Idlib</v>
      </c>
    </row>
    <row r="4686">
      <c r="A4686" s="9" t="str">
        <f>IFERROR(__xludf.DUMMYFUNCTION("""COMPUTED_VALUE"""),"As Suwaydā'")</f>
        <v>As Suwaydā'</v>
      </c>
      <c r="B4686" s="9" t="str">
        <f>IFERROR(__xludf.DUMMYFUNCTION("""COMPUTED_VALUE"""),"sy-su")</f>
        <v>sy-su</v>
      </c>
      <c r="C4686" s="9" t="str">
        <f>IFERROR(__xludf.DUMMYFUNCTION("GOOGLETRANSLATE($A4686,""en"",""de"")"),"Als Suwaydā'")</f>
        <v>Als Suwaydā'</v>
      </c>
      <c r="D4686" s="9" t="str">
        <f>IFERROR(__xludf.DUMMYFUNCTION("GOOGLETRANSLATE($A4686,""en"",""fr"")"),"Comme Suwayda'")</f>
        <v>Comme Suwayda'</v>
      </c>
      <c r="E4686" s="9" t="str">
        <f>IFERROR(__xludf.DUMMYFUNCTION("GOOGLETRANSLATE($A4686,""en"",""es"")"),"Como Suwaydā'")</f>
        <v>Como Suwaydā'</v>
      </c>
      <c r="F4686" s="9" t="str">
        <f>IFERROR(__xludf.DUMMYFUNCTION("GOOGLETRANSLATE($A4686,""en"",""it"")"),"Come Suwaydā'")</f>
        <v>Come Suwaydā'</v>
      </c>
      <c r="G4686" s="9" t="str">
        <f>IFERROR(__xludf.DUMMYFUNCTION("GOOGLETRANSLATE($A4686,""en"",""zh-cn"")"),"正如苏韦达")</f>
        <v>正如苏韦达</v>
      </c>
      <c r="H4686" s="9" t="str">
        <f>IFERROR(__xludf.DUMMYFUNCTION("GOOGLETRANSLATE($A4686,""en"",""ja"")"),"スワイダーとして")</f>
        <v>スワイダーとして</v>
      </c>
      <c r="I4686" s="9" t="str">
        <f>IFERROR(__xludf.DUMMYFUNCTION("GOOGLETRANSLATE($A4686,""en"",""ko"")"),"수와이다'로서")</f>
        <v>수와이다'로서</v>
      </c>
      <c r="J4686" s="9" t="str">
        <f>IFERROR(__xludf.DUMMYFUNCTION("GOOGLETRANSLATE($A4686,""en"",""pt-BR"")"),"Como Suwayda'")</f>
        <v>Como Suwayda'</v>
      </c>
    </row>
    <row r="4687">
      <c r="A4687" s="9" t="str">
        <f>IFERROR(__xludf.DUMMYFUNCTION("""COMPUTED_VALUE"""),"Kaohsiung")</f>
        <v>Kaohsiung</v>
      </c>
      <c r="B4687" s="9" t="str">
        <f>IFERROR(__xludf.DUMMYFUNCTION("""COMPUTED_VALUE"""),"tw-khh")</f>
        <v>tw-khh</v>
      </c>
      <c r="C4687" s="9" t="str">
        <f>IFERROR(__xludf.DUMMYFUNCTION("GOOGLETRANSLATE($A4687,""en"",""de"")"),"Kaohsiung")</f>
        <v>Kaohsiung</v>
      </c>
      <c r="D4687" s="9" t="str">
        <f>IFERROR(__xludf.DUMMYFUNCTION("GOOGLETRANSLATE($A4687,""en"",""fr"")"),"Kaohsiung")</f>
        <v>Kaohsiung</v>
      </c>
      <c r="E4687" s="9" t="str">
        <f>IFERROR(__xludf.DUMMYFUNCTION("GOOGLETRANSLATE($A4687,""en"",""es"")"),"Kaohsiung")</f>
        <v>Kaohsiung</v>
      </c>
      <c r="F4687" s="9" t="str">
        <f>IFERROR(__xludf.DUMMYFUNCTION("GOOGLETRANSLATE($A4687,""en"",""it"")"),"Kaohsiung")</f>
        <v>Kaohsiung</v>
      </c>
      <c r="G4687" s="9" t="str">
        <f>IFERROR(__xludf.DUMMYFUNCTION("GOOGLETRANSLATE($A4687,""en"",""zh-cn"")"),"高雄")</f>
        <v>高雄</v>
      </c>
      <c r="H4687" s="9" t="str">
        <f>IFERROR(__xludf.DUMMYFUNCTION("GOOGLETRANSLATE($A4687,""en"",""ja"")"),"高雄")</f>
        <v>高雄</v>
      </c>
      <c r="I4687" s="9" t="str">
        <f>IFERROR(__xludf.DUMMYFUNCTION("GOOGLETRANSLATE($A4687,""en"",""ko"")"),"가오슝")</f>
        <v>가오슝</v>
      </c>
      <c r="J4687" s="9" t="str">
        <f>IFERROR(__xludf.DUMMYFUNCTION("GOOGLETRANSLATE($A4687,""en"",""pt-BR"")"),"Kaohsiung")</f>
        <v>Kaohsiung</v>
      </c>
    </row>
    <row r="4688">
      <c r="A4688" s="9" t="str">
        <f>IFERROR(__xludf.DUMMYFUNCTION("""COMPUTED_VALUE"""),"Yunlin")</f>
        <v>Yunlin</v>
      </c>
      <c r="B4688" s="9" t="str">
        <f>IFERROR(__xludf.DUMMYFUNCTION("""COMPUTED_VALUE"""),"tw-yun")</f>
        <v>tw-yun</v>
      </c>
      <c r="C4688" s="9" t="str">
        <f>IFERROR(__xludf.DUMMYFUNCTION("GOOGLETRANSLATE($A4688,""en"",""de"")"),"Yunlin")</f>
        <v>Yunlin</v>
      </c>
      <c r="D4688" s="9" t="str">
        <f>IFERROR(__xludf.DUMMYFUNCTION("GOOGLETRANSLATE($A4688,""en"",""fr"")"),"Yunlin")</f>
        <v>Yunlin</v>
      </c>
      <c r="E4688" s="9" t="str">
        <f>IFERROR(__xludf.DUMMYFUNCTION("GOOGLETRANSLATE($A4688,""en"",""es"")"),"Yunlin")</f>
        <v>Yunlin</v>
      </c>
      <c r="F4688" s="9" t="str">
        <f>IFERROR(__xludf.DUMMYFUNCTION("GOOGLETRANSLATE($A4688,""en"",""it"")"),"Yunlin")</f>
        <v>Yunlin</v>
      </c>
      <c r="G4688" s="9" t="str">
        <f>IFERROR(__xludf.DUMMYFUNCTION("GOOGLETRANSLATE($A4688,""en"",""zh-cn"")"),"云林")</f>
        <v>云林</v>
      </c>
      <c r="H4688" s="9" t="str">
        <f>IFERROR(__xludf.DUMMYFUNCTION("GOOGLETRANSLATE($A4688,""en"",""ja"")"),"雲林")</f>
        <v>雲林</v>
      </c>
      <c r="I4688" s="9" t="str">
        <f>IFERROR(__xludf.DUMMYFUNCTION("GOOGLETRANSLATE($A4688,""en"",""ko"")"),"윈린")</f>
        <v>윈린</v>
      </c>
      <c r="J4688" s="9" t="str">
        <f>IFERROR(__xludf.DUMMYFUNCTION("GOOGLETRANSLATE($A4688,""en"",""pt-BR"")"),"Yun Lin")</f>
        <v>Yun Lin</v>
      </c>
    </row>
    <row r="4689">
      <c r="A4689" s="9" t="str">
        <f>IFERROR(__xludf.DUMMYFUNCTION("""COMPUTED_VALUE"""),"Nantou")</f>
        <v>Nantou</v>
      </c>
      <c r="B4689" s="9" t="str">
        <f>IFERROR(__xludf.DUMMYFUNCTION("""COMPUTED_VALUE"""),"tw-nan")</f>
        <v>tw-nan</v>
      </c>
      <c r="C4689" s="9" t="str">
        <f>IFERROR(__xludf.DUMMYFUNCTION("GOOGLETRANSLATE($A4689,""en"",""de"")"),"Nantou")</f>
        <v>Nantou</v>
      </c>
      <c r="D4689" s="9" t="str">
        <f>IFERROR(__xludf.DUMMYFUNCTION("GOOGLETRANSLATE($A4689,""en"",""fr"")"),"Nantou")</f>
        <v>Nantou</v>
      </c>
      <c r="E4689" s="9" t="str">
        <f>IFERROR(__xludf.DUMMYFUNCTION("GOOGLETRANSLATE($A4689,""en"",""es"")"),"Nantou")</f>
        <v>Nantou</v>
      </c>
      <c r="F4689" s="9" t="str">
        <f>IFERROR(__xludf.DUMMYFUNCTION("GOOGLETRANSLATE($A4689,""en"",""it"")"),"Nantou")</f>
        <v>Nantou</v>
      </c>
      <c r="G4689" s="9" t="str">
        <f>IFERROR(__xludf.DUMMYFUNCTION("GOOGLETRANSLATE($A4689,""en"",""zh-cn"")"),"南投")</f>
        <v>南投</v>
      </c>
      <c r="H4689" s="9" t="str">
        <f>IFERROR(__xludf.DUMMYFUNCTION("GOOGLETRANSLATE($A4689,""en"",""ja"")"),"南投")</f>
        <v>南投</v>
      </c>
      <c r="I4689" s="9" t="str">
        <f>IFERROR(__xludf.DUMMYFUNCTION("GOOGLETRANSLATE($A4689,""en"",""ko"")"),"난터우")</f>
        <v>난터우</v>
      </c>
      <c r="J4689" s="9" t="str">
        <f>IFERROR(__xludf.DUMMYFUNCTION("GOOGLETRANSLATE($A4689,""en"",""pt-BR"")"),"Nantou")</f>
        <v>Nantou</v>
      </c>
    </row>
    <row r="4690">
      <c r="A4690" s="9" t="str">
        <f>IFERROR(__xludf.DUMMYFUNCTION("""COMPUTED_VALUE"""),"Yilan")</f>
        <v>Yilan</v>
      </c>
      <c r="B4690" s="9" t="str">
        <f>IFERROR(__xludf.DUMMYFUNCTION("""COMPUTED_VALUE"""),"tw-ila")</f>
        <v>tw-ila</v>
      </c>
      <c r="C4690" s="9" t="str">
        <f>IFERROR(__xludf.DUMMYFUNCTION("GOOGLETRANSLATE($A4690,""en"",""de"")"),"Yilan")</f>
        <v>Yilan</v>
      </c>
      <c r="D4690" s="9" t="str">
        <f>IFERROR(__xludf.DUMMYFUNCTION("GOOGLETRANSLATE($A4690,""en"",""fr"")"),"Yilan")</f>
        <v>Yilan</v>
      </c>
      <c r="E4690" s="9" t="str">
        <f>IFERROR(__xludf.DUMMYFUNCTION("GOOGLETRANSLATE($A4690,""en"",""es"")"),"yilán")</f>
        <v>yilán</v>
      </c>
      <c r="F4690" s="9" t="str">
        <f>IFERROR(__xludf.DUMMYFUNCTION("GOOGLETRANSLATE($A4690,""en"",""it"")"),"Yilan")</f>
        <v>Yilan</v>
      </c>
      <c r="G4690" s="9" t="str">
        <f>IFERROR(__xludf.DUMMYFUNCTION("GOOGLETRANSLATE($A4690,""en"",""zh-cn"")"),"宜兰")</f>
        <v>宜兰</v>
      </c>
      <c r="H4690" s="9" t="str">
        <f>IFERROR(__xludf.DUMMYFUNCTION("GOOGLETRANSLATE($A4690,""en"",""ja"")"),"宜蘭")</f>
        <v>宜蘭</v>
      </c>
      <c r="I4690" s="9" t="str">
        <f>IFERROR(__xludf.DUMMYFUNCTION("GOOGLETRANSLATE($A4690,""en"",""ko"")"),"이란")</f>
        <v>이란</v>
      </c>
      <c r="J4690" s="9" t="str">
        <f>IFERROR(__xludf.DUMMYFUNCTION("GOOGLETRANSLATE($A4690,""en"",""pt-BR"")"),"Yilan")</f>
        <v>Yilan</v>
      </c>
    </row>
    <row r="4691">
      <c r="A4691" s="9" t="str">
        <f>IFERROR(__xludf.DUMMYFUNCTION("""COMPUTED_VALUE"""),"Chiayi City")</f>
        <v>Chiayi City</v>
      </c>
      <c r="B4691" s="9" t="str">
        <f>IFERROR(__xludf.DUMMYFUNCTION("""COMPUTED_VALUE"""),"tw-cyi")</f>
        <v>tw-cyi</v>
      </c>
      <c r="C4691" s="9" t="str">
        <f>IFERROR(__xludf.DUMMYFUNCTION("GOOGLETRANSLATE($A4691,""en"",""de"")"),"Chiayi-Stadt")</f>
        <v>Chiayi-Stadt</v>
      </c>
      <c r="D4691" s="9" t="str">
        <f>IFERROR(__xludf.DUMMYFUNCTION("GOOGLETRANSLATE($A4691,""en"",""fr"")"),"Ville de Chiayi")</f>
        <v>Ville de Chiayi</v>
      </c>
      <c r="E4691" s="9" t="str">
        <f>IFERROR(__xludf.DUMMYFUNCTION("GOOGLETRANSLATE($A4691,""en"",""es"")"),"ciudad de chiayi")</f>
        <v>ciudad de chiayi</v>
      </c>
      <c r="F4691" s="9" t="str">
        <f>IFERROR(__xludf.DUMMYFUNCTION("GOOGLETRANSLATE($A4691,""en"",""it"")"),"Città di Chiayi")</f>
        <v>Città di Chiayi</v>
      </c>
      <c r="G4691" s="9" t="str">
        <f>IFERROR(__xludf.DUMMYFUNCTION("GOOGLETRANSLATE($A4691,""en"",""zh-cn"")"),"嘉义市")</f>
        <v>嘉义市</v>
      </c>
      <c r="H4691" s="9" t="str">
        <f>IFERROR(__xludf.DUMMYFUNCTION("GOOGLETRANSLATE($A4691,""en"",""ja"")"),"嘉義市")</f>
        <v>嘉義市</v>
      </c>
      <c r="I4691" s="9" t="str">
        <f>IFERROR(__xludf.DUMMYFUNCTION("GOOGLETRANSLATE($A4691,""en"",""ko"")"),"자이시")</f>
        <v>자이시</v>
      </c>
      <c r="J4691" s="9" t="str">
        <f>IFERROR(__xludf.DUMMYFUNCTION("GOOGLETRANSLATE($A4691,""en"",""pt-BR"")"),"Cidade de Chiayi")</f>
        <v>Cidade de Chiayi</v>
      </c>
    </row>
    <row r="4692">
      <c r="A4692" s="9" t="str">
        <f>IFERROR(__xludf.DUMMYFUNCTION("""COMPUTED_VALUE"""),"Chiayi County")</f>
        <v>Chiayi County</v>
      </c>
      <c r="B4692" s="9" t="str">
        <f>IFERROR(__xludf.DUMMYFUNCTION("""COMPUTED_VALUE"""),"tw-cyq")</f>
        <v>tw-cyq</v>
      </c>
      <c r="C4692" s="9" t="str">
        <f>IFERROR(__xludf.DUMMYFUNCTION("GOOGLETRANSLATE($A4692,""en"",""de"")"),"Kreis Chiayi")</f>
        <v>Kreis Chiayi</v>
      </c>
      <c r="D4692" s="9" t="str">
        <f>IFERROR(__xludf.DUMMYFUNCTION("GOOGLETRANSLATE($A4692,""en"",""fr"")"),"Comté de Chiayi")</f>
        <v>Comté de Chiayi</v>
      </c>
      <c r="E4692" s="9" t="str">
        <f>IFERROR(__xludf.DUMMYFUNCTION("GOOGLETRANSLATE($A4692,""en"",""es"")"),"Condado de Chiayi")</f>
        <v>Condado de Chiayi</v>
      </c>
      <c r="F4692" s="9" t="str">
        <f>IFERROR(__xludf.DUMMYFUNCTION("GOOGLETRANSLATE($A4692,""en"",""it"")"),"Contea di Chiayi")</f>
        <v>Contea di Chiayi</v>
      </c>
      <c r="G4692" s="9" t="str">
        <f>IFERROR(__xludf.DUMMYFUNCTION("GOOGLETRANSLATE($A4692,""en"",""zh-cn"")"),"嘉义县")</f>
        <v>嘉义县</v>
      </c>
      <c r="H4692" s="9" t="str">
        <f>IFERROR(__xludf.DUMMYFUNCTION("GOOGLETRANSLATE($A4692,""en"",""ja"")"),"嘉義県")</f>
        <v>嘉義県</v>
      </c>
      <c r="I4692" s="9" t="str">
        <f>IFERROR(__xludf.DUMMYFUNCTION("GOOGLETRANSLATE($A4692,""en"",""ko"")"),"자이현")</f>
        <v>자이현</v>
      </c>
      <c r="J4692" s="9" t="str">
        <f>IFERROR(__xludf.DUMMYFUNCTION("GOOGLETRANSLATE($A4692,""en"",""pt-BR"")"),"Condado de Chiayi")</f>
        <v>Condado de Chiayi</v>
      </c>
    </row>
    <row r="4693">
      <c r="A4693" s="9" t="str">
        <f>IFERROR(__xludf.DUMMYFUNCTION("""COMPUTED_VALUE"""),"Taipei County")</f>
        <v>Taipei County</v>
      </c>
      <c r="B4693" s="9" t="str">
        <f>IFERROR(__xludf.DUMMYFUNCTION("""COMPUTED_VALUE"""),"tw-tpq")</f>
        <v>tw-tpq</v>
      </c>
      <c r="C4693" s="9" t="str">
        <f>IFERROR(__xludf.DUMMYFUNCTION("GOOGLETRANSLATE($A4693,""en"",""de"")"),"Landkreis Taipeh")</f>
        <v>Landkreis Taipeh</v>
      </c>
      <c r="D4693" s="9" t="str">
        <f>IFERROR(__xludf.DUMMYFUNCTION("GOOGLETRANSLATE($A4693,""en"",""fr"")"),"Comté de Taipei")</f>
        <v>Comté de Taipei</v>
      </c>
      <c r="E4693" s="9" t="str">
        <f>IFERROR(__xludf.DUMMYFUNCTION("GOOGLETRANSLATE($A4693,""en"",""es"")"),"Condado de Taipéi")</f>
        <v>Condado de Taipéi</v>
      </c>
      <c r="F4693" s="9" t="str">
        <f>IFERROR(__xludf.DUMMYFUNCTION("GOOGLETRANSLATE($A4693,""en"",""it"")"),"Contea di Taipei")</f>
        <v>Contea di Taipei</v>
      </c>
      <c r="G4693" s="9" t="str">
        <f>IFERROR(__xludf.DUMMYFUNCTION("GOOGLETRANSLATE($A4693,""en"",""zh-cn"")"),"台北县")</f>
        <v>台北县</v>
      </c>
      <c r="H4693" s="9" t="str">
        <f>IFERROR(__xludf.DUMMYFUNCTION("GOOGLETRANSLATE($A4693,""en"",""ja"")"),"台北県")</f>
        <v>台北県</v>
      </c>
      <c r="I4693" s="9" t="str">
        <f>IFERROR(__xludf.DUMMYFUNCTION("GOOGLETRANSLATE($A4693,""en"",""ko"")"),"타이페이 현")</f>
        <v>타이페이 현</v>
      </c>
      <c r="J4693" s="9" t="str">
        <f>IFERROR(__xludf.DUMMYFUNCTION("GOOGLETRANSLATE($A4693,""en"",""pt-BR"")"),"Condado de Taipé")</f>
        <v>Condado de Taipé</v>
      </c>
    </row>
    <row r="4694">
      <c r="A4694" s="9" t="str">
        <f>IFERROR(__xludf.DUMMYFUNCTION("""COMPUTED_VALUE"""),"Kaohsiung County")</f>
        <v>Kaohsiung County</v>
      </c>
      <c r="B4694" s="9" t="str">
        <f>IFERROR(__xludf.DUMMYFUNCTION("""COMPUTED_VALUE"""),"tw-khq")</f>
        <v>tw-khq</v>
      </c>
      <c r="C4694" s="9" t="str">
        <f>IFERROR(__xludf.DUMMYFUNCTION("GOOGLETRANSLATE($A4694,""en"",""de"")"),"Landkreis Kaohsiung")</f>
        <v>Landkreis Kaohsiung</v>
      </c>
      <c r="D4694" s="9" t="str">
        <f>IFERROR(__xludf.DUMMYFUNCTION("GOOGLETRANSLATE($A4694,""en"",""fr"")"),"Comté de Kaohsiung")</f>
        <v>Comté de Kaohsiung</v>
      </c>
      <c r="E4694" s="9" t="str">
        <f>IFERROR(__xludf.DUMMYFUNCTION("GOOGLETRANSLATE($A4694,""en"",""es"")"),"Condado de Kaohsiung")</f>
        <v>Condado de Kaohsiung</v>
      </c>
      <c r="F4694" s="9" t="str">
        <f>IFERROR(__xludf.DUMMYFUNCTION("GOOGLETRANSLATE($A4694,""en"",""it"")"),"Contea di Kaohsiung")</f>
        <v>Contea di Kaohsiung</v>
      </c>
      <c r="G4694" s="9" t="str">
        <f>IFERROR(__xludf.DUMMYFUNCTION("GOOGLETRANSLATE($A4694,""en"",""zh-cn"")"),"高雄县")</f>
        <v>高雄县</v>
      </c>
      <c r="H4694" s="9" t="str">
        <f>IFERROR(__xludf.DUMMYFUNCTION("GOOGLETRANSLATE($A4694,""en"",""ja"")"),"高雄県")</f>
        <v>高雄県</v>
      </c>
      <c r="I4694" s="9" t="str">
        <f>IFERROR(__xludf.DUMMYFUNCTION("GOOGLETRANSLATE($A4694,""en"",""ko"")"),"가오슝 현")</f>
        <v>가오슝 현</v>
      </c>
      <c r="J4694" s="9" t="str">
        <f>IFERROR(__xludf.DUMMYFUNCTION("GOOGLETRANSLATE($A4694,""en"",""pt-BR"")"),"Condado de Kaohsiung")</f>
        <v>Condado de Kaohsiung</v>
      </c>
    </row>
    <row r="4695">
      <c r="A4695" s="9" t="str">
        <f>IFERROR(__xludf.DUMMYFUNCTION("""COMPUTED_VALUE"""),"Hualien")</f>
        <v>Hualien</v>
      </c>
      <c r="B4695" s="9" t="str">
        <f>IFERROR(__xludf.DUMMYFUNCTION("""COMPUTED_VALUE"""),"tw-hua")</f>
        <v>tw-hua</v>
      </c>
      <c r="C4695" s="9" t="str">
        <f>IFERROR(__xludf.DUMMYFUNCTION("GOOGLETRANSLATE($A4695,""en"",""de"")"),"Hualien")</f>
        <v>Hualien</v>
      </c>
      <c r="D4695" s="9" t="str">
        <f>IFERROR(__xludf.DUMMYFUNCTION("GOOGLETRANSLATE($A4695,""en"",""fr"")"),"Hualien")</f>
        <v>Hualien</v>
      </c>
      <c r="E4695" s="9" t="str">
        <f>IFERROR(__xludf.DUMMYFUNCTION("GOOGLETRANSLATE($A4695,""en"",""es"")"),"Hualién")</f>
        <v>Hualién</v>
      </c>
      <c r="F4695" s="9" t="str">
        <f>IFERROR(__xludf.DUMMYFUNCTION("GOOGLETRANSLATE($A4695,""en"",""it"")"),"Hualien")</f>
        <v>Hualien</v>
      </c>
      <c r="G4695" s="9" t="str">
        <f>IFERROR(__xludf.DUMMYFUNCTION("GOOGLETRANSLATE($A4695,""en"",""zh-cn"")"),"花莲")</f>
        <v>花莲</v>
      </c>
      <c r="H4695" s="9" t="str">
        <f>IFERROR(__xludf.DUMMYFUNCTION("GOOGLETRANSLATE($A4695,""en"",""ja"")"),"花蓮")</f>
        <v>花蓮</v>
      </c>
      <c r="I4695" s="9" t="str">
        <f>IFERROR(__xludf.DUMMYFUNCTION("GOOGLETRANSLATE($A4695,""en"",""ko"")"),"화롄")</f>
        <v>화롄</v>
      </c>
      <c r="J4695" s="9" t="str">
        <f>IFERROR(__xludf.DUMMYFUNCTION("GOOGLETRANSLATE($A4695,""en"",""pt-BR"")"),"Hualien")</f>
        <v>Hualien</v>
      </c>
    </row>
    <row r="4696">
      <c r="A4696" s="9" t="str">
        <f>IFERROR(__xludf.DUMMYFUNCTION("""COMPUTED_VALUE"""),"Taichung County")</f>
        <v>Taichung County</v>
      </c>
      <c r="B4696" s="9" t="str">
        <f>IFERROR(__xludf.DUMMYFUNCTION("""COMPUTED_VALUE"""),"tw-txq")</f>
        <v>tw-txq</v>
      </c>
      <c r="C4696" s="9" t="str">
        <f>IFERROR(__xludf.DUMMYFUNCTION("GOOGLETRANSLATE($A4696,""en"",""de"")"),"Landkreis Taichung")</f>
        <v>Landkreis Taichung</v>
      </c>
      <c r="D4696" s="9" t="str">
        <f>IFERROR(__xludf.DUMMYFUNCTION("GOOGLETRANSLATE($A4696,""en"",""fr"")"),"Comté de Taichung")</f>
        <v>Comté de Taichung</v>
      </c>
      <c r="E4696" s="9" t="str">
        <f>IFERROR(__xludf.DUMMYFUNCTION("GOOGLETRANSLATE($A4696,""en"",""es"")"),"Condado de Taichung")</f>
        <v>Condado de Taichung</v>
      </c>
      <c r="F4696" s="9" t="str">
        <f>IFERROR(__xludf.DUMMYFUNCTION("GOOGLETRANSLATE($A4696,""en"",""it"")"),"Contea di Taichung")</f>
        <v>Contea di Taichung</v>
      </c>
      <c r="G4696" s="9" t="str">
        <f>IFERROR(__xludf.DUMMYFUNCTION("GOOGLETRANSLATE($A4696,""en"",""zh-cn"")"),"台中县")</f>
        <v>台中县</v>
      </c>
      <c r="H4696" s="9" t="str">
        <f>IFERROR(__xludf.DUMMYFUNCTION("GOOGLETRANSLATE($A4696,""en"",""ja"")"),"台中県")</f>
        <v>台中県</v>
      </c>
      <c r="I4696" s="9" t="str">
        <f>IFERROR(__xludf.DUMMYFUNCTION("GOOGLETRANSLATE($A4696,""en"",""ko"")"),"타이중 현")</f>
        <v>타이중 현</v>
      </c>
      <c r="J4696" s="9" t="str">
        <f>IFERROR(__xludf.DUMMYFUNCTION("GOOGLETRANSLATE($A4696,""en"",""pt-BR"")"),"Condado de Taichung")</f>
        <v>Condado de Taichung</v>
      </c>
    </row>
    <row r="4697">
      <c r="A4697" s="9" t="str">
        <f>IFERROR(__xludf.DUMMYFUNCTION("""COMPUTED_VALUE"""),"Taipei")</f>
        <v>Taipei</v>
      </c>
      <c r="B4697" s="9" t="str">
        <f>IFERROR(__xludf.DUMMYFUNCTION("""COMPUTED_VALUE"""),"tw-tpe")</f>
        <v>tw-tpe</v>
      </c>
      <c r="C4697" s="9" t="str">
        <f>IFERROR(__xludf.DUMMYFUNCTION("GOOGLETRANSLATE($A4697,""en"",""de"")"),"Taipeh")</f>
        <v>Taipeh</v>
      </c>
      <c r="D4697" s="9" t="str">
        <f>IFERROR(__xludf.DUMMYFUNCTION("GOOGLETRANSLATE($A4697,""en"",""fr"")"),"Taïpei")</f>
        <v>Taïpei</v>
      </c>
      <c r="E4697" s="9" t="str">
        <f>IFERROR(__xludf.DUMMYFUNCTION("GOOGLETRANSLATE($A4697,""en"",""es"")"),"Taipéi")</f>
        <v>Taipéi</v>
      </c>
      <c r="F4697" s="9" t="str">
        <f>IFERROR(__xludf.DUMMYFUNCTION("GOOGLETRANSLATE($A4697,""en"",""it"")"),"Taipei")</f>
        <v>Taipei</v>
      </c>
      <c r="G4697" s="9" t="str">
        <f>IFERROR(__xludf.DUMMYFUNCTION("GOOGLETRANSLATE($A4697,""en"",""zh-cn"")"),"台北")</f>
        <v>台北</v>
      </c>
      <c r="H4697" s="9" t="str">
        <f>IFERROR(__xludf.DUMMYFUNCTION("GOOGLETRANSLATE($A4697,""en"",""ja"")"),"台北")</f>
        <v>台北</v>
      </c>
      <c r="I4697" s="9" t="str">
        <f>IFERROR(__xludf.DUMMYFUNCTION("GOOGLETRANSLATE($A4697,""en"",""ko"")"),"타이페이")</f>
        <v>타이페이</v>
      </c>
      <c r="J4697" s="9" t="str">
        <f>IFERROR(__xludf.DUMMYFUNCTION("GOOGLETRANSLATE($A4697,""en"",""pt-BR"")"),"Taipei")</f>
        <v>Taipei</v>
      </c>
    </row>
    <row r="4698">
      <c r="A4698" s="9" t="str">
        <f>IFERROR(__xludf.DUMMYFUNCTION("""COMPUTED_VALUE"""),"Taitung")</f>
        <v>Taitung</v>
      </c>
      <c r="B4698" s="9" t="str">
        <f>IFERROR(__xludf.DUMMYFUNCTION("""COMPUTED_VALUE"""),"tw-ttt")</f>
        <v>tw-ttt</v>
      </c>
      <c r="C4698" s="9" t="str">
        <f>IFERROR(__xludf.DUMMYFUNCTION("GOOGLETRANSLATE($A4698,""en"",""de"")"),"Taitung")</f>
        <v>Taitung</v>
      </c>
      <c r="D4698" s="9" t="str">
        <f>IFERROR(__xludf.DUMMYFUNCTION("GOOGLETRANSLATE($A4698,""en"",""fr"")"),"Taïtung")</f>
        <v>Taïtung</v>
      </c>
      <c r="E4698" s="9" t="str">
        <f>IFERROR(__xludf.DUMMYFUNCTION("GOOGLETRANSLATE($A4698,""en"",""es"")"),"Taitung")</f>
        <v>Taitung</v>
      </c>
      <c r="F4698" s="9" t="str">
        <f>IFERROR(__xludf.DUMMYFUNCTION("GOOGLETRANSLATE($A4698,""en"",""it"")"),"Taitung")</f>
        <v>Taitung</v>
      </c>
      <c r="G4698" s="9" t="str">
        <f>IFERROR(__xludf.DUMMYFUNCTION("GOOGLETRANSLATE($A4698,""en"",""zh-cn"")"),"台东")</f>
        <v>台东</v>
      </c>
      <c r="H4698" s="9" t="str">
        <f>IFERROR(__xludf.DUMMYFUNCTION("GOOGLETRANSLATE($A4698,""en"",""ja"")"),"台東")</f>
        <v>台東</v>
      </c>
      <c r="I4698" s="9" t="str">
        <f>IFERROR(__xludf.DUMMYFUNCTION("GOOGLETRANSLATE($A4698,""en"",""ko"")"),"타이둥")</f>
        <v>타이둥</v>
      </c>
      <c r="J4698" s="9" t="str">
        <f>IFERROR(__xludf.DUMMYFUNCTION("GOOGLETRANSLATE($A4698,""en"",""pt-BR"")"),"Taitung")</f>
        <v>Taitung</v>
      </c>
    </row>
    <row r="4699">
      <c r="A4699" s="9" t="str">
        <f>IFERROR(__xludf.DUMMYFUNCTION("""COMPUTED_VALUE"""),"Miaoli")</f>
        <v>Miaoli</v>
      </c>
      <c r="B4699" s="9" t="str">
        <f>IFERROR(__xludf.DUMMYFUNCTION("""COMPUTED_VALUE"""),"tw-mia")</f>
        <v>tw-mia</v>
      </c>
      <c r="C4699" s="9" t="str">
        <f>IFERROR(__xludf.DUMMYFUNCTION("GOOGLETRANSLATE($A4699,""en"",""de"")"),"Miaoli")</f>
        <v>Miaoli</v>
      </c>
      <c r="D4699" s="9" t="str">
        <f>IFERROR(__xludf.DUMMYFUNCTION("GOOGLETRANSLATE($A4699,""en"",""fr"")"),"Miaoli")</f>
        <v>Miaoli</v>
      </c>
      <c r="E4699" s="9" t="str">
        <f>IFERROR(__xludf.DUMMYFUNCTION("GOOGLETRANSLATE($A4699,""en"",""es"")"),"Miaoli")</f>
        <v>Miaoli</v>
      </c>
      <c r="F4699" s="9" t="str">
        <f>IFERROR(__xludf.DUMMYFUNCTION("GOOGLETRANSLATE($A4699,""en"",""it"")"),"Miaoli")</f>
        <v>Miaoli</v>
      </c>
      <c r="G4699" s="9" t="str">
        <f>IFERROR(__xludf.DUMMYFUNCTION("GOOGLETRANSLATE($A4699,""en"",""zh-cn"")"),"苗栗")</f>
        <v>苗栗</v>
      </c>
      <c r="H4699" s="9" t="str">
        <f>IFERROR(__xludf.DUMMYFUNCTION("GOOGLETRANSLATE($A4699,""en"",""ja"")"),"苗栗県")</f>
        <v>苗栗県</v>
      </c>
      <c r="I4699" s="9" t="str">
        <f>IFERROR(__xludf.DUMMYFUNCTION("GOOGLETRANSLATE($A4699,""en"",""ko"")"),"먀오리")</f>
        <v>먀오리</v>
      </c>
      <c r="J4699" s="9" t="str">
        <f>IFERROR(__xludf.DUMMYFUNCTION("GOOGLETRANSLATE($A4699,""en"",""pt-BR"")"),"Miaooli")</f>
        <v>Miaooli</v>
      </c>
    </row>
    <row r="4700">
      <c r="A4700" s="9" t="str">
        <f>IFERROR(__xludf.DUMMYFUNCTION("""COMPUTED_VALUE"""),"Changhua")</f>
        <v>Changhua</v>
      </c>
      <c r="B4700" s="9" t="str">
        <f>IFERROR(__xludf.DUMMYFUNCTION("""COMPUTED_VALUE"""),"tw-cha")</f>
        <v>tw-cha</v>
      </c>
      <c r="C4700" s="9" t="str">
        <f>IFERROR(__xludf.DUMMYFUNCTION("GOOGLETRANSLATE($A4700,""en"",""de"")"),"Changhua")</f>
        <v>Changhua</v>
      </c>
      <c r="D4700" s="9" t="str">
        <f>IFERROR(__xludf.DUMMYFUNCTION("GOOGLETRANSLATE($A4700,""en"",""fr"")"),"Changhua")</f>
        <v>Changhua</v>
      </c>
      <c r="E4700" s="9" t="str">
        <f>IFERROR(__xludf.DUMMYFUNCTION("GOOGLETRANSLATE($A4700,""en"",""es"")"),"Changhua")</f>
        <v>Changhua</v>
      </c>
      <c r="F4700" s="9" t="str">
        <f>IFERROR(__xludf.DUMMYFUNCTION("GOOGLETRANSLATE($A4700,""en"",""it"")"),"Changhua")</f>
        <v>Changhua</v>
      </c>
      <c r="G4700" s="9" t="str">
        <f>IFERROR(__xludf.DUMMYFUNCTION("GOOGLETRANSLATE($A4700,""en"",""zh-cn"")"),"彰化")</f>
        <v>彰化</v>
      </c>
      <c r="H4700" s="9" t="str">
        <f>IFERROR(__xludf.DUMMYFUNCTION("GOOGLETRANSLATE($A4700,""en"",""ja"")"),"彰化")</f>
        <v>彰化</v>
      </c>
      <c r="I4700" s="9" t="str">
        <f>IFERROR(__xludf.DUMMYFUNCTION("GOOGLETRANSLATE($A4700,""en"",""ko"")"),"장화")</f>
        <v>장화</v>
      </c>
      <c r="J4700" s="9" t="str">
        <f>IFERROR(__xludf.DUMMYFUNCTION("GOOGLETRANSLATE($A4700,""en"",""pt-BR"")"),"Changhua")</f>
        <v>Changhua</v>
      </c>
    </row>
    <row r="4701">
      <c r="A4701" s="9" t="str">
        <f>IFERROR(__xludf.DUMMYFUNCTION("""COMPUTED_VALUE"""),"Lienchiang")</f>
        <v>Lienchiang</v>
      </c>
      <c r="B4701" s="9" t="str">
        <f>IFERROR(__xludf.DUMMYFUNCTION("""COMPUTED_VALUE"""),"tw-lie")</f>
        <v>tw-lie</v>
      </c>
      <c r="C4701" s="9" t="str">
        <f>IFERROR(__xludf.DUMMYFUNCTION("GOOGLETRANSLATE($A4701,""en"",""de"")"),"Lienchiang")</f>
        <v>Lienchiang</v>
      </c>
      <c r="D4701" s="9" t="str">
        <f>IFERROR(__xludf.DUMMYFUNCTION("GOOGLETRANSLATE($A4701,""en"",""fr"")"),"Lienchiang")</f>
        <v>Lienchiang</v>
      </c>
      <c r="E4701" s="9" t="str">
        <f>IFERROR(__xludf.DUMMYFUNCTION("GOOGLETRANSLATE($A4701,""en"",""es"")"),"Lienchiang")</f>
        <v>Lienchiang</v>
      </c>
      <c r="F4701" s="9" t="str">
        <f>IFERROR(__xludf.DUMMYFUNCTION("GOOGLETRANSLATE($A4701,""en"",""it"")"),"Lienchiang")</f>
        <v>Lienchiang</v>
      </c>
      <c r="G4701" s="9" t="str">
        <f>IFERROR(__xludf.DUMMYFUNCTION("GOOGLETRANSLATE($A4701,""en"",""zh-cn"")"),"连江")</f>
        <v>连江</v>
      </c>
      <c r="H4701" s="9" t="str">
        <f>IFERROR(__xludf.DUMMYFUNCTION("GOOGLETRANSLATE($A4701,""en"",""ja"")"),"連江市")</f>
        <v>連江市</v>
      </c>
      <c r="I4701" s="9" t="str">
        <f>IFERROR(__xludf.DUMMYFUNCTION("GOOGLETRANSLATE($A4701,""en"",""ko"")"),"롄장")</f>
        <v>롄장</v>
      </c>
      <c r="J4701" s="9" t="str">
        <f>IFERROR(__xludf.DUMMYFUNCTION("GOOGLETRANSLATE($A4701,""en"",""pt-BR"")"),"Liênchiang")</f>
        <v>Liênchiang</v>
      </c>
    </row>
    <row r="4702">
      <c r="A4702" s="9" t="str">
        <f>IFERROR(__xludf.DUMMYFUNCTION("""COMPUTED_VALUE"""),"New Taipei")</f>
        <v>New Taipei</v>
      </c>
      <c r="B4702" s="9" t="str">
        <f>IFERROR(__xludf.DUMMYFUNCTION("""COMPUTED_VALUE"""),"tw-nwt")</f>
        <v>tw-nwt</v>
      </c>
      <c r="C4702" s="9" t="str">
        <f>IFERROR(__xludf.DUMMYFUNCTION("GOOGLETRANSLATE($A4702,""en"",""de"")"),"Neu-Taipeh")</f>
        <v>Neu-Taipeh</v>
      </c>
      <c r="D4702" s="9" t="str">
        <f>IFERROR(__xludf.DUMMYFUNCTION("GOOGLETRANSLATE($A4702,""en"",""fr"")"),"Nouveau Taipei")</f>
        <v>Nouveau Taipei</v>
      </c>
      <c r="E4702" s="9" t="str">
        <f>IFERROR(__xludf.DUMMYFUNCTION("GOOGLETRANSLATE($A4702,""en"",""es"")"),"Nuevo Taipéi")</f>
        <v>Nuevo Taipéi</v>
      </c>
      <c r="F4702" s="9" t="str">
        <f>IFERROR(__xludf.DUMMYFUNCTION("GOOGLETRANSLATE($A4702,""en"",""it"")"),"Nuova Taipei")</f>
        <v>Nuova Taipei</v>
      </c>
      <c r="G4702" s="9" t="str">
        <f>IFERROR(__xludf.DUMMYFUNCTION("GOOGLETRANSLATE($A4702,""en"",""zh-cn"")"),"新北")</f>
        <v>新北</v>
      </c>
      <c r="H4702" s="9" t="str">
        <f>IFERROR(__xludf.DUMMYFUNCTION("GOOGLETRANSLATE($A4702,""en"",""ja"")"),"新北")</f>
        <v>新北</v>
      </c>
      <c r="I4702" s="9" t="str">
        <f>IFERROR(__xludf.DUMMYFUNCTION("GOOGLETRANSLATE($A4702,""en"",""ko"")"),"신베이")</f>
        <v>신베이</v>
      </c>
      <c r="J4702" s="9" t="str">
        <f>IFERROR(__xludf.DUMMYFUNCTION("GOOGLETRANSLATE($A4702,""en"",""pt-BR"")"),"Nova Taipé")</f>
        <v>Nova Taipé</v>
      </c>
    </row>
    <row r="4703">
      <c r="A4703" s="9" t="str">
        <f>IFERROR(__xludf.DUMMYFUNCTION("""COMPUTED_VALUE"""),"Kinmen")</f>
        <v>Kinmen</v>
      </c>
      <c r="B4703" s="9" t="str">
        <f>IFERROR(__xludf.DUMMYFUNCTION("""COMPUTED_VALUE"""),"tw-kin")</f>
        <v>tw-kin</v>
      </c>
      <c r="C4703" s="9" t="str">
        <f>IFERROR(__xludf.DUMMYFUNCTION("GOOGLETRANSLATE($A4703,""en"",""de"")"),"Kinmen")</f>
        <v>Kinmen</v>
      </c>
      <c r="D4703" s="9" t="str">
        <f>IFERROR(__xludf.DUMMYFUNCTION("GOOGLETRANSLATE($A4703,""en"",""fr"")"),"Kinmen")</f>
        <v>Kinmen</v>
      </c>
      <c r="E4703" s="9" t="str">
        <f>IFERROR(__xludf.DUMMYFUNCTION("GOOGLETRANSLATE($A4703,""en"",""es"")"),"parientes")</f>
        <v>parientes</v>
      </c>
      <c r="F4703" s="9" t="str">
        <f>IFERROR(__xludf.DUMMYFUNCTION("GOOGLETRANSLATE($A4703,""en"",""it"")"),"Kinmen")</f>
        <v>Kinmen</v>
      </c>
      <c r="G4703" s="9" t="str">
        <f>IFERROR(__xludf.DUMMYFUNCTION("GOOGLETRANSLATE($A4703,""en"",""zh-cn"")"),"金门")</f>
        <v>金门</v>
      </c>
      <c r="H4703" s="9" t="str">
        <f>IFERROR(__xludf.DUMMYFUNCTION("GOOGLETRANSLATE($A4703,""en"",""ja"")"),"金門")</f>
        <v>金門</v>
      </c>
      <c r="I4703" s="9" t="str">
        <f>IFERROR(__xludf.DUMMYFUNCTION("GOOGLETRANSLATE($A4703,""en"",""ko"")"),"진먼")</f>
        <v>진먼</v>
      </c>
      <c r="J4703" s="9" t="str">
        <f>IFERROR(__xludf.DUMMYFUNCTION("GOOGLETRANSLATE($A4703,""en"",""pt-BR"")"),"Kinmen")</f>
        <v>Kinmen</v>
      </c>
    </row>
    <row r="4704">
      <c r="A4704" s="9" t="str">
        <f>IFERROR(__xludf.DUMMYFUNCTION("""COMPUTED_VALUE"""),"Penghu")</f>
        <v>Penghu</v>
      </c>
      <c r="B4704" s="9" t="str">
        <f>IFERROR(__xludf.DUMMYFUNCTION("""COMPUTED_VALUE"""),"tw-pen")</f>
        <v>tw-pen</v>
      </c>
      <c r="C4704" s="9" t="str">
        <f>IFERROR(__xludf.DUMMYFUNCTION("GOOGLETRANSLATE($A4704,""en"",""de"")"),"Penghu")</f>
        <v>Penghu</v>
      </c>
      <c r="D4704" s="9" t="str">
        <f>IFERROR(__xludf.DUMMYFUNCTION("GOOGLETRANSLATE($A4704,""en"",""fr"")"),"Penghu")</f>
        <v>Penghu</v>
      </c>
      <c r="E4704" s="9" t="str">
        <f>IFERROR(__xludf.DUMMYFUNCTION("GOOGLETRANSLATE($A4704,""en"",""es"")"),"Penghu")</f>
        <v>Penghu</v>
      </c>
      <c r="F4704" s="9" t="str">
        <f>IFERROR(__xludf.DUMMYFUNCTION("GOOGLETRANSLATE($A4704,""en"",""it"")"),"Penghu")</f>
        <v>Penghu</v>
      </c>
      <c r="G4704" s="9" t="str">
        <f>IFERROR(__xludf.DUMMYFUNCTION("GOOGLETRANSLATE($A4704,""en"",""zh-cn"")"),"澎湖")</f>
        <v>澎湖</v>
      </c>
      <c r="H4704" s="9" t="str">
        <f>IFERROR(__xludf.DUMMYFUNCTION("GOOGLETRANSLATE($A4704,""en"",""ja"")"),"澎湖県")</f>
        <v>澎湖県</v>
      </c>
      <c r="I4704" s="9" t="str">
        <f>IFERROR(__xludf.DUMMYFUNCTION("GOOGLETRANSLATE($A4704,""en"",""ko"")"),"펑후")</f>
        <v>펑후</v>
      </c>
      <c r="J4704" s="9" t="str">
        <f>IFERROR(__xludf.DUMMYFUNCTION("GOOGLETRANSLATE($A4704,""en"",""pt-BR"")"),"Penghu")</f>
        <v>Penghu</v>
      </c>
    </row>
    <row r="4705">
      <c r="A4705" s="9" t="str">
        <f>IFERROR(__xludf.DUMMYFUNCTION("""COMPUTED_VALUE"""),"Hsinchu City")</f>
        <v>Hsinchu City</v>
      </c>
      <c r="B4705" s="9" t="str">
        <f>IFERROR(__xludf.DUMMYFUNCTION("""COMPUTED_VALUE"""),"tw-hsz")</f>
        <v>tw-hsz</v>
      </c>
      <c r="C4705" s="9" t="str">
        <f>IFERROR(__xludf.DUMMYFUNCTION("GOOGLETRANSLATE($A4705,""en"",""de"")"),"Stadt Hsinchu")</f>
        <v>Stadt Hsinchu</v>
      </c>
      <c r="D4705" s="9" t="str">
        <f>IFERROR(__xludf.DUMMYFUNCTION("GOOGLETRANSLATE($A4705,""en"",""fr"")"),"Ville de Hsinchu")</f>
        <v>Ville de Hsinchu</v>
      </c>
      <c r="E4705" s="9" t="str">
        <f>IFERROR(__xludf.DUMMYFUNCTION("GOOGLETRANSLATE($A4705,""en"",""es"")"),"Ciudad de Hsinchu")</f>
        <v>Ciudad de Hsinchu</v>
      </c>
      <c r="F4705" s="9" t="str">
        <f>IFERROR(__xludf.DUMMYFUNCTION("GOOGLETRANSLATE($A4705,""en"",""it"")"),"Città di Hsinchu")</f>
        <v>Città di Hsinchu</v>
      </c>
      <c r="G4705" s="9" t="str">
        <f>IFERROR(__xludf.DUMMYFUNCTION("GOOGLETRANSLATE($A4705,""en"",""zh-cn"")"),"新竹市")</f>
        <v>新竹市</v>
      </c>
      <c r="H4705" s="9" t="str">
        <f>IFERROR(__xludf.DUMMYFUNCTION("GOOGLETRANSLATE($A4705,""en"",""ja"")"),"新竹市")</f>
        <v>新竹市</v>
      </c>
      <c r="I4705" s="9" t="str">
        <f>IFERROR(__xludf.DUMMYFUNCTION("GOOGLETRANSLATE($A4705,""en"",""ko"")"),"신주시")</f>
        <v>신주시</v>
      </c>
      <c r="J4705" s="9" t="str">
        <f>IFERROR(__xludf.DUMMYFUNCTION("GOOGLETRANSLATE($A4705,""en"",""pt-BR"")"),"Cidade de Hsinchu")</f>
        <v>Cidade de Hsinchu</v>
      </c>
    </row>
    <row r="4706">
      <c r="A4706" s="9" t="str">
        <f>IFERROR(__xludf.DUMMYFUNCTION("""COMPUTED_VALUE"""),"Taichung")</f>
        <v>Taichung</v>
      </c>
      <c r="B4706" s="9" t="str">
        <f>IFERROR(__xludf.DUMMYFUNCTION("""COMPUTED_VALUE"""),"tw-txg")</f>
        <v>tw-txg</v>
      </c>
      <c r="C4706" s="9" t="str">
        <f>IFERROR(__xludf.DUMMYFUNCTION("GOOGLETRANSLATE($A4706,""en"",""de"")"),"Taichung")</f>
        <v>Taichung</v>
      </c>
      <c r="D4706" s="9" t="str">
        <f>IFERROR(__xludf.DUMMYFUNCTION("GOOGLETRANSLATE($A4706,""en"",""fr"")"),"Taichung")</f>
        <v>Taichung</v>
      </c>
      <c r="E4706" s="9" t="str">
        <f>IFERROR(__xludf.DUMMYFUNCTION("GOOGLETRANSLATE($A4706,""en"",""es"")"),"Taichung")</f>
        <v>Taichung</v>
      </c>
      <c r="F4706" s="9" t="str">
        <f>IFERROR(__xludf.DUMMYFUNCTION("GOOGLETRANSLATE($A4706,""en"",""it"")"),"Taichung")</f>
        <v>Taichung</v>
      </c>
      <c r="G4706" s="9" t="str">
        <f>IFERROR(__xludf.DUMMYFUNCTION("GOOGLETRANSLATE($A4706,""en"",""zh-cn"")"),"台中")</f>
        <v>台中</v>
      </c>
      <c r="H4706" s="9" t="str">
        <f>IFERROR(__xludf.DUMMYFUNCTION("GOOGLETRANSLATE($A4706,""en"",""ja"")"),"台中")</f>
        <v>台中</v>
      </c>
      <c r="I4706" s="9" t="str">
        <f>IFERROR(__xludf.DUMMYFUNCTION("GOOGLETRANSLATE($A4706,""en"",""ko"")"),"타이중")</f>
        <v>타이중</v>
      </c>
      <c r="J4706" s="9" t="str">
        <f>IFERROR(__xludf.DUMMYFUNCTION("GOOGLETRANSLATE($A4706,""en"",""pt-BR"")"),"Taichung")</f>
        <v>Taichung</v>
      </c>
    </row>
    <row r="4707">
      <c r="A4707" s="9" t="str">
        <f>IFERROR(__xludf.DUMMYFUNCTION("""COMPUTED_VALUE"""),"Taoyuan")</f>
        <v>Taoyuan</v>
      </c>
      <c r="B4707" s="9" t="str">
        <f>IFERROR(__xludf.DUMMYFUNCTION("""COMPUTED_VALUE"""),"tw-tao")</f>
        <v>tw-tao</v>
      </c>
      <c r="C4707" s="9" t="str">
        <f>IFERROR(__xludf.DUMMYFUNCTION("GOOGLETRANSLATE($A4707,""en"",""de"")"),"Taoyuan")</f>
        <v>Taoyuan</v>
      </c>
      <c r="D4707" s="9" t="str">
        <f>IFERROR(__xludf.DUMMYFUNCTION("GOOGLETRANSLATE($A4707,""en"",""fr"")"),"Taoyuan")</f>
        <v>Taoyuan</v>
      </c>
      <c r="E4707" s="9" t="str">
        <f>IFERROR(__xludf.DUMMYFUNCTION("GOOGLETRANSLATE($A4707,""en"",""es"")"),"Taoyuan")</f>
        <v>Taoyuan</v>
      </c>
      <c r="F4707" s="9" t="str">
        <f>IFERROR(__xludf.DUMMYFUNCTION("GOOGLETRANSLATE($A4707,""en"",""it"")"),"Taoyuan")</f>
        <v>Taoyuan</v>
      </c>
      <c r="G4707" s="9" t="str">
        <f>IFERROR(__xludf.DUMMYFUNCTION("GOOGLETRANSLATE($A4707,""en"",""zh-cn"")"),"桃园")</f>
        <v>桃园</v>
      </c>
      <c r="H4707" s="9" t="str">
        <f>IFERROR(__xludf.DUMMYFUNCTION("GOOGLETRANSLATE($A4707,""en"",""ja"")"),"桃園")</f>
        <v>桃園</v>
      </c>
      <c r="I4707" s="9" t="str">
        <f>IFERROR(__xludf.DUMMYFUNCTION("GOOGLETRANSLATE($A4707,""en"",""ko"")"),"타오위안")</f>
        <v>타오위안</v>
      </c>
      <c r="J4707" s="9" t="str">
        <f>IFERROR(__xludf.DUMMYFUNCTION("GOOGLETRANSLATE($A4707,""en"",""pt-BR"")"),"Taoyuan")</f>
        <v>Taoyuan</v>
      </c>
    </row>
    <row r="4708">
      <c r="A4708" s="9" t="str">
        <f>IFERROR(__xludf.DUMMYFUNCTION("""COMPUTED_VALUE"""),"Tainan")</f>
        <v>Tainan</v>
      </c>
      <c r="B4708" s="9" t="str">
        <f>IFERROR(__xludf.DUMMYFUNCTION("""COMPUTED_VALUE"""),"tw-tnn")</f>
        <v>tw-tnn</v>
      </c>
      <c r="C4708" s="9" t="str">
        <f>IFERROR(__xludf.DUMMYFUNCTION("GOOGLETRANSLATE($A4708,""en"",""de"")"),"Tainan")</f>
        <v>Tainan</v>
      </c>
      <c r="D4708" s="9" t="str">
        <f>IFERROR(__xludf.DUMMYFUNCTION("GOOGLETRANSLATE($A4708,""en"",""fr"")"),"Taïnan")</f>
        <v>Taïnan</v>
      </c>
      <c r="E4708" s="9" t="str">
        <f>IFERROR(__xludf.DUMMYFUNCTION("GOOGLETRANSLATE($A4708,""en"",""es"")"),"Tainan")</f>
        <v>Tainan</v>
      </c>
      <c r="F4708" s="9" t="str">
        <f>IFERROR(__xludf.DUMMYFUNCTION("GOOGLETRANSLATE($A4708,""en"",""it"")"),"Tainan")</f>
        <v>Tainan</v>
      </c>
      <c r="G4708" s="9" t="str">
        <f>IFERROR(__xludf.DUMMYFUNCTION("GOOGLETRANSLATE($A4708,""en"",""zh-cn"")"),"台南")</f>
        <v>台南</v>
      </c>
      <c r="H4708" s="9" t="str">
        <f>IFERROR(__xludf.DUMMYFUNCTION("GOOGLETRANSLATE($A4708,""en"",""ja"")"),"台南")</f>
        <v>台南</v>
      </c>
      <c r="I4708" s="9" t="str">
        <f>IFERROR(__xludf.DUMMYFUNCTION("GOOGLETRANSLATE($A4708,""en"",""ko"")"),"타이난")</f>
        <v>타이난</v>
      </c>
      <c r="J4708" s="9" t="str">
        <f>IFERROR(__xludf.DUMMYFUNCTION("GOOGLETRANSLATE($A4708,""en"",""pt-BR"")"),"Tainan")</f>
        <v>Tainan</v>
      </c>
    </row>
    <row r="4709">
      <c r="A4709" s="9" t="str">
        <f>IFERROR(__xludf.DUMMYFUNCTION("""COMPUTED_VALUE"""),"Keelung")</f>
        <v>Keelung</v>
      </c>
      <c r="B4709" s="9" t="str">
        <f>IFERROR(__xludf.DUMMYFUNCTION("""COMPUTED_VALUE"""),"tw-kee")</f>
        <v>tw-kee</v>
      </c>
      <c r="C4709" s="9" t="str">
        <f>IFERROR(__xludf.DUMMYFUNCTION("GOOGLETRANSLATE($A4709,""en"",""de"")"),"Keelung")</f>
        <v>Keelung</v>
      </c>
      <c r="D4709" s="9" t="str">
        <f>IFERROR(__xludf.DUMMYFUNCTION("GOOGLETRANSLATE($A4709,""en"",""fr"")"),"Keelung")</f>
        <v>Keelung</v>
      </c>
      <c r="E4709" s="9" t="str">
        <f>IFERROR(__xludf.DUMMYFUNCTION("GOOGLETRANSLATE($A4709,""en"",""es"")"),"Keelung")</f>
        <v>Keelung</v>
      </c>
      <c r="F4709" s="9" t="str">
        <f>IFERROR(__xludf.DUMMYFUNCTION("GOOGLETRANSLATE($A4709,""en"",""it"")"),"Keelung")</f>
        <v>Keelung</v>
      </c>
      <c r="G4709" s="9" t="str">
        <f>IFERROR(__xludf.DUMMYFUNCTION("GOOGLETRANSLATE($A4709,""en"",""zh-cn"")"),"基隆")</f>
        <v>基隆</v>
      </c>
      <c r="H4709" s="9" t="str">
        <f>IFERROR(__xludf.DUMMYFUNCTION("GOOGLETRANSLATE($A4709,""en"",""ja"")"),"基隆")</f>
        <v>基隆</v>
      </c>
      <c r="I4709" s="9" t="str">
        <f>IFERROR(__xludf.DUMMYFUNCTION("GOOGLETRANSLATE($A4709,""en"",""ko"")"),"지룽")</f>
        <v>지룽</v>
      </c>
      <c r="J4709" s="9" t="str">
        <f>IFERROR(__xludf.DUMMYFUNCTION("GOOGLETRANSLATE($A4709,""en"",""pt-BR"")"),"Keelung")</f>
        <v>Keelung</v>
      </c>
    </row>
    <row r="4710">
      <c r="A4710" s="9" t="str">
        <f>IFERROR(__xludf.DUMMYFUNCTION("""COMPUTED_VALUE"""),"Tainan City")</f>
        <v>Tainan City</v>
      </c>
      <c r="B4710" s="9" t="str">
        <f>IFERROR(__xludf.DUMMYFUNCTION("""COMPUTED_VALUE"""),"tw-tnq")</f>
        <v>tw-tnq</v>
      </c>
      <c r="C4710" s="9" t="str">
        <f>IFERROR(__xludf.DUMMYFUNCTION("GOOGLETRANSLATE($A4710,""en"",""de"")"),"Tainan-Stadt")</f>
        <v>Tainan-Stadt</v>
      </c>
      <c r="D4710" s="9" t="str">
        <f>IFERROR(__xludf.DUMMYFUNCTION("GOOGLETRANSLATE($A4710,""en"",""fr"")"),"Ville de Tainan")</f>
        <v>Ville de Tainan</v>
      </c>
      <c r="E4710" s="9" t="str">
        <f>IFERROR(__xludf.DUMMYFUNCTION("GOOGLETRANSLATE($A4710,""en"",""es"")"),"Ciudad de Tainan")</f>
        <v>Ciudad de Tainan</v>
      </c>
      <c r="F4710" s="9" t="str">
        <f>IFERROR(__xludf.DUMMYFUNCTION("GOOGLETRANSLATE($A4710,""en"",""it"")"),"Città di Tainan")</f>
        <v>Città di Tainan</v>
      </c>
      <c r="G4710" s="9" t="str">
        <f>IFERROR(__xludf.DUMMYFUNCTION("GOOGLETRANSLATE($A4710,""en"",""zh-cn"")"),"台南市")</f>
        <v>台南市</v>
      </c>
      <c r="H4710" s="9" t="str">
        <f>IFERROR(__xludf.DUMMYFUNCTION("GOOGLETRANSLATE($A4710,""en"",""ja"")"),"台南市")</f>
        <v>台南市</v>
      </c>
      <c r="I4710" s="9" t="str">
        <f>IFERROR(__xludf.DUMMYFUNCTION("GOOGLETRANSLATE($A4710,""en"",""ko"")"),"타이난시")</f>
        <v>타이난시</v>
      </c>
      <c r="J4710" s="9" t="str">
        <f>IFERROR(__xludf.DUMMYFUNCTION("GOOGLETRANSLATE($A4710,""en"",""pt-BR"")"),"Cidade de Tainan")</f>
        <v>Cidade de Tainan</v>
      </c>
    </row>
    <row r="4711">
      <c r="A4711" s="9" t="str">
        <f>IFERROR(__xludf.DUMMYFUNCTION("""COMPUTED_VALUE"""),"Hsinchu County")</f>
        <v>Hsinchu County</v>
      </c>
      <c r="B4711" s="9" t="str">
        <f>IFERROR(__xludf.DUMMYFUNCTION("""COMPUTED_VALUE"""),"tw-hsq")</f>
        <v>tw-hsq</v>
      </c>
      <c r="C4711" s="9" t="str">
        <f>IFERROR(__xludf.DUMMYFUNCTION("GOOGLETRANSLATE($A4711,""en"",""de"")"),"Kreis Hsinchu")</f>
        <v>Kreis Hsinchu</v>
      </c>
      <c r="D4711" s="9" t="str">
        <f>IFERROR(__xludf.DUMMYFUNCTION("GOOGLETRANSLATE($A4711,""en"",""fr"")"),"Comté de Hsinchu")</f>
        <v>Comté de Hsinchu</v>
      </c>
      <c r="E4711" s="9" t="str">
        <f>IFERROR(__xludf.DUMMYFUNCTION("GOOGLETRANSLATE($A4711,""en"",""es"")"),"Condado de Hsinchu")</f>
        <v>Condado de Hsinchu</v>
      </c>
      <c r="F4711" s="9" t="str">
        <f>IFERROR(__xludf.DUMMYFUNCTION("GOOGLETRANSLATE($A4711,""en"",""it"")"),"Contea di Hsinchu")</f>
        <v>Contea di Hsinchu</v>
      </c>
      <c r="G4711" s="9" t="str">
        <f>IFERROR(__xludf.DUMMYFUNCTION("GOOGLETRANSLATE($A4711,""en"",""zh-cn"")"),"新竹县")</f>
        <v>新竹县</v>
      </c>
      <c r="H4711" s="9" t="str">
        <f>IFERROR(__xludf.DUMMYFUNCTION("GOOGLETRANSLATE($A4711,""en"",""ja"")"),"新竹県")</f>
        <v>新竹県</v>
      </c>
      <c r="I4711" s="9" t="str">
        <f>IFERROR(__xludf.DUMMYFUNCTION("GOOGLETRANSLATE($A4711,""en"",""ko"")"),"신주현")</f>
        <v>신주현</v>
      </c>
      <c r="J4711" s="9" t="str">
        <f>IFERROR(__xludf.DUMMYFUNCTION("GOOGLETRANSLATE($A4711,""en"",""pt-BR"")"),"Condado de Hsinchu")</f>
        <v>Condado de Hsinchu</v>
      </c>
    </row>
    <row r="4712">
      <c r="A4712" s="9" t="str">
        <f>IFERROR(__xludf.DUMMYFUNCTION("""COMPUTED_VALUE"""),"Pingtung")</f>
        <v>Pingtung</v>
      </c>
      <c r="B4712" s="9" t="str">
        <f>IFERROR(__xludf.DUMMYFUNCTION("""COMPUTED_VALUE"""),"tw-pif")</f>
        <v>tw-pif</v>
      </c>
      <c r="C4712" s="9" t="str">
        <f>IFERROR(__xludf.DUMMYFUNCTION("GOOGLETRANSLATE($A4712,""en"",""de"")"),"Pingtung")</f>
        <v>Pingtung</v>
      </c>
      <c r="D4712" s="9" t="str">
        <f>IFERROR(__xludf.DUMMYFUNCTION("GOOGLETRANSLATE($A4712,""en"",""fr"")"),"Pingtung")</f>
        <v>Pingtung</v>
      </c>
      <c r="E4712" s="9" t="str">
        <f>IFERROR(__xludf.DUMMYFUNCTION("GOOGLETRANSLATE($A4712,""en"",""es"")"),"ping-tung")</f>
        <v>ping-tung</v>
      </c>
      <c r="F4712" s="9" t="str">
        <f>IFERROR(__xludf.DUMMYFUNCTION("GOOGLETRANSLATE($A4712,""en"",""it"")"),"Pingtung")</f>
        <v>Pingtung</v>
      </c>
      <c r="G4712" s="9" t="str">
        <f>IFERROR(__xludf.DUMMYFUNCTION("GOOGLETRANSLATE($A4712,""en"",""zh-cn"")"),"屏东")</f>
        <v>屏东</v>
      </c>
      <c r="H4712" s="9" t="str">
        <f>IFERROR(__xludf.DUMMYFUNCTION("GOOGLETRANSLATE($A4712,""en"",""ja"")"),"屏東")</f>
        <v>屏東</v>
      </c>
      <c r="I4712" s="9" t="str">
        <f>IFERROR(__xludf.DUMMYFUNCTION("GOOGLETRANSLATE($A4712,""en"",""ko"")"),"핑둥")</f>
        <v>핑둥</v>
      </c>
      <c r="J4712" s="9" t="str">
        <f>IFERROR(__xludf.DUMMYFUNCTION("GOOGLETRANSLATE($A4712,""en"",""pt-BR"")"),"Pingtung")</f>
        <v>Pingtung</v>
      </c>
    </row>
    <row r="4713">
      <c r="A4713" s="9" t="str">
        <f>IFERROR(__xludf.DUMMYFUNCTION("""COMPUTED_VALUE"""),"Karategin")</f>
        <v>Karategin</v>
      </c>
      <c r="B4713" s="9" t="str">
        <f>IFERROR(__xludf.DUMMYFUNCTION("""COMPUTED_VALUE"""),"tj-kr")</f>
        <v>tj-kr</v>
      </c>
      <c r="C4713" s="9" t="str">
        <f>IFERROR(__xludf.DUMMYFUNCTION("GOOGLETRANSLATE($A4713,""en"",""de"")"),"Karategin")</f>
        <v>Karategin</v>
      </c>
      <c r="D4713" s="9" t="str">
        <f>IFERROR(__xludf.DUMMYFUNCTION("GOOGLETRANSLATE($A4713,""en"",""fr"")"),"Karategin")</f>
        <v>Karategin</v>
      </c>
      <c r="E4713" s="9" t="str">
        <f>IFERROR(__xludf.DUMMYFUNCTION("GOOGLETRANSLATE($A4713,""en"",""es"")"),"Karategin")</f>
        <v>Karategin</v>
      </c>
      <c r="F4713" s="9" t="str">
        <f>IFERROR(__xludf.DUMMYFUNCTION("GOOGLETRANSLATE($A4713,""en"",""it"")"),"Karategin")</f>
        <v>Karategin</v>
      </c>
      <c r="G4713" s="9" t="str">
        <f>IFERROR(__xludf.DUMMYFUNCTION("GOOGLETRANSLATE($A4713,""en"",""zh-cn"")"),"卡拉特金")</f>
        <v>卡拉特金</v>
      </c>
      <c r="H4713" s="9" t="str">
        <f>IFERROR(__xludf.DUMMYFUNCTION("GOOGLETRANSLATE($A4713,""en"",""ja"")"),"空手銀")</f>
        <v>空手銀</v>
      </c>
      <c r="I4713" s="9" t="str">
        <f>IFERROR(__xludf.DUMMYFUNCTION("GOOGLETRANSLATE($A4713,""en"",""ko"")"),"가라테긴")</f>
        <v>가라테긴</v>
      </c>
      <c r="J4713" s="9" t="str">
        <f>IFERROR(__xludf.DUMMYFUNCTION("GOOGLETRANSLATE($A4713,""en"",""pt-BR"")"),"Karategin")</f>
        <v>Karategin</v>
      </c>
    </row>
    <row r="4714">
      <c r="A4714" s="9" t="str">
        <f>IFERROR(__xludf.DUMMYFUNCTION("""COMPUTED_VALUE"""),"Kŭhistoni Badakhshon")</f>
        <v>Kŭhistoni Badakhshon</v>
      </c>
      <c r="B4714" s="9" t="str">
        <f>IFERROR(__xludf.DUMMYFUNCTION("""COMPUTED_VALUE"""),"tj-gb")</f>
        <v>tj-gb</v>
      </c>
      <c r="C4714" s="9" t="str">
        <f>IFERROR(__xludf.DUMMYFUNCTION("GOOGLETRANSLATE($A4714,""en"",""de"")"),"Kŭhistoni Badakhshon")</f>
        <v>Kŭhistoni Badakhshon</v>
      </c>
      <c r="D4714" s="9" t="str">
        <f>IFERROR(__xludf.DUMMYFUNCTION("GOOGLETRANSLATE($A4714,""en"",""fr"")"),"Kuhistoni Badakhshon")</f>
        <v>Kuhistoni Badakhshon</v>
      </c>
      <c r="E4714" s="9" t="str">
        <f>IFERROR(__xludf.DUMMYFUNCTION("GOOGLETRANSLATE($A4714,""en"",""es"")"),"Kŭhistoni Badakhshon")</f>
        <v>Kŭhistoni Badakhshon</v>
      </c>
      <c r="F4714" s="9" t="str">
        <f>IFERROR(__xludf.DUMMYFUNCTION("GOOGLETRANSLATE($A4714,""en"",""it"")"),"Kŭhistoni Badakhshon")</f>
        <v>Kŭhistoni Badakhshon</v>
      </c>
      <c r="G4714" s="9" t="str">
        <f>IFERROR(__xludf.DUMMYFUNCTION("GOOGLETRANSLATE($A4714,""en"",""zh-cn"")"),"库希斯托尼·巴达赫雄")</f>
        <v>库希斯托尼·巴达赫雄</v>
      </c>
      <c r="H4714" s="9" t="str">
        <f>IFERROR(__xludf.DUMMYFUNCTION("GOOGLETRANSLATE($A4714,""en"",""ja"")"),"クヒストニ・バダクション")</f>
        <v>クヒストニ・バダクション</v>
      </c>
      <c r="I4714" s="9" t="str">
        <f>IFERROR(__xludf.DUMMYFUNCTION("GOOGLETRANSLATE($A4714,""en"",""ko"")"),"큐히스토니 바다흐숀")</f>
        <v>큐히스토니 바다흐숀</v>
      </c>
      <c r="J4714" s="9" t="str">
        <f>IFERROR(__xludf.DUMMYFUNCTION("GOOGLETRANSLATE($A4714,""en"",""pt-BR"")"),"Kŭhistoni Badakhshon")</f>
        <v>Kŭhistoni Badakhshon</v>
      </c>
    </row>
    <row r="4715">
      <c r="A4715" s="9" t="str">
        <f>IFERROR(__xludf.DUMMYFUNCTION("""COMPUTED_VALUE"""),"Khatlon")</f>
        <v>Khatlon</v>
      </c>
      <c r="B4715" s="9" t="str">
        <f>IFERROR(__xludf.DUMMYFUNCTION("""COMPUTED_VALUE"""),"tj-kt")</f>
        <v>tj-kt</v>
      </c>
      <c r="C4715" s="9" t="str">
        <f>IFERROR(__xludf.DUMMYFUNCTION("GOOGLETRANSLATE($A4715,""en"",""de"")"),"Khatlon")</f>
        <v>Khatlon</v>
      </c>
      <c r="D4715" s="9" t="str">
        <f>IFERROR(__xludf.DUMMYFUNCTION("GOOGLETRANSLATE($A4715,""en"",""fr"")"),"Khatlon")</f>
        <v>Khatlon</v>
      </c>
      <c r="E4715" s="9" t="str">
        <f>IFERROR(__xludf.DUMMYFUNCTION("GOOGLETRANSLATE($A4715,""en"",""es"")"),"Jatlón")</f>
        <v>Jatlón</v>
      </c>
      <c r="F4715" s="9" t="str">
        <f>IFERROR(__xludf.DUMMYFUNCTION("GOOGLETRANSLATE($A4715,""en"",""it"")"),"Khatlon")</f>
        <v>Khatlon</v>
      </c>
      <c r="G4715" s="9" t="str">
        <f>IFERROR(__xludf.DUMMYFUNCTION("GOOGLETRANSLATE($A4715,""en"",""zh-cn"")"),"哈特隆")</f>
        <v>哈特隆</v>
      </c>
      <c r="H4715" s="9" t="str">
        <f>IFERROR(__xludf.DUMMYFUNCTION("GOOGLETRANSLATE($A4715,""en"",""ja"")"),"カトロン")</f>
        <v>カトロン</v>
      </c>
      <c r="I4715" s="9" t="str">
        <f>IFERROR(__xludf.DUMMYFUNCTION("GOOGLETRANSLATE($A4715,""en"",""ko"")"),"카틀론")</f>
        <v>카틀론</v>
      </c>
      <c r="J4715" s="9" t="str">
        <f>IFERROR(__xludf.DUMMYFUNCTION("GOOGLETRANSLATE($A4715,""en"",""pt-BR"")"),"Khatlon")</f>
        <v>Khatlon</v>
      </c>
    </row>
    <row r="4716">
      <c r="A4716" s="9" t="str">
        <f>IFERROR(__xludf.DUMMYFUNCTION("""COMPUTED_VALUE"""),"nohiyahoi tobei jumhurí")</f>
        <v>nohiyahoi tobei jumhurí</v>
      </c>
      <c r="B4716" s="9" t="str">
        <f>IFERROR(__xludf.DUMMYFUNCTION("""COMPUTED_VALUE"""),"tj-ra")</f>
        <v>tj-ra</v>
      </c>
      <c r="C4716" s="9" t="str">
        <f>IFERROR(__xludf.DUMMYFUNCTION("GOOGLETRANSLATE($A4716,""en"",""de"")"),"nohiyahoi tobei jumhurí")</f>
        <v>nohiyahoi tobei jumhurí</v>
      </c>
      <c r="D4716" s="9" t="str">
        <f>IFERROR(__xludf.DUMMYFUNCTION("GOOGLETRANSLATE($A4716,""en"",""fr"")"),"nohiyahoi tobei jumhuri")</f>
        <v>nohiyahoi tobei jumhuri</v>
      </c>
      <c r="E4716" s="9" t="str">
        <f>IFERROR(__xludf.DUMMYFUNCTION("GOOGLETRANSLATE($A4716,""en"",""es"")"),"nohiyahoi tobei jumhurí")</f>
        <v>nohiyahoi tobei jumhurí</v>
      </c>
      <c r="F4716" s="9" t="str">
        <f>IFERROR(__xludf.DUMMYFUNCTION("GOOGLETRANSLATE($A4716,""en"",""it"")"),"nohiyahoi tobei jumhurí")</f>
        <v>nohiyahoi tobei jumhurí</v>
      </c>
      <c r="G4716" s="9" t="str">
        <f>IFERROR(__xludf.DUMMYFUNCTION("GOOGLETRANSLATE($A4716,""en"",""zh-cn"")"),"诺希亚霍伊·托贝·朱姆胡里")</f>
        <v>诺希亚霍伊·托贝·朱姆胡里</v>
      </c>
      <c r="H4716" s="9" t="str">
        <f>IFERROR(__xludf.DUMMYFUNCTION("GOOGLETRANSLATE($A4716,""en"",""ja"")"),"ノヒヤホイ・トベイ・ジュムフリ")</f>
        <v>ノヒヤホイ・トベイ・ジュムフリ</v>
      </c>
      <c r="I4716" s="9" t="str">
        <f>IFERROR(__xludf.DUMMYFUNCTION("GOOGLETRANSLATE($A4716,""en"",""ko"")"),"노히야호이 토베이 줌후리")</f>
        <v>노히야호이 토베이 줌후리</v>
      </c>
      <c r="J4716" s="9" t="str">
        <f>IFERROR(__xludf.DUMMYFUNCTION("GOOGLETRANSLATE($A4716,""en"",""pt-BR"")"),"nohiyahoi tobei jumhurí")</f>
        <v>nohiyahoi tobei jumhurí</v>
      </c>
    </row>
    <row r="4717">
      <c r="A4717" s="9" t="str">
        <f>IFERROR(__xludf.DUMMYFUNCTION("""COMPUTED_VALUE"""),"Dushanbe")</f>
        <v>Dushanbe</v>
      </c>
      <c r="B4717" s="9" t="str">
        <f>IFERROR(__xludf.DUMMYFUNCTION("""COMPUTED_VALUE"""),"tj-du")</f>
        <v>tj-du</v>
      </c>
      <c r="C4717" s="9" t="str">
        <f>IFERROR(__xludf.DUMMYFUNCTION("GOOGLETRANSLATE($A4717,""en"",""de"")"),"Duschanbe")</f>
        <v>Duschanbe</v>
      </c>
      <c r="D4717" s="9" t="str">
        <f>IFERROR(__xludf.DUMMYFUNCTION("GOOGLETRANSLATE($A4717,""en"",""fr"")"),"Douchanbé")</f>
        <v>Douchanbé</v>
      </c>
      <c r="E4717" s="9" t="str">
        <f>IFERROR(__xludf.DUMMYFUNCTION("GOOGLETRANSLATE($A4717,""en"",""es"")"),"Dusambé")</f>
        <v>Dusambé</v>
      </c>
      <c r="F4717" s="9" t="str">
        <f>IFERROR(__xludf.DUMMYFUNCTION("GOOGLETRANSLATE($A4717,""en"",""it"")"),"Dushanbe")</f>
        <v>Dushanbe</v>
      </c>
      <c r="G4717" s="9" t="str">
        <f>IFERROR(__xludf.DUMMYFUNCTION("GOOGLETRANSLATE($A4717,""en"",""zh-cn"")"),"杜尚别")</f>
        <v>杜尚别</v>
      </c>
      <c r="H4717" s="9" t="str">
        <f>IFERROR(__xludf.DUMMYFUNCTION("GOOGLETRANSLATE($A4717,""en"",""ja"")"),"ドゥシャンベ")</f>
        <v>ドゥシャンベ</v>
      </c>
      <c r="I4717" s="9" t="str">
        <f>IFERROR(__xludf.DUMMYFUNCTION("GOOGLETRANSLATE($A4717,""en"",""ko"")"),"두샨베")</f>
        <v>두샨베</v>
      </c>
      <c r="J4717" s="9" t="str">
        <f>IFERROR(__xludf.DUMMYFUNCTION("GOOGLETRANSLATE($A4717,""en"",""pt-BR"")"),"Duchambé")</f>
        <v>Duchambé</v>
      </c>
    </row>
    <row r="4718">
      <c r="A4718" s="9" t="str">
        <f>IFERROR(__xludf.DUMMYFUNCTION("""COMPUTED_VALUE"""),"Sughd")</f>
        <v>Sughd</v>
      </c>
      <c r="B4718" s="9" t="str">
        <f>IFERROR(__xludf.DUMMYFUNCTION("""COMPUTED_VALUE"""),"tj-su")</f>
        <v>tj-su</v>
      </c>
      <c r="C4718" s="9" t="str">
        <f>IFERROR(__xludf.DUMMYFUNCTION("GOOGLETRANSLATE($A4718,""en"",""de"")"),"Sughd")</f>
        <v>Sughd</v>
      </c>
      <c r="D4718" s="9" t="str">
        <f>IFERROR(__xludf.DUMMYFUNCTION("GOOGLETRANSLATE($A4718,""en"",""fr"")"),"Sugd")</f>
        <v>Sugd</v>
      </c>
      <c r="E4718" s="9" t="str">
        <f>IFERROR(__xludf.DUMMYFUNCTION("GOOGLETRANSLATE($A4718,""en"",""es"")"),"Sughd")</f>
        <v>Sughd</v>
      </c>
      <c r="F4718" s="9" t="str">
        <f>IFERROR(__xludf.DUMMYFUNCTION("GOOGLETRANSLATE($A4718,""en"",""it"")"),"Sughd")</f>
        <v>Sughd</v>
      </c>
      <c r="G4718" s="9" t="str">
        <f>IFERROR(__xludf.DUMMYFUNCTION("GOOGLETRANSLATE($A4718,""en"",""zh-cn"")"),"索格德")</f>
        <v>索格德</v>
      </c>
      <c r="H4718" s="9" t="str">
        <f>IFERROR(__xludf.DUMMYFUNCTION("GOOGLETRANSLATE($A4718,""en"",""ja"")"),"シュド")</f>
        <v>シュド</v>
      </c>
      <c r="I4718" s="9" t="str">
        <f>IFERROR(__xludf.DUMMYFUNCTION("GOOGLETRANSLATE($A4718,""en"",""ko"")"),"수드")</f>
        <v>수드</v>
      </c>
      <c r="J4718" s="9" t="str">
        <f>IFERROR(__xludf.DUMMYFUNCTION("GOOGLETRANSLATE($A4718,""en"",""pt-BR"")"),"Suspiro")</f>
        <v>Suspiro</v>
      </c>
    </row>
    <row r="4719">
      <c r="A4719" s="9" t="str">
        <f>IFERROR(__xludf.DUMMYFUNCTION("""COMPUTED_VALUE"""),"Bangkok")</f>
        <v>Bangkok</v>
      </c>
      <c r="B4719" s="9" t="str">
        <f>IFERROR(__xludf.DUMMYFUNCTION("""COMPUTED_VALUE"""),"th-10")</f>
        <v>th-10</v>
      </c>
      <c r="C4719" s="9" t="str">
        <f>IFERROR(__xludf.DUMMYFUNCTION("GOOGLETRANSLATE($A4719,""en"",""de"")"),"Bangkok")</f>
        <v>Bangkok</v>
      </c>
      <c r="D4719" s="9" t="str">
        <f>IFERROR(__xludf.DUMMYFUNCTION("GOOGLETRANSLATE($A4719,""en"",""fr"")"),"Bangkok")</f>
        <v>Bangkok</v>
      </c>
      <c r="E4719" s="9" t="str">
        <f>IFERROR(__xludf.DUMMYFUNCTION("GOOGLETRANSLATE($A4719,""en"",""es"")"),"Bangkok")</f>
        <v>Bangkok</v>
      </c>
      <c r="F4719" s="9" t="str">
        <f>IFERROR(__xludf.DUMMYFUNCTION("GOOGLETRANSLATE($A4719,""en"",""it"")"),"Bangkok")</f>
        <v>Bangkok</v>
      </c>
      <c r="G4719" s="9" t="str">
        <f>IFERROR(__xludf.DUMMYFUNCTION("GOOGLETRANSLATE($A4719,""en"",""zh-cn"")"),"曼谷")</f>
        <v>曼谷</v>
      </c>
      <c r="H4719" s="9" t="str">
        <f>IFERROR(__xludf.DUMMYFUNCTION("GOOGLETRANSLATE($A4719,""en"",""ja"")"),"バンコク")</f>
        <v>バンコク</v>
      </c>
      <c r="I4719" s="9" t="str">
        <f>IFERROR(__xludf.DUMMYFUNCTION("GOOGLETRANSLATE($A4719,""en"",""ko"")"),"방콕")</f>
        <v>방콕</v>
      </c>
      <c r="J4719" s="9" t="str">
        <f>IFERROR(__xludf.DUMMYFUNCTION("GOOGLETRANSLATE($A4719,""en"",""pt-BR"")"),"Bangkok")</f>
        <v>Bangkok</v>
      </c>
    </row>
    <row r="4720">
      <c r="A4720" s="9" t="str">
        <f>IFERROR(__xludf.DUMMYFUNCTION("""COMPUTED_VALUE"""),"Samut Prakan")</f>
        <v>Samut Prakan</v>
      </c>
      <c r="B4720" s="9" t="str">
        <f>IFERROR(__xludf.DUMMYFUNCTION("""COMPUTED_VALUE"""),"th-11")</f>
        <v>th-11</v>
      </c>
      <c r="C4720" s="9" t="str">
        <f>IFERROR(__xludf.DUMMYFUNCTION("GOOGLETRANSLATE($A4720,""en"",""de"")"),"Samut Prakan")</f>
        <v>Samut Prakan</v>
      </c>
      <c r="D4720" s="9" t="str">
        <f>IFERROR(__xludf.DUMMYFUNCTION("GOOGLETRANSLATE($A4720,""en"",""fr"")"),"Samut Prakan")</f>
        <v>Samut Prakan</v>
      </c>
      <c r="E4720" s="9" t="str">
        <f>IFERROR(__xludf.DUMMYFUNCTION("GOOGLETRANSLATE($A4720,""en"",""es"")"),"Samut Prakan")</f>
        <v>Samut Prakan</v>
      </c>
      <c r="F4720" s="9" t="str">
        <f>IFERROR(__xludf.DUMMYFUNCTION("GOOGLETRANSLATE($A4720,""en"",""it"")"),"Samut Prakan")</f>
        <v>Samut Prakan</v>
      </c>
      <c r="G4720" s="9" t="str">
        <f>IFERROR(__xludf.DUMMYFUNCTION("GOOGLETRANSLATE($A4720,""en"",""zh-cn"")"),"北榄府")</f>
        <v>北榄府</v>
      </c>
      <c r="H4720" s="9" t="str">
        <f>IFERROR(__xludf.DUMMYFUNCTION("GOOGLETRANSLATE($A4720,""en"",""ja"")"),"サムットプラカン")</f>
        <v>サムットプラカン</v>
      </c>
      <c r="I4720" s="9" t="str">
        <f>IFERROR(__xludf.DUMMYFUNCTION("GOOGLETRANSLATE($A4720,""en"",""ko"")"),"사뭇 프라칸")</f>
        <v>사뭇 프라칸</v>
      </c>
      <c r="J4720" s="9" t="str">
        <f>IFERROR(__xludf.DUMMYFUNCTION("GOOGLETRANSLATE($A4720,""en"",""pt-BR"")"),"Samut Prakan")</f>
        <v>Samut Prakan</v>
      </c>
    </row>
    <row r="4721">
      <c r="A4721" s="9" t="str">
        <f>IFERROR(__xludf.DUMMYFUNCTION("""COMPUTED_VALUE"""),"Lop Buri")</f>
        <v>Lop Buri</v>
      </c>
      <c r="B4721" s="9" t="str">
        <f>IFERROR(__xludf.DUMMYFUNCTION("""COMPUTED_VALUE"""),"th-16")</f>
        <v>th-16</v>
      </c>
      <c r="C4721" s="9" t="str">
        <f>IFERROR(__xludf.DUMMYFUNCTION("GOOGLETRANSLATE($A4721,""en"",""de"")"),"Lop Buri")</f>
        <v>Lop Buri</v>
      </c>
      <c r="D4721" s="9" t="str">
        <f>IFERROR(__xludf.DUMMYFUNCTION("GOOGLETRANSLATE($A4721,""en"",""fr"")"),"Lopburi")</f>
        <v>Lopburi</v>
      </c>
      <c r="E4721" s="9" t="str">
        <f>IFERROR(__xludf.DUMMYFUNCTION("GOOGLETRANSLATE($A4721,""en"",""es"")"),"Lop Buri")</f>
        <v>Lop Buri</v>
      </c>
      <c r="F4721" s="9" t="str">
        <f>IFERROR(__xludf.DUMMYFUNCTION("GOOGLETRANSLATE($A4721,""en"",""it"")"),"Lop Buri")</f>
        <v>Lop Buri</v>
      </c>
      <c r="G4721" s="9" t="str">
        <f>IFERROR(__xludf.DUMMYFUNCTION("GOOGLETRANSLATE($A4721,""en"",""zh-cn"")"),"华富里府")</f>
        <v>华富里府</v>
      </c>
      <c r="H4721" s="9" t="str">
        <f>IFERROR(__xludf.DUMMYFUNCTION("GOOGLETRANSLATE($A4721,""en"",""ja"")"),"ロッブリー")</f>
        <v>ロッブリー</v>
      </c>
      <c r="I4721" s="9" t="str">
        <f>IFERROR(__xludf.DUMMYFUNCTION("GOOGLETRANSLATE($A4721,""en"",""ko"")"),"롭부리")</f>
        <v>롭부리</v>
      </c>
      <c r="J4721" s="9" t="str">
        <f>IFERROR(__xludf.DUMMYFUNCTION("GOOGLETRANSLATE($A4721,""en"",""pt-BR"")"),"Lop Buri")</f>
        <v>Lop Buri</v>
      </c>
    </row>
    <row r="4722">
      <c r="A4722" s="9" t="str">
        <f>IFERROR(__xludf.DUMMYFUNCTION("""COMPUTED_VALUE"""),"Pattani")</f>
        <v>Pattani</v>
      </c>
      <c r="B4722" s="9" t="str">
        <f>IFERROR(__xludf.DUMMYFUNCTION("""COMPUTED_VALUE"""),"th-94")</f>
        <v>th-94</v>
      </c>
      <c r="C4722" s="9" t="str">
        <f>IFERROR(__xludf.DUMMYFUNCTION("GOOGLETRANSLATE($A4722,""en"",""de"")"),"Pattani")</f>
        <v>Pattani</v>
      </c>
      <c r="D4722" s="9" t="str">
        <f>IFERROR(__xludf.DUMMYFUNCTION("GOOGLETRANSLATE($A4722,""en"",""fr"")"),"Pattani")</f>
        <v>Pattani</v>
      </c>
      <c r="E4722" s="9" t="str">
        <f>IFERROR(__xludf.DUMMYFUNCTION("GOOGLETRANSLATE($A4722,""en"",""es"")"),"Pattani")</f>
        <v>Pattani</v>
      </c>
      <c r="F4722" s="9" t="str">
        <f>IFERROR(__xludf.DUMMYFUNCTION("GOOGLETRANSLATE($A4722,""en"",""it"")"),"Pattani")</f>
        <v>Pattani</v>
      </c>
      <c r="G4722" s="9" t="str">
        <f>IFERROR(__xludf.DUMMYFUNCTION("GOOGLETRANSLATE($A4722,""en"",""zh-cn"")"),"北大年")</f>
        <v>北大年</v>
      </c>
      <c r="H4722" s="9" t="str">
        <f>IFERROR(__xludf.DUMMYFUNCTION("GOOGLETRANSLATE($A4722,""en"",""ja"")"),"パッターニ")</f>
        <v>パッターニ</v>
      </c>
      <c r="I4722" s="9" t="str">
        <f>IFERROR(__xludf.DUMMYFUNCTION("GOOGLETRANSLATE($A4722,""en"",""ko"")"),"파타니")</f>
        <v>파타니</v>
      </c>
      <c r="J4722" s="9" t="str">
        <f>IFERROR(__xludf.DUMMYFUNCTION("GOOGLETRANSLATE($A4722,""en"",""pt-BR"")"),"Pattani")</f>
        <v>Pattani</v>
      </c>
    </row>
    <row r="4723">
      <c r="A4723" s="9" t="str">
        <f>IFERROR(__xludf.DUMMYFUNCTION("""COMPUTED_VALUE"""),"Nakhon Ratchasima")</f>
        <v>Nakhon Ratchasima</v>
      </c>
      <c r="B4723" s="9" t="str">
        <f>IFERROR(__xludf.DUMMYFUNCTION("""COMPUTED_VALUE"""),"th-30")</f>
        <v>th-30</v>
      </c>
      <c r="C4723" s="9" t="str">
        <f>IFERROR(__xludf.DUMMYFUNCTION("GOOGLETRANSLATE($A4723,""en"",""de"")"),"Nakhon Ratchasima")</f>
        <v>Nakhon Ratchasima</v>
      </c>
      <c r="D4723" s="9" t="str">
        <f>IFERROR(__xludf.DUMMYFUNCTION("GOOGLETRANSLATE($A4723,""en"",""fr"")"),"Nakhon Ratchasima")</f>
        <v>Nakhon Ratchasima</v>
      </c>
      <c r="E4723" s="9" t="str">
        <f>IFERROR(__xludf.DUMMYFUNCTION("GOOGLETRANSLATE($A4723,""en"",""es"")"),"Najon Ratchasima")</f>
        <v>Najon Ratchasima</v>
      </c>
      <c r="F4723" s="9" t="str">
        <f>IFERROR(__xludf.DUMMYFUNCTION("GOOGLETRANSLATE($A4723,""en"",""it"")"),"Nakhon Ratchasima")</f>
        <v>Nakhon Ratchasima</v>
      </c>
      <c r="G4723" s="9" t="str">
        <f>IFERROR(__xludf.DUMMYFUNCTION("GOOGLETRANSLATE($A4723,""en"",""zh-cn"")"),"呵叻")</f>
        <v>呵叻</v>
      </c>
      <c r="H4723" s="9" t="str">
        <f>IFERROR(__xludf.DUMMYFUNCTION("GOOGLETRANSLATE($A4723,""en"",""ja"")"),"ナコーン・ラーチャシーマー")</f>
        <v>ナコーン・ラーチャシーマー</v>
      </c>
      <c r="I4723" s="9" t="str">
        <f>IFERROR(__xludf.DUMMYFUNCTION("GOOGLETRANSLATE($A4723,""en"",""ko"")"),"나콘라차시마")</f>
        <v>나콘라차시마</v>
      </c>
      <c r="J4723" s="9" t="str">
        <f>IFERROR(__xludf.DUMMYFUNCTION("GOOGLETRANSLATE($A4723,""en"",""pt-BR"")"),"Nakhon Ratchasima")</f>
        <v>Nakhon Ratchasima</v>
      </c>
    </row>
    <row r="4724">
      <c r="A4724" s="9" t="str">
        <f>IFERROR(__xludf.DUMMYFUNCTION("""COMPUTED_VALUE"""),"Sakon Nakhon")</f>
        <v>Sakon Nakhon</v>
      </c>
      <c r="B4724" s="9" t="str">
        <f>IFERROR(__xludf.DUMMYFUNCTION("""COMPUTED_VALUE"""),"th-47")</f>
        <v>th-47</v>
      </c>
      <c r="C4724" s="9" t="str">
        <f>IFERROR(__xludf.DUMMYFUNCTION("GOOGLETRANSLATE($A4724,""en"",""de"")"),"Sakon Nakhon")</f>
        <v>Sakon Nakhon</v>
      </c>
      <c r="D4724" s="9" t="str">
        <f>IFERROR(__xludf.DUMMYFUNCTION("GOOGLETRANSLATE($A4724,""en"",""fr"")"),"Sakhon Nakhon")</f>
        <v>Sakhon Nakhon</v>
      </c>
      <c r="E4724" s="9" t="str">
        <f>IFERROR(__xludf.DUMMYFUNCTION("GOOGLETRANSLATE($A4724,""en"",""es"")"),"Sakon Nakhon")</f>
        <v>Sakon Nakhon</v>
      </c>
      <c r="F4724" s="9" t="str">
        <f>IFERROR(__xludf.DUMMYFUNCTION("GOOGLETRANSLATE($A4724,""en"",""it"")"),"Sakon Nakhon")</f>
        <v>Sakon Nakhon</v>
      </c>
      <c r="G4724" s="9" t="str">
        <f>IFERROR(__xludf.DUMMYFUNCTION("GOOGLETRANSLATE($A4724,""en"",""zh-cn"")"),"沙功那空")</f>
        <v>沙功那空</v>
      </c>
      <c r="H4724" s="9" t="str">
        <f>IFERROR(__xludf.DUMMYFUNCTION("GOOGLETRANSLATE($A4724,""en"",""ja"")"),"サコンナコーン")</f>
        <v>サコンナコーン</v>
      </c>
      <c r="I4724" s="9" t="str">
        <f>IFERROR(__xludf.DUMMYFUNCTION("GOOGLETRANSLATE($A4724,""en"",""ko"")"),"사콘나콘")</f>
        <v>사콘나콘</v>
      </c>
      <c r="J4724" s="9" t="str">
        <f>IFERROR(__xludf.DUMMYFUNCTION("GOOGLETRANSLATE($A4724,""en"",""pt-BR"")"),"Sakon Nakhon")</f>
        <v>Sakon Nakhon</v>
      </c>
    </row>
    <row r="4725">
      <c r="A4725" s="9" t="str">
        <f>IFERROR(__xludf.DUMMYFUNCTION("""COMPUTED_VALUE"""),"Narathiwat")</f>
        <v>Narathiwat</v>
      </c>
      <c r="B4725" s="9" t="str">
        <f>IFERROR(__xludf.DUMMYFUNCTION("""COMPUTED_VALUE"""),"th-96")</f>
        <v>th-96</v>
      </c>
      <c r="C4725" s="9" t="str">
        <f>IFERROR(__xludf.DUMMYFUNCTION("GOOGLETRANSLATE($A4725,""en"",""de"")"),"Narathiwat")</f>
        <v>Narathiwat</v>
      </c>
      <c r="D4725" s="9" t="str">
        <f>IFERROR(__xludf.DUMMYFUNCTION("GOOGLETRANSLATE($A4725,""en"",""fr"")"),"Narathiwat")</f>
        <v>Narathiwat</v>
      </c>
      <c r="E4725" s="9" t="str">
        <f>IFERROR(__xludf.DUMMYFUNCTION("GOOGLETRANSLATE($A4725,""en"",""es"")"),"Narathiwat")</f>
        <v>Narathiwat</v>
      </c>
      <c r="F4725" s="9" t="str">
        <f>IFERROR(__xludf.DUMMYFUNCTION("GOOGLETRANSLATE($A4725,""en"",""it"")"),"Narathiwat")</f>
        <v>Narathiwat</v>
      </c>
      <c r="G4725" s="9" t="str">
        <f>IFERROR(__xludf.DUMMYFUNCTION("GOOGLETRANSLATE($A4725,""en"",""zh-cn"")"),"那拉提瓦")</f>
        <v>那拉提瓦</v>
      </c>
      <c r="H4725" s="9" t="str">
        <f>IFERROR(__xludf.DUMMYFUNCTION("GOOGLETRANSLATE($A4725,""en"",""ja"")"),"ナラティワート")</f>
        <v>ナラティワート</v>
      </c>
      <c r="I4725" s="9" t="str">
        <f>IFERROR(__xludf.DUMMYFUNCTION("GOOGLETRANSLATE($A4725,""en"",""ko"")"),"나라티왓")</f>
        <v>나라티왓</v>
      </c>
      <c r="J4725" s="9" t="str">
        <f>IFERROR(__xludf.DUMMYFUNCTION("GOOGLETRANSLATE($A4725,""en"",""pt-BR"")"),"Narathiwat")</f>
        <v>Narathiwat</v>
      </c>
    </row>
    <row r="4726">
      <c r="A4726" s="9" t="str">
        <f>IFERROR(__xludf.DUMMYFUNCTION("""COMPUTED_VALUE"""),"Udon Thani")</f>
        <v>Udon Thani</v>
      </c>
      <c r="B4726" s="9" t="str">
        <f>IFERROR(__xludf.DUMMYFUNCTION("""COMPUTED_VALUE"""),"th-41")</f>
        <v>th-41</v>
      </c>
      <c r="C4726" s="9" t="str">
        <f>IFERROR(__xludf.DUMMYFUNCTION("GOOGLETRANSLATE($A4726,""en"",""de"")"),"Udon Thani")</f>
        <v>Udon Thani</v>
      </c>
      <c r="D4726" s="9" t="str">
        <f>IFERROR(__xludf.DUMMYFUNCTION("GOOGLETRANSLATE($A4726,""en"",""fr"")"),"Udon Thani")</f>
        <v>Udon Thani</v>
      </c>
      <c r="E4726" s="9" t="str">
        <f>IFERROR(__xludf.DUMMYFUNCTION("GOOGLETRANSLATE($A4726,""en"",""es"")"),"Udon Thani")</f>
        <v>Udon Thani</v>
      </c>
      <c r="F4726" s="9" t="str">
        <f>IFERROR(__xludf.DUMMYFUNCTION("GOOGLETRANSLATE($A4726,""en"",""it"")"),"Udon Thani")</f>
        <v>Udon Thani</v>
      </c>
      <c r="G4726" s="9" t="str">
        <f>IFERROR(__xludf.DUMMYFUNCTION("GOOGLETRANSLATE($A4726,""en"",""zh-cn"")"),"乌隆他尼")</f>
        <v>乌隆他尼</v>
      </c>
      <c r="H4726" s="9" t="str">
        <f>IFERROR(__xludf.DUMMYFUNCTION("GOOGLETRANSLATE($A4726,""en"",""ja"")"),"ウドンターニー")</f>
        <v>ウドンターニー</v>
      </c>
      <c r="I4726" s="9" t="str">
        <f>IFERROR(__xludf.DUMMYFUNCTION("GOOGLETRANSLATE($A4726,""en"",""ko"")"),"우돈타니")</f>
        <v>우돈타니</v>
      </c>
      <c r="J4726" s="9" t="str">
        <f>IFERROR(__xludf.DUMMYFUNCTION("GOOGLETRANSLATE($A4726,""en"",""pt-BR"")"),"Udon Thani")</f>
        <v>Udon Thani</v>
      </c>
    </row>
    <row r="4727">
      <c r="A4727" s="9" t="str">
        <f>IFERROR(__xludf.DUMMYFUNCTION("""COMPUTED_VALUE"""),"Ubon Ratchathani")</f>
        <v>Ubon Ratchathani</v>
      </c>
      <c r="B4727" s="9" t="str">
        <f>IFERROR(__xludf.DUMMYFUNCTION("""COMPUTED_VALUE"""),"th-34")</f>
        <v>th-34</v>
      </c>
      <c r="C4727" s="9" t="str">
        <f>IFERROR(__xludf.DUMMYFUNCTION("GOOGLETRANSLATE($A4727,""en"",""de"")"),"Ubon Ratchathani")</f>
        <v>Ubon Ratchathani</v>
      </c>
      <c r="D4727" s="9" t="str">
        <f>IFERROR(__xludf.DUMMYFUNCTION("GOOGLETRANSLATE($A4727,""en"",""fr"")"),"Ubon Ratchathani")</f>
        <v>Ubon Ratchathani</v>
      </c>
      <c r="E4727" s="9" t="str">
        <f>IFERROR(__xludf.DUMMYFUNCTION("GOOGLETRANSLATE($A4727,""en"",""es"")"),"Ubon Ratchathani")</f>
        <v>Ubon Ratchathani</v>
      </c>
      <c r="F4727" s="9" t="str">
        <f>IFERROR(__xludf.DUMMYFUNCTION("GOOGLETRANSLATE($A4727,""en"",""it"")"),"Ubon Ratchathani")</f>
        <v>Ubon Ratchathani</v>
      </c>
      <c r="G4727" s="9" t="str">
        <f>IFERROR(__xludf.DUMMYFUNCTION("GOOGLETRANSLATE($A4727,""en"",""zh-cn"")"),"乌汶叻差他尼")</f>
        <v>乌汶叻差他尼</v>
      </c>
      <c r="H4727" s="9" t="str">
        <f>IFERROR(__xludf.DUMMYFUNCTION("GOOGLETRANSLATE($A4727,""en"",""ja"")"),"ウボンラチャタニ")</f>
        <v>ウボンラチャタニ</v>
      </c>
      <c r="I4727" s="9" t="str">
        <f>IFERROR(__xludf.DUMMYFUNCTION("GOOGLETRANSLATE($A4727,""en"",""ko"")"),"우본랏차타니")</f>
        <v>우본랏차타니</v>
      </c>
      <c r="J4727" s="9" t="str">
        <f>IFERROR(__xludf.DUMMYFUNCTION("GOOGLETRANSLATE($A4727,""en"",""pt-BR"")"),"Ubon Ratchathani")</f>
        <v>Ubon Ratchathani</v>
      </c>
    </row>
    <row r="4728">
      <c r="A4728" s="9" t="str">
        <f>IFERROR(__xludf.DUMMYFUNCTION("""COMPUTED_VALUE"""),"Uttaradit")</f>
        <v>Uttaradit</v>
      </c>
      <c r="B4728" s="9" t="str">
        <f>IFERROR(__xludf.DUMMYFUNCTION("""COMPUTED_VALUE"""),"th-53")</f>
        <v>th-53</v>
      </c>
      <c r="C4728" s="9" t="str">
        <f>IFERROR(__xludf.DUMMYFUNCTION("GOOGLETRANSLATE($A4728,""en"",""de"")"),"Uttaradit")</f>
        <v>Uttaradit</v>
      </c>
      <c r="D4728" s="9" t="str">
        <f>IFERROR(__xludf.DUMMYFUNCTION("GOOGLETRANSLATE($A4728,""en"",""fr"")"),"Uttaradit")</f>
        <v>Uttaradit</v>
      </c>
      <c r="E4728" s="9" t="str">
        <f>IFERROR(__xludf.DUMMYFUNCTION("GOOGLETRANSLATE($A4728,""en"",""es"")"),"Uttaradit")</f>
        <v>Uttaradit</v>
      </c>
      <c r="F4728" s="9" t="str">
        <f>IFERROR(__xludf.DUMMYFUNCTION("GOOGLETRANSLATE($A4728,""en"",""it"")"),"Uttaradit")</f>
        <v>Uttaradit</v>
      </c>
      <c r="G4728" s="9" t="str">
        <f>IFERROR(__xludf.DUMMYFUNCTION("GOOGLETRANSLATE($A4728,""en"",""zh-cn"")"),"程逸府")</f>
        <v>程逸府</v>
      </c>
      <c r="H4728" s="9" t="str">
        <f>IFERROR(__xludf.DUMMYFUNCTION("GOOGLETRANSLATE($A4728,""en"",""ja"")"),"ウッタラディット")</f>
        <v>ウッタラディット</v>
      </c>
      <c r="I4728" s="9" t="str">
        <f>IFERROR(__xludf.DUMMYFUNCTION("GOOGLETRANSLATE($A4728,""en"",""ko"")"),"우따라디트")</f>
        <v>우따라디트</v>
      </c>
      <c r="J4728" s="9" t="str">
        <f>IFERROR(__xludf.DUMMYFUNCTION("GOOGLETRANSLATE($A4728,""en"",""pt-BR"")"),"Uttaradit")</f>
        <v>Uttaradit</v>
      </c>
    </row>
    <row r="4729">
      <c r="A4729" s="9" t="str">
        <f>IFERROR(__xludf.DUMMYFUNCTION("""COMPUTED_VALUE"""),"Kamphaeng Phet")</f>
        <v>Kamphaeng Phet</v>
      </c>
      <c r="B4729" s="9" t="str">
        <f>IFERROR(__xludf.DUMMYFUNCTION("""COMPUTED_VALUE"""),"th-62")</f>
        <v>th-62</v>
      </c>
      <c r="C4729" s="9" t="str">
        <f>IFERROR(__xludf.DUMMYFUNCTION("GOOGLETRANSLATE($A4729,""en"",""de"")"),"Kamphaeng Phet")</f>
        <v>Kamphaeng Phet</v>
      </c>
      <c r="D4729" s="9" t="str">
        <f>IFERROR(__xludf.DUMMYFUNCTION("GOOGLETRANSLATE($A4729,""en"",""fr"")"),"Kamphaeng Phet")</f>
        <v>Kamphaeng Phet</v>
      </c>
      <c r="E4729" s="9" t="str">
        <f>IFERROR(__xludf.DUMMYFUNCTION("GOOGLETRANSLATE($A4729,""en"",""es"")"),"Phet Kamphaeng")</f>
        <v>Phet Kamphaeng</v>
      </c>
      <c r="F4729" s="9" t="str">
        <f>IFERROR(__xludf.DUMMYFUNCTION("GOOGLETRANSLATE($A4729,""en"",""it"")"),"Kamphaeng Phet")</f>
        <v>Kamphaeng Phet</v>
      </c>
      <c r="G4729" s="9" t="str">
        <f>IFERROR(__xludf.DUMMYFUNCTION("GOOGLETRANSLATE($A4729,""en"",""zh-cn"")"),"甘烹碧")</f>
        <v>甘烹碧</v>
      </c>
      <c r="H4729" s="9" t="str">
        <f>IFERROR(__xludf.DUMMYFUNCTION("GOOGLETRANSLATE($A4729,""en"",""ja"")"),"カンペーンペット")</f>
        <v>カンペーンペット</v>
      </c>
      <c r="I4729" s="9" t="str">
        <f>IFERROR(__xludf.DUMMYFUNCTION("GOOGLETRANSLATE($A4729,""en"",""ko"")"),"깜팽펫")</f>
        <v>깜팽펫</v>
      </c>
      <c r="J4729" s="9" t="str">
        <f>IFERROR(__xludf.DUMMYFUNCTION("GOOGLETRANSLATE($A4729,""en"",""pt-BR"")"),"Kamphaeng Phet")</f>
        <v>Kamphaeng Phet</v>
      </c>
    </row>
    <row r="4730">
      <c r="A4730" s="9" t="str">
        <f>IFERROR(__xludf.DUMMYFUNCTION("""COMPUTED_VALUE"""),"Kalasin")</f>
        <v>Kalasin</v>
      </c>
      <c r="B4730" s="9" t="str">
        <f>IFERROR(__xludf.DUMMYFUNCTION("""COMPUTED_VALUE"""),"th-46")</f>
        <v>th-46</v>
      </c>
      <c r="C4730" s="9" t="str">
        <f>IFERROR(__xludf.DUMMYFUNCTION("GOOGLETRANSLATE($A4730,""en"",""de"")"),"Kalasin")</f>
        <v>Kalasin</v>
      </c>
      <c r="D4730" s="9" t="str">
        <f>IFERROR(__xludf.DUMMYFUNCTION("GOOGLETRANSLATE($A4730,""en"",""fr"")"),"Kalasin")</f>
        <v>Kalasin</v>
      </c>
      <c r="E4730" s="9" t="str">
        <f>IFERROR(__xludf.DUMMYFUNCTION("GOOGLETRANSLATE($A4730,""en"",""es"")"),"Kalasin")</f>
        <v>Kalasin</v>
      </c>
      <c r="F4730" s="9" t="str">
        <f>IFERROR(__xludf.DUMMYFUNCTION("GOOGLETRANSLATE($A4730,""en"",""it"")"),"Kalasin")</f>
        <v>Kalasin</v>
      </c>
      <c r="G4730" s="9" t="str">
        <f>IFERROR(__xludf.DUMMYFUNCTION("GOOGLETRANSLATE($A4730,""en"",""zh-cn"")"),"加拉信")</f>
        <v>加拉信</v>
      </c>
      <c r="H4730" s="9" t="str">
        <f>IFERROR(__xludf.DUMMYFUNCTION("GOOGLETRANSLATE($A4730,""en"",""ja"")"),"カーラシン")</f>
        <v>カーラシン</v>
      </c>
      <c r="I4730" s="9" t="str">
        <f>IFERROR(__xludf.DUMMYFUNCTION("GOOGLETRANSLATE($A4730,""en"",""ko"")"),"칼라신")</f>
        <v>칼라신</v>
      </c>
      <c r="J4730" s="9" t="str">
        <f>IFERROR(__xludf.DUMMYFUNCTION("GOOGLETRANSLATE($A4730,""en"",""pt-BR"")"),"Kalasin")</f>
        <v>Kalasin</v>
      </c>
    </row>
    <row r="4731">
      <c r="A4731" s="9" t="str">
        <f>IFERROR(__xludf.DUMMYFUNCTION("""COMPUTED_VALUE"""),"Phetchaburi")</f>
        <v>Phetchaburi</v>
      </c>
      <c r="B4731" s="9" t="str">
        <f>IFERROR(__xludf.DUMMYFUNCTION("""COMPUTED_VALUE"""),"th-76")</f>
        <v>th-76</v>
      </c>
      <c r="C4731" s="9" t="str">
        <f>IFERROR(__xludf.DUMMYFUNCTION("GOOGLETRANSLATE($A4731,""en"",""de"")"),"Phetchaburi")</f>
        <v>Phetchaburi</v>
      </c>
      <c r="D4731" s="9" t="str">
        <f>IFERROR(__xludf.DUMMYFUNCTION("GOOGLETRANSLATE($A4731,""en"",""fr"")"),"Phetchaburi")</f>
        <v>Phetchaburi</v>
      </c>
      <c r="E4731" s="9" t="str">
        <f>IFERROR(__xludf.DUMMYFUNCTION("GOOGLETRANSLATE($A4731,""en"",""es"")"),"Phetchaburi")</f>
        <v>Phetchaburi</v>
      </c>
      <c r="F4731" s="9" t="str">
        <f>IFERROR(__xludf.DUMMYFUNCTION("GOOGLETRANSLATE($A4731,""en"",""it"")"),"Phetchaburi")</f>
        <v>Phetchaburi</v>
      </c>
      <c r="G4731" s="9" t="str">
        <f>IFERROR(__xludf.DUMMYFUNCTION("GOOGLETRANSLATE($A4731,""en"",""zh-cn"")"),"碧武里")</f>
        <v>碧武里</v>
      </c>
      <c r="H4731" s="9" t="str">
        <f>IFERROR(__xludf.DUMMYFUNCTION("GOOGLETRANSLATE($A4731,""en"",""ja"")"),"ペッチャブリー")</f>
        <v>ペッチャブリー</v>
      </c>
      <c r="I4731" s="9" t="str">
        <f>IFERROR(__xludf.DUMMYFUNCTION("GOOGLETRANSLATE($A4731,""en"",""ko"")"),"펫차부리")</f>
        <v>펫차부리</v>
      </c>
      <c r="J4731" s="9" t="str">
        <f>IFERROR(__xludf.DUMMYFUNCTION("GOOGLETRANSLATE($A4731,""en"",""pt-BR"")"),"Phetchaburi")</f>
        <v>Phetchaburi</v>
      </c>
    </row>
    <row r="4732">
      <c r="A4732" s="9" t="str">
        <f>IFERROR(__xludf.DUMMYFUNCTION("""COMPUTED_VALUE"""),"Maha Sarakham")</f>
        <v>Maha Sarakham</v>
      </c>
      <c r="B4732" s="9" t="str">
        <f>IFERROR(__xludf.DUMMYFUNCTION("""COMPUTED_VALUE"""),"th-44")</f>
        <v>th-44</v>
      </c>
      <c r="C4732" s="9" t="str">
        <f>IFERROR(__xludf.DUMMYFUNCTION("GOOGLETRANSLATE($A4732,""en"",""de"")"),"Maha Sarakham")</f>
        <v>Maha Sarakham</v>
      </c>
      <c r="D4732" s="9" t="str">
        <f>IFERROR(__xludf.DUMMYFUNCTION("GOOGLETRANSLATE($A4732,""en"",""fr"")"),"Maha Sarakham")</f>
        <v>Maha Sarakham</v>
      </c>
      <c r="E4732" s="9" t="str">
        <f>IFERROR(__xludf.DUMMYFUNCTION("GOOGLETRANSLATE($A4732,""en"",""es"")"),"Maha Sarakham")</f>
        <v>Maha Sarakham</v>
      </c>
      <c r="F4732" s="9" t="str">
        <f>IFERROR(__xludf.DUMMYFUNCTION("GOOGLETRANSLATE($A4732,""en"",""it"")"),"Maha Sarakham")</f>
        <v>Maha Sarakham</v>
      </c>
      <c r="G4732" s="9" t="str">
        <f>IFERROR(__xludf.DUMMYFUNCTION("GOOGLETRANSLATE($A4732,""en"",""zh-cn"")"),"玛哈沙拉堪")</f>
        <v>玛哈沙拉堪</v>
      </c>
      <c r="H4732" s="9" t="str">
        <f>IFERROR(__xludf.DUMMYFUNCTION("GOOGLETRANSLATE($A4732,""en"",""ja"")"),"マハーサーラカーム")</f>
        <v>マハーサーラカーム</v>
      </c>
      <c r="I4732" s="9" t="str">
        <f>IFERROR(__xludf.DUMMYFUNCTION("GOOGLETRANSLATE($A4732,""en"",""ko"")"),"마하사라캄")</f>
        <v>마하사라캄</v>
      </c>
      <c r="J4732" s="9" t="str">
        <f>IFERROR(__xludf.DUMMYFUNCTION("GOOGLETRANSLATE($A4732,""en"",""pt-BR"")"),"Maha Sarakham")</f>
        <v>Maha Sarakham</v>
      </c>
    </row>
    <row r="4733">
      <c r="A4733" s="9" t="str">
        <f>IFERROR(__xludf.DUMMYFUNCTION("""COMPUTED_VALUE"""),"Phra Nakhon Si Ayutthaya")</f>
        <v>Phra Nakhon Si Ayutthaya</v>
      </c>
      <c r="B4733" s="9" t="str">
        <f>IFERROR(__xludf.DUMMYFUNCTION("""COMPUTED_VALUE"""),"th-14")</f>
        <v>th-14</v>
      </c>
      <c r="C4733" s="9" t="str">
        <f>IFERROR(__xludf.DUMMYFUNCTION("GOOGLETRANSLATE($A4733,""en"",""de"")"),"Phra Nakhon Si Ayutthaya")</f>
        <v>Phra Nakhon Si Ayutthaya</v>
      </c>
      <c r="D4733" s="9" t="str">
        <f>IFERROR(__xludf.DUMMYFUNCTION("GOOGLETRANSLATE($A4733,""en"",""fr"")"),"Phra Nakhon Si Ayutthaya")</f>
        <v>Phra Nakhon Si Ayutthaya</v>
      </c>
      <c r="E4733" s="9" t="str">
        <f>IFERROR(__xludf.DUMMYFUNCTION("GOOGLETRANSLATE($A4733,""en"",""es"")"),"Phra Nakhon Si Ayutthaya")</f>
        <v>Phra Nakhon Si Ayutthaya</v>
      </c>
      <c r="F4733" s="9" t="str">
        <f>IFERROR(__xludf.DUMMYFUNCTION("GOOGLETRANSLATE($A4733,""en"",""it"")"),"Phra Nakhon Si Ayutthaya")</f>
        <v>Phra Nakhon Si Ayutthaya</v>
      </c>
      <c r="G4733" s="9" t="str">
        <f>IFERROR(__xludf.DUMMYFUNCTION("GOOGLETRANSLATE($A4733,""en"",""zh-cn"")"),"大城府")</f>
        <v>大城府</v>
      </c>
      <c r="H4733" s="9" t="str">
        <f>IFERROR(__xludf.DUMMYFUNCTION("GOOGLETRANSLATE($A4733,""en"",""ja"")"),"プラナコーンシーアユタヤ")</f>
        <v>プラナコーンシーアユタヤ</v>
      </c>
      <c r="I4733" s="9" t="str">
        <f>IFERROR(__xludf.DUMMYFUNCTION("GOOGLETRANSLATE($A4733,""en"",""ko"")"),"프라나콘시 아유타야")</f>
        <v>프라나콘시 아유타야</v>
      </c>
      <c r="J4733" s="9" t="str">
        <f>IFERROR(__xludf.DUMMYFUNCTION("GOOGLETRANSLATE($A4733,""en"",""pt-BR"")"),"Phra Nakhon Si Ayutthaya")</f>
        <v>Phra Nakhon Si Ayutthaya</v>
      </c>
    </row>
    <row r="4734">
      <c r="A4734" s="9" t="str">
        <f>IFERROR(__xludf.DUMMYFUNCTION("""COMPUTED_VALUE"""),"Pathum Thani")</f>
        <v>Pathum Thani</v>
      </c>
      <c r="B4734" s="9" t="str">
        <f>IFERROR(__xludf.DUMMYFUNCTION("""COMPUTED_VALUE"""),"th-13")</f>
        <v>th-13</v>
      </c>
      <c r="C4734" s="9" t="str">
        <f>IFERROR(__xludf.DUMMYFUNCTION("GOOGLETRANSLATE($A4734,""en"",""de"")"),"Pathum Thani")</f>
        <v>Pathum Thani</v>
      </c>
      <c r="D4734" s="9" t="str">
        <f>IFERROR(__xludf.DUMMYFUNCTION("GOOGLETRANSLATE($A4734,""en"",""fr"")"),"Pathum Thani")</f>
        <v>Pathum Thani</v>
      </c>
      <c r="E4734" s="9" t="str">
        <f>IFERROR(__xludf.DUMMYFUNCTION("GOOGLETRANSLATE($A4734,""en"",""es"")"),"Pathum Thani")</f>
        <v>Pathum Thani</v>
      </c>
      <c r="F4734" s="9" t="str">
        <f>IFERROR(__xludf.DUMMYFUNCTION("GOOGLETRANSLATE($A4734,""en"",""it"")"),"Pathum Thani")</f>
        <v>Pathum Thani</v>
      </c>
      <c r="G4734" s="9" t="str">
        <f>IFERROR(__xludf.DUMMYFUNCTION("GOOGLETRANSLATE($A4734,""en"",""zh-cn"")"),"巴吞他尼府")</f>
        <v>巴吞他尼府</v>
      </c>
      <c r="H4734" s="9" t="str">
        <f>IFERROR(__xludf.DUMMYFUNCTION("GOOGLETRANSLATE($A4734,""en"",""ja"")"),"パトゥムターニー")</f>
        <v>パトゥムターニー</v>
      </c>
      <c r="I4734" s="9" t="str">
        <f>IFERROR(__xludf.DUMMYFUNCTION("GOOGLETRANSLATE($A4734,""en"",""ko"")"),"빠툼타니")</f>
        <v>빠툼타니</v>
      </c>
      <c r="J4734" s="9" t="str">
        <f>IFERROR(__xludf.DUMMYFUNCTION("GOOGLETRANSLATE($A4734,""en"",""pt-BR"")"),"Pathum Thani")</f>
        <v>Pathum Thani</v>
      </c>
    </row>
    <row r="4735">
      <c r="A4735" s="9" t="str">
        <f>IFERROR(__xludf.DUMMYFUNCTION("""COMPUTED_VALUE"""),"Chiang Mai")</f>
        <v>Chiang Mai</v>
      </c>
      <c r="B4735" s="9" t="str">
        <f>IFERROR(__xludf.DUMMYFUNCTION("""COMPUTED_VALUE"""),"th-50")</f>
        <v>th-50</v>
      </c>
      <c r="C4735" s="9" t="str">
        <f>IFERROR(__xludf.DUMMYFUNCTION("GOOGLETRANSLATE($A4735,""en"",""de"")"),"Chiang Mai")</f>
        <v>Chiang Mai</v>
      </c>
      <c r="D4735" s="9" t="str">
        <f>IFERROR(__xludf.DUMMYFUNCTION("GOOGLETRANSLATE($A4735,""en"",""fr"")"),"Chiang Mai")</f>
        <v>Chiang Mai</v>
      </c>
      <c r="E4735" s="9" t="str">
        <f>IFERROR(__xludf.DUMMYFUNCTION("GOOGLETRANSLATE($A4735,""en"",""es"")"),"chiang mai")</f>
        <v>chiang mai</v>
      </c>
      <c r="F4735" s="9" t="str">
        <f>IFERROR(__xludf.DUMMYFUNCTION("GOOGLETRANSLATE($A4735,""en"",""it"")"),"Chiang Mai")</f>
        <v>Chiang Mai</v>
      </c>
      <c r="G4735" s="9" t="str">
        <f>IFERROR(__xludf.DUMMYFUNCTION("GOOGLETRANSLATE($A4735,""en"",""zh-cn"")"),"清迈")</f>
        <v>清迈</v>
      </c>
      <c r="H4735" s="9" t="str">
        <f>IFERROR(__xludf.DUMMYFUNCTION("GOOGLETRANSLATE($A4735,""en"",""ja"")"),"チェンマイ")</f>
        <v>チェンマイ</v>
      </c>
      <c r="I4735" s="9" t="str">
        <f>IFERROR(__xludf.DUMMYFUNCTION("GOOGLETRANSLATE($A4735,""en"",""ko"")"),"치앙마이")</f>
        <v>치앙마이</v>
      </c>
      <c r="J4735" s="9" t="str">
        <f>IFERROR(__xludf.DUMMYFUNCTION("GOOGLETRANSLATE($A4735,""en"",""pt-BR"")"),"Chiang Mai")</f>
        <v>Chiang Mai</v>
      </c>
    </row>
    <row r="4736">
      <c r="A4736" s="9" t="str">
        <f>IFERROR(__xludf.DUMMYFUNCTION("""COMPUTED_VALUE"""),"Phuket")</f>
        <v>Phuket</v>
      </c>
      <c r="B4736" s="9" t="str">
        <f>IFERROR(__xludf.DUMMYFUNCTION("""COMPUTED_VALUE"""),"th-83")</f>
        <v>th-83</v>
      </c>
      <c r="C4736" s="9" t="str">
        <f>IFERROR(__xludf.DUMMYFUNCTION("GOOGLETRANSLATE($A4736,""en"",""de"")"),"Phuket")</f>
        <v>Phuket</v>
      </c>
      <c r="D4736" s="9" t="str">
        <f>IFERROR(__xludf.DUMMYFUNCTION("GOOGLETRANSLATE($A4736,""en"",""fr"")"),"Phuket")</f>
        <v>Phuket</v>
      </c>
      <c r="E4736" s="9" t="str">
        <f>IFERROR(__xludf.DUMMYFUNCTION("GOOGLETRANSLATE($A4736,""en"",""es"")"),"Phuket")</f>
        <v>Phuket</v>
      </c>
      <c r="F4736" s="9" t="str">
        <f>IFERROR(__xludf.DUMMYFUNCTION("GOOGLETRANSLATE($A4736,""en"",""it"")"),"Phuket")</f>
        <v>Phuket</v>
      </c>
      <c r="G4736" s="9" t="str">
        <f>IFERROR(__xludf.DUMMYFUNCTION("GOOGLETRANSLATE($A4736,""en"",""zh-cn"")"),"普吉岛")</f>
        <v>普吉岛</v>
      </c>
      <c r="H4736" s="9" t="str">
        <f>IFERROR(__xludf.DUMMYFUNCTION("GOOGLETRANSLATE($A4736,""en"",""ja"")"),"プーケット")</f>
        <v>プーケット</v>
      </c>
      <c r="I4736" s="9" t="str">
        <f>IFERROR(__xludf.DUMMYFUNCTION("GOOGLETRANSLATE($A4736,""en"",""ko"")"),"푸켓")</f>
        <v>푸켓</v>
      </c>
      <c r="J4736" s="9" t="str">
        <f>IFERROR(__xludf.DUMMYFUNCTION("GOOGLETRANSLATE($A4736,""en"",""pt-BR"")"),"Phuket")</f>
        <v>Phuket</v>
      </c>
    </row>
    <row r="4737">
      <c r="A4737" s="9" t="str">
        <f>IFERROR(__xludf.DUMMYFUNCTION("""COMPUTED_VALUE"""),"Ranong")</f>
        <v>Ranong</v>
      </c>
      <c r="B4737" s="9" t="str">
        <f>IFERROR(__xludf.DUMMYFUNCTION("""COMPUTED_VALUE"""),"th-85")</f>
        <v>th-85</v>
      </c>
      <c r="C4737" s="9" t="str">
        <f>IFERROR(__xludf.DUMMYFUNCTION("GOOGLETRANSLATE($A4737,""en"",""de"")"),"Ranong")</f>
        <v>Ranong</v>
      </c>
      <c r="D4737" s="9" t="str">
        <f>IFERROR(__xludf.DUMMYFUNCTION("GOOGLETRANSLATE($A4737,""en"",""fr"")"),"Ranong")</f>
        <v>Ranong</v>
      </c>
      <c r="E4737" s="9" t="str">
        <f>IFERROR(__xludf.DUMMYFUNCTION("GOOGLETRANSLATE($A4737,""en"",""es"")"),"Ranong")</f>
        <v>Ranong</v>
      </c>
      <c r="F4737" s="9" t="str">
        <f>IFERROR(__xludf.DUMMYFUNCTION("GOOGLETRANSLATE($A4737,""en"",""it"")"),"Ranong")</f>
        <v>Ranong</v>
      </c>
      <c r="G4737" s="9" t="str">
        <f>IFERROR(__xludf.DUMMYFUNCTION("GOOGLETRANSLATE($A4737,""en"",""zh-cn"")"),"拉廊府")</f>
        <v>拉廊府</v>
      </c>
      <c r="H4737" s="9" t="str">
        <f>IFERROR(__xludf.DUMMYFUNCTION("GOOGLETRANSLATE($A4737,""en"",""ja"")"),"ラノーン")</f>
        <v>ラノーン</v>
      </c>
      <c r="I4737" s="9" t="str">
        <f>IFERROR(__xludf.DUMMYFUNCTION("GOOGLETRANSLATE($A4737,""en"",""ko"")"),"라농")</f>
        <v>라농</v>
      </c>
      <c r="J4737" s="9" t="str">
        <f>IFERROR(__xludf.DUMMYFUNCTION("GOOGLETRANSLATE($A4737,""en"",""pt-BR"")"),"Ranong")</f>
        <v>Ranong</v>
      </c>
    </row>
    <row r="4738">
      <c r="A4738" s="9" t="str">
        <f>IFERROR(__xludf.DUMMYFUNCTION("""COMPUTED_VALUE"""),"Nakhon Nayok")</f>
        <v>Nakhon Nayok</v>
      </c>
      <c r="B4738" s="9" t="str">
        <f>IFERROR(__xludf.DUMMYFUNCTION("""COMPUTED_VALUE"""),"th-26")</f>
        <v>th-26</v>
      </c>
      <c r="C4738" s="9" t="str">
        <f>IFERROR(__xludf.DUMMYFUNCTION("GOOGLETRANSLATE($A4738,""en"",""de"")"),"Nakhon Nayok")</f>
        <v>Nakhon Nayok</v>
      </c>
      <c r="D4738" s="9" t="str">
        <f>IFERROR(__xludf.DUMMYFUNCTION("GOOGLETRANSLATE($A4738,""en"",""fr"")"),"Nakhon Nayok")</f>
        <v>Nakhon Nayok</v>
      </c>
      <c r="E4738" s="9" t="str">
        <f>IFERROR(__xludf.DUMMYFUNCTION("GOOGLETRANSLATE($A4738,""en"",""es"")"),"Nakhon Nayok")</f>
        <v>Nakhon Nayok</v>
      </c>
      <c r="F4738" s="9" t="str">
        <f>IFERROR(__xludf.DUMMYFUNCTION("GOOGLETRANSLATE($A4738,""en"",""it"")"),"Nakhon Nayok")</f>
        <v>Nakhon Nayok</v>
      </c>
      <c r="G4738" s="9" t="str">
        <f>IFERROR(__xludf.DUMMYFUNCTION("GOOGLETRANSLATE($A4738,""en"",""zh-cn"")"),"那空那育")</f>
        <v>那空那育</v>
      </c>
      <c r="H4738" s="9" t="str">
        <f>IFERROR(__xludf.DUMMYFUNCTION("GOOGLETRANSLATE($A4738,""en"",""ja"")"),"ナコーンナヨック")</f>
        <v>ナコーンナヨック</v>
      </c>
      <c r="I4738" s="9" t="str">
        <f>IFERROR(__xludf.DUMMYFUNCTION("GOOGLETRANSLATE($A4738,""en"",""ko"")"),"나콘나욕")</f>
        <v>나콘나욕</v>
      </c>
      <c r="J4738" s="9" t="str">
        <f>IFERROR(__xludf.DUMMYFUNCTION("GOOGLETRANSLATE($A4738,""en"",""pt-BR"")"),"Nakhon Nayok")</f>
        <v>Nakhon Nayok</v>
      </c>
    </row>
    <row r="4739">
      <c r="A4739" s="9" t="str">
        <f>IFERROR(__xludf.DUMMYFUNCTION("""COMPUTED_VALUE"""),"Khon Kaen")</f>
        <v>Khon Kaen</v>
      </c>
      <c r="B4739" s="9" t="str">
        <f>IFERROR(__xludf.DUMMYFUNCTION("""COMPUTED_VALUE"""),"th-40")</f>
        <v>th-40</v>
      </c>
      <c r="C4739" s="9" t="str">
        <f>IFERROR(__xludf.DUMMYFUNCTION("GOOGLETRANSLATE($A4739,""en"",""de"")"),"Khon Kaen")</f>
        <v>Khon Kaen</v>
      </c>
      <c r="D4739" s="9" t="str">
        <f>IFERROR(__xludf.DUMMYFUNCTION("GOOGLETRANSLATE($A4739,""en"",""fr"")"),"Khon Kaen")</f>
        <v>Khon Kaen</v>
      </c>
      <c r="E4739" s="9" t="str">
        <f>IFERROR(__xludf.DUMMYFUNCTION("GOOGLETRANSLATE($A4739,""en"",""es"")"),"Khon Kaen")</f>
        <v>Khon Kaen</v>
      </c>
      <c r="F4739" s="9" t="str">
        <f>IFERROR(__xludf.DUMMYFUNCTION("GOOGLETRANSLATE($A4739,""en"",""it"")"),"Khon Kaen")</f>
        <v>Khon Kaen</v>
      </c>
      <c r="G4739" s="9" t="str">
        <f>IFERROR(__xludf.DUMMYFUNCTION("GOOGLETRANSLATE($A4739,""en"",""zh-cn"")"),"孔敬")</f>
        <v>孔敬</v>
      </c>
      <c r="H4739" s="9" t="str">
        <f>IFERROR(__xludf.DUMMYFUNCTION("GOOGLETRANSLATE($A4739,""en"",""ja"")"),"コンケーン")</f>
        <v>コンケーン</v>
      </c>
      <c r="I4739" s="9" t="str">
        <f>IFERROR(__xludf.DUMMYFUNCTION("GOOGLETRANSLATE($A4739,""en"",""ko"")"),"콘캔")</f>
        <v>콘캔</v>
      </c>
      <c r="J4739" s="9" t="str">
        <f>IFERROR(__xludf.DUMMYFUNCTION("GOOGLETRANSLATE($A4739,""en"",""pt-BR"")"),"Khon Kaen")</f>
        <v>Khon Kaen</v>
      </c>
    </row>
    <row r="4740">
      <c r="A4740" s="9" t="str">
        <f>IFERROR(__xludf.DUMMYFUNCTION("""COMPUTED_VALUE"""),"Yala")</f>
        <v>Yala</v>
      </c>
      <c r="B4740" s="9" t="str">
        <f>IFERROR(__xludf.DUMMYFUNCTION("""COMPUTED_VALUE"""),"th-95")</f>
        <v>th-95</v>
      </c>
      <c r="C4740" s="9" t="str">
        <f>IFERROR(__xludf.DUMMYFUNCTION("GOOGLETRANSLATE($A4740,""en"",""de"")"),"Yala")</f>
        <v>Yala</v>
      </c>
      <c r="D4740" s="9" t="str">
        <f>IFERROR(__xludf.DUMMYFUNCTION("GOOGLETRANSLATE($A4740,""en"",""fr"")"),"Yala")</f>
        <v>Yala</v>
      </c>
      <c r="E4740" s="9" t="str">
        <f>IFERROR(__xludf.DUMMYFUNCTION("GOOGLETRANSLATE($A4740,""en"",""es"")"),"Yalá")</f>
        <v>Yalá</v>
      </c>
      <c r="F4740" s="9" t="str">
        <f>IFERROR(__xludf.DUMMYFUNCTION("GOOGLETRANSLATE($A4740,""en"",""it"")"),"Yala")</f>
        <v>Yala</v>
      </c>
      <c r="G4740" s="9" t="str">
        <f>IFERROR(__xludf.DUMMYFUNCTION("GOOGLETRANSLATE($A4740,""en"",""zh-cn"")"),"亚拉")</f>
        <v>亚拉</v>
      </c>
      <c r="H4740" s="9" t="str">
        <f>IFERROR(__xludf.DUMMYFUNCTION("GOOGLETRANSLATE($A4740,""en"",""ja"")"),"ヤラ")</f>
        <v>ヤラ</v>
      </c>
      <c r="I4740" s="9" t="str">
        <f>IFERROR(__xludf.DUMMYFUNCTION("GOOGLETRANSLATE($A4740,""en"",""ko"")"),"얄라")</f>
        <v>얄라</v>
      </c>
      <c r="J4740" s="9" t="str">
        <f>IFERROR(__xludf.DUMMYFUNCTION("GOOGLETRANSLATE($A4740,""en"",""pt-BR"")"),"Yala")</f>
        <v>Yala</v>
      </c>
    </row>
    <row r="4741">
      <c r="A4741" s="9" t="str">
        <f>IFERROR(__xludf.DUMMYFUNCTION("""COMPUTED_VALUE"""),"Phitsanulok")</f>
        <v>Phitsanulok</v>
      </c>
      <c r="B4741" s="9" t="str">
        <f>IFERROR(__xludf.DUMMYFUNCTION("""COMPUTED_VALUE"""),"th-65")</f>
        <v>th-65</v>
      </c>
      <c r="C4741" s="9" t="str">
        <f>IFERROR(__xludf.DUMMYFUNCTION("GOOGLETRANSLATE($A4741,""en"",""de"")"),"Phitsanulok")</f>
        <v>Phitsanulok</v>
      </c>
      <c r="D4741" s="9" t="str">
        <f>IFERROR(__xludf.DUMMYFUNCTION("GOOGLETRANSLATE($A4741,""en"",""fr"")"),"Phitsanulok")</f>
        <v>Phitsanulok</v>
      </c>
      <c r="E4741" s="9" t="str">
        <f>IFERROR(__xludf.DUMMYFUNCTION("GOOGLETRANSLATE($A4741,""en"",""es"")"),"Phitsanulok")</f>
        <v>Phitsanulok</v>
      </c>
      <c r="F4741" s="9" t="str">
        <f>IFERROR(__xludf.DUMMYFUNCTION("GOOGLETRANSLATE($A4741,""en"",""it"")"),"Phitsanulok")</f>
        <v>Phitsanulok</v>
      </c>
      <c r="G4741" s="9" t="str">
        <f>IFERROR(__xludf.DUMMYFUNCTION("GOOGLETRANSLATE($A4741,""en"",""zh-cn"")"),"彭世洛")</f>
        <v>彭世洛</v>
      </c>
      <c r="H4741" s="9" t="str">
        <f>IFERROR(__xludf.DUMMYFUNCTION("GOOGLETRANSLATE($A4741,""en"",""ja"")"),"ピサヌローク")</f>
        <v>ピサヌローク</v>
      </c>
      <c r="I4741" s="9" t="str">
        <f>IFERROR(__xludf.DUMMYFUNCTION("GOOGLETRANSLATE($A4741,""en"",""ko"")"),"핏사눌록")</f>
        <v>핏사눌록</v>
      </c>
      <c r="J4741" s="9" t="str">
        <f>IFERROR(__xludf.DUMMYFUNCTION("GOOGLETRANSLATE($A4741,""en"",""pt-BR"")"),"Fitsanuloque")</f>
        <v>Fitsanuloque</v>
      </c>
    </row>
    <row r="4742">
      <c r="A4742" s="9" t="str">
        <f>IFERROR(__xludf.DUMMYFUNCTION("""COMPUTED_VALUE"""),"Nakhon Sawan")</f>
        <v>Nakhon Sawan</v>
      </c>
      <c r="B4742" s="9" t="str">
        <f>IFERROR(__xludf.DUMMYFUNCTION("""COMPUTED_VALUE"""),"th-60")</f>
        <v>th-60</v>
      </c>
      <c r="C4742" s="9" t="str">
        <f>IFERROR(__xludf.DUMMYFUNCTION("GOOGLETRANSLATE($A4742,""en"",""de"")"),"Nakhon Sawan")</f>
        <v>Nakhon Sawan</v>
      </c>
      <c r="D4742" s="9" t="str">
        <f>IFERROR(__xludf.DUMMYFUNCTION("GOOGLETRANSLATE($A4742,""en"",""fr"")"),"Nakhon Sawan")</f>
        <v>Nakhon Sawan</v>
      </c>
      <c r="E4742" s="9" t="str">
        <f>IFERROR(__xludf.DUMMYFUNCTION("GOOGLETRANSLATE($A4742,""en"",""es"")"),"Nakhon Sawan")</f>
        <v>Nakhon Sawan</v>
      </c>
      <c r="F4742" s="9" t="str">
        <f>IFERROR(__xludf.DUMMYFUNCTION("GOOGLETRANSLATE($A4742,""en"",""it"")"),"Nakhon Sawan")</f>
        <v>Nakhon Sawan</v>
      </c>
      <c r="G4742" s="9" t="str">
        <f>IFERROR(__xludf.DUMMYFUNCTION("GOOGLETRANSLATE($A4742,""en"",""zh-cn"")"),"那空沙旺")</f>
        <v>那空沙旺</v>
      </c>
      <c r="H4742" s="9" t="str">
        <f>IFERROR(__xludf.DUMMYFUNCTION("GOOGLETRANSLATE($A4742,""en"",""ja"")"),"ナコンサワン")</f>
        <v>ナコンサワン</v>
      </c>
      <c r="I4742" s="9" t="str">
        <f>IFERROR(__xludf.DUMMYFUNCTION("GOOGLETRANSLATE($A4742,""en"",""ko"")"),"나콘사완")</f>
        <v>나콘사완</v>
      </c>
      <c r="J4742" s="9" t="str">
        <f>IFERROR(__xludf.DUMMYFUNCTION("GOOGLETRANSLATE($A4742,""en"",""pt-BR"")"),"Nakhon Sawan")</f>
        <v>Nakhon Sawan</v>
      </c>
    </row>
    <row r="4743">
      <c r="A4743" s="9" t="str">
        <f>IFERROR(__xludf.DUMMYFUNCTION("""COMPUTED_VALUE"""),"Nakhon Pathom")</f>
        <v>Nakhon Pathom</v>
      </c>
      <c r="B4743" s="9" t="str">
        <f>IFERROR(__xludf.DUMMYFUNCTION("""COMPUTED_VALUE"""),"th-73")</f>
        <v>th-73</v>
      </c>
      <c r="C4743" s="9" t="str">
        <f>IFERROR(__xludf.DUMMYFUNCTION("GOOGLETRANSLATE($A4743,""en"",""de"")"),"Nakhon Pathom")</f>
        <v>Nakhon Pathom</v>
      </c>
      <c r="D4743" s="9" t="str">
        <f>IFERROR(__xludf.DUMMYFUNCTION("GOOGLETRANSLATE($A4743,""en"",""fr"")"),"Nakhon Pathom")</f>
        <v>Nakhon Pathom</v>
      </c>
      <c r="E4743" s="9" t="str">
        <f>IFERROR(__xludf.DUMMYFUNCTION("GOOGLETRANSLATE($A4743,""en"",""es"")"),"Nakhon Pathom")</f>
        <v>Nakhon Pathom</v>
      </c>
      <c r="F4743" s="9" t="str">
        <f>IFERROR(__xludf.DUMMYFUNCTION("GOOGLETRANSLATE($A4743,""en"",""it"")"),"Nakhon Pathom")</f>
        <v>Nakhon Pathom</v>
      </c>
      <c r="G4743" s="9" t="str">
        <f>IFERROR(__xludf.DUMMYFUNCTION("GOOGLETRANSLATE($A4743,""en"",""zh-cn"")"),"佛统府")</f>
        <v>佛统府</v>
      </c>
      <c r="H4743" s="9" t="str">
        <f>IFERROR(__xludf.DUMMYFUNCTION("GOOGLETRANSLATE($A4743,""en"",""ja"")"),"ナコーンパトム")</f>
        <v>ナコーンパトム</v>
      </c>
      <c r="I4743" s="9" t="str">
        <f>IFERROR(__xludf.DUMMYFUNCTION("GOOGLETRANSLATE($A4743,""en"",""ko"")"),"나콘파톰")</f>
        <v>나콘파톰</v>
      </c>
      <c r="J4743" s="9" t="str">
        <f>IFERROR(__xludf.DUMMYFUNCTION("GOOGLETRANSLATE($A4743,""en"",""pt-BR"")"),"Nakhon Pathom")</f>
        <v>Nakhon Pathom</v>
      </c>
    </row>
    <row r="4744">
      <c r="A4744" s="9" t="str">
        <f>IFERROR(__xludf.DUMMYFUNCTION("""COMPUTED_VALUE"""),"Sukhothai")</f>
        <v>Sukhothai</v>
      </c>
      <c r="B4744" s="9" t="str">
        <f>IFERROR(__xludf.DUMMYFUNCTION("""COMPUTED_VALUE"""),"th-64")</f>
        <v>th-64</v>
      </c>
      <c r="C4744" s="9" t="str">
        <f>IFERROR(__xludf.DUMMYFUNCTION("GOOGLETRANSLATE($A4744,""en"",""de"")"),"Sukhothai")</f>
        <v>Sukhothai</v>
      </c>
      <c r="D4744" s="9" t="str">
        <f>IFERROR(__xludf.DUMMYFUNCTION("GOOGLETRANSLATE($A4744,""en"",""fr"")"),"Sukhothaï")</f>
        <v>Sukhothaï</v>
      </c>
      <c r="E4744" s="9" t="str">
        <f>IFERROR(__xludf.DUMMYFUNCTION("GOOGLETRANSLATE($A4744,""en"",""es"")"),"Sukhothai")</f>
        <v>Sukhothai</v>
      </c>
      <c r="F4744" s="9" t="str">
        <f>IFERROR(__xludf.DUMMYFUNCTION("GOOGLETRANSLATE($A4744,""en"",""it"")"),"Sukhothai")</f>
        <v>Sukhothai</v>
      </c>
      <c r="G4744" s="9" t="str">
        <f>IFERROR(__xludf.DUMMYFUNCTION("GOOGLETRANSLATE($A4744,""en"",""zh-cn"")"),"素可泰")</f>
        <v>素可泰</v>
      </c>
      <c r="H4744" s="9" t="str">
        <f>IFERROR(__xludf.DUMMYFUNCTION("GOOGLETRANSLATE($A4744,""en"",""ja"")"),"スコータイ")</f>
        <v>スコータイ</v>
      </c>
      <c r="I4744" s="9" t="str">
        <f>IFERROR(__xludf.DUMMYFUNCTION("GOOGLETRANSLATE($A4744,""en"",""ko"")"),"수코타이")</f>
        <v>수코타이</v>
      </c>
      <c r="J4744" s="9" t="str">
        <f>IFERROR(__xludf.DUMMYFUNCTION("GOOGLETRANSLATE($A4744,""en"",""pt-BR"")"),"Sucotai")</f>
        <v>Sucotai</v>
      </c>
    </row>
    <row r="4745">
      <c r="A4745" s="9" t="str">
        <f>IFERROR(__xludf.DUMMYFUNCTION("""COMPUTED_VALUE"""),"Phetchabun")</f>
        <v>Phetchabun</v>
      </c>
      <c r="B4745" s="9" t="str">
        <f>IFERROR(__xludf.DUMMYFUNCTION("""COMPUTED_VALUE"""),"th-67")</f>
        <v>th-67</v>
      </c>
      <c r="C4745" s="9" t="str">
        <f>IFERROR(__xludf.DUMMYFUNCTION("GOOGLETRANSLATE($A4745,""en"",""de"")"),"Phetchabun")</f>
        <v>Phetchabun</v>
      </c>
      <c r="D4745" s="9" t="str">
        <f>IFERROR(__xludf.DUMMYFUNCTION("GOOGLETRANSLATE($A4745,""en"",""fr"")"),"Phetchabun")</f>
        <v>Phetchabun</v>
      </c>
      <c r="E4745" s="9" t="str">
        <f>IFERROR(__xludf.DUMMYFUNCTION("GOOGLETRANSLATE($A4745,""en"",""es"")"),"Phetchabun")</f>
        <v>Phetchabun</v>
      </c>
      <c r="F4745" s="9" t="str">
        <f>IFERROR(__xludf.DUMMYFUNCTION("GOOGLETRANSLATE($A4745,""en"",""it"")"),"Phetchabun")</f>
        <v>Phetchabun</v>
      </c>
      <c r="G4745" s="9" t="str">
        <f>IFERROR(__xludf.DUMMYFUNCTION("GOOGLETRANSLATE($A4745,""en"",""zh-cn"")"),"碧差汶")</f>
        <v>碧差汶</v>
      </c>
      <c r="H4745" s="9" t="str">
        <f>IFERROR(__xludf.DUMMYFUNCTION("GOOGLETRANSLATE($A4745,""en"",""ja"")"),"ペッチャブーン")</f>
        <v>ペッチャブーン</v>
      </c>
      <c r="I4745" s="9" t="str">
        <f>IFERROR(__xludf.DUMMYFUNCTION("GOOGLETRANSLATE($A4745,""en"",""ko"")"),"펫차분")</f>
        <v>펫차분</v>
      </c>
      <c r="J4745" s="9" t="str">
        <f>IFERROR(__xludf.DUMMYFUNCTION("GOOGLETRANSLATE($A4745,""en"",""pt-BR"")"),"Phetchabun")</f>
        <v>Phetchabun</v>
      </c>
    </row>
    <row r="4746">
      <c r="A4746" s="9" t="str">
        <f>IFERROR(__xludf.DUMMYFUNCTION("""COMPUTED_VALUE"""),"Chai Nat")</f>
        <v>Chai Nat</v>
      </c>
      <c r="B4746" s="9" t="str">
        <f>IFERROR(__xludf.DUMMYFUNCTION("""COMPUTED_VALUE"""),"th-18")</f>
        <v>th-18</v>
      </c>
      <c r="C4746" s="9" t="str">
        <f>IFERROR(__xludf.DUMMYFUNCTION("GOOGLETRANSLATE($A4746,""en"",""de"")"),"Chai Nat")</f>
        <v>Chai Nat</v>
      </c>
      <c r="D4746" s="9" t="str">
        <f>IFERROR(__xludf.DUMMYFUNCTION("GOOGLETRANSLATE($A4746,""en"",""fr"")"),"Chaîne Nat")</f>
        <v>Chaîne Nat</v>
      </c>
      <c r="E4746" s="9" t="str">
        <f>IFERROR(__xludf.DUMMYFUNCTION("GOOGLETRANSLATE($A4746,""en"",""es"")"),"Chai Nat")</f>
        <v>Chai Nat</v>
      </c>
      <c r="F4746" s="9" t="str">
        <f>IFERROR(__xludf.DUMMYFUNCTION("GOOGLETRANSLATE($A4746,""en"",""it"")"),"Chai Nat")</f>
        <v>Chai Nat</v>
      </c>
      <c r="G4746" s="9" t="str">
        <f>IFERROR(__xludf.DUMMYFUNCTION("GOOGLETRANSLATE($A4746,""en"",""zh-cn"")"),"猜纳")</f>
        <v>猜纳</v>
      </c>
      <c r="H4746" s="9" t="str">
        <f>IFERROR(__xludf.DUMMYFUNCTION("GOOGLETRANSLATE($A4746,""en"",""ja"")"),"チャイナット")</f>
        <v>チャイナット</v>
      </c>
      <c r="I4746" s="9" t="str">
        <f>IFERROR(__xludf.DUMMYFUNCTION("GOOGLETRANSLATE($A4746,""en"",""ko"")"),"차이낫")</f>
        <v>차이낫</v>
      </c>
      <c r="J4746" s="9" t="str">
        <f>IFERROR(__xludf.DUMMYFUNCTION("GOOGLETRANSLATE($A4746,""en"",""pt-BR"")"),"Chai Nat")</f>
        <v>Chai Nat</v>
      </c>
    </row>
    <row r="4747">
      <c r="A4747" s="9" t="str">
        <f>IFERROR(__xludf.DUMMYFUNCTION("""COMPUTED_VALUE"""),"Trang")</f>
        <v>Trang</v>
      </c>
      <c r="B4747" s="9" t="str">
        <f>IFERROR(__xludf.DUMMYFUNCTION("""COMPUTED_VALUE"""),"th-92")</f>
        <v>th-92</v>
      </c>
      <c r="C4747" s="9" t="str">
        <f>IFERROR(__xludf.DUMMYFUNCTION("GOOGLETRANSLATE($A4747,""en"",""de"")"),"Trang")</f>
        <v>Trang</v>
      </c>
      <c r="D4747" s="9" t="str">
        <f>IFERROR(__xludf.DUMMYFUNCTION("GOOGLETRANSLATE($A4747,""en"",""fr"")"),"Trang")</f>
        <v>Trang</v>
      </c>
      <c r="E4747" s="9" t="str">
        <f>IFERROR(__xludf.DUMMYFUNCTION("GOOGLETRANSLATE($A4747,""en"",""es"")"),"trang")</f>
        <v>trang</v>
      </c>
      <c r="F4747" s="9" t="str">
        <f>IFERROR(__xludf.DUMMYFUNCTION("GOOGLETRANSLATE($A4747,""en"",""it"")"),"Trang")</f>
        <v>Trang</v>
      </c>
      <c r="G4747" s="9" t="str">
        <f>IFERROR(__xludf.DUMMYFUNCTION("GOOGLETRANSLATE($A4747,""en"",""zh-cn"")"),"董里")</f>
        <v>董里</v>
      </c>
      <c r="H4747" s="9" t="str">
        <f>IFERROR(__xludf.DUMMYFUNCTION("GOOGLETRANSLATE($A4747,""en"",""ja"")"),"トラン")</f>
        <v>トラン</v>
      </c>
      <c r="I4747" s="9" t="str">
        <f>IFERROR(__xludf.DUMMYFUNCTION("GOOGLETRANSLATE($A4747,""en"",""ko"")"),"트랑")</f>
        <v>트랑</v>
      </c>
      <c r="J4747" s="9" t="str">
        <f>IFERROR(__xludf.DUMMYFUNCTION("GOOGLETRANSLATE($A4747,""en"",""pt-BR"")"),"Trang")</f>
        <v>Trang</v>
      </c>
    </row>
    <row r="4748">
      <c r="A4748" s="9" t="str">
        <f>IFERROR(__xludf.DUMMYFUNCTION("""COMPUTED_VALUE"""),"Sa Kaeo")</f>
        <v>Sa Kaeo</v>
      </c>
      <c r="B4748" s="9" t="str">
        <f>IFERROR(__xludf.DUMMYFUNCTION("""COMPUTED_VALUE"""),"th-27")</f>
        <v>th-27</v>
      </c>
      <c r="C4748" s="9" t="str">
        <f>IFERROR(__xludf.DUMMYFUNCTION("GOOGLETRANSLATE($A4748,""en"",""de"")"),"Sa Kaeo")</f>
        <v>Sa Kaeo</v>
      </c>
      <c r="D4748" s="9" t="str">
        <f>IFERROR(__xludf.DUMMYFUNCTION("GOOGLETRANSLATE($A4748,""en"",""fr"")"),"Sa Kaeo")</f>
        <v>Sa Kaeo</v>
      </c>
      <c r="E4748" s="9" t="str">
        <f>IFERROR(__xludf.DUMMYFUNCTION("GOOGLETRANSLATE($A4748,""en"",""es"")"),"sa kaeo")</f>
        <v>sa kaeo</v>
      </c>
      <c r="F4748" s="9" t="str">
        <f>IFERROR(__xludf.DUMMYFUNCTION("GOOGLETRANSLATE($A4748,""en"",""it"")"),"Sa Kaeo")</f>
        <v>Sa Kaeo</v>
      </c>
      <c r="G4748" s="9" t="str">
        <f>IFERROR(__xludf.DUMMYFUNCTION("GOOGLETRANSLATE($A4748,""en"",""zh-cn"")"),"沙缴")</f>
        <v>沙缴</v>
      </c>
      <c r="H4748" s="9" t="str">
        <f>IFERROR(__xludf.DUMMYFUNCTION("GOOGLETRANSLATE($A4748,""en"",""ja"")"),"サケオ")</f>
        <v>サケオ</v>
      </c>
      <c r="I4748" s="9" t="str">
        <f>IFERROR(__xludf.DUMMYFUNCTION("GOOGLETRANSLATE($A4748,""en"",""ko"")"),"사깨오")</f>
        <v>사깨오</v>
      </c>
      <c r="J4748" s="9" t="str">
        <f>IFERROR(__xludf.DUMMYFUNCTION("GOOGLETRANSLATE($A4748,""en"",""pt-BR"")"),"Sa Kaeo")</f>
        <v>Sa Kaeo</v>
      </c>
    </row>
    <row r="4749">
      <c r="A4749" s="9" t="str">
        <f>IFERROR(__xludf.DUMMYFUNCTION("""COMPUTED_VALUE"""),"Krabi")</f>
        <v>Krabi</v>
      </c>
      <c r="B4749" s="9" t="str">
        <f>IFERROR(__xludf.DUMMYFUNCTION("""COMPUTED_VALUE"""),"th-81")</f>
        <v>th-81</v>
      </c>
      <c r="C4749" s="9" t="str">
        <f>IFERROR(__xludf.DUMMYFUNCTION("GOOGLETRANSLATE($A4749,""en"",""de"")"),"Krabi")</f>
        <v>Krabi</v>
      </c>
      <c r="D4749" s="9" t="str">
        <f>IFERROR(__xludf.DUMMYFUNCTION("GOOGLETRANSLATE($A4749,""en"",""fr"")"),"Krabi")</f>
        <v>Krabi</v>
      </c>
      <c r="E4749" s="9" t="str">
        <f>IFERROR(__xludf.DUMMYFUNCTION("GOOGLETRANSLATE($A4749,""en"",""es"")"),"Krabi")</f>
        <v>Krabi</v>
      </c>
      <c r="F4749" s="9" t="str">
        <f>IFERROR(__xludf.DUMMYFUNCTION("GOOGLETRANSLATE($A4749,""en"",""it"")"),"Krabi")</f>
        <v>Krabi</v>
      </c>
      <c r="G4749" s="9" t="str">
        <f>IFERROR(__xludf.DUMMYFUNCTION("GOOGLETRANSLATE($A4749,""en"",""zh-cn"")"),"甲米")</f>
        <v>甲米</v>
      </c>
      <c r="H4749" s="9" t="str">
        <f>IFERROR(__xludf.DUMMYFUNCTION("GOOGLETRANSLATE($A4749,""en"",""ja"")"),"クラビ")</f>
        <v>クラビ</v>
      </c>
      <c r="I4749" s="9" t="str">
        <f>IFERROR(__xludf.DUMMYFUNCTION("GOOGLETRANSLATE($A4749,""en"",""ko"")"),"크라비")</f>
        <v>크라비</v>
      </c>
      <c r="J4749" s="9" t="str">
        <f>IFERROR(__xludf.DUMMYFUNCTION("GOOGLETRANSLATE($A4749,""en"",""pt-BR"")"),"Krabi")</f>
        <v>Krabi</v>
      </c>
    </row>
    <row r="4750">
      <c r="A4750" s="9" t="str">
        <f>IFERROR(__xludf.DUMMYFUNCTION("""COMPUTED_VALUE"""),"Saraburi")</f>
        <v>Saraburi</v>
      </c>
      <c r="B4750" s="9" t="str">
        <f>IFERROR(__xludf.DUMMYFUNCTION("""COMPUTED_VALUE"""),"th-19")</f>
        <v>th-19</v>
      </c>
      <c r="C4750" s="9" t="str">
        <f>IFERROR(__xludf.DUMMYFUNCTION("GOOGLETRANSLATE($A4750,""en"",""de"")"),"Saraburi")</f>
        <v>Saraburi</v>
      </c>
      <c r="D4750" s="9" t="str">
        <f>IFERROR(__xludf.DUMMYFUNCTION("GOOGLETRANSLATE($A4750,""en"",""fr"")"),"Sara Buri")</f>
        <v>Sara Buri</v>
      </c>
      <c r="E4750" s="9" t="str">
        <f>IFERROR(__xludf.DUMMYFUNCTION("GOOGLETRANSLATE($A4750,""en"",""es"")"),"saraburi")</f>
        <v>saraburi</v>
      </c>
      <c r="F4750" s="9" t="str">
        <f>IFERROR(__xludf.DUMMYFUNCTION("GOOGLETRANSLATE($A4750,""en"",""it"")"),"Saraburi")</f>
        <v>Saraburi</v>
      </c>
      <c r="G4750" s="9" t="str">
        <f>IFERROR(__xludf.DUMMYFUNCTION("GOOGLETRANSLATE($A4750,""en"",""zh-cn"")"),"北标府")</f>
        <v>北标府</v>
      </c>
      <c r="H4750" s="9" t="str">
        <f>IFERROR(__xludf.DUMMYFUNCTION("GOOGLETRANSLATE($A4750,""en"",""ja"")"),"サラブリ")</f>
        <v>サラブリ</v>
      </c>
      <c r="I4750" s="9" t="str">
        <f>IFERROR(__xludf.DUMMYFUNCTION("GOOGLETRANSLATE($A4750,""en"",""ko"")"),"사라부리")</f>
        <v>사라부리</v>
      </c>
      <c r="J4750" s="9" t="str">
        <f>IFERROR(__xludf.DUMMYFUNCTION("GOOGLETRANSLATE($A4750,""en"",""pt-BR"")"),"Saraburi")</f>
        <v>Saraburi</v>
      </c>
    </row>
    <row r="4751">
      <c r="A4751" s="9" t="str">
        <f>IFERROR(__xludf.DUMMYFUNCTION("""COMPUTED_VALUE"""),"Uthai Thani")</f>
        <v>Uthai Thani</v>
      </c>
      <c r="B4751" s="9" t="str">
        <f>IFERROR(__xludf.DUMMYFUNCTION("""COMPUTED_VALUE"""),"th-61")</f>
        <v>th-61</v>
      </c>
      <c r="C4751" s="9" t="str">
        <f>IFERROR(__xludf.DUMMYFUNCTION("GOOGLETRANSLATE($A4751,""en"",""de"")"),"Uthai Thani")</f>
        <v>Uthai Thani</v>
      </c>
      <c r="D4751" s="9" t="str">
        <f>IFERROR(__xludf.DUMMYFUNCTION("GOOGLETRANSLATE($A4751,""en"",""fr"")"),"Uthai Thani")</f>
        <v>Uthai Thani</v>
      </c>
      <c r="E4751" s="9" t="str">
        <f>IFERROR(__xludf.DUMMYFUNCTION("GOOGLETRANSLATE($A4751,""en"",""es"")"),"Uthai Thani")</f>
        <v>Uthai Thani</v>
      </c>
      <c r="F4751" s="9" t="str">
        <f>IFERROR(__xludf.DUMMYFUNCTION("GOOGLETRANSLATE($A4751,""en"",""it"")"),"Uthai Thani")</f>
        <v>Uthai Thani</v>
      </c>
      <c r="G4751" s="9" t="str">
        <f>IFERROR(__xludf.DUMMYFUNCTION("GOOGLETRANSLATE($A4751,""en"",""zh-cn"")"),"乌泰他尼")</f>
        <v>乌泰他尼</v>
      </c>
      <c r="H4751" s="9" t="str">
        <f>IFERROR(__xludf.DUMMYFUNCTION("GOOGLETRANSLATE($A4751,""en"",""ja"")"),"ウタイターニー")</f>
        <v>ウタイターニー</v>
      </c>
      <c r="I4751" s="9" t="str">
        <f>IFERROR(__xludf.DUMMYFUNCTION("GOOGLETRANSLATE($A4751,""en"",""ko"")"),"우타이타니")</f>
        <v>우타이타니</v>
      </c>
      <c r="J4751" s="9" t="str">
        <f>IFERROR(__xludf.DUMMYFUNCTION("GOOGLETRANSLATE($A4751,""en"",""pt-BR"")"),"Uthai Thani")</f>
        <v>Uthai Thani</v>
      </c>
    </row>
    <row r="4752">
      <c r="A4752" s="9" t="str">
        <f>IFERROR(__xludf.DUMMYFUNCTION("""COMPUTED_VALUE"""),"Pattaya")</f>
        <v>Pattaya</v>
      </c>
      <c r="B4752" s="9" t="str">
        <f>IFERROR(__xludf.DUMMYFUNCTION("""COMPUTED_VALUE"""),"th-s")</f>
        <v>th-s</v>
      </c>
      <c r="C4752" s="9" t="str">
        <f>IFERROR(__xludf.DUMMYFUNCTION("GOOGLETRANSLATE($A4752,""en"",""de"")"),"Pattaya")</f>
        <v>Pattaya</v>
      </c>
      <c r="D4752" s="9" t="str">
        <f>IFERROR(__xludf.DUMMYFUNCTION("GOOGLETRANSLATE($A4752,""en"",""fr"")"),"Pattaya")</f>
        <v>Pattaya</v>
      </c>
      <c r="E4752" s="9" t="str">
        <f>IFERROR(__xludf.DUMMYFUNCTION("GOOGLETRANSLATE($A4752,""en"",""es"")"),"Pattaya")</f>
        <v>Pattaya</v>
      </c>
      <c r="F4752" s="9" t="str">
        <f>IFERROR(__xludf.DUMMYFUNCTION("GOOGLETRANSLATE($A4752,""en"",""it"")"),"Pattaya")</f>
        <v>Pattaya</v>
      </c>
      <c r="G4752" s="9" t="str">
        <f>IFERROR(__xludf.DUMMYFUNCTION("GOOGLETRANSLATE($A4752,""en"",""zh-cn"")"),"芭堤雅")</f>
        <v>芭堤雅</v>
      </c>
      <c r="H4752" s="9" t="str">
        <f>IFERROR(__xludf.DUMMYFUNCTION("GOOGLETRANSLATE($A4752,""en"",""ja"")"),"パタヤ")</f>
        <v>パタヤ</v>
      </c>
      <c r="I4752" s="9" t="str">
        <f>IFERROR(__xludf.DUMMYFUNCTION("GOOGLETRANSLATE($A4752,""en"",""ko"")"),"파타야")</f>
        <v>파타야</v>
      </c>
      <c r="J4752" s="9" t="str">
        <f>IFERROR(__xludf.DUMMYFUNCTION("GOOGLETRANSLATE($A4752,""en"",""pt-BR"")"),"Pattaya")</f>
        <v>Pattaya</v>
      </c>
    </row>
    <row r="4753">
      <c r="A4753" s="9" t="str">
        <f>IFERROR(__xludf.DUMMYFUNCTION("""COMPUTED_VALUE"""),"Nong Bua Lam Phu")</f>
        <v>Nong Bua Lam Phu</v>
      </c>
      <c r="B4753" s="9" t="str">
        <f>IFERROR(__xludf.DUMMYFUNCTION("""COMPUTED_VALUE"""),"th-39")</f>
        <v>th-39</v>
      </c>
      <c r="C4753" s="9" t="str">
        <f>IFERROR(__xludf.DUMMYFUNCTION("GOOGLETRANSLATE($A4753,""en"",""de"")"),"Nong Bua Lam Phu")</f>
        <v>Nong Bua Lam Phu</v>
      </c>
      <c r="D4753" s="9" t="str">
        <f>IFERROR(__xludf.DUMMYFUNCTION("GOOGLETRANSLATE($A4753,""en"",""fr"")"),"Nong Bua Lam Phu")</f>
        <v>Nong Bua Lam Phu</v>
      </c>
      <c r="E4753" s="9" t="str">
        <f>IFERROR(__xludf.DUMMYFUNCTION("GOOGLETRANSLATE($A4753,""en"",""es"")"),"Nong Bua Lam Phu")</f>
        <v>Nong Bua Lam Phu</v>
      </c>
      <c r="F4753" s="9" t="str">
        <f>IFERROR(__xludf.DUMMYFUNCTION("GOOGLETRANSLATE($A4753,""en"",""it"")"),"Nong Bua Lam Phu")</f>
        <v>Nong Bua Lam Phu</v>
      </c>
      <c r="G4753" s="9" t="str">
        <f>IFERROR(__xludf.DUMMYFUNCTION("GOOGLETRANSLATE($A4753,""en"",""zh-cn"")"),"农布阿南富")</f>
        <v>农布阿南富</v>
      </c>
      <c r="H4753" s="9" t="str">
        <f>IFERROR(__xludf.DUMMYFUNCTION("GOOGLETRANSLATE($A4753,""en"",""ja"")"),"ノン ブア ラム プー")</f>
        <v>ノン ブア ラム プー</v>
      </c>
      <c r="I4753" s="9" t="str">
        <f>IFERROR(__xludf.DUMMYFUNCTION("GOOGLETRANSLATE($A4753,""en"",""ko"")"),"농부아람푸")</f>
        <v>농부아람푸</v>
      </c>
      <c r="J4753" s="9" t="str">
        <f>IFERROR(__xludf.DUMMYFUNCTION("GOOGLETRANSLATE($A4753,""en"",""pt-BR"")"),"Nong Bua Lam Phu")</f>
        <v>Nong Bua Lam Phu</v>
      </c>
    </row>
    <row r="4754">
      <c r="A4754" s="9" t="str">
        <f>IFERROR(__xludf.DUMMYFUNCTION("""COMPUTED_VALUE"""),"Lampang")</f>
        <v>Lampang</v>
      </c>
      <c r="B4754" s="9" t="str">
        <f>IFERROR(__xludf.DUMMYFUNCTION("""COMPUTED_VALUE"""),"th-52")</f>
        <v>th-52</v>
      </c>
      <c r="C4754" s="9" t="str">
        <f>IFERROR(__xludf.DUMMYFUNCTION("GOOGLETRANSLATE($A4754,""en"",""de"")"),"Lampang")</f>
        <v>Lampang</v>
      </c>
      <c r="D4754" s="9" t="str">
        <f>IFERROR(__xludf.DUMMYFUNCTION("GOOGLETRANSLATE($A4754,""en"",""fr"")"),"Lampang")</f>
        <v>Lampang</v>
      </c>
      <c r="E4754" s="9" t="str">
        <f>IFERROR(__xludf.DUMMYFUNCTION("GOOGLETRANSLATE($A4754,""en"",""es"")"),"Lampang")</f>
        <v>Lampang</v>
      </c>
      <c r="F4754" s="9" t="str">
        <f>IFERROR(__xludf.DUMMYFUNCTION("GOOGLETRANSLATE($A4754,""en"",""it"")"),"Lampang")</f>
        <v>Lampang</v>
      </c>
      <c r="G4754" s="9" t="str">
        <f>IFERROR(__xludf.DUMMYFUNCTION("GOOGLETRANSLATE($A4754,""en"",""zh-cn"")"),"南邦府")</f>
        <v>南邦府</v>
      </c>
      <c r="H4754" s="9" t="str">
        <f>IFERROR(__xludf.DUMMYFUNCTION("GOOGLETRANSLATE($A4754,""en"",""ja"")"),"ランパーン")</f>
        <v>ランパーン</v>
      </c>
      <c r="I4754" s="9" t="str">
        <f>IFERROR(__xludf.DUMMYFUNCTION("GOOGLETRANSLATE($A4754,""en"",""ko"")"),"람팡")</f>
        <v>람팡</v>
      </c>
      <c r="J4754" s="9" t="str">
        <f>IFERROR(__xludf.DUMMYFUNCTION("GOOGLETRANSLATE($A4754,""en"",""pt-BR"")"),"Lampang")</f>
        <v>Lampang</v>
      </c>
    </row>
    <row r="4755">
      <c r="A4755" s="9" t="str">
        <f>IFERROR(__xludf.DUMMYFUNCTION("""COMPUTED_VALUE"""),"Mae Hong Son")</f>
        <v>Mae Hong Son</v>
      </c>
      <c r="B4755" s="9" t="str">
        <f>IFERROR(__xludf.DUMMYFUNCTION("""COMPUTED_VALUE"""),"th-58")</f>
        <v>th-58</v>
      </c>
      <c r="C4755" s="9" t="str">
        <f>IFERROR(__xludf.DUMMYFUNCTION("GOOGLETRANSLATE($A4755,""en"",""de"")"),"Mae Hong Son")</f>
        <v>Mae Hong Son</v>
      </c>
      <c r="D4755" s="9" t="str">
        <f>IFERROR(__xludf.DUMMYFUNCTION("GOOGLETRANSLATE($A4755,""en"",""fr"")"),"Mae Hong Son")</f>
        <v>Mae Hong Son</v>
      </c>
      <c r="E4755" s="9" t="str">
        <f>IFERROR(__xludf.DUMMYFUNCTION("GOOGLETRANSLATE($A4755,""en"",""es"")"),"Mae Hong Son")</f>
        <v>Mae Hong Son</v>
      </c>
      <c r="F4755" s="9" t="str">
        <f>IFERROR(__xludf.DUMMYFUNCTION("GOOGLETRANSLATE($A4755,""en"",""it"")"),"Mae Hong Son")</f>
        <v>Mae Hong Son</v>
      </c>
      <c r="G4755" s="9" t="str">
        <f>IFERROR(__xludf.DUMMYFUNCTION("GOOGLETRANSLATE($A4755,""en"",""zh-cn"")"),"夜丰颂")</f>
        <v>夜丰颂</v>
      </c>
      <c r="H4755" s="9" t="str">
        <f>IFERROR(__xludf.DUMMYFUNCTION("GOOGLETRANSLATE($A4755,""en"",""ja"")"),"メーホンソン")</f>
        <v>メーホンソン</v>
      </c>
      <c r="I4755" s="9" t="str">
        <f>IFERROR(__xludf.DUMMYFUNCTION("GOOGLETRANSLATE($A4755,""en"",""ko"")"),"매홍손")</f>
        <v>매홍손</v>
      </c>
      <c r="J4755" s="9" t="str">
        <f>IFERROR(__xludf.DUMMYFUNCTION("GOOGLETRANSLATE($A4755,""en"",""pt-BR"")"),"Mae Hong Filho")</f>
        <v>Mae Hong Filho</v>
      </c>
    </row>
    <row r="4756">
      <c r="A4756" s="9" t="str">
        <f>IFERROR(__xludf.DUMMYFUNCTION("""COMPUTED_VALUE"""),"Rayong")</f>
        <v>Rayong</v>
      </c>
      <c r="B4756" s="9" t="str">
        <f>IFERROR(__xludf.DUMMYFUNCTION("""COMPUTED_VALUE"""),"th-21")</f>
        <v>th-21</v>
      </c>
      <c r="C4756" s="9" t="str">
        <f>IFERROR(__xludf.DUMMYFUNCTION("GOOGLETRANSLATE($A4756,""en"",""de"")"),"Rayong")</f>
        <v>Rayong</v>
      </c>
      <c r="D4756" s="9" t="str">
        <f>IFERROR(__xludf.DUMMYFUNCTION("GOOGLETRANSLATE($A4756,""en"",""fr"")"),"Rayong")</f>
        <v>Rayong</v>
      </c>
      <c r="E4756" s="9" t="str">
        <f>IFERROR(__xludf.DUMMYFUNCTION("GOOGLETRANSLATE($A4756,""en"",""es"")"),"Rayong")</f>
        <v>Rayong</v>
      </c>
      <c r="F4756" s="9" t="str">
        <f>IFERROR(__xludf.DUMMYFUNCTION("GOOGLETRANSLATE($A4756,""en"",""it"")"),"Rayong")</f>
        <v>Rayong</v>
      </c>
      <c r="G4756" s="9" t="str">
        <f>IFERROR(__xludf.DUMMYFUNCTION("GOOGLETRANSLATE($A4756,""en"",""zh-cn"")"),"罗勇府")</f>
        <v>罗勇府</v>
      </c>
      <c r="H4756" s="9" t="str">
        <f>IFERROR(__xludf.DUMMYFUNCTION("GOOGLETRANSLATE($A4756,""en"",""ja"")"),"ラヨーン")</f>
        <v>ラヨーン</v>
      </c>
      <c r="I4756" s="9" t="str">
        <f>IFERROR(__xludf.DUMMYFUNCTION("GOOGLETRANSLATE($A4756,""en"",""ko"")"),"라용")</f>
        <v>라용</v>
      </c>
      <c r="J4756" s="9" t="str">
        <f>IFERROR(__xludf.DUMMYFUNCTION("GOOGLETRANSLATE($A4756,""en"",""pt-BR"")"),"Rayong")</f>
        <v>Rayong</v>
      </c>
    </row>
    <row r="4757">
      <c r="A4757" s="9" t="str">
        <f>IFERROR(__xludf.DUMMYFUNCTION("""COMPUTED_VALUE"""),"Chiang Rai")</f>
        <v>Chiang Rai</v>
      </c>
      <c r="B4757" s="9" t="str">
        <f>IFERROR(__xludf.DUMMYFUNCTION("""COMPUTED_VALUE"""),"th-57")</f>
        <v>th-57</v>
      </c>
      <c r="C4757" s="9" t="str">
        <f>IFERROR(__xludf.DUMMYFUNCTION("GOOGLETRANSLATE($A4757,""en"",""de"")"),"Chiang Rai")</f>
        <v>Chiang Rai</v>
      </c>
      <c r="D4757" s="9" t="str">
        <f>IFERROR(__xludf.DUMMYFUNCTION("GOOGLETRANSLATE($A4757,""en"",""fr"")"),"Chiang Raï")</f>
        <v>Chiang Raï</v>
      </c>
      <c r="E4757" s="9" t="str">
        <f>IFERROR(__xludf.DUMMYFUNCTION("GOOGLETRANSLATE($A4757,""en"",""es"")"),"chiang rai")</f>
        <v>chiang rai</v>
      </c>
      <c r="F4757" s="9" t="str">
        <f>IFERROR(__xludf.DUMMYFUNCTION("GOOGLETRANSLATE($A4757,""en"",""it"")"),"Chiang Rai")</f>
        <v>Chiang Rai</v>
      </c>
      <c r="G4757" s="9" t="str">
        <f>IFERROR(__xludf.DUMMYFUNCTION("GOOGLETRANSLATE($A4757,""en"",""zh-cn"")"),"清莱")</f>
        <v>清莱</v>
      </c>
      <c r="H4757" s="9" t="str">
        <f>IFERROR(__xludf.DUMMYFUNCTION("GOOGLETRANSLATE($A4757,""en"",""ja"")"),"チェンライ")</f>
        <v>チェンライ</v>
      </c>
      <c r="I4757" s="9" t="str">
        <f>IFERROR(__xludf.DUMMYFUNCTION("GOOGLETRANSLATE($A4757,""en"",""ko"")"),"치앙라이")</f>
        <v>치앙라이</v>
      </c>
      <c r="J4757" s="9" t="str">
        <f>IFERROR(__xludf.DUMMYFUNCTION("GOOGLETRANSLATE($A4757,""en"",""pt-BR"")"),"Chiang Rai")</f>
        <v>Chiang Rai</v>
      </c>
    </row>
    <row r="4758">
      <c r="A4758" s="9" t="str">
        <f>IFERROR(__xludf.DUMMYFUNCTION("""COMPUTED_VALUE"""),"Mukdahan")</f>
        <v>Mukdahan</v>
      </c>
      <c r="B4758" s="9" t="str">
        <f>IFERROR(__xludf.DUMMYFUNCTION("""COMPUTED_VALUE"""),"th-49")</f>
        <v>th-49</v>
      </c>
      <c r="C4758" s="9" t="str">
        <f>IFERROR(__xludf.DUMMYFUNCTION("GOOGLETRANSLATE($A4758,""en"",""de"")"),"Mukdahan")</f>
        <v>Mukdahan</v>
      </c>
      <c r="D4758" s="9" t="str">
        <f>IFERROR(__xludf.DUMMYFUNCTION("GOOGLETRANSLATE($A4758,""en"",""fr"")"),"Mukdahan")</f>
        <v>Mukdahan</v>
      </c>
      <c r="E4758" s="9" t="str">
        <f>IFERROR(__xludf.DUMMYFUNCTION("GOOGLETRANSLATE($A4758,""en"",""es"")"),"Mukdahan")</f>
        <v>Mukdahan</v>
      </c>
      <c r="F4758" s="9" t="str">
        <f>IFERROR(__xludf.DUMMYFUNCTION("GOOGLETRANSLATE($A4758,""en"",""it"")"),"Mukdahan")</f>
        <v>Mukdahan</v>
      </c>
      <c r="G4758" s="9" t="str">
        <f>IFERROR(__xludf.DUMMYFUNCTION("GOOGLETRANSLATE($A4758,""en"",""zh-cn"")"),"莫达汉")</f>
        <v>莫达汉</v>
      </c>
      <c r="H4758" s="9" t="str">
        <f>IFERROR(__xludf.DUMMYFUNCTION("GOOGLETRANSLATE($A4758,""en"",""ja"")"),"ムクダハン")</f>
        <v>ムクダハン</v>
      </c>
      <c r="I4758" s="9" t="str">
        <f>IFERROR(__xludf.DUMMYFUNCTION("GOOGLETRANSLATE($A4758,""en"",""ko"")"),"묵다한")</f>
        <v>묵다한</v>
      </c>
      <c r="J4758" s="9" t="str">
        <f>IFERROR(__xludf.DUMMYFUNCTION("GOOGLETRANSLATE($A4758,""en"",""pt-BR"")"),"Mukdahan")</f>
        <v>Mukdahan</v>
      </c>
    </row>
    <row r="4759">
      <c r="A4759" s="9" t="str">
        <f>IFERROR(__xludf.DUMMYFUNCTION("""COMPUTED_VALUE"""),"Songkhla")</f>
        <v>Songkhla</v>
      </c>
      <c r="B4759" s="9" t="str">
        <f>IFERROR(__xludf.DUMMYFUNCTION("""COMPUTED_VALUE"""),"th-90")</f>
        <v>th-90</v>
      </c>
      <c r="C4759" s="9" t="str">
        <f>IFERROR(__xludf.DUMMYFUNCTION("GOOGLETRANSLATE($A4759,""en"",""de"")"),"Songkhla")</f>
        <v>Songkhla</v>
      </c>
      <c r="D4759" s="9" t="str">
        <f>IFERROR(__xludf.DUMMYFUNCTION("GOOGLETRANSLATE($A4759,""en"",""fr"")"),"Songkhla")</f>
        <v>Songkhla</v>
      </c>
      <c r="E4759" s="9" t="str">
        <f>IFERROR(__xludf.DUMMYFUNCTION("GOOGLETRANSLATE($A4759,""en"",""es"")"),"Songjla")</f>
        <v>Songjla</v>
      </c>
      <c r="F4759" s="9" t="str">
        <f>IFERROR(__xludf.DUMMYFUNCTION("GOOGLETRANSLATE($A4759,""en"",""it"")"),"Songkhla")</f>
        <v>Songkhla</v>
      </c>
      <c r="G4759" s="9" t="str">
        <f>IFERROR(__xludf.DUMMYFUNCTION("GOOGLETRANSLATE($A4759,""en"",""zh-cn"")"),"宋卡府")</f>
        <v>宋卡府</v>
      </c>
      <c r="H4759" s="9" t="str">
        <f>IFERROR(__xludf.DUMMYFUNCTION("GOOGLETRANSLATE($A4759,""en"",""ja"")"),"ソンクラー")</f>
        <v>ソンクラー</v>
      </c>
      <c r="I4759" s="9" t="str">
        <f>IFERROR(__xludf.DUMMYFUNCTION("GOOGLETRANSLATE($A4759,""en"",""ko"")"),"송클라")</f>
        <v>송클라</v>
      </c>
      <c r="J4759" s="9" t="str">
        <f>IFERROR(__xludf.DUMMYFUNCTION("GOOGLETRANSLATE($A4759,""en"",""pt-BR"")"),"Songkhla")</f>
        <v>Songkhla</v>
      </c>
    </row>
    <row r="4760">
      <c r="A4760" s="9" t="str">
        <f>IFERROR(__xludf.DUMMYFUNCTION("""COMPUTED_VALUE"""),"Surat Thani")</f>
        <v>Surat Thani</v>
      </c>
      <c r="B4760" s="9" t="str">
        <f>IFERROR(__xludf.DUMMYFUNCTION("""COMPUTED_VALUE"""),"th-84")</f>
        <v>th-84</v>
      </c>
      <c r="C4760" s="9" t="str">
        <f>IFERROR(__xludf.DUMMYFUNCTION("GOOGLETRANSLATE($A4760,""en"",""de"")"),"Surat Thani")</f>
        <v>Surat Thani</v>
      </c>
      <c r="D4760" s="9" t="str">
        <f>IFERROR(__xludf.DUMMYFUNCTION("GOOGLETRANSLATE($A4760,""en"",""fr"")"),"Surat Thani")</f>
        <v>Surat Thani</v>
      </c>
      <c r="E4760" s="9" t="str">
        <f>IFERROR(__xludf.DUMMYFUNCTION("GOOGLETRANSLATE($A4760,""en"",""es"")"),"Surat Thani")</f>
        <v>Surat Thani</v>
      </c>
      <c r="F4760" s="9" t="str">
        <f>IFERROR(__xludf.DUMMYFUNCTION("GOOGLETRANSLATE($A4760,""en"",""it"")"),"Surat Thani")</f>
        <v>Surat Thani</v>
      </c>
      <c r="G4760" s="9" t="str">
        <f>IFERROR(__xludf.DUMMYFUNCTION("GOOGLETRANSLATE($A4760,""en"",""zh-cn"")"),"素叻他尼")</f>
        <v>素叻他尼</v>
      </c>
      <c r="H4760" s="9" t="str">
        <f>IFERROR(__xludf.DUMMYFUNCTION("GOOGLETRANSLATE($A4760,""en"",""ja"")"),"スラートターニー")</f>
        <v>スラートターニー</v>
      </c>
      <c r="I4760" s="9" t="str">
        <f>IFERROR(__xludf.DUMMYFUNCTION("GOOGLETRANSLATE($A4760,""en"",""ko"")"),"수랏타니")</f>
        <v>수랏타니</v>
      </c>
      <c r="J4760" s="9" t="str">
        <f>IFERROR(__xludf.DUMMYFUNCTION("GOOGLETRANSLATE($A4760,""en"",""pt-BR"")"),"Surat Thani")</f>
        <v>Surat Thani</v>
      </c>
    </row>
    <row r="4761">
      <c r="A4761" s="9" t="str">
        <f>IFERROR(__xludf.DUMMYFUNCTION("""COMPUTED_VALUE"""),"Chaiyaphum")</f>
        <v>Chaiyaphum</v>
      </c>
      <c r="B4761" s="9" t="str">
        <f>IFERROR(__xludf.DUMMYFUNCTION("""COMPUTED_VALUE"""),"th-36")</f>
        <v>th-36</v>
      </c>
      <c r="C4761" s="9" t="str">
        <f>IFERROR(__xludf.DUMMYFUNCTION("GOOGLETRANSLATE($A4761,""en"",""de"")"),"Chaiyaphum")</f>
        <v>Chaiyaphum</v>
      </c>
      <c r="D4761" s="9" t="str">
        <f>IFERROR(__xludf.DUMMYFUNCTION("GOOGLETRANSLATE($A4761,""en"",""fr"")"),"Chaiyaphum")</f>
        <v>Chaiyaphum</v>
      </c>
      <c r="E4761" s="9" t="str">
        <f>IFERROR(__xludf.DUMMYFUNCTION("GOOGLETRANSLATE($A4761,""en"",""es"")"),"Chaiyaphum")</f>
        <v>Chaiyaphum</v>
      </c>
      <c r="F4761" s="9" t="str">
        <f>IFERROR(__xludf.DUMMYFUNCTION("GOOGLETRANSLATE($A4761,""en"",""it"")"),"Chaiyaphum")</f>
        <v>Chaiyaphum</v>
      </c>
      <c r="G4761" s="9" t="str">
        <f>IFERROR(__xludf.DUMMYFUNCTION("GOOGLETRANSLATE($A4761,""en"",""zh-cn"")"),"猜也蓬")</f>
        <v>猜也蓬</v>
      </c>
      <c r="H4761" s="9" t="str">
        <f>IFERROR(__xludf.DUMMYFUNCTION("GOOGLETRANSLATE($A4761,""en"",""ja"")"),"チャイヤプーム")</f>
        <v>チャイヤプーム</v>
      </c>
      <c r="I4761" s="9" t="str">
        <f>IFERROR(__xludf.DUMMYFUNCTION("GOOGLETRANSLATE($A4761,""en"",""ko"")"),"차이야품")</f>
        <v>차이야품</v>
      </c>
      <c r="J4761" s="9" t="str">
        <f>IFERROR(__xludf.DUMMYFUNCTION("GOOGLETRANSLATE($A4761,""en"",""pt-BR"")"),"Chaiyaphum")</f>
        <v>Chaiyaphum</v>
      </c>
    </row>
    <row r="4762">
      <c r="A4762" s="9" t="str">
        <f>IFERROR(__xludf.DUMMYFUNCTION("""COMPUTED_VALUE"""),"Phichit")</f>
        <v>Phichit</v>
      </c>
      <c r="B4762" s="9" t="str">
        <f>IFERROR(__xludf.DUMMYFUNCTION("""COMPUTED_VALUE"""),"th-66")</f>
        <v>th-66</v>
      </c>
      <c r="C4762" s="9" t="str">
        <f>IFERROR(__xludf.DUMMYFUNCTION("GOOGLETRANSLATE($A4762,""en"",""de"")"),"Phichit")</f>
        <v>Phichit</v>
      </c>
      <c r="D4762" s="9" t="str">
        <f>IFERROR(__xludf.DUMMYFUNCTION("GOOGLETRANSLATE($A4762,""en"",""fr"")"),"Phichit")</f>
        <v>Phichit</v>
      </c>
      <c r="E4762" s="9" t="str">
        <f>IFERROR(__xludf.DUMMYFUNCTION("GOOGLETRANSLATE($A4762,""en"",""es"")"),"phichit")</f>
        <v>phichit</v>
      </c>
      <c r="F4762" s="9" t="str">
        <f>IFERROR(__xludf.DUMMYFUNCTION("GOOGLETRANSLATE($A4762,""en"",""it"")"),"Phichit")</f>
        <v>Phichit</v>
      </c>
      <c r="G4762" s="9" t="str">
        <f>IFERROR(__xludf.DUMMYFUNCTION("GOOGLETRANSLATE($A4762,""en"",""zh-cn"")"),"披集府")</f>
        <v>披集府</v>
      </c>
      <c r="H4762" s="9" t="str">
        <f>IFERROR(__xludf.DUMMYFUNCTION("GOOGLETRANSLATE($A4762,""en"",""ja"")"),"ピチット")</f>
        <v>ピチット</v>
      </c>
      <c r="I4762" s="9" t="str">
        <f>IFERROR(__xludf.DUMMYFUNCTION("GOOGLETRANSLATE($A4762,""en"",""ko"")"),"피칫")</f>
        <v>피칫</v>
      </c>
      <c r="J4762" s="9" t="str">
        <f>IFERROR(__xludf.DUMMYFUNCTION("GOOGLETRANSLATE($A4762,""en"",""pt-BR"")"),"Phichit")</f>
        <v>Phichit</v>
      </c>
    </row>
    <row r="4763">
      <c r="A4763" s="9" t="str">
        <f>IFERROR(__xludf.DUMMYFUNCTION("""COMPUTED_VALUE"""),"Surin")</f>
        <v>Surin</v>
      </c>
      <c r="B4763" s="9" t="str">
        <f>IFERROR(__xludf.DUMMYFUNCTION("""COMPUTED_VALUE"""),"th-32")</f>
        <v>th-32</v>
      </c>
      <c r="C4763" s="9" t="str">
        <f>IFERROR(__xludf.DUMMYFUNCTION("GOOGLETRANSLATE($A4763,""en"",""de"")"),"Surin")</f>
        <v>Surin</v>
      </c>
      <c r="D4763" s="9" t="str">
        <f>IFERROR(__xludf.DUMMYFUNCTION("GOOGLETRANSLATE($A4763,""en"",""fr"")"),"Surin")</f>
        <v>Surin</v>
      </c>
      <c r="E4763" s="9" t="str">
        <f>IFERROR(__xludf.DUMMYFUNCTION("GOOGLETRANSLATE($A4763,""en"",""es"")"),"Surín")</f>
        <v>Surín</v>
      </c>
      <c r="F4763" s="9" t="str">
        <f>IFERROR(__xludf.DUMMYFUNCTION("GOOGLETRANSLATE($A4763,""en"",""it"")"),"Surin")</f>
        <v>Surin</v>
      </c>
      <c r="G4763" s="9" t="str">
        <f>IFERROR(__xludf.DUMMYFUNCTION("GOOGLETRANSLATE($A4763,""en"",""zh-cn"")"),"苏林")</f>
        <v>苏林</v>
      </c>
      <c r="H4763" s="9" t="str">
        <f>IFERROR(__xludf.DUMMYFUNCTION("GOOGLETRANSLATE($A4763,""en"",""ja"")"),"スリン")</f>
        <v>スリン</v>
      </c>
      <c r="I4763" s="9" t="str">
        <f>IFERROR(__xludf.DUMMYFUNCTION("GOOGLETRANSLATE($A4763,""en"",""ko"")"),"수린")</f>
        <v>수린</v>
      </c>
      <c r="J4763" s="9" t="str">
        <f>IFERROR(__xludf.DUMMYFUNCTION("GOOGLETRANSLATE($A4763,""en"",""pt-BR"")"),"Surin")</f>
        <v>Surin</v>
      </c>
    </row>
    <row r="4764">
      <c r="A4764" s="9" t="str">
        <f>IFERROR(__xludf.DUMMYFUNCTION("""COMPUTED_VALUE"""),"Chachoengsao")</f>
        <v>Chachoengsao</v>
      </c>
      <c r="B4764" s="9" t="str">
        <f>IFERROR(__xludf.DUMMYFUNCTION("""COMPUTED_VALUE"""),"th-24")</f>
        <v>th-24</v>
      </c>
      <c r="C4764" s="9" t="str">
        <f>IFERROR(__xludf.DUMMYFUNCTION("GOOGLETRANSLATE($A4764,""en"",""de"")"),"Chachoengsao")</f>
        <v>Chachoengsao</v>
      </c>
      <c r="D4764" s="9" t="str">
        <f>IFERROR(__xludf.DUMMYFUNCTION("GOOGLETRANSLATE($A4764,""en"",""fr"")"),"Chachoengsao")</f>
        <v>Chachoengsao</v>
      </c>
      <c r="E4764" s="9" t="str">
        <f>IFERROR(__xludf.DUMMYFUNCTION("GOOGLETRANSLATE($A4764,""en"",""es"")"),"Chachoengsao")</f>
        <v>Chachoengsao</v>
      </c>
      <c r="F4764" s="9" t="str">
        <f>IFERROR(__xludf.DUMMYFUNCTION("GOOGLETRANSLATE($A4764,""en"",""it"")"),"Chachoengsao")</f>
        <v>Chachoengsao</v>
      </c>
      <c r="G4764" s="9" t="str">
        <f>IFERROR(__xludf.DUMMYFUNCTION("GOOGLETRANSLATE($A4764,""en"",""zh-cn"")"),"北柳")</f>
        <v>北柳</v>
      </c>
      <c r="H4764" s="9" t="str">
        <f>IFERROR(__xludf.DUMMYFUNCTION("GOOGLETRANSLATE($A4764,""en"",""ja"")"),"チャチョエンサオ")</f>
        <v>チャチョエンサオ</v>
      </c>
      <c r="I4764" s="9" t="str">
        <f>IFERROR(__xludf.DUMMYFUNCTION("GOOGLETRANSLATE($A4764,""en"",""ko"")"),"차층사오")</f>
        <v>차층사오</v>
      </c>
      <c r="J4764" s="9" t="str">
        <f>IFERROR(__xludf.DUMMYFUNCTION("GOOGLETRANSLATE($A4764,""en"",""pt-BR"")"),"Chachoengsao")</f>
        <v>Chachoengsao</v>
      </c>
    </row>
    <row r="4765">
      <c r="A4765" s="9" t="str">
        <f>IFERROR(__xludf.DUMMYFUNCTION("""COMPUTED_VALUE"""),"Nonthaburi")</f>
        <v>Nonthaburi</v>
      </c>
      <c r="B4765" s="9" t="str">
        <f>IFERROR(__xludf.DUMMYFUNCTION("""COMPUTED_VALUE"""),"th-12")</f>
        <v>th-12</v>
      </c>
      <c r="C4765" s="9" t="str">
        <f>IFERROR(__xludf.DUMMYFUNCTION("GOOGLETRANSLATE($A4765,""en"",""de"")"),"Nonthaburi")</f>
        <v>Nonthaburi</v>
      </c>
      <c r="D4765" s="9" t="str">
        <f>IFERROR(__xludf.DUMMYFUNCTION("GOOGLETRANSLATE($A4765,""en"",""fr"")"),"Nonthaburi")</f>
        <v>Nonthaburi</v>
      </c>
      <c r="E4765" s="9" t="str">
        <f>IFERROR(__xludf.DUMMYFUNCTION("GOOGLETRANSLATE($A4765,""en"",""es"")"),"Nonthaburi")</f>
        <v>Nonthaburi</v>
      </c>
      <c r="F4765" s="9" t="str">
        <f>IFERROR(__xludf.DUMMYFUNCTION("GOOGLETRANSLATE($A4765,""en"",""it"")"),"Nonthaburi")</f>
        <v>Nonthaburi</v>
      </c>
      <c r="G4765" s="9" t="str">
        <f>IFERROR(__xludf.DUMMYFUNCTION("GOOGLETRANSLATE($A4765,""en"",""zh-cn"")"),"暖武里府")</f>
        <v>暖武里府</v>
      </c>
      <c r="H4765" s="9" t="str">
        <f>IFERROR(__xludf.DUMMYFUNCTION("GOOGLETRANSLATE($A4765,""en"",""ja"")"),"ノンタブリ")</f>
        <v>ノンタブリ</v>
      </c>
      <c r="I4765" s="9" t="str">
        <f>IFERROR(__xludf.DUMMYFUNCTION("GOOGLETRANSLATE($A4765,""en"",""ko"")"),"논타부리")</f>
        <v>논타부리</v>
      </c>
      <c r="J4765" s="9" t="str">
        <f>IFERROR(__xludf.DUMMYFUNCTION("GOOGLETRANSLATE($A4765,""en"",""pt-BR"")"),"Nonthaburi")</f>
        <v>Nonthaburi</v>
      </c>
    </row>
    <row r="4766">
      <c r="A4766" s="9" t="str">
        <f>IFERROR(__xludf.DUMMYFUNCTION("""COMPUTED_VALUE"""),"Buri Ram")</f>
        <v>Buri Ram</v>
      </c>
      <c r="B4766" s="9" t="str">
        <f>IFERROR(__xludf.DUMMYFUNCTION("""COMPUTED_VALUE"""),"th-31")</f>
        <v>th-31</v>
      </c>
      <c r="C4766" s="9" t="str">
        <f>IFERROR(__xludf.DUMMYFUNCTION("GOOGLETRANSLATE($A4766,""en"",""de"")"),"Buri Ram")</f>
        <v>Buri Ram</v>
      </c>
      <c r="D4766" s="9" t="str">
        <f>IFERROR(__xludf.DUMMYFUNCTION("GOOGLETRANSLATE($A4766,""en"",""fr"")"),"Buri Ram")</f>
        <v>Buri Ram</v>
      </c>
      <c r="E4766" s="9" t="str">
        <f>IFERROR(__xludf.DUMMYFUNCTION("GOOGLETRANSLATE($A4766,""en"",""es"")"),"Buri Ram")</f>
        <v>Buri Ram</v>
      </c>
      <c r="F4766" s="9" t="str">
        <f>IFERROR(__xludf.DUMMYFUNCTION("GOOGLETRANSLATE($A4766,""en"",""it"")"),"Buri Ram")</f>
        <v>Buri Ram</v>
      </c>
      <c r="G4766" s="9" t="str">
        <f>IFERROR(__xludf.DUMMYFUNCTION("GOOGLETRANSLATE($A4766,""en"",""zh-cn"")"),"武里南")</f>
        <v>武里南</v>
      </c>
      <c r="H4766" s="9" t="str">
        <f>IFERROR(__xludf.DUMMYFUNCTION("GOOGLETRANSLATE($A4766,""en"",""ja"")"),"ブリラム")</f>
        <v>ブリラム</v>
      </c>
      <c r="I4766" s="9" t="str">
        <f>IFERROR(__xludf.DUMMYFUNCTION("GOOGLETRANSLATE($A4766,""en"",""ko"")"),"부리람")</f>
        <v>부리람</v>
      </c>
      <c r="J4766" s="9" t="str">
        <f>IFERROR(__xludf.DUMMYFUNCTION("GOOGLETRANSLATE($A4766,""en"",""pt-BR"")"),"Buri Ram")</f>
        <v>Buri Ram</v>
      </c>
    </row>
    <row r="4767">
      <c r="A4767" s="9" t="str">
        <f>IFERROR(__xludf.DUMMYFUNCTION("""COMPUTED_VALUE"""),"Nakhon Phanom")</f>
        <v>Nakhon Phanom</v>
      </c>
      <c r="B4767" s="9" t="str">
        <f>IFERROR(__xludf.DUMMYFUNCTION("""COMPUTED_VALUE"""),"th-48")</f>
        <v>th-48</v>
      </c>
      <c r="C4767" s="9" t="str">
        <f>IFERROR(__xludf.DUMMYFUNCTION("GOOGLETRANSLATE($A4767,""en"",""de"")"),"Nakhon Phanom")</f>
        <v>Nakhon Phanom</v>
      </c>
      <c r="D4767" s="9" t="str">
        <f>IFERROR(__xludf.DUMMYFUNCTION("GOOGLETRANSLATE($A4767,""en"",""fr"")"),"Nakhon Phanom")</f>
        <v>Nakhon Phanom</v>
      </c>
      <c r="E4767" s="9" t="str">
        <f>IFERROR(__xludf.DUMMYFUNCTION("GOOGLETRANSLATE($A4767,""en"",""es"")"),"Najon Phanom")</f>
        <v>Najon Phanom</v>
      </c>
      <c r="F4767" s="9" t="str">
        <f>IFERROR(__xludf.DUMMYFUNCTION("GOOGLETRANSLATE($A4767,""en"",""it"")"),"Nakhon Phanom")</f>
        <v>Nakhon Phanom</v>
      </c>
      <c r="G4767" s="9" t="str">
        <f>IFERROR(__xludf.DUMMYFUNCTION("GOOGLETRANSLATE($A4767,""en"",""zh-cn"")"),"那空帕农")</f>
        <v>那空帕农</v>
      </c>
      <c r="H4767" s="9" t="str">
        <f>IFERROR(__xludf.DUMMYFUNCTION("GOOGLETRANSLATE($A4767,""en"",""ja"")"),"ナコーンパノム")</f>
        <v>ナコーンパノム</v>
      </c>
      <c r="I4767" s="9" t="str">
        <f>IFERROR(__xludf.DUMMYFUNCTION("GOOGLETRANSLATE($A4767,""en"",""ko"")"),"나콘파놈")</f>
        <v>나콘파놈</v>
      </c>
      <c r="J4767" s="9" t="str">
        <f>IFERROR(__xludf.DUMMYFUNCTION("GOOGLETRANSLATE($A4767,""en"",""pt-BR"")"),"Nakhon Phanom")</f>
        <v>Nakhon Phanom</v>
      </c>
    </row>
    <row r="4768">
      <c r="A4768" s="9" t="str">
        <f>IFERROR(__xludf.DUMMYFUNCTION("""COMPUTED_VALUE"""),"Suphan Buri")</f>
        <v>Suphan Buri</v>
      </c>
      <c r="B4768" s="9" t="str">
        <f>IFERROR(__xludf.DUMMYFUNCTION("""COMPUTED_VALUE"""),"th-72")</f>
        <v>th-72</v>
      </c>
      <c r="C4768" s="9" t="str">
        <f>IFERROR(__xludf.DUMMYFUNCTION("GOOGLETRANSLATE($A4768,""en"",""de"")"),"Suphan Buri")</f>
        <v>Suphan Buri</v>
      </c>
      <c r="D4768" s="9" t="str">
        <f>IFERROR(__xludf.DUMMYFUNCTION("GOOGLETRANSLATE($A4768,""en"",""fr"")"),"Suphanburi")</f>
        <v>Suphanburi</v>
      </c>
      <c r="E4768" s="9" t="str">
        <f>IFERROR(__xludf.DUMMYFUNCTION("GOOGLETRANSLATE($A4768,""en"",""es"")"),"Suphan Buri")</f>
        <v>Suphan Buri</v>
      </c>
      <c r="F4768" s="9" t="str">
        <f>IFERROR(__xludf.DUMMYFUNCTION("GOOGLETRANSLATE($A4768,""en"",""it"")"),"Suphan Buri")</f>
        <v>Suphan Buri</v>
      </c>
      <c r="G4768" s="9" t="str">
        <f>IFERROR(__xludf.DUMMYFUNCTION("GOOGLETRANSLATE($A4768,""en"",""zh-cn"")"),"素攀武里府")</f>
        <v>素攀武里府</v>
      </c>
      <c r="H4768" s="9" t="str">
        <f>IFERROR(__xludf.DUMMYFUNCTION("GOOGLETRANSLATE($A4768,""en"",""ja"")"),"スパンブリー")</f>
        <v>スパンブリー</v>
      </c>
      <c r="I4768" s="9" t="str">
        <f>IFERROR(__xludf.DUMMYFUNCTION("GOOGLETRANSLATE($A4768,""en"",""ko"")"),"수판부리")</f>
        <v>수판부리</v>
      </c>
      <c r="J4768" s="9" t="str">
        <f>IFERROR(__xludf.DUMMYFUNCTION("GOOGLETRANSLATE($A4768,""en"",""pt-BR"")"),"Suphan Buri")</f>
        <v>Suphan Buri</v>
      </c>
    </row>
    <row r="4769">
      <c r="A4769" s="9" t="str">
        <f>IFERROR(__xludf.DUMMYFUNCTION("""COMPUTED_VALUE"""),"Samut Songkhram")</f>
        <v>Samut Songkhram</v>
      </c>
      <c r="B4769" s="9" t="str">
        <f>IFERROR(__xludf.DUMMYFUNCTION("""COMPUTED_VALUE"""),"th-75")</f>
        <v>th-75</v>
      </c>
      <c r="C4769" s="9" t="str">
        <f>IFERROR(__xludf.DUMMYFUNCTION("GOOGLETRANSLATE($A4769,""en"",""de"")"),"Samut Songkhram")</f>
        <v>Samut Songkhram</v>
      </c>
      <c r="D4769" s="9" t="str">
        <f>IFERROR(__xludf.DUMMYFUNCTION("GOOGLETRANSLATE($A4769,""en"",""fr"")"),"Samut Songkhram")</f>
        <v>Samut Songkhram</v>
      </c>
      <c r="E4769" s="9" t="str">
        <f>IFERROR(__xludf.DUMMYFUNCTION("GOOGLETRANSLATE($A4769,""en"",""es"")"),"Samut Songkhram")</f>
        <v>Samut Songkhram</v>
      </c>
      <c r="F4769" s="9" t="str">
        <f>IFERROR(__xludf.DUMMYFUNCTION("GOOGLETRANSLATE($A4769,""en"",""it"")"),"Samut Songkhram")</f>
        <v>Samut Songkhram</v>
      </c>
      <c r="G4769" s="9" t="str">
        <f>IFERROR(__xludf.DUMMYFUNCTION("GOOGLETRANSLATE($A4769,""en"",""zh-cn"")"),"夜功府")</f>
        <v>夜功府</v>
      </c>
      <c r="H4769" s="9" t="str">
        <f>IFERROR(__xludf.DUMMYFUNCTION("GOOGLETRANSLATE($A4769,""en"",""ja"")"),"サムットソンクラーム")</f>
        <v>サムットソンクラーム</v>
      </c>
      <c r="I4769" s="9" t="str">
        <f>IFERROR(__xludf.DUMMYFUNCTION("GOOGLETRANSLATE($A4769,""en"",""ko"")"),"사뭇 송크람")</f>
        <v>사뭇 송크람</v>
      </c>
      <c r="J4769" s="9" t="str">
        <f>IFERROR(__xludf.DUMMYFUNCTION("GOOGLETRANSLATE($A4769,""en"",""pt-BR"")"),"Samut Songkhram")</f>
        <v>Samut Songkhram</v>
      </c>
    </row>
    <row r="4770">
      <c r="A4770" s="9" t="str">
        <f>IFERROR(__xludf.DUMMYFUNCTION("""COMPUTED_VALUE"""),"Chumphon")</f>
        <v>Chumphon</v>
      </c>
      <c r="B4770" s="9" t="str">
        <f>IFERROR(__xludf.DUMMYFUNCTION("""COMPUTED_VALUE"""),"th-86")</f>
        <v>th-86</v>
      </c>
      <c r="C4770" s="9" t="str">
        <f>IFERROR(__xludf.DUMMYFUNCTION("GOOGLETRANSLATE($A4770,""en"",""de"")"),"Chumphon")</f>
        <v>Chumphon</v>
      </c>
      <c r="D4770" s="9" t="str">
        <f>IFERROR(__xludf.DUMMYFUNCTION("GOOGLETRANSLATE($A4770,""en"",""fr"")"),"Chumpon")</f>
        <v>Chumpon</v>
      </c>
      <c r="E4770" s="9" t="str">
        <f>IFERROR(__xludf.DUMMYFUNCTION("GOOGLETRANSLATE($A4770,""en"",""es"")"),"chumphon")</f>
        <v>chumphon</v>
      </c>
      <c r="F4770" s="9" t="str">
        <f>IFERROR(__xludf.DUMMYFUNCTION("GOOGLETRANSLATE($A4770,""en"",""it"")"),"Chumphon")</f>
        <v>Chumphon</v>
      </c>
      <c r="G4770" s="9" t="str">
        <f>IFERROR(__xludf.DUMMYFUNCTION("GOOGLETRANSLATE($A4770,""en"",""zh-cn"")"),"春蓬")</f>
        <v>春蓬</v>
      </c>
      <c r="H4770" s="9" t="str">
        <f>IFERROR(__xludf.DUMMYFUNCTION("GOOGLETRANSLATE($A4770,""en"",""ja"")"),"チュムポーン")</f>
        <v>チュムポーン</v>
      </c>
      <c r="I4770" s="9" t="str">
        <f>IFERROR(__xludf.DUMMYFUNCTION("GOOGLETRANSLATE($A4770,""en"",""ko"")"),"춤폰")</f>
        <v>춤폰</v>
      </c>
      <c r="J4770" s="9" t="str">
        <f>IFERROR(__xludf.DUMMYFUNCTION("GOOGLETRANSLATE($A4770,""en"",""pt-BR"")"),"Chumphon")</f>
        <v>Chumphon</v>
      </c>
    </row>
    <row r="4771">
      <c r="A4771" s="9" t="str">
        <f>IFERROR(__xludf.DUMMYFUNCTION("""COMPUTED_VALUE"""),"Trat")</f>
        <v>Trat</v>
      </c>
      <c r="B4771" s="9" t="str">
        <f>IFERROR(__xludf.DUMMYFUNCTION("""COMPUTED_VALUE"""),"th-23")</f>
        <v>th-23</v>
      </c>
      <c r="C4771" s="9" t="str">
        <f>IFERROR(__xludf.DUMMYFUNCTION("GOOGLETRANSLATE($A4771,""en"",""de"")"),"Trat")</f>
        <v>Trat</v>
      </c>
      <c r="D4771" s="9" t="str">
        <f>IFERROR(__xludf.DUMMYFUNCTION("GOOGLETRANSLATE($A4771,""en"",""fr"")"),"Trat")</f>
        <v>Trat</v>
      </c>
      <c r="E4771" s="9" t="str">
        <f>IFERROR(__xludf.DUMMYFUNCTION("GOOGLETRANSLATE($A4771,""en"",""es"")"),"trato")</f>
        <v>trato</v>
      </c>
      <c r="F4771" s="9" t="str">
        <f>IFERROR(__xludf.DUMMYFUNCTION("GOOGLETRANSLATE($A4771,""en"",""it"")"),"Tratt")</f>
        <v>Tratt</v>
      </c>
      <c r="G4771" s="9" t="str">
        <f>IFERROR(__xludf.DUMMYFUNCTION("GOOGLETRANSLATE($A4771,""en"",""zh-cn"")"),"达叻府")</f>
        <v>达叻府</v>
      </c>
      <c r="H4771" s="9" t="str">
        <f>IFERROR(__xludf.DUMMYFUNCTION("GOOGLETRANSLATE($A4771,""en"",""ja"")"),"トラート")</f>
        <v>トラート</v>
      </c>
      <c r="I4771" s="9" t="str">
        <f>IFERROR(__xludf.DUMMYFUNCTION("GOOGLETRANSLATE($A4771,""en"",""ko"")"),"트랏")</f>
        <v>트랏</v>
      </c>
      <c r="J4771" s="9" t="str">
        <f>IFERROR(__xludf.DUMMYFUNCTION("GOOGLETRANSLATE($A4771,""en"",""pt-BR"")"),"Trat.")</f>
        <v>Trat.</v>
      </c>
    </row>
    <row r="4772">
      <c r="A4772" s="9" t="str">
        <f>IFERROR(__xludf.DUMMYFUNCTION("""COMPUTED_VALUE"""),"Loei")</f>
        <v>Loei</v>
      </c>
      <c r="B4772" s="9" t="str">
        <f>IFERROR(__xludf.DUMMYFUNCTION("""COMPUTED_VALUE"""),"th-42")</f>
        <v>th-42</v>
      </c>
      <c r="C4772" s="9" t="str">
        <f>IFERROR(__xludf.DUMMYFUNCTION("GOOGLETRANSLATE($A4772,""en"",""de"")"),"Loei")</f>
        <v>Loei</v>
      </c>
      <c r="D4772" s="9" t="str">
        <f>IFERROR(__xludf.DUMMYFUNCTION("GOOGLETRANSLATE($A4772,""en"",""fr"")"),"Loei")</f>
        <v>Loei</v>
      </c>
      <c r="E4772" s="9" t="str">
        <f>IFERROR(__xludf.DUMMYFUNCTION("GOOGLETRANSLATE($A4772,""en"",""es"")"),"Loei")</f>
        <v>Loei</v>
      </c>
      <c r="F4772" s="9" t="str">
        <f>IFERROR(__xludf.DUMMYFUNCTION("GOOGLETRANSLATE($A4772,""en"",""it"")"),"Loei")</f>
        <v>Loei</v>
      </c>
      <c r="G4772" s="9" t="str">
        <f>IFERROR(__xludf.DUMMYFUNCTION("GOOGLETRANSLATE($A4772,""en"",""zh-cn"")"),"黎府")</f>
        <v>黎府</v>
      </c>
      <c r="H4772" s="9" t="str">
        <f>IFERROR(__xludf.DUMMYFUNCTION("GOOGLETRANSLATE($A4772,""en"",""ja"")"),"ルーイ")</f>
        <v>ルーイ</v>
      </c>
      <c r="I4772" s="9" t="str">
        <f>IFERROR(__xludf.DUMMYFUNCTION("GOOGLETRANSLATE($A4772,""en"",""ko"")"),"로에이")</f>
        <v>로에이</v>
      </c>
      <c r="J4772" s="9" t="str">
        <f>IFERROR(__xludf.DUMMYFUNCTION("GOOGLETRANSLATE($A4772,""en"",""pt-BR"")"),"Loei")</f>
        <v>Loei</v>
      </c>
    </row>
    <row r="4773">
      <c r="A4773" s="9" t="str">
        <f>IFERROR(__xludf.DUMMYFUNCTION("""COMPUTED_VALUE"""),"Amnat Charoen")</f>
        <v>Amnat Charoen</v>
      </c>
      <c r="B4773" s="9" t="str">
        <f>IFERROR(__xludf.DUMMYFUNCTION("""COMPUTED_VALUE"""),"th-37")</f>
        <v>th-37</v>
      </c>
      <c r="C4773" s="9" t="str">
        <f>IFERROR(__xludf.DUMMYFUNCTION("GOOGLETRANSLATE($A4773,""en"",""de"")"),"Amnat Charoen")</f>
        <v>Amnat Charoen</v>
      </c>
      <c r="D4773" s="9" t="str">
        <f>IFERROR(__xludf.DUMMYFUNCTION("GOOGLETRANSLATE($A4773,""en"",""fr"")"),"Amnat Charoen")</f>
        <v>Amnat Charoen</v>
      </c>
      <c r="E4773" s="9" t="str">
        <f>IFERROR(__xludf.DUMMYFUNCTION("GOOGLETRANSLATE($A4773,""en"",""es"")"),"Amnat Charoen")</f>
        <v>Amnat Charoen</v>
      </c>
      <c r="F4773" s="9" t="str">
        <f>IFERROR(__xludf.DUMMYFUNCTION("GOOGLETRANSLATE($A4773,""en"",""it"")"),"Amnat Charoen")</f>
        <v>Amnat Charoen</v>
      </c>
      <c r="G4773" s="9" t="str">
        <f>IFERROR(__xludf.DUMMYFUNCTION("GOOGLETRANSLATE($A4773,""en"",""zh-cn"")"),"安纳乍伦")</f>
        <v>安纳乍伦</v>
      </c>
      <c r="H4773" s="9" t="str">
        <f>IFERROR(__xludf.DUMMYFUNCTION("GOOGLETRANSLATE($A4773,""en"",""ja"")"),"アムナット・チャルン")</f>
        <v>アムナット・チャルン</v>
      </c>
      <c r="I4773" s="9" t="str">
        <f>IFERROR(__xludf.DUMMYFUNCTION("GOOGLETRANSLATE($A4773,""en"",""ko"")"),"암나트 차론")</f>
        <v>암나트 차론</v>
      </c>
      <c r="J4773" s="9" t="str">
        <f>IFERROR(__xludf.DUMMYFUNCTION("GOOGLETRANSLATE($A4773,""en"",""pt-BR"")"),"Amnat Charoen")</f>
        <v>Amnat Charoen</v>
      </c>
    </row>
    <row r="4774">
      <c r="A4774" s="9" t="str">
        <f>IFERROR(__xludf.DUMMYFUNCTION("""COMPUTED_VALUE"""),"Chanthaburi")</f>
        <v>Chanthaburi</v>
      </c>
      <c r="B4774" s="9" t="str">
        <f>IFERROR(__xludf.DUMMYFUNCTION("""COMPUTED_VALUE"""),"th-22")</f>
        <v>th-22</v>
      </c>
      <c r="C4774" s="9" t="str">
        <f>IFERROR(__xludf.DUMMYFUNCTION("GOOGLETRANSLATE($A4774,""en"",""de"")"),"Chanthaburi")</f>
        <v>Chanthaburi</v>
      </c>
      <c r="D4774" s="9" t="str">
        <f>IFERROR(__xludf.DUMMYFUNCTION("GOOGLETRANSLATE($A4774,""en"",""fr"")"),"Chanthaburi")</f>
        <v>Chanthaburi</v>
      </c>
      <c r="E4774" s="9" t="str">
        <f>IFERROR(__xludf.DUMMYFUNCTION("GOOGLETRANSLATE($A4774,""en"",""es"")"),"Chanthaburi")</f>
        <v>Chanthaburi</v>
      </c>
      <c r="F4774" s="9" t="str">
        <f>IFERROR(__xludf.DUMMYFUNCTION("GOOGLETRANSLATE($A4774,""en"",""it"")"),"Chanthaburi")</f>
        <v>Chanthaburi</v>
      </c>
      <c r="G4774" s="9" t="str">
        <f>IFERROR(__xludf.DUMMYFUNCTION("GOOGLETRANSLATE($A4774,""en"",""zh-cn"")"),"尖竹汶府")</f>
        <v>尖竹汶府</v>
      </c>
      <c r="H4774" s="9" t="str">
        <f>IFERROR(__xludf.DUMMYFUNCTION("GOOGLETRANSLATE($A4774,""en"",""ja"")"),"チャンタブリー")</f>
        <v>チャンタブリー</v>
      </c>
      <c r="I4774" s="9" t="str">
        <f>IFERROR(__xludf.DUMMYFUNCTION("GOOGLETRANSLATE($A4774,""en"",""ko"")"),"찬타부리")</f>
        <v>찬타부리</v>
      </c>
      <c r="J4774" s="9" t="str">
        <f>IFERROR(__xludf.DUMMYFUNCTION("GOOGLETRANSLATE($A4774,""en"",""pt-BR"")"),"Chanthaburi")</f>
        <v>Chanthaburi</v>
      </c>
    </row>
    <row r="4775">
      <c r="A4775" s="9" t="str">
        <f>IFERROR(__xludf.DUMMYFUNCTION("""COMPUTED_VALUE"""),"Nakhon Si Thammarat")</f>
        <v>Nakhon Si Thammarat</v>
      </c>
      <c r="B4775" s="9" t="str">
        <f>IFERROR(__xludf.DUMMYFUNCTION("""COMPUTED_VALUE"""),"th-80")</f>
        <v>th-80</v>
      </c>
      <c r="C4775" s="9" t="str">
        <f>IFERROR(__xludf.DUMMYFUNCTION("GOOGLETRANSLATE($A4775,""en"",""de"")"),"Nakhon Si Thammarat")</f>
        <v>Nakhon Si Thammarat</v>
      </c>
      <c r="D4775" s="9" t="str">
        <f>IFERROR(__xludf.DUMMYFUNCTION("GOOGLETRANSLATE($A4775,""en"",""fr"")"),"Nakhon Si Thammarat")</f>
        <v>Nakhon Si Thammarat</v>
      </c>
      <c r="E4775" s="9" t="str">
        <f>IFERROR(__xludf.DUMMYFUNCTION("GOOGLETRANSLATE($A4775,""en"",""es"")"),"Nakhon Si Thammarat")</f>
        <v>Nakhon Si Thammarat</v>
      </c>
      <c r="F4775" s="9" t="str">
        <f>IFERROR(__xludf.DUMMYFUNCTION("GOOGLETRANSLATE($A4775,""en"",""it"")"),"Nakhon Si Thammarat")</f>
        <v>Nakhon Si Thammarat</v>
      </c>
      <c r="G4775" s="9" t="str">
        <f>IFERROR(__xludf.DUMMYFUNCTION("GOOGLETRANSLATE($A4775,""en"",""zh-cn"")"),"那空是贪玛叻")</f>
        <v>那空是贪玛叻</v>
      </c>
      <c r="H4775" s="9" t="str">
        <f>IFERROR(__xludf.DUMMYFUNCTION("GOOGLETRANSLATE($A4775,""en"",""ja"")"),"ナコーンシータンマラート")</f>
        <v>ナコーンシータンマラート</v>
      </c>
      <c r="I4775" s="9" t="str">
        <f>IFERROR(__xludf.DUMMYFUNCTION("GOOGLETRANSLATE($A4775,""en"",""ko"")"),"나콘시탐마랏")</f>
        <v>나콘시탐마랏</v>
      </c>
      <c r="J4775" s="9" t="str">
        <f>IFERROR(__xludf.DUMMYFUNCTION("GOOGLETRANSLATE($A4775,""en"",""pt-BR"")"),"Nakhon Si Thammarat")</f>
        <v>Nakhon Si Thammarat</v>
      </c>
    </row>
    <row r="4776">
      <c r="A4776" s="9" t="str">
        <f>IFERROR(__xludf.DUMMYFUNCTION("""COMPUTED_VALUE"""),"Tak")</f>
        <v>Tak</v>
      </c>
      <c r="B4776" s="9" t="str">
        <f>IFERROR(__xludf.DUMMYFUNCTION("""COMPUTED_VALUE"""),"th-63")</f>
        <v>th-63</v>
      </c>
      <c r="C4776" s="9" t="str">
        <f>IFERROR(__xludf.DUMMYFUNCTION("GOOGLETRANSLATE($A4776,""en"",""de"")"),"Tak")</f>
        <v>Tak</v>
      </c>
      <c r="D4776" s="9" t="str">
        <f>IFERROR(__xludf.DUMMYFUNCTION("GOOGLETRANSLATE($A4776,""en"",""fr"")"),"Prendre")</f>
        <v>Prendre</v>
      </c>
      <c r="E4776" s="9" t="str">
        <f>IFERROR(__xludf.DUMMYFUNCTION("GOOGLETRANSLATE($A4776,""en"",""es"")"),"tomar")</f>
        <v>tomar</v>
      </c>
      <c r="F4776" s="9" t="str">
        <f>IFERROR(__xludf.DUMMYFUNCTION("GOOGLETRANSLATE($A4776,""en"",""it"")"),"Tac")</f>
        <v>Tac</v>
      </c>
      <c r="G4776" s="9" t="str">
        <f>IFERROR(__xludf.DUMMYFUNCTION("GOOGLETRANSLATE($A4776,""en"",""zh-cn"")"),"德")</f>
        <v>德</v>
      </c>
      <c r="H4776" s="9" t="str">
        <f>IFERROR(__xludf.DUMMYFUNCTION("GOOGLETRANSLATE($A4776,""en"",""ja"")"),"タク")</f>
        <v>タク</v>
      </c>
      <c r="I4776" s="9" t="str">
        <f>IFERROR(__xludf.DUMMYFUNCTION("GOOGLETRANSLATE($A4776,""en"",""ko"")"),"탁")</f>
        <v>탁</v>
      </c>
      <c r="J4776" s="9" t="str">
        <f>IFERROR(__xludf.DUMMYFUNCTION("GOOGLETRANSLATE($A4776,""en"",""pt-BR"")"),"Tak")</f>
        <v>Tak</v>
      </c>
    </row>
    <row r="4777">
      <c r="A4777" s="9" t="str">
        <f>IFERROR(__xludf.DUMMYFUNCTION("""COMPUTED_VALUE"""),"Phatthalung")</f>
        <v>Phatthalung</v>
      </c>
      <c r="B4777" s="9" t="str">
        <f>IFERROR(__xludf.DUMMYFUNCTION("""COMPUTED_VALUE"""),"th-93")</f>
        <v>th-93</v>
      </c>
      <c r="C4777" s="9" t="str">
        <f>IFERROR(__xludf.DUMMYFUNCTION("GOOGLETRANSLATE($A4777,""en"",""de"")"),"Phatthalung")</f>
        <v>Phatthalung</v>
      </c>
      <c r="D4777" s="9" t="str">
        <f>IFERROR(__xludf.DUMMYFUNCTION("GOOGLETRANSLATE($A4777,""en"",""fr"")"),"Phattalung")</f>
        <v>Phattalung</v>
      </c>
      <c r="E4777" s="9" t="str">
        <f>IFERROR(__xludf.DUMMYFUNCTION("GOOGLETRANSLATE($A4777,""en"",""es"")"),"Phattalung")</f>
        <v>Phattalung</v>
      </c>
      <c r="F4777" s="9" t="str">
        <f>IFERROR(__xludf.DUMMYFUNCTION("GOOGLETRANSLATE($A4777,""en"",""it"")"),"Phatthalung")</f>
        <v>Phatthalung</v>
      </c>
      <c r="G4777" s="9" t="str">
        <f>IFERROR(__xludf.DUMMYFUNCTION("GOOGLETRANSLATE($A4777,""en"",""zh-cn"")"),"博他仑")</f>
        <v>博他仑</v>
      </c>
      <c r="H4777" s="9" t="str">
        <f>IFERROR(__xludf.DUMMYFUNCTION("GOOGLETRANSLATE($A4777,""en"",""ja"")"),"パッタルン")</f>
        <v>パッタルン</v>
      </c>
      <c r="I4777" s="9" t="str">
        <f>IFERROR(__xludf.DUMMYFUNCTION("GOOGLETRANSLATE($A4777,""en"",""ko"")"),"파탈룽")</f>
        <v>파탈룽</v>
      </c>
      <c r="J4777" s="9" t="str">
        <f>IFERROR(__xludf.DUMMYFUNCTION("GOOGLETRANSLATE($A4777,""en"",""pt-BR"")"),"Phatthalung")</f>
        <v>Phatthalung</v>
      </c>
    </row>
    <row r="4778">
      <c r="A4778" s="9" t="str">
        <f>IFERROR(__xludf.DUMMYFUNCTION("""COMPUTED_VALUE"""),"Si Sa Ket")</f>
        <v>Si Sa Ket</v>
      </c>
      <c r="B4778" s="9" t="str">
        <f>IFERROR(__xludf.DUMMYFUNCTION("""COMPUTED_VALUE"""),"th-33")</f>
        <v>th-33</v>
      </c>
      <c r="C4778" s="9" t="str">
        <f>IFERROR(__xludf.DUMMYFUNCTION("GOOGLETRANSLATE($A4778,""en"",""de"")"),"Si Sa Ket")</f>
        <v>Si Sa Ket</v>
      </c>
      <c r="D4778" s="9" t="str">
        <f>IFERROR(__xludf.DUMMYFUNCTION("GOOGLETRANSLATE($A4778,""en"",""fr"")"),"Si Sa Ket")</f>
        <v>Si Sa Ket</v>
      </c>
      <c r="E4778" s="9" t="str">
        <f>IFERROR(__xludf.DUMMYFUNCTION("GOOGLETRANSLATE($A4778,""en"",""es"")"),"Si Sa Ket")</f>
        <v>Si Sa Ket</v>
      </c>
      <c r="F4778" s="9" t="str">
        <f>IFERROR(__xludf.DUMMYFUNCTION("GOOGLETRANSLATE($A4778,""en"",""it"")"),"Si Sa Ket")</f>
        <v>Si Sa Ket</v>
      </c>
      <c r="G4778" s="9" t="str">
        <f>IFERROR(__xludf.DUMMYFUNCTION("GOOGLETRANSLATE($A4778,""en"",""zh-cn"")"),"四色菊")</f>
        <v>四色菊</v>
      </c>
      <c r="H4778" s="9" t="str">
        <f>IFERROR(__xludf.DUMMYFUNCTION("GOOGLETRANSLATE($A4778,""en"",""ja"")"),"シーサケット")</f>
        <v>シーサケット</v>
      </c>
      <c r="I4778" s="9" t="str">
        <f>IFERROR(__xludf.DUMMYFUNCTION("GOOGLETRANSLATE($A4778,""en"",""ko"")"),"시 사 켓")</f>
        <v>시 사 켓</v>
      </c>
      <c r="J4778" s="9" t="str">
        <f>IFERROR(__xludf.DUMMYFUNCTION("GOOGLETRANSLATE($A4778,""en"",""pt-BR"")"),"Si Sa Ket")</f>
        <v>Si Sa Ket</v>
      </c>
    </row>
    <row r="4779">
      <c r="A4779" s="9" t="str">
        <f>IFERROR(__xludf.DUMMYFUNCTION("""COMPUTED_VALUE"""),"Ratchaburi")</f>
        <v>Ratchaburi</v>
      </c>
      <c r="B4779" s="9" t="str">
        <f>IFERROR(__xludf.DUMMYFUNCTION("""COMPUTED_VALUE"""),"th-70")</f>
        <v>th-70</v>
      </c>
      <c r="C4779" s="9" t="str">
        <f>IFERROR(__xludf.DUMMYFUNCTION("GOOGLETRANSLATE($A4779,""en"",""de"")"),"Ratchaburi")</f>
        <v>Ratchaburi</v>
      </c>
      <c r="D4779" s="9" t="str">
        <f>IFERROR(__xludf.DUMMYFUNCTION("GOOGLETRANSLATE($A4779,""en"",""fr"")"),"Ratchaburi")</f>
        <v>Ratchaburi</v>
      </c>
      <c r="E4779" s="9" t="str">
        <f>IFERROR(__xludf.DUMMYFUNCTION("GOOGLETRANSLATE($A4779,""en"",""es"")"),"Ratchaburi")</f>
        <v>Ratchaburi</v>
      </c>
      <c r="F4779" s="9" t="str">
        <f>IFERROR(__xludf.DUMMYFUNCTION("GOOGLETRANSLATE($A4779,""en"",""it"")"),"Ratchaburi")</f>
        <v>Ratchaburi</v>
      </c>
      <c r="G4779" s="9" t="str">
        <f>IFERROR(__xludf.DUMMYFUNCTION("GOOGLETRANSLATE($A4779,""en"",""zh-cn"")"),"叻丕府")</f>
        <v>叻丕府</v>
      </c>
      <c r="H4779" s="9" t="str">
        <f>IFERROR(__xludf.DUMMYFUNCTION("GOOGLETRANSLATE($A4779,""en"",""ja"")"),"ラーチャブリー")</f>
        <v>ラーチャブリー</v>
      </c>
      <c r="I4779" s="9" t="str">
        <f>IFERROR(__xludf.DUMMYFUNCTION("GOOGLETRANSLATE($A4779,""en"",""ko"")"),"랏차부리")</f>
        <v>랏차부리</v>
      </c>
      <c r="J4779" s="9" t="str">
        <f>IFERROR(__xludf.DUMMYFUNCTION("GOOGLETRANSLATE($A4779,""en"",""pt-BR"")"),"Ratchaburi")</f>
        <v>Ratchaburi</v>
      </c>
    </row>
    <row r="4780">
      <c r="A4780" s="9" t="str">
        <f>IFERROR(__xludf.DUMMYFUNCTION("""COMPUTED_VALUE"""),"Sing Buri")</f>
        <v>Sing Buri</v>
      </c>
      <c r="B4780" s="9" t="str">
        <f>IFERROR(__xludf.DUMMYFUNCTION("""COMPUTED_VALUE"""),"th-17")</f>
        <v>th-17</v>
      </c>
      <c r="C4780" s="9" t="str">
        <f>IFERROR(__xludf.DUMMYFUNCTION("GOOGLETRANSLATE($A4780,""en"",""de"")"),"Sing Buri")</f>
        <v>Sing Buri</v>
      </c>
      <c r="D4780" s="9" t="str">
        <f>IFERROR(__xludf.DUMMYFUNCTION("GOOGLETRANSLATE($A4780,""en"",""fr"")"),"Chanter Buri")</f>
        <v>Chanter Buri</v>
      </c>
      <c r="E4780" s="9" t="str">
        <f>IFERROR(__xludf.DUMMYFUNCTION("GOOGLETRANSLATE($A4780,""en"",""es"")"),"cantar buri")</f>
        <v>cantar buri</v>
      </c>
      <c r="F4780" s="9" t="str">
        <f>IFERROR(__xludf.DUMMYFUNCTION("GOOGLETRANSLATE($A4780,""en"",""it"")"),"Canta Buri")</f>
        <v>Canta Buri</v>
      </c>
      <c r="G4780" s="9" t="str">
        <f>IFERROR(__xludf.DUMMYFUNCTION("GOOGLETRANSLATE($A4780,""en"",""zh-cn"")"),"信武里府")</f>
        <v>信武里府</v>
      </c>
      <c r="H4780" s="9" t="str">
        <f>IFERROR(__xludf.DUMMYFUNCTION("GOOGLETRANSLATE($A4780,""en"",""ja"")"),"シンブリ")</f>
        <v>シンブリ</v>
      </c>
      <c r="I4780" s="9" t="str">
        <f>IFERROR(__xludf.DUMMYFUNCTION("GOOGLETRANSLATE($A4780,""en"",""ko"")"),"싱부리")</f>
        <v>싱부리</v>
      </c>
      <c r="J4780" s="9" t="str">
        <f>IFERROR(__xludf.DUMMYFUNCTION("GOOGLETRANSLATE($A4780,""en"",""pt-BR"")"),"Cante Buri")</f>
        <v>Cante Buri</v>
      </c>
    </row>
    <row r="4781">
      <c r="A4781" s="9" t="str">
        <f>IFERROR(__xludf.DUMMYFUNCTION("""COMPUTED_VALUE"""),"Nong Khai")</f>
        <v>Nong Khai</v>
      </c>
      <c r="B4781" s="9" t="str">
        <f>IFERROR(__xludf.DUMMYFUNCTION("""COMPUTED_VALUE"""),"th-43")</f>
        <v>th-43</v>
      </c>
      <c r="C4781" s="9" t="str">
        <f>IFERROR(__xludf.DUMMYFUNCTION("GOOGLETRANSLATE($A4781,""en"",""de"")"),"Nong Khai")</f>
        <v>Nong Khai</v>
      </c>
      <c r="D4781" s="9" t="str">
        <f>IFERROR(__xludf.DUMMYFUNCTION("GOOGLETRANSLATE($A4781,""en"",""fr"")"),"Nong Khai")</f>
        <v>Nong Khai</v>
      </c>
      <c r="E4781" s="9" t="str">
        <f>IFERROR(__xludf.DUMMYFUNCTION("GOOGLETRANSLATE($A4781,""en"",""es"")"),"Nong Khai")</f>
        <v>Nong Khai</v>
      </c>
      <c r="F4781" s="9" t="str">
        <f>IFERROR(__xludf.DUMMYFUNCTION("GOOGLETRANSLATE($A4781,""en"",""it"")"),"Nong Khai")</f>
        <v>Nong Khai</v>
      </c>
      <c r="G4781" s="9" t="str">
        <f>IFERROR(__xludf.DUMMYFUNCTION("GOOGLETRANSLATE($A4781,""en"",""zh-cn"")"),"廊开")</f>
        <v>廊开</v>
      </c>
      <c r="H4781" s="9" t="str">
        <f>IFERROR(__xludf.DUMMYFUNCTION("GOOGLETRANSLATE($A4781,""en"",""ja"")"),"ノンカイ")</f>
        <v>ノンカイ</v>
      </c>
      <c r="I4781" s="9" t="str">
        <f>IFERROR(__xludf.DUMMYFUNCTION("GOOGLETRANSLATE($A4781,""en"",""ko"")"),"농카이")</f>
        <v>농카이</v>
      </c>
      <c r="J4781" s="9" t="str">
        <f>IFERROR(__xludf.DUMMYFUNCTION("GOOGLETRANSLATE($A4781,""en"",""pt-BR"")"),"Nong Khai")</f>
        <v>Nong Khai</v>
      </c>
    </row>
    <row r="4782">
      <c r="A4782" s="9" t="str">
        <f>IFERROR(__xludf.DUMMYFUNCTION("""COMPUTED_VALUE"""),"Bueng Kan")</f>
        <v>Bueng Kan</v>
      </c>
      <c r="B4782" s="9" t="str">
        <f>IFERROR(__xludf.DUMMYFUNCTION("""COMPUTED_VALUE"""),"th-38")</f>
        <v>th-38</v>
      </c>
      <c r="C4782" s="9" t="str">
        <f>IFERROR(__xludf.DUMMYFUNCTION("GOOGLETRANSLATE($A4782,""en"",""de"")"),"Bueng Kan")</f>
        <v>Bueng Kan</v>
      </c>
      <c r="D4782" s="9" t="str">
        <f>IFERROR(__xludf.DUMMYFUNCTION("GOOGLETRANSLATE($A4782,""en"",""fr"")"),"Bueng Kan")</f>
        <v>Bueng Kan</v>
      </c>
      <c r="E4782" s="9" t="str">
        <f>IFERROR(__xludf.DUMMYFUNCTION("GOOGLETRANSLATE($A4782,""en"",""es"")"),"Bueng Kan")</f>
        <v>Bueng Kan</v>
      </c>
      <c r="F4782" s="9" t="str">
        <f>IFERROR(__xludf.DUMMYFUNCTION("GOOGLETRANSLATE($A4782,""en"",""it"")"),"Bueng Kan")</f>
        <v>Bueng Kan</v>
      </c>
      <c r="G4782" s="9" t="str">
        <f>IFERROR(__xludf.DUMMYFUNCTION("GOOGLETRANSLATE($A4782,""en"",""zh-cn"")"),"汶干")</f>
        <v>汶干</v>
      </c>
      <c r="H4782" s="9" t="str">
        <f>IFERROR(__xludf.DUMMYFUNCTION("GOOGLETRANSLATE($A4782,""en"",""ja"")"),"ブンカン")</f>
        <v>ブンカン</v>
      </c>
      <c r="I4782" s="9" t="str">
        <f>IFERROR(__xludf.DUMMYFUNCTION("GOOGLETRANSLATE($A4782,""en"",""ko"")"),"부엥칸")</f>
        <v>부엥칸</v>
      </c>
      <c r="J4782" s="9" t="str">
        <f>IFERROR(__xludf.DUMMYFUNCTION("GOOGLETRANSLATE($A4782,""en"",""pt-BR"")"),"Bueng Kan")</f>
        <v>Bueng Kan</v>
      </c>
    </row>
    <row r="4783">
      <c r="A4783" s="9" t="str">
        <f>IFERROR(__xludf.DUMMYFUNCTION("""COMPUTED_VALUE"""),"Phayao")</f>
        <v>Phayao</v>
      </c>
      <c r="B4783" s="9" t="str">
        <f>IFERROR(__xludf.DUMMYFUNCTION("""COMPUTED_VALUE"""),"th-56")</f>
        <v>th-56</v>
      </c>
      <c r="C4783" s="9" t="str">
        <f>IFERROR(__xludf.DUMMYFUNCTION("GOOGLETRANSLATE($A4783,""en"",""de"")"),"Phayao")</f>
        <v>Phayao</v>
      </c>
      <c r="D4783" s="9" t="str">
        <f>IFERROR(__xludf.DUMMYFUNCTION("GOOGLETRANSLATE($A4783,""en"",""fr"")"),"Phayao")</f>
        <v>Phayao</v>
      </c>
      <c r="E4783" s="9" t="str">
        <f>IFERROR(__xludf.DUMMYFUNCTION("GOOGLETRANSLATE($A4783,""en"",""es"")"),"Phayao")</f>
        <v>Phayao</v>
      </c>
      <c r="F4783" s="9" t="str">
        <f>IFERROR(__xludf.DUMMYFUNCTION("GOOGLETRANSLATE($A4783,""en"",""it"")"),"Phayao")</f>
        <v>Phayao</v>
      </c>
      <c r="G4783" s="9" t="str">
        <f>IFERROR(__xludf.DUMMYFUNCTION("GOOGLETRANSLATE($A4783,""en"",""zh-cn"")"),"帕夭")</f>
        <v>帕夭</v>
      </c>
      <c r="H4783" s="9" t="str">
        <f>IFERROR(__xludf.DUMMYFUNCTION("GOOGLETRANSLATE($A4783,""en"",""ja"")"),"パヤオ")</f>
        <v>パヤオ</v>
      </c>
      <c r="I4783" s="9" t="str">
        <f>IFERROR(__xludf.DUMMYFUNCTION("GOOGLETRANSLATE($A4783,""en"",""ko"")"),"파야오")</f>
        <v>파야오</v>
      </c>
      <c r="J4783" s="9" t="str">
        <f>IFERROR(__xludf.DUMMYFUNCTION("GOOGLETRANSLATE($A4783,""en"",""pt-BR"")"),"Phayao")</f>
        <v>Phayao</v>
      </c>
    </row>
    <row r="4784">
      <c r="A4784" s="9" t="str">
        <f>IFERROR(__xludf.DUMMYFUNCTION("""COMPUTED_VALUE"""),"Satun")</f>
        <v>Satun</v>
      </c>
      <c r="B4784" s="9" t="str">
        <f>IFERROR(__xludf.DUMMYFUNCTION("""COMPUTED_VALUE"""),"th-91")</f>
        <v>th-91</v>
      </c>
      <c r="C4784" s="9" t="str">
        <f>IFERROR(__xludf.DUMMYFUNCTION("GOOGLETRANSLATE($A4784,""en"",""de"")"),"Satun")</f>
        <v>Satun</v>
      </c>
      <c r="D4784" s="9" t="str">
        <f>IFERROR(__xludf.DUMMYFUNCTION("GOOGLETRANSLATE($A4784,""en"",""fr"")"),"Samedi")</f>
        <v>Samedi</v>
      </c>
      <c r="E4784" s="9" t="str">
        <f>IFERROR(__xludf.DUMMYFUNCTION("GOOGLETRANSLATE($A4784,""en"",""es"")"),"satún")</f>
        <v>satún</v>
      </c>
      <c r="F4784" s="9" t="str">
        <f>IFERROR(__xludf.DUMMYFUNCTION("GOOGLETRANSLATE($A4784,""en"",""it"")"),"Saturno")</f>
        <v>Saturno</v>
      </c>
      <c r="G4784" s="9" t="str">
        <f>IFERROR(__xludf.DUMMYFUNCTION("GOOGLETRANSLATE($A4784,""en"",""zh-cn"")"),"沙敦")</f>
        <v>沙敦</v>
      </c>
      <c r="H4784" s="9" t="str">
        <f>IFERROR(__xludf.DUMMYFUNCTION("GOOGLETRANSLATE($A4784,""en"",""ja"")"),"サトゥーン")</f>
        <v>サトゥーン</v>
      </c>
      <c r="I4784" s="9" t="str">
        <f>IFERROR(__xludf.DUMMYFUNCTION("GOOGLETRANSLATE($A4784,""en"",""ko"")"),"사툰")</f>
        <v>사툰</v>
      </c>
      <c r="J4784" s="9" t="str">
        <f>IFERROR(__xludf.DUMMYFUNCTION("GOOGLETRANSLATE($A4784,""en"",""pt-BR"")"),"Saturno")</f>
        <v>Saturno</v>
      </c>
    </row>
    <row r="4785">
      <c r="A4785" s="9" t="str">
        <f>IFERROR(__xludf.DUMMYFUNCTION("""COMPUTED_VALUE"""),"Prachuap Khiri Khan")</f>
        <v>Prachuap Khiri Khan</v>
      </c>
      <c r="B4785" s="9" t="str">
        <f>IFERROR(__xludf.DUMMYFUNCTION("""COMPUTED_VALUE"""),"th-77")</f>
        <v>th-77</v>
      </c>
      <c r="C4785" s="9" t="str">
        <f>IFERROR(__xludf.DUMMYFUNCTION("GOOGLETRANSLATE($A4785,""en"",""de"")"),"Prachuap Khiri Khan")</f>
        <v>Prachuap Khiri Khan</v>
      </c>
      <c r="D4785" s="9" t="str">
        <f>IFERROR(__xludf.DUMMYFUNCTION("GOOGLETRANSLATE($A4785,""en"",""fr"")"),"Prachuap Khiri Khan")</f>
        <v>Prachuap Khiri Khan</v>
      </c>
      <c r="E4785" s="9" t="str">
        <f>IFERROR(__xludf.DUMMYFUNCTION("GOOGLETRANSLATE($A4785,""en"",""es"")"),"Prachuap Khiri Khan")</f>
        <v>Prachuap Khiri Khan</v>
      </c>
      <c r="F4785" s="9" t="str">
        <f>IFERROR(__xludf.DUMMYFUNCTION("GOOGLETRANSLATE($A4785,""en"",""it"")"),"Prachuap Khiri Khan")</f>
        <v>Prachuap Khiri Khan</v>
      </c>
      <c r="G4785" s="9" t="str">
        <f>IFERROR(__xludf.DUMMYFUNCTION("GOOGLETRANSLATE($A4785,""en"",""zh-cn"")"),"巴蜀府")</f>
        <v>巴蜀府</v>
      </c>
      <c r="H4785" s="9" t="str">
        <f>IFERROR(__xludf.DUMMYFUNCTION("GOOGLETRANSLATE($A4785,""en"",""ja"")"),"プラチュワップ・キーリー・カーン")</f>
        <v>プラチュワップ・キーリー・カーン</v>
      </c>
      <c r="I4785" s="9" t="str">
        <f>IFERROR(__xludf.DUMMYFUNCTION("GOOGLETRANSLATE($A4785,""en"",""ko"")"),"프라추압 키리 칸")</f>
        <v>프라추압 키리 칸</v>
      </c>
      <c r="J4785" s="9" t="str">
        <f>IFERROR(__xludf.DUMMYFUNCTION("GOOGLETRANSLATE($A4785,""en"",""pt-BR"")"),"Prachuap Khiri Khan")</f>
        <v>Prachuap Khiri Khan</v>
      </c>
    </row>
    <row r="4786">
      <c r="A4786" s="9" t="str">
        <f>IFERROR(__xludf.DUMMYFUNCTION("""COMPUTED_VALUE"""),"Prachin Buri")</f>
        <v>Prachin Buri</v>
      </c>
      <c r="B4786" s="9" t="str">
        <f>IFERROR(__xludf.DUMMYFUNCTION("""COMPUTED_VALUE"""),"th-25")</f>
        <v>th-25</v>
      </c>
      <c r="C4786" s="9" t="str">
        <f>IFERROR(__xludf.DUMMYFUNCTION("GOOGLETRANSLATE($A4786,""en"",""de"")"),"Prachin Buri")</f>
        <v>Prachin Buri</v>
      </c>
      <c r="D4786" s="9" t="str">
        <f>IFERROR(__xludf.DUMMYFUNCTION("GOOGLETRANSLATE($A4786,""en"",""fr"")"),"Prachinburi")</f>
        <v>Prachinburi</v>
      </c>
      <c r="E4786" s="9" t="str">
        <f>IFERROR(__xludf.DUMMYFUNCTION("GOOGLETRANSLATE($A4786,""en"",""es"")"),"Prachinburi")</f>
        <v>Prachinburi</v>
      </c>
      <c r="F4786" s="9" t="str">
        <f>IFERROR(__xludf.DUMMYFUNCTION("GOOGLETRANSLATE($A4786,""en"",""it"")"),"Prachin Buri")</f>
        <v>Prachin Buri</v>
      </c>
      <c r="G4786" s="9" t="str">
        <f>IFERROR(__xludf.DUMMYFUNCTION("GOOGLETRANSLATE($A4786,""en"",""zh-cn"")"),"巴真府")</f>
        <v>巴真府</v>
      </c>
      <c r="H4786" s="9" t="str">
        <f>IFERROR(__xludf.DUMMYFUNCTION("GOOGLETRANSLATE($A4786,""en"",""ja"")"),"プラチンブリ")</f>
        <v>プラチンブリ</v>
      </c>
      <c r="I4786" s="9" t="str">
        <f>IFERROR(__xludf.DUMMYFUNCTION("GOOGLETRANSLATE($A4786,""en"",""ko"")"),"프라친부리")</f>
        <v>프라친부리</v>
      </c>
      <c r="J4786" s="9" t="str">
        <f>IFERROR(__xludf.DUMMYFUNCTION("GOOGLETRANSLATE($A4786,""en"",""pt-BR"")"),"Prachinburi")</f>
        <v>Prachinburi</v>
      </c>
    </row>
    <row r="4787">
      <c r="A4787" s="9" t="str">
        <f>IFERROR(__xludf.DUMMYFUNCTION("""COMPUTED_VALUE"""),"Phrae")</f>
        <v>Phrae</v>
      </c>
      <c r="B4787" s="9" t="str">
        <f>IFERROR(__xludf.DUMMYFUNCTION("""COMPUTED_VALUE"""),"th-54")</f>
        <v>th-54</v>
      </c>
      <c r="C4787" s="9" t="str">
        <f>IFERROR(__xludf.DUMMYFUNCTION("GOOGLETRANSLATE($A4787,""en"",""de"")"),"Phrae")</f>
        <v>Phrae</v>
      </c>
      <c r="D4787" s="9" t="str">
        <f>IFERROR(__xludf.DUMMYFUNCTION("GOOGLETRANSLATE($A4787,""en"",""fr"")"),"Phrae")</f>
        <v>Phrae</v>
      </c>
      <c r="E4787" s="9" t="str">
        <f>IFERROR(__xludf.DUMMYFUNCTION("GOOGLETRANSLATE($A4787,""en"",""es"")"),"frase")</f>
        <v>frase</v>
      </c>
      <c r="F4787" s="9" t="str">
        <f>IFERROR(__xludf.DUMMYFUNCTION("GOOGLETRANSLATE($A4787,""en"",""it"")"),"Frae")</f>
        <v>Frae</v>
      </c>
      <c r="G4787" s="9" t="str">
        <f>IFERROR(__xludf.DUMMYFUNCTION("GOOGLETRANSLATE($A4787,""en"",""zh-cn"")"),"帕府")</f>
        <v>帕府</v>
      </c>
      <c r="H4787" s="9" t="str">
        <f>IFERROR(__xludf.DUMMYFUNCTION("GOOGLETRANSLATE($A4787,""en"",""ja"")"),"プレー")</f>
        <v>プレー</v>
      </c>
      <c r="I4787" s="9" t="str">
        <f>IFERROR(__xludf.DUMMYFUNCTION("GOOGLETRANSLATE($A4787,""en"",""ko"")"),"프레")</f>
        <v>프레</v>
      </c>
      <c r="J4787" s="9" t="str">
        <f>IFERROR(__xludf.DUMMYFUNCTION("GOOGLETRANSLATE($A4787,""en"",""pt-BR"")"),"Frae")</f>
        <v>Frae</v>
      </c>
    </row>
    <row r="4788">
      <c r="A4788" s="9" t="str">
        <f>IFERROR(__xludf.DUMMYFUNCTION("""COMPUTED_VALUE"""),"Nan")</f>
        <v>Nan</v>
      </c>
      <c r="B4788" s="9" t="str">
        <f>IFERROR(__xludf.DUMMYFUNCTION("""COMPUTED_VALUE"""),"th-55")</f>
        <v>th-55</v>
      </c>
      <c r="C4788" s="9" t="str">
        <f>IFERROR(__xludf.DUMMYFUNCTION("GOOGLETRANSLATE($A4788,""en"",""de"")"),"Nan")</f>
        <v>Nan</v>
      </c>
      <c r="D4788" s="9" t="str">
        <f>IFERROR(__xludf.DUMMYFUNCTION("GOOGLETRANSLATE($A4788,""en"",""fr"")"),"Nan")</f>
        <v>Nan</v>
      </c>
      <c r="E4788" s="9" t="str">
        <f>IFERROR(__xludf.DUMMYFUNCTION("GOOGLETRANSLATE($A4788,""en"",""es"")"),"Yaya")</f>
        <v>Yaya</v>
      </c>
      <c r="F4788" s="9" t="str">
        <f>IFERROR(__xludf.DUMMYFUNCTION("GOOGLETRANSLATE($A4788,""en"",""it"")"),"Nonna")</f>
        <v>Nonna</v>
      </c>
      <c r="G4788" s="9" t="str">
        <f>IFERROR(__xludf.DUMMYFUNCTION("GOOGLETRANSLATE($A4788,""en"",""zh-cn"")"),"南")</f>
        <v>南</v>
      </c>
      <c r="H4788" s="9" t="str">
        <f>IFERROR(__xludf.DUMMYFUNCTION("GOOGLETRANSLATE($A4788,""en"",""ja"")"),"ナン")</f>
        <v>ナン</v>
      </c>
      <c r="I4788" s="9" t="str">
        <f>IFERROR(__xludf.DUMMYFUNCTION("GOOGLETRANSLATE($A4788,""en"",""ko"")"),"난")</f>
        <v>난</v>
      </c>
      <c r="J4788" s="9" t="str">
        <f>IFERROR(__xludf.DUMMYFUNCTION("GOOGLETRANSLATE($A4788,""en"",""pt-BR"")"),"Nan")</f>
        <v>Nan</v>
      </c>
    </row>
    <row r="4789">
      <c r="A4789" s="9" t="str">
        <f>IFERROR(__xludf.DUMMYFUNCTION("""COMPUTED_VALUE"""),"Samut Sakhon")</f>
        <v>Samut Sakhon</v>
      </c>
      <c r="B4789" s="9" t="str">
        <f>IFERROR(__xludf.DUMMYFUNCTION("""COMPUTED_VALUE"""),"th-74")</f>
        <v>th-74</v>
      </c>
      <c r="C4789" s="9" t="str">
        <f>IFERROR(__xludf.DUMMYFUNCTION("GOOGLETRANSLATE($A4789,""en"",""de"")"),"Samut Sakhon")</f>
        <v>Samut Sakhon</v>
      </c>
      <c r="D4789" s="9" t="str">
        <f>IFERROR(__xludf.DUMMYFUNCTION("GOOGLETRANSLATE($A4789,""en"",""fr"")"),"Samut Sakhon")</f>
        <v>Samut Sakhon</v>
      </c>
      <c r="E4789" s="9" t="str">
        <f>IFERROR(__xludf.DUMMYFUNCTION("GOOGLETRANSLATE($A4789,""en"",""es"")"),"Samut Sakhon")</f>
        <v>Samut Sakhon</v>
      </c>
      <c r="F4789" s="9" t="str">
        <f>IFERROR(__xludf.DUMMYFUNCTION("GOOGLETRANSLATE($A4789,""en"",""it"")"),"Samut Sakhon")</f>
        <v>Samut Sakhon</v>
      </c>
      <c r="G4789" s="9" t="str">
        <f>IFERROR(__xludf.DUMMYFUNCTION("GOOGLETRANSLATE($A4789,""en"",""zh-cn"")"),"龙仔厝")</f>
        <v>龙仔厝</v>
      </c>
      <c r="H4789" s="9" t="str">
        <f>IFERROR(__xludf.DUMMYFUNCTION("GOOGLETRANSLATE($A4789,""en"",""ja"")"),"サムットサーコーン")</f>
        <v>サムットサーコーン</v>
      </c>
      <c r="I4789" s="9" t="str">
        <f>IFERROR(__xludf.DUMMYFUNCTION("GOOGLETRANSLATE($A4789,""en"",""ko"")"),"사뭇 사콘")</f>
        <v>사뭇 사콘</v>
      </c>
      <c r="J4789" s="9" t="str">
        <f>IFERROR(__xludf.DUMMYFUNCTION("GOOGLETRANSLATE($A4789,""en"",""pt-BR"")"),"Samut Sakhon")</f>
        <v>Samut Sakhon</v>
      </c>
    </row>
    <row r="4790">
      <c r="A4790" s="9" t="str">
        <f>IFERROR(__xludf.DUMMYFUNCTION("""COMPUTED_VALUE"""),"Yasothon")</f>
        <v>Yasothon</v>
      </c>
      <c r="B4790" s="9" t="str">
        <f>IFERROR(__xludf.DUMMYFUNCTION("""COMPUTED_VALUE"""),"th-35")</f>
        <v>th-35</v>
      </c>
      <c r="C4790" s="9" t="str">
        <f>IFERROR(__xludf.DUMMYFUNCTION("GOOGLETRANSLATE($A4790,""en"",""de"")"),"Yasothon")</f>
        <v>Yasothon</v>
      </c>
      <c r="D4790" s="9" t="str">
        <f>IFERROR(__xludf.DUMMYFUNCTION("GOOGLETRANSLATE($A4790,""en"",""fr"")"),"Yasothon")</f>
        <v>Yasothon</v>
      </c>
      <c r="E4790" s="9" t="str">
        <f>IFERROR(__xludf.DUMMYFUNCTION("GOOGLETRANSLATE($A4790,""en"",""es"")"),"Yasotón")</f>
        <v>Yasotón</v>
      </c>
      <c r="F4790" s="9" t="str">
        <f>IFERROR(__xludf.DUMMYFUNCTION("GOOGLETRANSLATE($A4790,""en"",""it"")"),"Yasothon")</f>
        <v>Yasothon</v>
      </c>
      <c r="G4790" s="9" t="str">
        <f>IFERROR(__xludf.DUMMYFUNCTION("GOOGLETRANSLATE($A4790,""en"",""zh-cn"")"),"益梭通")</f>
        <v>益梭通</v>
      </c>
      <c r="H4790" s="9" t="str">
        <f>IFERROR(__xludf.DUMMYFUNCTION("GOOGLETRANSLATE($A4790,""en"",""ja"")"),"ヤソートーン")</f>
        <v>ヤソートーン</v>
      </c>
      <c r="I4790" s="9" t="str">
        <f>IFERROR(__xludf.DUMMYFUNCTION("GOOGLETRANSLATE($A4790,""en"",""ko"")"),"야소톤")</f>
        <v>야소톤</v>
      </c>
      <c r="J4790" s="9" t="str">
        <f>IFERROR(__xludf.DUMMYFUNCTION("GOOGLETRANSLATE($A4790,""en"",""pt-BR"")"),"Yasothon")</f>
        <v>Yasothon</v>
      </c>
    </row>
    <row r="4791">
      <c r="A4791" s="9" t="str">
        <f>IFERROR(__xludf.DUMMYFUNCTION("""COMPUTED_VALUE"""),"Ang Thong")</f>
        <v>Ang Thong</v>
      </c>
      <c r="B4791" s="9" t="str">
        <f>IFERROR(__xludf.DUMMYFUNCTION("""COMPUTED_VALUE"""),"th-15")</f>
        <v>th-15</v>
      </c>
      <c r="C4791" s="9" t="str">
        <f>IFERROR(__xludf.DUMMYFUNCTION("GOOGLETRANSLATE($A4791,""en"",""de"")"),"Ang Thong")</f>
        <v>Ang Thong</v>
      </c>
      <c r="D4791" s="9" t="str">
        <f>IFERROR(__xludf.DUMMYFUNCTION("GOOGLETRANSLATE($A4791,""en"",""fr"")"),"Le String")</f>
        <v>Le String</v>
      </c>
      <c r="E4791" s="9" t="str">
        <f>IFERROR(__xludf.DUMMYFUNCTION("GOOGLETRANSLATE($A4791,""en"",""es"")"),"Ang tanga")</f>
        <v>Ang tanga</v>
      </c>
      <c r="F4791" s="9" t="str">
        <f>IFERROR(__xludf.DUMMYFUNCTION("GOOGLETRANSLATE($A4791,""en"",""it"")"),"Ang Thong")</f>
        <v>Ang Thong</v>
      </c>
      <c r="G4791" s="9" t="str">
        <f>IFERROR(__xludf.DUMMYFUNCTION("GOOGLETRANSLATE($A4791,""en"",""zh-cn"")"),"红统")</f>
        <v>红统</v>
      </c>
      <c r="H4791" s="9" t="str">
        <f>IFERROR(__xludf.DUMMYFUNCTION("GOOGLETRANSLATE($A4791,""en"",""ja"")"),"アントン")</f>
        <v>アントン</v>
      </c>
      <c r="I4791" s="9" t="str">
        <f>IFERROR(__xludf.DUMMYFUNCTION("GOOGLETRANSLATE($A4791,""en"",""ko"")"),"앙통")</f>
        <v>앙통</v>
      </c>
      <c r="J4791" s="9" t="str">
        <f>IFERROR(__xludf.DUMMYFUNCTION("GOOGLETRANSLATE($A4791,""en"",""pt-BR"")"),"Tanga")</f>
        <v>Tanga</v>
      </c>
    </row>
    <row r="4792">
      <c r="A4792" s="9" t="str">
        <f>IFERROR(__xludf.DUMMYFUNCTION("""COMPUTED_VALUE"""),"Phangnga")</f>
        <v>Phangnga</v>
      </c>
      <c r="B4792" s="9" t="str">
        <f>IFERROR(__xludf.DUMMYFUNCTION("""COMPUTED_VALUE"""),"th-82")</f>
        <v>th-82</v>
      </c>
      <c r="C4792" s="9" t="str">
        <f>IFERROR(__xludf.DUMMYFUNCTION("GOOGLETRANSLATE($A4792,""en"",""de"")"),"Phangnga")</f>
        <v>Phangnga</v>
      </c>
      <c r="D4792" s="9" t="str">
        <f>IFERROR(__xludf.DUMMYFUNCTION("GOOGLETRANSLATE($A4792,""en"",""fr"")"),"Phangnga")</f>
        <v>Phangnga</v>
      </c>
      <c r="E4792" s="9" t="str">
        <f>IFERROR(__xludf.DUMMYFUNCTION("GOOGLETRANSLATE($A4792,""en"",""es"")"),"Phang Nga")</f>
        <v>Phang Nga</v>
      </c>
      <c r="F4792" s="9" t="str">
        <f>IFERROR(__xludf.DUMMYFUNCTION("GOOGLETRANSLATE($A4792,""en"",""it"")"),"Phangnga")</f>
        <v>Phangnga</v>
      </c>
      <c r="G4792" s="9" t="str">
        <f>IFERROR(__xludf.DUMMYFUNCTION("GOOGLETRANSLATE($A4792,""en"",""zh-cn"")"),"攀牙府")</f>
        <v>攀牙府</v>
      </c>
      <c r="H4792" s="9" t="str">
        <f>IFERROR(__xludf.DUMMYFUNCTION("GOOGLETRANSLATE($A4792,""en"",""ja"")"),"パンガー")</f>
        <v>パンガー</v>
      </c>
      <c r="I4792" s="9" t="str">
        <f>IFERROR(__xludf.DUMMYFUNCTION("GOOGLETRANSLATE($A4792,""en"",""ko"")"),"팡응아")</f>
        <v>팡응아</v>
      </c>
      <c r="J4792" s="9" t="str">
        <f>IFERROR(__xludf.DUMMYFUNCTION("GOOGLETRANSLATE($A4792,""en"",""pt-BR"")"),"Phangnga")</f>
        <v>Phangnga</v>
      </c>
    </row>
    <row r="4793">
      <c r="A4793" s="9" t="str">
        <f>IFERROR(__xludf.DUMMYFUNCTION("""COMPUTED_VALUE"""),"Chon Buri")</f>
        <v>Chon Buri</v>
      </c>
      <c r="B4793" s="9" t="str">
        <f>IFERROR(__xludf.DUMMYFUNCTION("""COMPUTED_VALUE"""),"th-20")</f>
        <v>th-20</v>
      </c>
      <c r="C4793" s="9" t="str">
        <f>IFERROR(__xludf.DUMMYFUNCTION("GOOGLETRANSLATE($A4793,""en"",""de"")"),"Chon Buri")</f>
        <v>Chon Buri</v>
      </c>
      <c r="D4793" s="9" t="str">
        <f>IFERROR(__xludf.DUMMYFUNCTION("GOOGLETRANSLATE($A4793,""en"",""fr"")"),"Chonburi")</f>
        <v>Chonburi</v>
      </c>
      <c r="E4793" s="9" t="str">
        <f>IFERROR(__xludf.DUMMYFUNCTION("GOOGLETRANSLATE($A4793,""en"",""es"")"),"Chon Buri")</f>
        <v>Chon Buri</v>
      </c>
      <c r="F4793" s="9" t="str">
        <f>IFERROR(__xludf.DUMMYFUNCTION("GOOGLETRANSLATE($A4793,""en"",""it"")"),"Chon Buri")</f>
        <v>Chon Buri</v>
      </c>
      <c r="G4793" s="9" t="str">
        <f>IFERROR(__xludf.DUMMYFUNCTION("GOOGLETRANSLATE($A4793,""en"",""zh-cn"")"),"春武里府")</f>
        <v>春武里府</v>
      </c>
      <c r="H4793" s="9" t="str">
        <f>IFERROR(__xludf.DUMMYFUNCTION("GOOGLETRANSLATE($A4793,""en"",""ja"")"),"チョンブリー")</f>
        <v>チョンブリー</v>
      </c>
      <c r="I4793" s="9" t="str">
        <f>IFERROR(__xludf.DUMMYFUNCTION("GOOGLETRANSLATE($A4793,""en"",""ko"")"),"촌부리")</f>
        <v>촌부리</v>
      </c>
      <c r="J4793" s="9" t="str">
        <f>IFERROR(__xludf.DUMMYFUNCTION("GOOGLETRANSLATE($A4793,""en"",""pt-BR"")"),"Chon Buri")</f>
        <v>Chon Buri</v>
      </c>
    </row>
    <row r="4794">
      <c r="A4794" s="9" t="str">
        <f>IFERROR(__xludf.DUMMYFUNCTION("""COMPUTED_VALUE"""),"Kanchanaburi")</f>
        <v>Kanchanaburi</v>
      </c>
      <c r="B4794" s="9" t="str">
        <f>IFERROR(__xludf.DUMMYFUNCTION("""COMPUTED_VALUE"""),"th-71")</f>
        <v>th-71</v>
      </c>
      <c r="C4794" s="9" t="str">
        <f>IFERROR(__xludf.DUMMYFUNCTION("GOOGLETRANSLATE($A4794,""en"",""de"")"),"Kanchanaburi")</f>
        <v>Kanchanaburi</v>
      </c>
      <c r="D4794" s="9" t="str">
        <f>IFERROR(__xludf.DUMMYFUNCTION("GOOGLETRANSLATE($A4794,""en"",""fr"")"),"Kanchanaburi")</f>
        <v>Kanchanaburi</v>
      </c>
      <c r="E4794" s="9" t="str">
        <f>IFERROR(__xludf.DUMMYFUNCTION("GOOGLETRANSLATE($A4794,""en"",""es"")"),"Kanchanaburi")</f>
        <v>Kanchanaburi</v>
      </c>
      <c r="F4794" s="9" t="str">
        <f>IFERROR(__xludf.DUMMYFUNCTION("GOOGLETRANSLATE($A4794,""en"",""it"")"),"Kanchanaburi")</f>
        <v>Kanchanaburi</v>
      </c>
      <c r="G4794" s="9" t="str">
        <f>IFERROR(__xludf.DUMMYFUNCTION("GOOGLETRANSLATE($A4794,""en"",""zh-cn"")"),"北碧府")</f>
        <v>北碧府</v>
      </c>
      <c r="H4794" s="9" t="str">
        <f>IFERROR(__xludf.DUMMYFUNCTION("GOOGLETRANSLATE($A4794,""en"",""ja"")"),"カンチャナブリ")</f>
        <v>カンチャナブリ</v>
      </c>
      <c r="I4794" s="9" t="str">
        <f>IFERROR(__xludf.DUMMYFUNCTION("GOOGLETRANSLATE($A4794,""en"",""ko"")"),"칸차나부리")</f>
        <v>칸차나부리</v>
      </c>
      <c r="J4794" s="9" t="str">
        <f>IFERROR(__xludf.DUMMYFUNCTION("GOOGLETRANSLATE($A4794,""en"",""pt-BR"")"),"Kanchanaburi")</f>
        <v>Kanchanaburi</v>
      </c>
    </row>
    <row r="4795">
      <c r="A4795" s="9" t="str">
        <f>IFERROR(__xludf.DUMMYFUNCTION("""COMPUTED_VALUE"""),"Roi Et")</f>
        <v>Roi Et</v>
      </c>
      <c r="B4795" s="9" t="str">
        <f>IFERROR(__xludf.DUMMYFUNCTION("""COMPUTED_VALUE"""),"th-45")</f>
        <v>th-45</v>
      </c>
      <c r="C4795" s="9" t="str">
        <f>IFERROR(__xludf.DUMMYFUNCTION("GOOGLETRANSLATE($A4795,""en"",""de"")"),"Roi Et")</f>
        <v>Roi Et</v>
      </c>
      <c r="D4795" s="9" t="str">
        <f>IFERROR(__xludf.DUMMYFUNCTION("GOOGLETRANSLATE($A4795,""en"",""fr"")"),"Roi Et")</f>
        <v>Roi Et</v>
      </c>
      <c r="E4795" s="9" t="str">
        <f>IFERROR(__xludf.DUMMYFUNCTION("GOOGLETRANSLATE($A4795,""en"",""es"")"),"Rey Et")</f>
        <v>Rey Et</v>
      </c>
      <c r="F4795" s="9" t="str">
        <f>IFERROR(__xludf.DUMMYFUNCTION("GOOGLETRANSLATE($A4795,""en"",""it"")"),"Roi Et")</f>
        <v>Roi Et</v>
      </c>
      <c r="G4795" s="9" t="str">
        <f>IFERROR(__xludf.DUMMYFUNCTION("GOOGLETRANSLATE($A4795,""en"",""zh-cn"")"),"黎逸府")</f>
        <v>黎逸府</v>
      </c>
      <c r="H4795" s="9" t="str">
        <f>IFERROR(__xludf.DUMMYFUNCTION("GOOGLETRANSLATE($A4795,""en"",""ja"")"),"ロイエット")</f>
        <v>ロイエット</v>
      </c>
      <c r="I4795" s="9" t="str">
        <f>IFERROR(__xludf.DUMMYFUNCTION("GOOGLETRANSLATE($A4795,""en"",""ko"")"),"로이엣")</f>
        <v>로이엣</v>
      </c>
      <c r="J4795" s="9" t="str">
        <f>IFERROR(__xludf.DUMMYFUNCTION("GOOGLETRANSLATE($A4795,""en"",""pt-BR"")"),"Roi Et")</f>
        <v>Roi Et</v>
      </c>
    </row>
    <row r="4796">
      <c r="A4796" s="9" t="str">
        <f>IFERROR(__xludf.DUMMYFUNCTION("""COMPUTED_VALUE"""),"Lamphun")</f>
        <v>Lamphun</v>
      </c>
      <c r="B4796" s="9" t="str">
        <f>IFERROR(__xludf.DUMMYFUNCTION("""COMPUTED_VALUE"""),"th-51")</f>
        <v>th-51</v>
      </c>
      <c r="C4796" s="9" t="str">
        <f>IFERROR(__xludf.DUMMYFUNCTION("GOOGLETRANSLATE($A4796,""en"",""de"")"),"Lamphun")</f>
        <v>Lamphun</v>
      </c>
      <c r="D4796" s="9" t="str">
        <f>IFERROR(__xludf.DUMMYFUNCTION("GOOGLETRANSLATE($A4796,""en"",""fr"")"),"Lamphun")</f>
        <v>Lamphun</v>
      </c>
      <c r="E4796" s="9" t="str">
        <f>IFERROR(__xludf.DUMMYFUNCTION("GOOGLETRANSLATE($A4796,""en"",""es"")"),"Lamphun")</f>
        <v>Lamphun</v>
      </c>
      <c r="F4796" s="9" t="str">
        <f>IFERROR(__xludf.DUMMYFUNCTION("GOOGLETRANSLATE($A4796,""en"",""it"")"),"Lamphun")</f>
        <v>Lamphun</v>
      </c>
      <c r="G4796" s="9" t="str">
        <f>IFERROR(__xludf.DUMMYFUNCTION("GOOGLETRANSLATE($A4796,""en"",""zh-cn"")"),"南奔")</f>
        <v>南奔</v>
      </c>
      <c r="H4796" s="9" t="str">
        <f>IFERROR(__xludf.DUMMYFUNCTION("GOOGLETRANSLATE($A4796,""en"",""ja"")"),"ランプーン")</f>
        <v>ランプーン</v>
      </c>
      <c r="I4796" s="9" t="str">
        <f>IFERROR(__xludf.DUMMYFUNCTION("GOOGLETRANSLATE($A4796,""en"",""ko"")"),"람푼")</f>
        <v>람푼</v>
      </c>
      <c r="J4796" s="9" t="str">
        <f>IFERROR(__xludf.DUMMYFUNCTION("GOOGLETRANSLATE($A4796,""en"",""pt-BR"")"),"Lamphun")</f>
        <v>Lamphun</v>
      </c>
    </row>
    <row r="4797">
      <c r="A4797" s="9" t="str">
        <f>IFERROR(__xludf.DUMMYFUNCTION("""COMPUTED_VALUE"""),"Oecussi")</f>
        <v>Oecussi</v>
      </c>
      <c r="B4797" s="9" t="str">
        <f>IFERROR(__xludf.DUMMYFUNCTION("""COMPUTED_VALUE"""),"tl-oe")</f>
        <v>tl-oe</v>
      </c>
      <c r="C4797" s="9" t="str">
        <f>IFERROR(__xludf.DUMMYFUNCTION("GOOGLETRANSLATE($A4797,""en"",""de"")"),"Oecussi")</f>
        <v>Oecussi</v>
      </c>
      <c r="D4797" s="9" t="str">
        <f>IFERROR(__xludf.DUMMYFUNCTION("GOOGLETRANSLATE($A4797,""en"",""fr"")"),"Oecussi")</f>
        <v>Oecussi</v>
      </c>
      <c r="E4797" s="9" t="str">
        <f>IFERROR(__xludf.DUMMYFUNCTION("GOOGLETRANSLATE($A4797,""en"",""es"")"),"Oecussi")</f>
        <v>Oecussi</v>
      </c>
      <c r="F4797" s="9" t="str">
        <f>IFERROR(__xludf.DUMMYFUNCTION("GOOGLETRANSLATE($A4797,""en"",""it"")"),"Oecussi")</f>
        <v>Oecussi</v>
      </c>
      <c r="G4797" s="9" t="str">
        <f>IFERROR(__xludf.DUMMYFUNCTION("GOOGLETRANSLATE($A4797,""en"",""zh-cn"")"),"欧库西")</f>
        <v>欧库西</v>
      </c>
      <c r="H4797" s="9" t="str">
        <f>IFERROR(__xludf.DUMMYFUNCTION("GOOGLETRANSLATE($A4797,""en"",""ja"")"),"オエクッシ")</f>
        <v>オエクッシ</v>
      </c>
      <c r="I4797" s="9" t="str">
        <f>IFERROR(__xludf.DUMMYFUNCTION("GOOGLETRANSLATE($A4797,""en"",""ko"")"),"오에쿠시")</f>
        <v>오에쿠시</v>
      </c>
      <c r="J4797" s="9" t="str">
        <f>IFERROR(__xludf.DUMMYFUNCTION("GOOGLETRANSLATE($A4797,""en"",""pt-BR"")"),"Oecussi")</f>
        <v>Oecussi</v>
      </c>
    </row>
    <row r="4798">
      <c r="A4798" s="9" t="str">
        <f>IFERROR(__xludf.DUMMYFUNCTION("""COMPUTED_VALUE"""),"Lautem")</f>
        <v>Lautem</v>
      </c>
      <c r="B4798" s="9" t="str">
        <f>IFERROR(__xludf.DUMMYFUNCTION("""COMPUTED_VALUE"""),"tl-la")</f>
        <v>tl-la</v>
      </c>
      <c r="C4798" s="9" t="str">
        <f>IFERROR(__xludf.DUMMYFUNCTION("GOOGLETRANSLATE($A4798,""en"",""de"")"),"Lautem")</f>
        <v>Lautem</v>
      </c>
      <c r="D4798" s="9" t="str">
        <f>IFERROR(__xludf.DUMMYFUNCTION("GOOGLETRANSLATE($A4798,""en"",""fr"")"),"Lautem")</f>
        <v>Lautem</v>
      </c>
      <c r="E4798" s="9" t="str">
        <f>IFERROR(__xludf.DUMMYFUNCTION("GOOGLETRANSLATE($A4798,""en"",""es"")"),"Lautem")</f>
        <v>Lautem</v>
      </c>
      <c r="F4798" s="9" t="str">
        <f>IFERROR(__xludf.DUMMYFUNCTION("GOOGLETRANSLATE($A4798,""en"",""it"")"),"Lautem")</f>
        <v>Lautem</v>
      </c>
      <c r="G4798" s="9" t="str">
        <f>IFERROR(__xludf.DUMMYFUNCTION("GOOGLETRANSLATE($A4798,""en"",""zh-cn"")"),"劳滕")</f>
        <v>劳滕</v>
      </c>
      <c r="H4798" s="9" t="str">
        <f>IFERROR(__xludf.DUMMYFUNCTION("GOOGLETRANSLATE($A4798,""en"",""ja"")"),"ラウテム")</f>
        <v>ラウテム</v>
      </c>
      <c r="I4798" s="9" t="str">
        <f>IFERROR(__xludf.DUMMYFUNCTION("GOOGLETRANSLATE($A4798,""en"",""ko"")"),"라우템")</f>
        <v>라우템</v>
      </c>
      <c r="J4798" s="9" t="str">
        <f>IFERROR(__xludf.DUMMYFUNCTION("GOOGLETRANSLATE($A4798,""en"",""pt-BR"")"),"Lautém")</f>
        <v>Lautém</v>
      </c>
    </row>
    <row r="4799">
      <c r="A4799" s="9" t="str">
        <f>IFERROR(__xludf.DUMMYFUNCTION("""COMPUTED_VALUE"""),"Díli")</f>
        <v>Díli</v>
      </c>
      <c r="B4799" s="9" t="str">
        <f>IFERROR(__xludf.DUMMYFUNCTION("""COMPUTED_VALUE"""),"tl-di")</f>
        <v>tl-di</v>
      </c>
      <c r="C4799" s="9" t="str">
        <f>IFERROR(__xludf.DUMMYFUNCTION("GOOGLETRANSLATE($A4799,""en"",""de"")"),"Díli")</f>
        <v>Díli</v>
      </c>
      <c r="D4799" s="9" t="str">
        <f>IFERROR(__xludf.DUMMYFUNCTION("GOOGLETRANSLATE($A4799,""en"",""fr"")"),"Dili")</f>
        <v>Dili</v>
      </c>
      <c r="E4799" s="9" t="str">
        <f>IFERROR(__xludf.DUMMYFUNCTION("GOOGLETRANSLATE($A4799,""en"",""es"")"),"Dili")</f>
        <v>Dili</v>
      </c>
      <c r="F4799" s="9" t="str">
        <f>IFERROR(__xludf.DUMMYFUNCTION("GOOGLETRANSLATE($A4799,""en"",""it"")"),"Dili")</f>
        <v>Dili</v>
      </c>
      <c r="G4799" s="9" t="str">
        <f>IFERROR(__xludf.DUMMYFUNCTION("GOOGLETRANSLATE($A4799,""en"",""zh-cn"")"),"帝力")</f>
        <v>帝力</v>
      </c>
      <c r="H4799" s="9" t="str">
        <f>IFERROR(__xludf.DUMMYFUNCTION("GOOGLETRANSLATE($A4799,""en"",""ja"")"),"ディリ")</f>
        <v>ディリ</v>
      </c>
      <c r="I4799" s="9" t="str">
        <f>IFERROR(__xludf.DUMMYFUNCTION("GOOGLETRANSLATE($A4799,""en"",""ko"")"),"딜리")</f>
        <v>딜리</v>
      </c>
      <c r="J4799" s="9" t="str">
        <f>IFERROR(__xludf.DUMMYFUNCTION("GOOGLETRANSLATE($A4799,""en"",""pt-BR"")"),"Díli")</f>
        <v>Díli</v>
      </c>
    </row>
    <row r="4800">
      <c r="A4800" s="9" t="str">
        <f>IFERROR(__xludf.DUMMYFUNCTION("""COMPUTED_VALUE"""),"Liquiça")</f>
        <v>Liquiça</v>
      </c>
      <c r="B4800" s="9" t="str">
        <f>IFERROR(__xludf.DUMMYFUNCTION("""COMPUTED_VALUE"""),"tl-li")</f>
        <v>tl-li</v>
      </c>
      <c r="C4800" s="9" t="str">
        <f>IFERROR(__xludf.DUMMYFUNCTION("GOOGLETRANSLATE($A4800,""en"",""de"")"),"Liquiça")</f>
        <v>Liquiça</v>
      </c>
      <c r="D4800" s="9" t="str">
        <f>IFERROR(__xludf.DUMMYFUNCTION("GOOGLETRANSLATE($A4800,""en"",""fr"")"),"Liquiça")</f>
        <v>Liquiça</v>
      </c>
      <c r="E4800" s="9" t="str">
        <f>IFERROR(__xludf.DUMMYFUNCTION("GOOGLETRANSLATE($A4800,""en"",""es"")"),"liquiça")</f>
        <v>liquiça</v>
      </c>
      <c r="F4800" s="9" t="str">
        <f>IFERROR(__xludf.DUMMYFUNCTION("GOOGLETRANSLATE($A4800,""en"",""it"")"),"Liquiça")</f>
        <v>Liquiça</v>
      </c>
      <c r="G4800" s="9" t="str">
        <f>IFERROR(__xludf.DUMMYFUNCTION("GOOGLETRANSLATE($A4800,""en"",""zh-cn"")"),"利基萨")</f>
        <v>利基萨</v>
      </c>
      <c r="H4800" s="9" t="str">
        <f>IFERROR(__xludf.DUMMYFUNCTION("GOOGLETRANSLATE($A4800,""en"",""ja"")"),"リキサ")</f>
        <v>リキサ</v>
      </c>
      <c r="I4800" s="9" t="str">
        <f>IFERROR(__xludf.DUMMYFUNCTION("GOOGLETRANSLATE($A4800,""en"",""ko"")"),"리키사")</f>
        <v>리키사</v>
      </c>
      <c r="J4800" s="9" t="str">
        <f>IFERROR(__xludf.DUMMYFUNCTION("GOOGLETRANSLATE($A4800,""en"",""pt-BR"")"),"Liquiça")</f>
        <v>Liquiça</v>
      </c>
    </row>
    <row r="4801">
      <c r="A4801" s="9" t="str">
        <f>IFERROR(__xludf.DUMMYFUNCTION("""COMPUTED_VALUE"""),"Aileu")</f>
        <v>Aileu</v>
      </c>
      <c r="B4801" s="9" t="str">
        <f>IFERROR(__xludf.DUMMYFUNCTION("""COMPUTED_VALUE"""),"tl-al")</f>
        <v>tl-al</v>
      </c>
      <c r="C4801" s="9" t="str">
        <f>IFERROR(__xludf.DUMMYFUNCTION("GOOGLETRANSLATE($A4801,""en"",""de"")"),"Aileu")</f>
        <v>Aileu</v>
      </c>
      <c r="D4801" s="9" t="str">
        <f>IFERROR(__xludf.DUMMYFUNCTION("GOOGLETRANSLATE($A4801,""en"",""fr"")"),"Aileu")</f>
        <v>Aileu</v>
      </c>
      <c r="E4801" s="9" t="str">
        <f>IFERROR(__xludf.DUMMYFUNCTION("GOOGLETRANSLATE($A4801,""en"",""es"")"),"aileu")</f>
        <v>aileu</v>
      </c>
      <c r="F4801" s="9" t="str">
        <f>IFERROR(__xludf.DUMMYFUNCTION("GOOGLETRANSLATE($A4801,""en"",""it"")"),"Aileu")</f>
        <v>Aileu</v>
      </c>
      <c r="G4801" s="9" t="str">
        <f>IFERROR(__xludf.DUMMYFUNCTION("GOOGLETRANSLATE($A4801,""en"",""zh-cn"")"),"艾莱乌")</f>
        <v>艾莱乌</v>
      </c>
      <c r="H4801" s="9" t="str">
        <f>IFERROR(__xludf.DUMMYFUNCTION("GOOGLETRANSLATE($A4801,""en"",""ja"")"),"アイルー")</f>
        <v>アイルー</v>
      </c>
      <c r="I4801" s="9" t="str">
        <f>IFERROR(__xludf.DUMMYFUNCTION("GOOGLETRANSLATE($A4801,""en"",""ko"")"),"에일루")</f>
        <v>에일루</v>
      </c>
      <c r="J4801" s="9" t="str">
        <f>IFERROR(__xludf.DUMMYFUNCTION("GOOGLETRANSLATE($A4801,""en"",""pt-BR"")"),"Aileu")</f>
        <v>Aileu</v>
      </c>
    </row>
    <row r="4802">
      <c r="A4802" s="9" t="str">
        <f>IFERROR(__xludf.DUMMYFUNCTION("""COMPUTED_VALUE"""),"Manufahi")</f>
        <v>Manufahi</v>
      </c>
      <c r="B4802" s="9" t="str">
        <f>IFERROR(__xludf.DUMMYFUNCTION("""COMPUTED_VALUE"""),"tl-mf")</f>
        <v>tl-mf</v>
      </c>
      <c r="C4802" s="9" t="str">
        <f>IFERROR(__xludf.DUMMYFUNCTION("GOOGLETRANSLATE($A4802,""en"",""de"")"),"Manufahi")</f>
        <v>Manufahi</v>
      </c>
      <c r="D4802" s="9" t="str">
        <f>IFERROR(__xludf.DUMMYFUNCTION("GOOGLETRANSLATE($A4802,""en"",""fr"")"),"Manufahi")</f>
        <v>Manufahi</v>
      </c>
      <c r="E4802" s="9" t="str">
        <f>IFERROR(__xludf.DUMMYFUNCTION("GOOGLETRANSLATE($A4802,""en"",""es"")"),"Manufahi")</f>
        <v>Manufahi</v>
      </c>
      <c r="F4802" s="9" t="str">
        <f>IFERROR(__xludf.DUMMYFUNCTION("GOOGLETRANSLATE($A4802,""en"",""it"")"),"Manufahi")</f>
        <v>Manufahi</v>
      </c>
      <c r="G4802" s="9" t="str">
        <f>IFERROR(__xludf.DUMMYFUNCTION("GOOGLETRANSLATE($A4802,""en"",""zh-cn"")"),"马努法希")</f>
        <v>马努法希</v>
      </c>
      <c r="H4802" s="9" t="str">
        <f>IFERROR(__xludf.DUMMYFUNCTION("GOOGLETRANSLATE($A4802,""en"",""ja"")"),"マヌファヒ")</f>
        <v>マヌファヒ</v>
      </c>
      <c r="I4802" s="9" t="str">
        <f>IFERROR(__xludf.DUMMYFUNCTION("GOOGLETRANSLATE($A4802,""en"",""ko"")"),"마누파히")</f>
        <v>마누파히</v>
      </c>
      <c r="J4802" s="9" t="str">
        <f>IFERROR(__xludf.DUMMYFUNCTION("GOOGLETRANSLATE($A4802,""en"",""pt-BR"")"),"Manufahi")</f>
        <v>Manufahi</v>
      </c>
    </row>
    <row r="4803">
      <c r="A4803" s="9" t="str">
        <f>IFERROR(__xludf.DUMMYFUNCTION("""COMPUTED_VALUE"""),"Ermera")</f>
        <v>Ermera</v>
      </c>
      <c r="B4803" s="9" t="str">
        <f>IFERROR(__xludf.DUMMYFUNCTION("""COMPUTED_VALUE"""),"tl-er")</f>
        <v>tl-er</v>
      </c>
      <c r="C4803" s="9" t="str">
        <f>IFERROR(__xludf.DUMMYFUNCTION("GOOGLETRANSLATE($A4803,""en"",""de"")"),"Ermera")</f>
        <v>Ermera</v>
      </c>
      <c r="D4803" s="9" t="str">
        <f>IFERROR(__xludf.DUMMYFUNCTION("GOOGLETRANSLATE($A4803,""en"",""fr"")"),"Ermera")</f>
        <v>Ermera</v>
      </c>
      <c r="E4803" s="9" t="str">
        <f>IFERROR(__xludf.DUMMYFUNCTION("GOOGLETRANSLATE($A4803,""en"",""es"")"),"Ermera")</f>
        <v>Ermera</v>
      </c>
      <c r="F4803" s="9" t="str">
        <f>IFERROR(__xludf.DUMMYFUNCTION("GOOGLETRANSLATE($A4803,""en"",""it"")"),"Ermera")</f>
        <v>Ermera</v>
      </c>
      <c r="G4803" s="9" t="str">
        <f>IFERROR(__xludf.DUMMYFUNCTION("GOOGLETRANSLATE($A4803,""en"",""zh-cn"")"),"埃尔梅拉")</f>
        <v>埃尔梅拉</v>
      </c>
      <c r="H4803" s="9" t="str">
        <f>IFERROR(__xludf.DUMMYFUNCTION("GOOGLETRANSLATE($A4803,""en"",""ja"")"),"エルメラ")</f>
        <v>エルメラ</v>
      </c>
      <c r="I4803" s="9" t="str">
        <f>IFERROR(__xludf.DUMMYFUNCTION("GOOGLETRANSLATE($A4803,""en"",""ko"")"),"에르메라")</f>
        <v>에르메라</v>
      </c>
      <c r="J4803" s="9" t="str">
        <f>IFERROR(__xludf.DUMMYFUNCTION("GOOGLETRANSLATE($A4803,""en"",""pt-BR"")"),"Ermera")</f>
        <v>Ermera</v>
      </c>
    </row>
    <row r="4804">
      <c r="A4804" s="9" t="str">
        <f>IFERROR(__xludf.DUMMYFUNCTION("""COMPUTED_VALUE"""),"Cova Lima")</f>
        <v>Cova Lima</v>
      </c>
      <c r="B4804" s="9" t="str">
        <f>IFERROR(__xludf.DUMMYFUNCTION("""COMPUTED_VALUE"""),"tl-co")</f>
        <v>tl-co</v>
      </c>
      <c r="C4804" s="9" t="str">
        <f>IFERROR(__xludf.DUMMYFUNCTION("GOOGLETRANSLATE($A4804,""en"",""de"")"),"Cova Lima")</f>
        <v>Cova Lima</v>
      </c>
      <c r="D4804" s="9" t="str">
        <f>IFERROR(__xludf.DUMMYFUNCTION("GOOGLETRANSLATE($A4804,""en"",""fr"")"),"Cova Lima")</f>
        <v>Cova Lima</v>
      </c>
      <c r="E4804" s="9" t="str">
        <f>IFERROR(__xludf.DUMMYFUNCTION("GOOGLETRANSLATE($A4804,""en"",""es"")"),"Cova Lima")</f>
        <v>Cova Lima</v>
      </c>
      <c r="F4804" s="9" t="str">
        <f>IFERROR(__xludf.DUMMYFUNCTION("GOOGLETRANSLATE($A4804,""en"",""it"")"),"Cova Lima")</f>
        <v>Cova Lima</v>
      </c>
      <c r="G4804" s="9" t="str">
        <f>IFERROR(__xludf.DUMMYFUNCTION("GOOGLETRANSLATE($A4804,""en"",""zh-cn"")"),"科瓦利马")</f>
        <v>科瓦利马</v>
      </c>
      <c r="H4804" s="9" t="str">
        <f>IFERROR(__xludf.DUMMYFUNCTION("GOOGLETRANSLATE($A4804,""en"",""ja"")"),"コバリマ")</f>
        <v>コバリマ</v>
      </c>
      <c r="I4804" s="9" t="str">
        <f>IFERROR(__xludf.DUMMYFUNCTION("GOOGLETRANSLATE($A4804,""en"",""ko"")"),"코바 리마")</f>
        <v>코바 리마</v>
      </c>
      <c r="J4804" s="9" t="str">
        <f>IFERROR(__xludf.DUMMYFUNCTION("GOOGLETRANSLATE($A4804,""en"",""pt-BR"")"),"Cova Lima")</f>
        <v>Cova Lima</v>
      </c>
    </row>
    <row r="4805">
      <c r="A4805" s="9" t="str">
        <f>IFERROR(__xludf.DUMMYFUNCTION("""COMPUTED_VALUE"""),"Baucau")</f>
        <v>Baucau</v>
      </c>
      <c r="B4805" s="9" t="str">
        <f>IFERROR(__xludf.DUMMYFUNCTION("""COMPUTED_VALUE"""),"tl-ba")</f>
        <v>tl-ba</v>
      </c>
      <c r="C4805" s="9" t="str">
        <f>IFERROR(__xludf.DUMMYFUNCTION("GOOGLETRANSLATE($A4805,""en"",""de"")"),"Baucau")</f>
        <v>Baucau</v>
      </c>
      <c r="D4805" s="9" t="str">
        <f>IFERROR(__xludf.DUMMYFUNCTION("GOOGLETRANSLATE($A4805,""en"",""fr"")"),"Baucau")</f>
        <v>Baucau</v>
      </c>
      <c r="E4805" s="9" t="str">
        <f>IFERROR(__xludf.DUMMYFUNCTION("GOOGLETRANSLATE($A4805,""en"",""es"")"),"Baucau")</f>
        <v>Baucau</v>
      </c>
      <c r="F4805" s="9" t="str">
        <f>IFERROR(__xludf.DUMMYFUNCTION("GOOGLETRANSLATE($A4805,""en"",""it"")"),"Baucau")</f>
        <v>Baucau</v>
      </c>
      <c r="G4805" s="9" t="str">
        <f>IFERROR(__xludf.DUMMYFUNCTION("GOOGLETRANSLATE($A4805,""en"",""zh-cn"")"),"包考")</f>
        <v>包考</v>
      </c>
      <c r="H4805" s="9" t="str">
        <f>IFERROR(__xludf.DUMMYFUNCTION("GOOGLETRANSLATE($A4805,""en"",""ja"")"),"バウカウ")</f>
        <v>バウカウ</v>
      </c>
      <c r="I4805" s="9" t="str">
        <f>IFERROR(__xludf.DUMMYFUNCTION("GOOGLETRANSLATE($A4805,""en"",""ko"")"),"바우카우")</f>
        <v>바우카우</v>
      </c>
      <c r="J4805" s="9" t="str">
        <f>IFERROR(__xludf.DUMMYFUNCTION("GOOGLETRANSLATE($A4805,""en"",""pt-BR"")"),"Baucau")</f>
        <v>Baucau</v>
      </c>
    </row>
    <row r="4806">
      <c r="A4806" s="9" t="str">
        <f>IFERROR(__xludf.DUMMYFUNCTION("""COMPUTED_VALUE"""),"Viqueque")</f>
        <v>Viqueque</v>
      </c>
      <c r="B4806" s="9" t="str">
        <f>IFERROR(__xludf.DUMMYFUNCTION("""COMPUTED_VALUE"""),"tl-vi")</f>
        <v>tl-vi</v>
      </c>
      <c r="C4806" s="9" t="str">
        <f>IFERROR(__xludf.DUMMYFUNCTION("GOOGLETRANSLATE($A4806,""en"",""de"")"),"Viqueque")</f>
        <v>Viqueque</v>
      </c>
      <c r="D4806" s="9" t="str">
        <f>IFERROR(__xludf.DUMMYFUNCTION("GOOGLETRANSLATE($A4806,""en"",""fr"")"),"Viqueque")</f>
        <v>Viqueque</v>
      </c>
      <c r="E4806" s="9" t="str">
        <f>IFERROR(__xludf.DUMMYFUNCTION("GOOGLETRANSLATE($A4806,""en"",""es"")"),"Viqueque")</f>
        <v>Viqueque</v>
      </c>
      <c r="F4806" s="9" t="str">
        <f>IFERROR(__xludf.DUMMYFUNCTION("GOOGLETRANSLATE($A4806,""en"",""it"")"),"Viqueque")</f>
        <v>Viqueque</v>
      </c>
      <c r="G4806" s="9" t="str">
        <f>IFERROR(__xludf.DUMMYFUNCTION("GOOGLETRANSLATE($A4806,""en"",""zh-cn"")"),"维克克")</f>
        <v>维克克</v>
      </c>
      <c r="H4806" s="9" t="str">
        <f>IFERROR(__xludf.DUMMYFUNCTION("GOOGLETRANSLATE($A4806,""en"",""ja"")"),"ビケケ")</f>
        <v>ビケケ</v>
      </c>
      <c r="I4806" s="9" t="str">
        <f>IFERROR(__xludf.DUMMYFUNCTION("GOOGLETRANSLATE($A4806,""en"",""ko"")"),"비케케")</f>
        <v>비케케</v>
      </c>
      <c r="J4806" s="9" t="str">
        <f>IFERROR(__xludf.DUMMYFUNCTION("GOOGLETRANSLATE($A4806,""en"",""pt-BR"")"),"Viqueque")</f>
        <v>Viqueque</v>
      </c>
    </row>
    <row r="4807">
      <c r="A4807" s="9" t="str">
        <f>IFERROR(__xludf.DUMMYFUNCTION("""COMPUTED_VALUE"""),"Bobonaro")</f>
        <v>Bobonaro</v>
      </c>
      <c r="B4807" s="9" t="str">
        <f>IFERROR(__xludf.DUMMYFUNCTION("""COMPUTED_VALUE"""),"tl-bo")</f>
        <v>tl-bo</v>
      </c>
      <c r="C4807" s="9" t="str">
        <f>IFERROR(__xludf.DUMMYFUNCTION("GOOGLETRANSLATE($A4807,""en"",""de"")"),"Bobonaro")</f>
        <v>Bobonaro</v>
      </c>
      <c r="D4807" s="9" t="str">
        <f>IFERROR(__xludf.DUMMYFUNCTION("GOOGLETRANSLATE($A4807,""en"",""fr"")"),"Bobonaro")</f>
        <v>Bobonaro</v>
      </c>
      <c r="E4807" s="9" t="str">
        <f>IFERROR(__xludf.DUMMYFUNCTION("GOOGLETRANSLATE($A4807,""en"",""es"")"),"Bobonaro")</f>
        <v>Bobonaro</v>
      </c>
      <c r="F4807" s="9" t="str">
        <f>IFERROR(__xludf.DUMMYFUNCTION("GOOGLETRANSLATE($A4807,""en"",""it"")"),"Bobonaro")</f>
        <v>Bobonaro</v>
      </c>
      <c r="G4807" s="9" t="str">
        <f>IFERROR(__xludf.DUMMYFUNCTION("GOOGLETRANSLATE($A4807,""en"",""zh-cn"")"),"博博纳罗")</f>
        <v>博博纳罗</v>
      </c>
      <c r="H4807" s="9" t="str">
        <f>IFERROR(__xludf.DUMMYFUNCTION("GOOGLETRANSLATE($A4807,""en"",""ja"")"),"ボボナロ")</f>
        <v>ボボナロ</v>
      </c>
      <c r="I4807" s="9" t="str">
        <f>IFERROR(__xludf.DUMMYFUNCTION("GOOGLETRANSLATE($A4807,""en"",""ko"")"),"보보나로")</f>
        <v>보보나로</v>
      </c>
      <c r="J4807" s="9" t="str">
        <f>IFERROR(__xludf.DUMMYFUNCTION("GOOGLETRANSLATE($A4807,""en"",""pt-BR"")"),"Bobonaro")</f>
        <v>Bobonaro</v>
      </c>
    </row>
    <row r="4808">
      <c r="A4808" s="9" t="str">
        <f>IFERROR(__xludf.DUMMYFUNCTION("""COMPUTED_VALUE"""),"Manatuto")</f>
        <v>Manatuto</v>
      </c>
      <c r="B4808" s="9" t="str">
        <f>IFERROR(__xludf.DUMMYFUNCTION("""COMPUTED_VALUE"""),"tl-mt")</f>
        <v>tl-mt</v>
      </c>
      <c r="C4808" s="9" t="str">
        <f>IFERROR(__xludf.DUMMYFUNCTION("GOOGLETRANSLATE($A4808,""en"",""de"")"),"Manatuto")</f>
        <v>Manatuto</v>
      </c>
      <c r="D4808" s="9" t="str">
        <f>IFERROR(__xludf.DUMMYFUNCTION("GOOGLETRANSLATE($A4808,""en"",""fr"")"),"Manatuto")</f>
        <v>Manatuto</v>
      </c>
      <c r="E4808" s="9" t="str">
        <f>IFERROR(__xludf.DUMMYFUNCTION("GOOGLETRANSLATE($A4808,""en"",""es"")"),"Manatuto")</f>
        <v>Manatuto</v>
      </c>
      <c r="F4808" s="9" t="str">
        <f>IFERROR(__xludf.DUMMYFUNCTION("GOOGLETRANSLATE($A4808,""en"",""it"")"),"Manatuto")</f>
        <v>Manatuto</v>
      </c>
      <c r="G4808" s="9" t="str">
        <f>IFERROR(__xludf.DUMMYFUNCTION("GOOGLETRANSLATE($A4808,""en"",""zh-cn"")"),"马纳图托")</f>
        <v>马纳图托</v>
      </c>
      <c r="H4808" s="9" t="str">
        <f>IFERROR(__xludf.DUMMYFUNCTION("GOOGLETRANSLATE($A4808,""en"",""ja"")"),"マナトゥト")</f>
        <v>マナトゥト</v>
      </c>
      <c r="I4808" s="9" t="str">
        <f>IFERROR(__xludf.DUMMYFUNCTION("GOOGLETRANSLATE($A4808,""en"",""ko"")"),"마나투토")</f>
        <v>마나투토</v>
      </c>
      <c r="J4808" s="9" t="str">
        <f>IFERROR(__xludf.DUMMYFUNCTION("GOOGLETRANSLATE($A4808,""en"",""pt-BR"")"),"Manatuto")</f>
        <v>Manatuto</v>
      </c>
    </row>
    <row r="4809">
      <c r="A4809" s="9" t="str">
        <f>IFERROR(__xludf.DUMMYFUNCTION("""COMPUTED_VALUE"""),"Ainaro")</f>
        <v>Ainaro</v>
      </c>
      <c r="B4809" s="9" t="str">
        <f>IFERROR(__xludf.DUMMYFUNCTION("""COMPUTED_VALUE"""),"tl-an")</f>
        <v>tl-an</v>
      </c>
      <c r="C4809" s="9" t="str">
        <f>IFERROR(__xludf.DUMMYFUNCTION("GOOGLETRANSLATE($A4809,""en"",""de"")"),"Ainaro")</f>
        <v>Ainaro</v>
      </c>
      <c r="D4809" s="9" t="str">
        <f>IFERROR(__xludf.DUMMYFUNCTION("GOOGLETRANSLATE($A4809,""en"",""fr"")"),"Ainaro")</f>
        <v>Ainaro</v>
      </c>
      <c r="E4809" s="9" t="str">
        <f>IFERROR(__xludf.DUMMYFUNCTION("GOOGLETRANSLATE($A4809,""en"",""es"")"),"Ainaro")</f>
        <v>Ainaro</v>
      </c>
      <c r="F4809" s="9" t="str">
        <f>IFERROR(__xludf.DUMMYFUNCTION("GOOGLETRANSLATE($A4809,""en"",""it"")"),"Ainaro")</f>
        <v>Ainaro</v>
      </c>
      <c r="G4809" s="9" t="str">
        <f>IFERROR(__xludf.DUMMYFUNCTION("GOOGLETRANSLATE($A4809,""en"",""zh-cn"")"),"相郎")</f>
        <v>相郎</v>
      </c>
      <c r="H4809" s="9" t="str">
        <f>IFERROR(__xludf.DUMMYFUNCTION("GOOGLETRANSLATE($A4809,""en"",""ja"")"),"アイナロ")</f>
        <v>アイナロ</v>
      </c>
      <c r="I4809" s="9" t="str">
        <f>IFERROR(__xludf.DUMMYFUNCTION("GOOGLETRANSLATE($A4809,""en"",""ko"")"),"아이나로")</f>
        <v>아이나로</v>
      </c>
      <c r="J4809" s="9" t="str">
        <f>IFERROR(__xludf.DUMMYFUNCTION("GOOGLETRANSLATE($A4809,""en"",""pt-BR"")"),"Ainaro")</f>
        <v>Ainaro</v>
      </c>
    </row>
    <row r="4810">
      <c r="A4810" s="9" t="str">
        <f>IFERROR(__xludf.DUMMYFUNCTION("""COMPUTED_VALUE"""),"Savannes")</f>
        <v>Savannes</v>
      </c>
      <c r="B4810" s="9" t="str">
        <f>IFERROR(__xludf.DUMMYFUNCTION("""COMPUTED_VALUE"""),"tg-s")</f>
        <v>tg-s</v>
      </c>
      <c r="C4810" s="9" t="str">
        <f>IFERROR(__xludf.DUMMYFUNCTION("GOOGLETRANSLATE($A4810,""en"",""de"")"),"Savannen")</f>
        <v>Savannen</v>
      </c>
      <c r="D4810" s="9" t="str">
        <f>IFERROR(__xludf.DUMMYFUNCTION("GOOGLETRANSLATE($A4810,""en"",""fr"")"),"Savanes")</f>
        <v>Savanes</v>
      </c>
      <c r="E4810" s="9" t="str">
        <f>IFERROR(__xludf.DUMMYFUNCTION("GOOGLETRANSLATE($A4810,""en"",""es"")"),"Sabanas")</f>
        <v>Sabanas</v>
      </c>
      <c r="F4810" s="9" t="str">
        <f>IFERROR(__xludf.DUMMYFUNCTION("GOOGLETRANSLATE($A4810,""en"",""it"")"),"Savanne")</f>
        <v>Savanne</v>
      </c>
      <c r="G4810" s="9" t="str">
        <f>IFERROR(__xludf.DUMMYFUNCTION("GOOGLETRANSLATE($A4810,""en"",""zh-cn"")"),"萨瓦内斯")</f>
        <v>萨瓦内斯</v>
      </c>
      <c r="H4810" s="9" t="str">
        <f>IFERROR(__xludf.DUMMYFUNCTION("GOOGLETRANSLATE($A4810,""en"",""ja"")"),"サバンヌ")</f>
        <v>サバンヌ</v>
      </c>
      <c r="I4810" s="9" t="str">
        <f>IFERROR(__xludf.DUMMYFUNCTION("GOOGLETRANSLATE($A4810,""en"",""ko"")"),"사반느")</f>
        <v>사반느</v>
      </c>
      <c r="J4810" s="9" t="str">
        <f>IFERROR(__xludf.DUMMYFUNCTION("GOOGLETRANSLATE($A4810,""en"",""pt-BR"")"),"Savanas")</f>
        <v>Savanas</v>
      </c>
    </row>
    <row r="4811">
      <c r="A4811" s="9" t="str">
        <f>IFERROR(__xludf.DUMMYFUNCTION("""COMPUTED_VALUE"""),"Centre (TG)")</f>
        <v>Centre (TG)</v>
      </c>
      <c r="B4811" s="9" t="str">
        <f>IFERROR(__xludf.DUMMYFUNCTION("""COMPUTED_VALUE"""),"tg-c")</f>
        <v>tg-c</v>
      </c>
      <c r="C4811" s="9" t="str">
        <f>IFERROR(__xludf.DUMMYFUNCTION("GOOGLETRANSLATE($A4811,""en"",""de"")"),"Zentrum (TG)")</f>
        <v>Zentrum (TG)</v>
      </c>
      <c r="D4811" s="9" t="str">
        <f>IFERROR(__xludf.DUMMYFUNCTION("GOOGLETRANSLATE($A4811,""en"",""fr"")"),"Centre (TG)")</f>
        <v>Centre (TG)</v>
      </c>
      <c r="E4811" s="9" t="str">
        <f>IFERROR(__xludf.DUMMYFUNCTION("GOOGLETRANSLATE($A4811,""en"",""es"")"),"Centro (TG)")</f>
        <v>Centro (TG)</v>
      </c>
      <c r="F4811" s="9" t="str">
        <f>IFERROR(__xludf.DUMMYFUNCTION("GOOGLETRANSLATE($A4811,""en"",""it"")"),"Centro (TG)")</f>
        <v>Centro (TG)</v>
      </c>
      <c r="G4811" s="9" t="str">
        <f>IFERROR(__xludf.DUMMYFUNCTION("GOOGLETRANSLATE($A4811,""en"",""zh-cn"")"),"中心（TG）")</f>
        <v>中心（TG）</v>
      </c>
      <c r="H4811" s="9" t="str">
        <f>IFERROR(__xludf.DUMMYFUNCTION("GOOGLETRANSLATE($A4811,""en"",""ja"")"),"センター（TG）")</f>
        <v>センター（TG）</v>
      </c>
      <c r="I4811" s="9" t="str">
        <f>IFERROR(__xludf.DUMMYFUNCTION("GOOGLETRANSLATE($A4811,""en"",""ko"")"),"센터(TG)")</f>
        <v>센터(TG)</v>
      </c>
      <c r="J4811" s="9" t="str">
        <f>IFERROR(__xludf.DUMMYFUNCTION("GOOGLETRANSLATE($A4811,""en"",""pt-BR"")"),"Centro (TG)")</f>
        <v>Centro (TG)</v>
      </c>
    </row>
    <row r="4812">
      <c r="A4812" s="9" t="str">
        <f>IFERROR(__xludf.DUMMYFUNCTION("""COMPUTED_VALUE"""),"Plateaux (TG)")</f>
        <v>Plateaux (TG)</v>
      </c>
      <c r="B4812" s="9" t="str">
        <f>IFERROR(__xludf.DUMMYFUNCTION("""COMPUTED_VALUE"""),"tg-p")</f>
        <v>tg-p</v>
      </c>
      <c r="C4812" s="9" t="str">
        <f>IFERROR(__xludf.DUMMYFUNCTION("GOOGLETRANSLATE($A4812,""en"",""de"")"),"Hochebenen (TG)")</f>
        <v>Hochebenen (TG)</v>
      </c>
      <c r="D4812" s="9" t="str">
        <f>IFERROR(__xludf.DUMMYFUNCTION("GOOGLETRANSLATE($A4812,""en"",""fr"")"),"Plateaux (TG)")</f>
        <v>Plateaux (TG)</v>
      </c>
      <c r="E4812" s="9" t="str">
        <f>IFERROR(__xludf.DUMMYFUNCTION("GOOGLETRANSLATE($A4812,""en"",""es"")"),"Mesetas (TG)")</f>
        <v>Mesetas (TG)</v>
      </c>
      <c r="F4812" s="9" t="str">
        <f>IFERROR(__xludf.DUMMYFUNCTION("GOOGLETRANSLATE($A4812,""en"",""it"")"),"Altipiani (TG)")</f>
        <v>Altipiani (TG)</v>
      </c>
      <c r="G4812" s="9" t="str">
        <f>IFERROR(__xludf.DUMMYFUNCTION("GOOGLETRANSLATE($A4812,""en"",""zh-cn"")"),"高原 (TG)")</f>
        <v>高原 (TG)</v>
      </c>
      <c r="H4812" s="9" t="str">
        <f>IFERROR(__xludf.DUMMYFUNCTION("GOOGLETRANSLATE($A4812,""en"",""ja"")"),"プラトー (TG)")</f>
        <v>プラトー (TG)</v>
      </c>
      <c r="I4812" s="9" t="str">
        <f>IFERROR(__xludf.DUMMYFUNCTION("GOOGLETRANSLATE($A4812,""en"",""ko"")"),"플라토(TG)")</f>
        <v>플라토(TG)</v>
      </c>
      <c r="J4812" s="9" t="str">
        <f>IFERROR(__xludf.DUMMYFUNCTION("GOOGLETRANSLATE($A4812,""en"",""pt-BR"")"),"Planaltos (TG)")</f>
        <v>Planaltos (TG)</v>
      </c>
    </row>
    <row r="4813">
      <c r="A4813" s="9" t="str">
        <f>IFERROR(__xludf.DUMMYFUNCTION("""COMPUTED_VALUE"""),"Kara")</f>
        <v>Kara</v>
      </c>
      <c r="B4813" s="9" t="str">
        <f>IFERROR(__xludf.DUMMYFUNCTION("""COMPUTED_VALUE"""),"tg-k")</f>
        <v>tg-k</v>
      </c>
      <c r="C4813" s="9" t="str">
        <f>IFERROR(__xludf.DUMMYFUNCTION("GOOGLETRANSLATE($A4813,""en"",""de"")"),"Kara")</f>
        <v>Kara</v>
      </c>
      <c r="D4813" s="9" t="str">
        <f>IFERROR(__xludf.DUMMYFUNCTION("GOOGLETRANSLATE($A4813,""en"",""fr"")"),"Kara")</f>
        <v>Kara</v>
      </c>
      <c r="E4813" s="9" t="str">
        <f>IFERROR(__xludf.DUMMYFUNCTION("GOOGLETRANSLATE($A4813,""en"",""es"")"),"kara")</f>
        <v>kara</v>
      </c>
      <c r="F4813" s="9" t="str">
        <f>IFERROR(__xludf.DUMMYFUNCTION("GOOGLETRANSLATE($A4813,""en"",""it"")"),"Cara")</f>
        <v>Cara</v>
      </c>
      <c r="G4813" s="9" t="str">
        <f>IFERROR(__xludf.DUMMYFUNCTION("GOOGLETRANSLATE($A4813,""en"",""zh-cn"")"),"卡拉")</f>
        <v>卡拉</v>
      </c>
      <c r="H4813" s="9" t="str">
        <f>IFERROR(__xludf.DUMMYFUNCTION("GOOGLETRANSLATE($A4813,""en"",""ja"")"),"カラ")</f>
        <v>カラ</v>
      </c>
      <c r="I4813" s="9" t="str">
        <f>IFERROR(__xludf.DUMMYFUNCTION("GOOGLETRANSLATE($A4813,""en"",""ko"")"),"카라")</f>
        <v>카라</v>
      </c>
      <c r="J4813" s="9" t="str">
        <f>IFERROR(__xludf.DUMMYFUNCTION("GOOGLETRANSLATE($A4813,""en"",""pt-BR"")"),"Kara")</f>
        <v>Kara</v>
      </c>
    </row>
    <row r="4814">
      <c r="A4814" s="9" t="str">
        <f>IFERROR(__xludf.DUMMYFUNCTION("""COMPUTED_VALUE"""),"Maritime (Région)")</f>
        <v>Maritime (Région)</v>
      </c>
      <c r="B4814" s="9" t="str">
        <f>IFERROR(__xludf.DUMMYFUNCTION("""COMPUTED_VALUE"""),"tg-m")</f>
        <v>tg-m</v>
      </c>
      <c r="C4814" s="9" t="str">
        <f>IFERROR(__xludf.DUMMYFUNCTION("GOOGLETRANSLATE($A4814,""en"",""de"")"),"Maritim (Region)")</f>
        <v>Maritim (Region)</v>
      </c>
      <c r="D4814" s="9" t="str">
        <f>IFERROR(__xludf.DUMMYFUNCTION("GOOGLETRANSLATE($A4814,""en"",""fr"")"),"Maritime (Région)")</f>
        <v>Maritime (Région)</v>
      </c>
      <c r="E4814" s="9" t="str">
        <f>IFERROR(__xludf.DUMMYFUNCTION("GOOGLETRANSLATE($A4814,""en"",""es"")"),"Marítimo (Región)")</f>
        <v>Marítimo (Región)</v>
      </c>
      <c r="F4814" s="9" t="str">
        <f>IFERROR(__xludf.DUMMYFUNCTION("GOOGLETRANSLATE($A4814,""en"",""it"")"),"Marittimo (Regione)")</f>
        <v>Marittimo (Regione)</v>
      </c>
      <c r="G4814" s="9" t="str">
        <f>IFERROR(__xludf.DUMMYFUNCTION("GOOGLETRANSLATE($A4814,""en"",""zh-cn"")"),"海事（地区）")</f>
        <v>海事（地区）</v>
      </c>
      <c r="H4814" s="9" t="str">
        <f>IFERROR(__xludf.DUMMYFUNCTION("GOOGLETRANSLATE($A4814,""en"",""ja"")"),"海事 (地域)")</f>
        <v>海事 (地域)</v>
      </c>
      <c r="I4814" s="9" t="str">
        <f>IFERROR(__xludf.DUMMYFUNCTION("GOOGLETRANSLATE($A4814,""en"",""ko"")"),"해양(지역)")</f>
        <v>해양(지역)</v>
      </c>
      <c r="J4814" s="9" t="str">
        <f>IFERROR(__xludf.DUMMYFUNCTION("GOOGLETRANSLATE($A4814,""en"",""pt-BR"")"),"Marítimo (Região)")</f>
        <v>Marítimo (Região)</v>
      </c>
    </row>
    <row r="4815">
      <c r="A4815" s="9" t="str">
        <f>IFERROR(__xludf.DUMMYFUNCTION("""COMPUTED_VALUE"""),"'Eua")</f>
        <v>'Eua</v>
      </c>
      <c r="B4815" s="9" t="str">
        <f>IFERROR(__xludf.DUMMYFUNCTION("""COMPUTED_VALUE"""),"to-01")</f>
        <v>to-01</v>
      </c>
      <c r="C4815" s="9" t="str">
        <f>IFERROR(__xludf.DUMMYFUNCTION("GOOGLETRANSLATE($A4815,""en"",""de"")"),"„Eua")</f>
        <v>„Eua</v>
      </c>
      <c r="D4815" s="9" t="str">
        <f>IFERROR(__xludf.DUMMYFUNCTION("GOOGLETRANSLATE($A4815,""en"",""fr"")"),"'Eua")</f>
        <v>'Eua</v>
      </c>
      <c r="E4815" s="9" t="str">
        <f>IFERROR(__xludf.DUMMYFUNCTION("GOOGLETRANSLATE($A4815,""en"",""es"")"),"'Eua")</f>
        <v>'Eua</v>
      </c>
      <c r="F4815" s="9" t="str">
        <f>IFERROR(__xludf.DUMMYFUNCTION("GOOGLETRANSLATE($A4815,""en"",""it"")"),"«Eua")</f>
        <v>«Eua</v>
      </c>
      <c r="G4815" s="9" t="str">
        <f>IFERROR(__xludf.DUMMYFUNCTION("GOOGLETRANSLATE($A4815,""en"",""zh-cn"")"),"埃阿")</f>
        <v>埃阿</v>
      </c>
      <c r="H4815" s="9" t="str">
        <f>IFERROR(__xludf.DUMMYFUNCTION("GOOGLETRANSLATE($A4815,""en"",""ja"")"),"「えうあ」")</f>
        <v>「えうあ」</v>
      </c>
      <c r="I4815" s="9" t="str">
        <f>IFERROR(__xludf.DUMMYFUNCTION("GOOGLETRANSLATE($A4815,""en"",""ko"")"),"'에우아")</f>
        <v>'에우아</v>
      </c>
      <c r="J4815" s="9" t="str">
        <f>IFERROR(__xludf.DUMMYFUNCTION("GOOGLETRANSLATE($A4815,""en"",""pt-BR"")"),"'Eua")</f>
        <v>'Eua</v>
      </c>
    </row>
    <row r="4816">
      <c r="A4816" s="9" t="str">
        <f>IFERROR(__xludf.DUMMYFUNCTION("""COMPUTED_VALUE"""),"Ha'apai")</f>
        <v>Ha'apai</v>
      </c>
      <c r="B4816" s="9" t="str">
        <f>IFERROR(__xludf.DUMMYFUNCTION("""COMPUTED_VALUE"""),"to-02")</f>
        <v>to-02</v>
      </c>
      <c r="C4816" s="9" t="str">
        <f>IFERROR(__xludf.DUMMYFUNCTION("GOOGLETRANSLATE($A4816,""en"",""de"")"),"Ha'apai")</f>
        <v>Ha'apai</v>
      </c>
      <c r="D4816" s="9" t="str">
        <f>IFERROR(__xludf.DUMMYFUNCTION("GOOGLETRANSLATE($A4816,""en"",""fr"")"),"Ha'apai")</f>
        <v>Ha'apai</v>
      </c>
      <c r="E4816" s="9" t="str">
        <f>IFERROR(__xludf.DUMMYFUNCTION("GOOGLETRANSLATE($A4816,""en"",""es"")"),"Ha'apai")</f>
        <v>Ha'apai</v>
      </c>
      <c r="F4816" s="9" t="str">
        <f>IFERROR(__xludf.DUMMYFUNCTION("GOOGLETRANSLATE($A4816,""en"",""it"")"),"Ha'apai")</f>
        <v>Ha'apai</v>
      </c>
      <c r="G4816" s="9" t="str">
        <f>IFERROR(__xludf.DUMMYFUNCTION("GOOGLETRANSLATE($A4816,""en"",""zh-cn"")"),"哈派")</f>
        <v>哈派</v>
      </c>
      <c r="H4816" s="9" t="str">
        <f>IFERROR(__xludf.DUMMYFUNCTION("GOOGLETRANSLATE($A4816,""en"",""ja"")"),"ハアパイ")</f>
        <v>ハアパイ</v>
      </c>
      <c r="I4816" s="9" t="str">
        <f>IFERROR(__xludf.DUMMYFUNCTION("GOOGLETRANSLATE($A4816,""en"",""ko"")"),"하파이")</f>
        <v>하파이</v>
      </c>
      <c r="J4816" s="9" t="str">
        <f>IFERROR(__xludf.DUMMYFUNCTION("GOOGLETRANSLATE($A4816,""en"",""pt-BR"")"),"Ha'apai")</f>
        <v>Ha'apai</v>
      </c>
    </row>
    <row r="4817">
      <c r="A4817" s="9" t="str">
        <f>IFERROR(__xludf.DUMMYFUNCTION("""COMPUTED_VALUE"""),"Tongatapu")</f>
        <v>Tongatapu</v>
      </c>
      <c r="B4817" s="9" t="str">
        <f>IFERROR(__xludf.DUMMYFUNCTION("""COMPUTED_VALUE"""),"to-04")</f>
        <v>to-04</v>
      </c>
      <c r="C4817" s="9" t="str">
        <f>IFERROR(__xludf.DUMMYFUNCTION("GOOGLETRANSLATE($A4817,""en"",""de"")"),"Tongatapu")</f>
        <v>Tongatapu</v>
      </c>
      <c r="D4817" s="9" t="str">
        <f>IFERROR(__xludf.DUMMYFUNCTION("GOOGLETRANSLATE($A4817,""en"",""fr"")"),"Tongatapu")</f>
        <v>Tongatapu</v>
      </c>
      <c r="E4817" s="9" t="str">
        <f>IFERROR(__xludf.DUMMYFUNCTION("GOOGLETRANSLATE($A4817,""en"",""es"")"),"Tongatapu")</f>
        <v>Tongatapu</v>
      </c>
      <c r="F4817" s="9" t="str">
        <f>IFERROR(__xludf.DUMMYFUNCTION("GOOGLETRANSLATE($A4817,""en"",""it"")"),"Tongatapu")</f>
        <v>Tongatapu</v>
      </c>
      <c r="G4817" s="9" t="str">
        <f>IFERROR(__xludf.DUMMYFUNCTION("GOOGLETRANSLATE($A4817,""en"",""zh-cn"")"),"汤加塔布语")</f>
        <v>汤加塔布语</v>
      </c>
      <c r="H4817" s="9" t="str">
        <f>IFERROR(__xludf.DUMMYFUNCTION("GOOGLETRANSLATE($A4817,""en"",""ja"")"),"トンガタプ")</f>
        <v>トンガタプ</v>
      </c>
      <c r="I4817" s="9" t="str">
        <f>IFERROR(__xludf.DUMMYFUNCTION("GOOGLETRANSLATE($A4817,""en"",""ko"")"),"통가타푸")</f>
        <v>통가타푸</v>
      </c>
      <c r="J4817" s="9" t="str">
        <f>IFERROR(__xludf.DUMMYFUNCTION("GOOGLETRANSLATE($A4817,""en"",""pt-BR"")"),"Tongatapu")</f>
        <v>Tongatapu</v>
      </c>
    </row>
    <row r="4818">
      <c r="A4818" s="9" t="str">
        <f>IFERROR(__xludf.DUMMYFUNCTION("""COMPUTED_VALUE"""),"Vava'u")</f>
        <v>Vava'u</v>
      </c>
      <c r="B4818" s="9" t="str">
        <f>IFERROR(__xludf.DUMMYFUNCTION("""COMPUTED_VALUE"""),"to-05")</f>
        <v>to-05</v>
      </c>
      <c r="C4818" s="9" t="str">
        <f>IFERROR(__xludf.DUMMYFUNCTION("GOOGLETRANSLATE($A4818,""en"",""de"")"),"Vava'u")</f>
        <v>Vava'u</v>
      </c>
      <c r="D4818" s="9" t="str">
        <f>IFERROR(__xludf.DUMMYFUNCTION("GOOGLETRANSLATE($A4818,""en"",""fr"")"),"Vava'u")</f>
        <v>Vava'u</v>
      </c>
      <c r="E4818" s="9" t="str">
        <f>IFERROR(__xludf.DUMMYFUNCTION("GOOGLETRANSLATE($A4818,""en"",""es"")"),"vava'u")</f>
        <v>vava'u</v>
      </c>
      <c r="F4818" s="9" t="str">
        <f>IFERROR(__xludf.DUMMYFUNCTION("GOOGLETRANSLATE($A4818,""en"",""it"")"),"Vava'u")</f>
        <v>Vava'u</v>
      </c>
      <c r="G4818" s="9" t="str">
        <f>IFERROR(__xludf.DUMMYFUNCTION("GOOGLETRANSLATE($A4818,""en"",""zh-cn"")"),"瓦瓦乌")</f>
        <v>瓦瓦乌</v>
      </c>
      <c r="H4818" s="9" t="str">
        <f>IFERROR(__xludf.DUMMYFUNCTION("GOOGLETRANSLATE($A4818,""en"",""ja"")"),"ババウ島")</f>
        <v>ババウ島</v>
      </c>
      <c r="I4818" s="9" t="str">
        <f>IFERROR(__xludf.DUMMYFUNCTION("GOOGLETRANSLATE($A4818,""en"",""ko"")"),"바바우")</f>
        <v>바바우</v>
      </c>
      <c r="J4818" s="9" t="str">
        <f>IFERROR(__xludf.DUMMYFUNCTION("GOOGLETRANSLATE($A4818,""en"",""pt-BR"")"),"Vava'u")</f>
        <v>Vava'u</v>
      </c>
    </row>
    <row r="4819">
      <c r="A4819" s="9" t="str">
        <f>IFERROR(__xludf.DUMMYFUNCTION("""COMPUTED_VALUE"""),"Niuas")</f>
        <v>Niuas</v>
      </c>
      <c r="B4819" s="9" t="str">
        <f>IFERROR(__xludf.DUMMYFUNCTION("""COMPUTED_VALUE"""),"to-03")</f>
        <v>to-03</v>
      </c>
      <c r="C4819" s="9" t="str">
        <f>IFERROR(__xludf.DUMMYFUNCTION("GOOGLETRANSLATE($A4819,""en"",""de"")"),"Niuas")</f>
        <v>Niuas</v>
      </c>
      <c r="D4819" s="9" t="str">
        <f>IFERROR(__xludf.DUMMYFUNCTION("GOOGLETRANSLATE($A4819,""en"",""fr"")"),"Niuas")</f>
        <v>Niuas</v>
      </c>
      <c r="E4819" s="9" t="str">
        <f>IFERROR(__xludf.DUMMYFUNCTION("GOOGLETRANSLATE($A4819,""en"",""es"")"),"niuas")</f>
        <v>niuas</v>
      </c>
      <c r="F4819" s="9" t="str">
        <f>IFERROR(__xludf.DUMMYFUNCTION("GOOGLETRANSLATE($A4819,""en"",""it"")"),"Niuas")</f>
        <v>Niuas</v>
      </c>
      <c r="G4819" s="9" t="str">
        <f>IFERROR(__xludf.DUMMYFUNCTION("GOOGLETRANSLATE($A4819,""en"",""zh-cn"")"),"纽阿斯")</f>
        <v>纽阿斯</v>
      </c>
      <c r="H4819" s="9" t="str">
        <f>IFERROR(__xludf.DUMMYFUNCTION("GOOGLETRANSLATE($A4819,""en"",""ja"")"),"ニウアス")</f>
        <v>ニウアス</v>
      </c>
      <c r="I4819" s="9" t="str">
        <f>IFERROR(__xludf.DUMMYFUNCTION("GOOGLETRANSLATE($A4819,""en"",""ko"")"),"니우아스")</f>
        <v>니우아스</v>
      </c>
      <c r="J4819" s="9" t="str">
        <f>IFERROR(__xludf.DUMMYFUNCTION("GOOGLETRANSLATE($A4819,""en"",""pt-BR"")"),"Niuas")</f>
        <v>Niuas</v>
      </c>
    </row>
    <row r="4820">
      <c r="A4820" s="9" t="str">
        <f>IFERROR(__xludf.DUMMYFUNCTION("""COMPUTED_VALUE"""),"Tobago")</f>
        <v>Tobago</v>
      </c>
      <c r="B4820" s="9" t="str">
        <f>IFERROR(__xludf.DUMMYFUNCTION("""COMPUTED_VALUE"""),"tt-tob")</f>
        <v>tt-tob</v>
      </c>
      <c r="C4820" s="9" t="str">
        <f>IFERROR(__xludf.DUMMYFUNCTION("GOOGLETRANSLATE($A4820,""en"",""de"")"),"Tobago")</f>
        <v>Tobago</v>
      </c>
      <c r="D4820" s="9" t="str">
        <f>IFERROR(__xludf.DUMMYFUNCTION("GOOGLETRANSLATE($A4820,""en"",""fr"")"),"Tobago")</f>
        <v>Tobago</v>
      </c>
      <c r="E4820" s="9" t="str">
        <f>IFERROR(__xludf.DUMMYFUNCTION("GOOGLETRANSLATE($A4820,""en"",""es"")"),"Tobago")</f>
        <v>Tobago</v>
      </c>
      <c r="F4820" s="9" t="str">
        <f>IFERROR(__xludf.DUMMYFUNCTION("GOOGLETRANSLATE($A4820,""en"",""it"")"),"Tobago")</f>
        <v>Tobago</v>
      </c>
      <c r="G4820" s="9" t="str">
        <f>IFERROR(__xludf.DUMMYFUNCTION("GOOGLETRANSLATE($A4820,""en"",""zh-cn"")"),"多巴哥")</f>
        <v>多巴哥</v>
      </c>
      <c r="H4820" s="9" t="str">
        <f>IFERROR(__xludf.DUMMYFUNCTION("GOOGLETRANSLATE($A4820,""en"",""ja"")"),"トバゴ")</f>
        <v>トバゴ</v>
      </c>
      <c r="I4820" s="9" t="str">
        <f>IFERROR(__xludf.DUMMYFUNCTION("GOOGLETRANSLATE($A4820,""en"",""ko"")"),"토바고")</f>
        <v>토바고</v>
      </c>
      <c r="J4820" s="9" t="str">
        <f>IFERROR(__xludf.DUMMYFUNCTION("GOOGLETRANSLATE($A4820,""en"",""pt-BR"")"),"Tobago")</f>
        <v>Tobago</v>
      </c>
    </row>
    <row r="4821">
      <c r="A4821" s="9" t="str">
        <f>IFERROR(__xludf.DUMMYFUNCTION("""COMPUTED_VALUE"""),"Mayaro-Rio Claro")</f>
        <v>Mayaro-Rio Claro</v>
      </c>
      <c r="B4821" s="9" t="str">
        <f>IFERROR(__xludf.DUMMYFUNCTION("""COMPUTED_VALUE"""),"tt-mrc")</f>
        <v>tt-mrc</v>
      </c>
      <c r="C4821" s="9" t="str">
        <f>IFERROR(__xludf.DUMMYFUNCTION("GOOGLETRANSLATE($A4821,""en"",""de"")"),"Mayaro-Rio Claro")</f>
        <v>Mayaro-Rio Claro</v>
      </c>
      <c r="D4821" s="9" t="str">
        <f>IFERROR(__xludf.DUMMYFUNCTION("GOOGLETRANSLATE($A4821,""en"",""fr"")"),"Mayaro-Rio Claro")</f>
        <v>Mayaro-Rio Claro</v>
      </c>
      <c r="E4821" s="9" t="str">
        <f>IFERROR(__xludf.DUMMYFUNCTION("GOOGLETRANSLATE($A4821,""en"",""es"")"),"Mayaro-Rio Claro")</f>
        <v>Mayaro-Rio Claro</v>
      </c>
      <c r="F4821" s="9" t="str">
        <f>IFERROR(__xludf.DUMMYFUNCTION("GOOGLETRANSLATE($A4821,""en"",""it"")"),"Mayaro-Rio Claro")</f>
        <v>Mayaro-Rio Claro</v>
      </c>
      <c r="G4821" s="9" t="str">
        <f>IFERROR(__xludf.DUMMYFUNCTION("GOOGLETRANSLATE($A4821,""en"",""zh-cn"")"),"马亚罗-里奥克拉罗")</f>
        <v>马亚罗-里奥克拉罗</v>
      </c>
      <c r="H4821" s="9" t="str">
        <f>IFERROR(__xludf.DUMMYFUNCTION("GOOGLETRANSLATE($A4821,""en"",""ja"")"),"マヤロ-リオクラロ")</f>
        <v>マヤロ-リオクラロ</v>
      </c>
      <c r="I4821" s="9" t="str">
        <f>IFERROR(__xludf.DUMMYFUNCTION("GOOGLETRANSLATE($A4821,""en"",""ko"")"),"마야로-리오 클라로")</f>
        <v>마야로-리오 클라로</v>
      </c>
      <c r="J4821" s="9" t="str">
        <f>IFERROR(__xludf.DUMMYFUNCTION("GOOGLETRANSLATE($A4821,""en"",""pt-BR"")"),"Mayaro-Rio Claro")</f>
        <v>Mayaro-Rio Claro</v>
      </c>
    </row>
    <row r="4822">
      <c r="A4822" s="9" t="str">
        <f>IFERROR(__xludf.DUMMYFUNCTION("""COMPUTED_VALUE"""),"Siparia")</f>
        <v>Siparia</v>
      </c>
      <c r="B4822" s="9" t="str">
        <f>IFERROR(__xludf.DUMMYFUNCTION("""COMPUTED_VALUE"""),"tt-sip")</f>
        <v>tt-sip</v>
      </c>
      <c r="C4822" s="9" t="str">
        <f>IFERROR(__xludf.DUMMYFUNCTION("GOOGLETRANSLATE($A4822,""en"",""de"")"),"Siparia")</f>
        <v>Siparia</v>
      </c>
      <c r="D4822" s="9" t="str">
        <f>IFERROR(__xludf.DUMMYFUNCTION("GOOGLETRANSLATE($A4822,""en"",""fr"")"),"Siparie")</f>
        <v>Siparie</v>
      </c>
      <c r="E4822" s="9" t="str">
        <f>IFERROR(__xludf.DUMMYFUNCTION("GOOGLETRANSLATE($A4822,""en"",""es"")"),"Siparia")</f>
        <v>Siparia</v>
      </c>
      <c r="F4822" s="9" t="str">
        <f>IFERROR(__xludf.DUMMYFUNCTION("GOOGLETRANSLATE($A4822,""en"",""it"")"),"Siparia")</f>
        <v>Siparia</v>
      </c>
      <c r="G4822" s="9" t="str">
        <f>IFERROR(__xludf.DUMMYFUNCTION("GOOGLETRANSLATE($A4822,""en"",""zh-cn"")"),"西帕里亚")</f>
        <v>西帕里亚</v>
      </c>
      <c r="H4822" s="9" t="str">
        <f>IFERROR(__xludf.DUMMYFUNCTION("GOOGLETRANSLATE($A4822,""en"",""ja"")"),"シパリア")</f>
        <v>シパリア</v>
      </c>
      <c r="I4822" s="9" t="str">
        <f>IFERROR(__xludf.DUMMYFUNCTION("GOOGLETRANSLATE($A4822,""en"",""ko"")"),"시파리아")</f>
        <v>시파리아</v>
      </c>
      <c r="J4822" s="9" t="str">
        <f>IFERROR(__xludf.DUMMYFUNCTION("GOOGLETRANSLATE($A4822,""en"",""pt-BR"")"),"Siparia")</f>
        <v>Siparia</v>
      </c>
    </row>
    <row r="4823">
      <c r="A4823" s="9" t="str">
        <f>IFERROR(__xludf.DUMMYFUNCTION("""COMPUTED_VALUE"""),"Western Tobago")</f>
        <v>Western Tobago</v>
      </c>
      <c r="B4823" s="9" t="str">
        <f>IFERROR(__xludf.DUMMYFUNCTION("""COMPUTED_VALUE"""),"tt-wto")</f>
        <v>tt-wto</v>
      </c>
      <c r="C4823" s="9" t="str">
        <f>IFERROR(__xludf.DUMMYFUNCTION("GOOGLETRANSLATE($A4823,""en"",""de"")"),"West-Tobago")</f>
        <v>West-Tobago</v>
      </c>
      <c r="D4823" s="9" t="str">
        <f>IFERROR(__xludf.DUMMYFUNCTION("GOOGLETRANSLATE($A4823,""en"",""fr"")"),"Tobago occidental")</f>
        <v>Tobago occidental</v>
      </c>
      <c r="E4823" s="9" t="str">
        <f>IFERROR(__xludf.DUMMYFUNCTION("GOOGLETRANSLATE($A4823,""en"",""es"")"),"Tobago occidental")</f>
        <v>Tobago occidental</v>
      </c>
      <c r="F4823" s="9" t="str">
        <f>IFERROR(__xludf.DUMMYFUNCTION("GOOGLETRANSLATE($A4823,""en"",""it"")"),"Tobago occidentale")</f>
        <v>Tobago occidentale</v>
      </c>
      <c r="G4823" s="9" t="str">
        <f>IFERROR(__xludf.DUMMYFUNCTION("GOOGLETRANSLATE($A4823,""en"",""zh-cn"")"),"西多巴哥")</f>
        <v>西多巴哥</v>
      </c>
      <c r="H4823" s="9" t="str">
        <f>IFERROR(__xludf.DUMMYFUNCTION("GOOGLETRANSLATE($A4823,""en"",""ja"")"),"西トバゴ")</f>
        <v>西トバゴ</v>
      </c>
      <c r="I4823" s="9" t="str">
        <f>IFERROR(__xludf.DUMMYFUNCTION("GOOGLETRANSLATE($A4823,""en"",""ko"")"),"서부 토바고")</f>
        <v>서부 토바고</v>
      </c>
      <c r="J4823" s="9" t="str">
        <f>IFERROR(__xludf.DUMMYFUNCTION("GOOGLETRANSLATE($A4823,""en"",""pt-BR"")"),"Oeste de Tobago")</f>
        <v>Oeste de Tobago</v>
      </c>
    </row>
    <row r="4824">
      <c r="A4824" s="9" t="str">
        <f>IFERROR(__xludf.DUMMYFUNCTION("""COMPUTED_VALUE"""),"San Fernando")</f>
        <v>San Fernando</v>
      </c>
      <c r="B4824" s="9" t="str">
        <f>IFERROR(__xludf.DUMMYFUNCTION("""COMPUTED_VALUE"""),"tt-sfo")</f>
        <v>tt-sfo</v>
      </c>
      <c r="C4824" s="9" t="str">
        <f>IFERROR(__xludf.DUMMYFUNCTION("GOOGLETRANSLATE($A4824,""en"",""de"")"),"San Fernando")</f>
        <v>San Fernando</v>
      </c>
      <c r="D4824" s="9" t="str">
        <f>IFERROR(__xludf.DUMMYFUNCTION("GOOGLETRANSLATE($A4824,""en"",""fr"")"),"San Fernando")</f>
        <v>San Fernando</v>
      </c>
      <c r="E4824" s="9" t="str">
        <f>IFERROR(__xludf.DUMMYFUNCTION("GOOGLETRANSLATE($A4824,""en"",""es"")"),"sanfernando")</f>
        <v>sanfernando</v>
      </c>
      <c r="F4824" s="9" t="str">
        <f>IFERROR(__xludf.DUMMYFUNCTION("GOOGLETRANSLATE($A4824,""en"",""it"")"),"San Fernando")</f>
        <v>San Fernando</v>
      </c>
      <c r="G4824" s="9" t="str">
        <f>IFERROR(__xludf.DUMMYFUNCTION("GOOGLETRANSLATE($A4824,""en"",""zh-cn"")"),"圣费尔南多")</f>
        <v>圣费尔南多</v>
      </c>
      <c r="H4824" s="9" t="str">
        <f>IFERROR(__xludf.DUMMYFUNCTION("GOOGLETRANSLATE($A4824,""en"",""ja"")"),"サンフェルナンド")</f>
        <v>サンフェルナンド</v>
      </c>
      <c r="I4824" s="9" t="str">
        <f>IFERROR(__xludf.DUMMYFUNCTION("GOOGLETRANSLATE($A4824,""en"",""ko"")"),"산 페르난도")</f>
        <v>산 페르난도</v>
      </c>
      <c r="J4824" s="9" t="str">
        <f>IFERROR(__xludf.DUMMYFUNCTION("GOOGLETRANSLATE($A4824,""en"",""pt-BR"")"),"São Fernando")</f>
        <v>São Fernando</v>
      </c>
    </row>
    <row r="4825">
      <c r="A4825" s="9" t="str">
        <f>IFERROR(__xludf.DUMMYFUNCTION("""COMPUTED_VALUE"""),"Port of Spain")</f>
        <v>Port of Spain</v>
      </c>
      <c r="B4825" s="9" t="str">
        <f>IFERROR(__xludf.DUMMYFUNCTION("""COMPUTED_VALUE"""),"tt-pos")</f>
        <v>tt-pos</v>
      </c>
      <c r="C4825" s="9" t="str">
        <f>IFERROR(__xludf.DUMMYFUNCTION("GOOGLETRANSLATE($A4825,""en"",""de"")"),"Hafen von Spanien")</f>
        <v>Hafen von Spanien</v>
      </c>
      <c r="D4825" s="9" t="str">
        <f>IFERROR(__xludf.DUMMYFUNCTION("GOOGLETRANSLATE($A4825,""en"",""fr"")"),"Port d'Espagne")</f>
        <v>Port d'Espagne</v>
      </c>
      <c r="E4825" s="9" t="str">
        <f>IFERROR(__xludf.DUMMYFUNCTION("GOOGLETRANSLATE($A4825,""en"",""es"")"),"puerto españa")</f>
        <v>puerto españa</v>
      </c>
      <c r="F4825" s="9" t="str">
        <f>IFERROR(__xludf.DUMMYFUNCTION("GOOGLETRANSLATE($A4825,""en"",""it"")"),"Porto di Spagna")</f>
        <v>Porto di Spagna</v>
      </c>
      <c r="G4825" s="9" t="str">
        <f>IFERROR(__xludf.DUMMYFUNCTION("GOOGLETRANSLATE($A4825,""en"",""zh-cn"")"),"西班牙港")</f>
        <v>西班牙港</v>
      </c>
      <c r="H4825" s="9" t="str">
        <f>IFERROR(__xludf.DUMMYFUNCTION("GOOGLETRANSLATE($A4825,""en"",""ja"")"),"ポート オブ スペイン")</f>
        <v>ポート オブ スペイン</v>
      </c>
      <c r="I4825" s="9" t="str">
        <f>IFERROR(__xludf.DUMMYFUNCTION("GOOGLETRANSLATE($A4825,""en"",""ko"")"),"포트 오브 스페인")</f>
        <v>포트 오브 스페인</v>
      </c>
      <c r="J4825" s="9" t="str">
        <f>IFERROR(__xludf.DUMMYFUNCTION("GOOGLETRANSLATE($A4825,""en"",""pt-BR"")"),"Porto de Espanha")</f>
        <v>Porto de Espanha</v>
      </c>
    </row>
    <row r="4826">
      <c r="A4826" s="9" t="str">
        <f>IFERROR(__xludf.DUMMYFUNCTION("""COMPUTED_VALUE"""),"Rio Claro-Mayaro")</f>
        <v>Rio Claro-Mayaro</v>
      </c>
      <c r="B4826" s="9" t="str">
        <f>IFERROR(__xludf.DUMMYFUNCTION("""COMPUTED_VALUE"""),"tt-rcm")</f>
        <v>tt-rcm</v>
      </c>
      <c r="C4826" s="9" t="str">
        <f>IFERROR(__xludf.DUMMYFUNCTION("GOOGLETRANSLATE($A4826,""en"",""de"")"),"Rio Claro-Mayaro")</f>
        <v>Rio Claro-Mayaro</v>
      </c>
      <c r="D4826" s="9" t="str">
        <f>IFERROR(__xludf.DUMMYFUNCTION("GOOGLETRANSLATE($A4826,""en"",""fr"")"),"Rio Claro-Mayaro")</f>
        <v>Rio Claro-Mayaro</v>
      </c>
      <c r="E4826" s="9" t="str">
        <f>IFERROR(__xludf.DUMMYFUNCTION("GOOGLETRANSLATE($A4826,""en"",""es"")"),"Río Claro-Mayaro")</f>
        <v>Río Claro-Mayaro</v>
      </c>
      <c r="F4826" s="9" t="str">
        <f>IFERROR(__xludf.DUMMYFUNCTION("GOOGLETRANSLATE($A4826,""en"",""it"")"),"Rio Claro-Mayaro")</f>
        <v>Rio Claro-Mayaro</v>
      </c>
      <c r="G4826" s="9" t="str">
        <f>IFERROR(__xludf.DUMMYFUNCTION("GOOGLETRANSLATE($A4826,""en"",""zh-cn"")"),"里奥克拉罗-马亚罗")</f>
        <v>里奥克拉罗-马亚罗</v>
      </c>
      <c r="H4826" s="9" t="str">
        <f>IFERROR(__xludf.DUMMYFUNCTION("GOOGLETRANSLATE($A4826,""en"",""ja"")"),"リオ クラロ マヤロ")</f>
        <v>リオ クラロ マヤロ</v>
      </c>
      <c r="I4826" s="9" t="str">
        <f>IFERROR(__xludf.DUMMYFUNCTION("GOOGLETRANSLATE($A4826,""en"",""ko"")"),"리오 클라로-마야로")</f>
        <v>리오 클라로-마야로</v>
      </c>
      <c r="J4826" s="9" t="str">
        <f>IFERROR(__xludf.DUMMYFUNCTION("GOOGLETRANSLATE($A4826,""en"",""pt-BR"")"),"Rio Claro-Mayaro")</f>
        <v>Rio Claro-Mayaro</v>
      </c>
    </row>
    <row r="4827">
      <c r="A4827" s="9" t="str">
        <f>IFERROR(__xludf.DUMMYFUNCTION("""COMPUTED_VALUE"""),"Diego Martin")</f>
        <v>Diego Martin</v>
      </c>
      <c r="B4827" s="9" t="str">
        <f>IFERROR(__xludf.DUMMYFUNCTION("""COMPUTED_VALUE"""),"tt-dmn")</f>
        <v>tt-dmn</v>
      </c>
      <c r="C4827" s="9" t="str">
        <f>IFERROR(__xludf.DUMMYFUNCTION("GOOGLETRANSLATE($A4827,""en"",""de"")"),"Diego Martin")</f>
        <v>Diego Martin</v>
      </c>
      <c r="D4827" s="9" t="str">
        <f>IFERROR(__xludf.DUMMYFUNCTION("GOOGLETRANSLATE($A4827,""en"",""fr"")"),"Diego Martin")</f>
        <v>Diego Martin</v>
      </c>
      <c r="E4827" s="9" t="str">
        <f>IFERROR(__xludf.DUMMYFUNCTION("GOOGLETRANSLATE($A4827,""en"",""es"")"),"Diego Martín")</f>
        <v>Diego Martín</v>
      </c>
      <c r="F4827" s="9" t="str">
        <f>IFERROR(__xludf.DUMMYFUNCTION("GOOGLETRANSLATE($A4827,""en"",""it"")"),"Diego Martino")</f>
        <v>Diego Martino</v>
      </c>
      <c r="G4827" s="9" t="str">
        <f>IFERROR(__xludf.DUMMYFUNCTION("GOOGLETRANSLATE($A4827,""en"",""zh-cn"")"),"迭戈·马丁")</f>
        <v>迭戈·马丁</v>
      </c>
      <c r="H4827" s="9" t="str">
        <f>IFERROR(__xludf.DUMMYFUNCTION("GOOGLETRANSLATE($A4827,""en"",""ja"")"),"ディエゴ・マルティン")</f>
        <v>ディエゴ・マルティン</v>
      </c>
      <c r="I4827" s="9" t="str">
        <f>IFERROR(__xludf.DUMMYFUNCTION("GOOGLETRANSLATE($A4827,""en"",""ko"")"),"디에고 마틴")</f>
        <v>디에고 마틴</v>
      </c>
      <c r="J4827" s="9" t="str">
        <f>IFERROR(__xludf.DUMMYFUNCTION("GOOGLETRANSLATE($A4827,""en"",""pt-BR"")"),"Diego Martins")</f>
        <v>Diego Martins</v>
      </c>
    </row>
    <row r="4828">
      <c r="A4828" s="9" t="str">
        <f>IFERROR(__xludf.DUMMYFUNCTION("""COMPUTED_VALUE"""),"Princes Town")</f>
        <v>Princes Town</v>
      </c>
      <c r="B4828" s="9" t="str">
        <f>IFERROR(__xludf.DUMMYFUNCTION("""COMPUTED_VALUE"""),"tt-prt")</f>
        <v>tt-prt</v>
      </c>
      <c r="C4828" s="9" t="str">
        <f>IFERROR(__xludf.DUMMYFUNCTION("GOOGLETRANSLATE($A4828,""en"",""de"")"),"Prinzenstadt")</f>
        <v>Prinzenstadt</v>
      </c>
      <c r="D4828" s="9" t="str">
        <f>IFERROR(__xludf.DUMMYFUNCTION("GOOGLETRANSLATE($A4828,""en"",""fr"")"),"Ville des Princes")</f>
        <v>Ville des Princes</v>
      </c>
      <c r="E4828" s="9" t="str">
        <f>IFERROR(__xludf.DUMMYFUNCTION("GOOGLETRANSLATE($A4828,""en"",""es"")"),"Ciudad de los Príncipes")</f>
        <v>Ciudad de los Príncipes</v>
      </c>
      <c r="F4828" s="9" t="str">
        <f>IFERROR(__xludf.DUMMYFUNCTION("GOOGLETRANSLATE($A4828,""en"",""it"")"),"La città dei principi")</f>
        <v>La città dei principi</v>
      </c>
      <c r="G4828" s="9" t="str">
        <f>IFERROR(__xludf.DUMMYFUNCTION("GOOGLETRANSLATE($A4828,""en"",""zh-cn"")"),"王子镇")</f>
        <v>王子镇</v>
      </c>
      <c r="H4828" s="9" t="str">
        <f>IFERROR(__xludf.DUMMYFUNCTION("GOOGLETRANSLATE($A4828,""en"",""ja"")"),"プリンセスタウン")</f>
        <v>プリンセスタウン</v>
      </c>
      <c r="I4828" s="9" t="str">
        <f>IFERROR(__xludf.DUMMYFUNCTION("GOOGLETRANSLATE($A4828,""en"",""ko"")"),"프린스 타운")</f>
        <v>프린스 타운</v>
      </c>
      <c r="J4828" s="9" t="str">
        <f>IFERROR(__xludf.DUMMYFUNCTION("GOOGLETRANSLATE($A4828,""en"",""pt-BR"")"),"Cidade dos Príncipes")</f>
        <v>Cidade dos Príncipes</v>
      </c>
    </row>
    <row r="4829">
      <c r="A4829" s="9" t="str">
        <f>IFERROR(__xludf.DUMMYFUNCTION("""COMPUTED_VALUE"""),"Chaguanas")</f>
        <v>Chaguanas</v>
      </c>
      <c r="B4829" s="9" t="str">
        <f>IFERROR(__xludf.DUMMYFUNCTION("""COMPUTED_VALUE"""),"tt-cha")</f>
        <v>tt-cha</v>
      </c>
      <c r="C4829" s="9" t="str">
        <f>IFERROR(__xludf.DUMMYFUNCTION("GOOGLETRANSLATE($A4829,""en"",""de"")"),"Chaguanas")</f>
        <v>Chaguanas</v>
      </c>
      <c r="D4829" s="9" t="str">
        <f>IFERROR(__xludf.DUMMYFUNCTION("GOOGLETRANSLATE($A4829,""en"",""fr"")"),"Chaguanas")</f>
        <v>Chaguanas</v>
      </c>
      <c r="E4829" s="9" t="str">
        <f>IFERROR(__xludf.DUMMYFUNCTION("GOOGLETRANSLATE($A4829,""en"",""es"")"),"chaguanas")</f>
        <v>chaguanas</v>
      </c>
      <c r="F4829" s="9" t="str">
        <f>IFERROR(__xludf.DUMMYFUNCTION("GOOGLETRANSLATE($A4829,""en"",""it"")"),"Chaguana")</f>
        <v>Chaguana</v>
      </c>
      <c r="G4829" s="9" t="str">
        <f>IFERROR(__xludf.DUMMYFUNCTION("GOOGLETRANSLATE($A4829,""en"",""zh-cn"")"),"查瓜纳斯")</f>
        <v>查瓜纳斯</v>
      </c>
      <c r="H4829" s="9" t="str">
        <f>IFERROR(__xludf.DUMMYFUNCTION("GOOGLETRANSLATE($A4829,""en"",""ja"")"),"チャグアナ")</f>
        <v>チャグアナ</v>
      </c>
      <c r="I4829" s="9" t="str">
        <f>IFERROR(__xludf.DUMMYFUNCTION("GOOGLETRANSLATE($A4829,""en"",""ko"")"),"차과나스")</f>
        <v>차과나스</v>
      </c>
      <c r="J4829" s="9" t="str">
        <f>IFERROR(__xludf.DUMMYFUNCTION("GOOGLETRANSLATE($A4829,""en"",""pt-BR"")"),"Chaguanas")</f>
        <v>Chaguanas</v>
      </c>
    </row>
    <row r="4830">
      <c r="A4830" s="9" t="str">
        <f>IFERROR(__xludf.DUMMYFUNCTION("""COMPUTED_VALUE"""),"Couva-Tabaquite-Talparo")</f>
        <v>Couva-Tabaquite-Talparo</v>
      </c>
      <c r="B4830" s="9" t="str">
        <f>IFERROR(__xludf.DUMMYFUNCTION("""COMPUTED_VALUE"""),"tt-ctt")</f>
        <v>tt-ctt</v>
      </c>
      <c r="C4830" s="9" t="str">
        <f>IFERROR(__xludf.DUMMYFUNCTION("GOOGLETRANSLATE($A4830,""en"",""de"")"),"Couva-Tabaquite-Talparo")</f>
        <v>Couva-Tabaquite-Talparo</v>
      </c>
      <c r="D4830" s="9" t="str">
        <f>IFERROR(__xludf.DUMMYFUNCTION("GOOGLETRANSLATE($A4830,""en"",""fr"")"),"Couva-Tabaquite-Talparo")</f>
        <v>Couva-Tabaquite-Talparo</v>
      </c>
      <c r="E4830" s="9" t="str">
        <f>IFERROR(__xludf.DUMMYFUNCTION("GOOGLETRANSLATE($A4830,""en"",""es"")"),"Couva-Tabaquite-Talparo")</f>
        <v>Couva-Tabaquite-Talparo</v>
      </c>
      <c r="F4830" s="9" t="str">
        <f>IFERROR(__xludf.DUMMYFUNCTION("GOOGLETRANSLATE($A4830,""en"",""it"")"),"Couva-Tabaquite-Talparo")</f>
        <v>Couva-Tabaquite-Talparo</v>
      </c>
      <c r="G4830" s="9" t="str">
        <f>IFERROR(__xludf.DUMMYFUNCTION("GOOGLETRANSLATE($A4830,""en"",""zh-cn"")"),"库瓦-塔巴基特-塔尔帕罗")</f>
        <v>库瓦-塔巴基特-塔尔帕罗</v>
      </c>
      <c r="H4830" s="9" t="str">
        <f>IFERROR(__xludf.DUMMYFUNCTION("GOOGLETRANSLATE($A4830,""en"",""ja"")"),"クーバ-タバキテ-タルパロ")</f>
        <v>クーバ-タバキテ-タルパロ</v>
      </c>
      <c r="I4830" s="9" t="str">
        <f>IFERROR(__xludf.DUMMYFUNCTION("GOOGLETRANSLATE($A4830,""en"",""ko"")"),"쿠바-타바키테-탈파로")</f>
        <v>쿠바-타바키테-탈파로</v>
      </c>
      <c r="J4830" s="9" t="str">
        <f>IFERROR(__xludf.DUMMYFUNCTION("GOOGLETRANSLATE($A4830,""en"",""pt-BR"")"),"Couva-Tabaquite-Talparo")</f>
        <v>Couva-Tabaquite-Talparo</v>
      </c>
    </row>
    <row r="4831">
      <c r="A4831" s="9" t="str">
        <f>IFERROR(__xludf.DUMMYFUNCTION("""COMPUTED_VALUE"""),"San Juan-Laventille")</f>
        <v>San Juan-Laventille</v>
      </c>
      <c r="B4831" s="9" t="str">
        <f>IFERROR(__xludf.DUMMYFUNCTION("""COMPUTED_VALUE"""),"tt-sjl")</f>
        <v>tt-sjl</v>
      </c>
      <c r="C4831" s="9" t="str">
        <f>IFERROR(__xludf.DUMMYFUNCTION("GOOGLETRANSLATE($A4831,""en"",""de"")"),"San Juan-Laventille")</f>
        <v>San Juan-Laventille</v>
      </c>
      <c r="D4831" s="9" t="str">
        <f>IFERROR(__xludf.DUMMYFUNCTION("GOOGLETRANSLATE($A4831,""en"",""fr"")"),"San Juan-Laventille")</f>
        <v>San Juan-Laventille</v>
      </c>
      <c r="E4831" s="9" t="str">
        <f>IFERROR(__xludf.DUMMYFUNCTION("GOOGLETRANSLATE($A4831,""en"",""es"")"),"San Juan-Laventille")</f>
        <v>San Juan-Laventille</v>
      </c>
      <c r="F4831" s="9" t="str">
        <f>IFERROR(__xludf.DUMMYFUNCTION("GOOGLETRANSLATE($A4831,""en"",""it"")"),"San Juan-Laventille")</f>
        <v>San Juan-Laventille</v>
      </c>
      <c r="G4831" s="9" t="str">
        <f>IFERROR(__xludf.DUMMYFUNCTION("GOOGLETRANSLATE($A4831,""en"",""zh-cn"")"),"圣胡安-拉文蒂尔")</f>
        <v>圣胡安-拉文蒂尔</v>
      </c>
      <c r="H4831" s="9" t="str">
        <f>IFERROR(__xludf.DUMMYFUNCTION("GOOGLETRANSLATE($A4831,""en"",""ja"")"),"サンファン・ラベンティル")</f>
        <v>サンファン・ラベンティル</v>
      </c>
      <c r="I4831" s="9" t="str">
        <f>IFERROR(__xludf.DUMMYFUNCTION("GOOGLETRANSLATE($A4831,""en"",""ko"")"),"산 후안-라벤틸")</f>
        <v>산 후안-라벤틸</v>
      </c>
      <c r="J4831" s="9" t="str">
        <f>IFERROR(__xludf.DUMMYFUNCTION("GOOGLETRANSLATE($A4831,""en"",""pt-BR"")"),"San Juan-Laventille")</f>
        <v>San Juan-Laventille</v>
      </c>
    </row>
    <row r="4832">
      <c r="A4832" s="9" t="str">
        <f>IFERROR(__xludf.DUMMYFUNCTION("""COMPUTED_VALUE"""),"Point Fortin")</f>
        <v>Point Fortin</v>
      </c>
      <c r="B4832" s="9" t="str">
        <f>IFERROR(__xludf.DUMMYFUNCTION("""COMPUTED_VALUE"""),"tt-ptf")</f>
        <v>tt-ptf</v>
      </c>
      <c r="C4832" s="9" t="str">
        <f>IFERROR(__xludf.DUMMYFUNCTION("GOOGLETRANSLATE($A4832,""en"",""de"")"),"Punkt Fortin")</f>
        <v>Punkt Fortin</v>
      </c>
      <c r="D4832" s="9" t="str">
        <f>IFERROR(__xludf.DUMMYFUNCTION("GOOGLETRANSLATE($A4832,""en"",""fr"")"),"Pointe-Fortin")</f>
        <v>Pointe-Fortin</v>
      </c>
      <c r="E4832" s="9" t="str">
        <f>IFERROR(__xludf.DUMMYFUNCTION("GOOGLETRANSLATE($A4832,""en"",""es"")"),"Punto Fortín")</f>
        <v>Punto Fortín</v>
      </c>
      <c r="F4832" s="9" t="str">
        <f>IFERROR(__xludf.DUMMYFUNCTION("GOOGLETRANSLATE($A4832,""en"",""it"")"),"Punto Fortin")</f>
        <v>Punto Fortin</v>
      </c>
      <c r="G4832" s="9" t="str">
        <f>IFERROR(__xludf.DUMMYFUNCTION("GOOGLETRANSLATE($A4832,""en"",""zh-cn"")"),"福廷角")</f>
        <v>福廷角</v>
      </c>
      <c r="H4832" s="9" t="str">
        <f>IFERROR(__xludf.DUMMYFUNCTION("GOOGLETRANSLATE($A4832,""en"",""ja"")"),"ポイント・フォーティン")</f>
        <v>ポイント・フォーティン</v>
      </c>
      <c r="I4832" s="9" t="str">
        <f>IFERROR(__xludf.DUMMYFUNCTION("GOOGLETRANSLATE($A4832,""en"",""ko"")"),"포인트 포르틴")</f>
        <v>포인트 포르틴</v>
      </c>
      <c r="J4832" s="9" t="str">
        <f>IFERROR(__xludf.DUMMYFUNCTION("GOOGLETRANSLATE($A4832,""en"",""pt-BR"")"),"Ponto Fortin")</f>
        <v>Ponto Fortin</v>
      </c>
    </row>
    <row r="4833">
      <c r="A4833" s="9" t="str">
        <f>IFERROR(__xludf.DUMMYFUNCTION("""COMPUTED_VALUE"""),"Tunapuna-Piarco")</f>
        <v>Tunapuna-Piarco</v>
      </c>
      <c r="B4833" s="9" t="str">
        <f>IFERROR(__xludf.DUMMYFUNCTION("""COMPUTED_VALUE"""),"tt-tup")</f>
        <v>tt-tup</v>
      </c>
      <c r="C4833" s="9" t="str">
        <f>IFERROR(__xludf.DUMMYFUNCTION("GOOGLETRANSLATE($A4833,""en"",""de"")"),"Tunapuna-Piarco")</f>
        <v>Tunapuna-Piarco</v>
      </c>
      <c r="D4833" s="9" t="str">
        <f>IFERROR(__xludf.DUMMYFUNCTION("GOOGLETRANSLATE($A4833,""en"",""fr"")"),"Tunapuna-Piarco")</f>
        <v>Tunapuna-Piarco</v>
      </c>
      <c r="E4833" s="9" t="str">
        <f>IFERROR(__xludf.DUMMYFUNCTION("GOOGLETRANSLATE($A4833,""en"",""es"")"),"Tunapuna-Piarco")</f>
        <v>Tunapuna-Piarco</v>
      </c>
      <c r="F4833" s="9" t="str">
        <f>IFERROR(__xludf.DUMMYFUNCTION("GOOGLETRANSLATE($A4833,""en"",""it"")"),"Tunapuna-Piarco")</f>
        <v>Tunapuna-Piarco</v>
      </c>
      <c r="G4833" s="9" t="str">
        <f>IFERROR(__xludf.DUMMYFUNCTION("GOOGLETRANSLATE($A4833,""en"",""zh-cn"")"),"图纳普纳-皮亚尔科")</f>
        <v>图纳普纳-皮亚尔科</v>
      </c>
      <c r="H4833" s="9" t="str">
        <f>IFERROR(__xludf.DUMMYFUNCTION("GOOGLETRANSLATE($A4833,""en"",""ja"")"),"トゥナプナ ピアルコ")</f>
        <v>トゥナプナ ピアルコ</v>
      </c>
      <c r="I4833" s="9" t="str">
        <f>IFERROR(__xludf.DUMMYFUNCTION("GOOGLETRANSLATE($A4833,""en"",""ko"")"),"투나푸나-피아르코")</f>
        <v>투나푸나-피아르코</v>
      </c>
      <c r="J4833" s="9" t="str">
        <f>IFERROR(__xludf.DUMMYFUNCTION("GOOGLETRANSLATE($A4833,""en"",""pt-BR"")"),"Tunapuna-Piarco")</f>
        <v>Tunapuna-Piarco</v>
      </c>
    </row>
    <row r="4834">
      <c r="A4834" s="9" t="str">
        <f>IFERROR(__xludf.DUMMYFUNCTION("""COMPUTED_VALUE"""),"Sangre Grande")</f>
        <v>Sangre Grande</v>
      </c>
      <c r="B4834" s="9" t="str">
        <f>IFERROR(__xludf.DUMMYFUNCTION("""COMPUTED_VALUE"""),"tt-sge")</f>
        <v>tt-sge</v>
      </c>
      <c r="C4834" s="9" t="str">
        <f>IFERROR(__xludf.DUMMYFUNCTION("GOOGLETRANSLATE($A4834,""en"",""de"")"),"Sangre Grande")</f>
        <v>Sangre Grande</v>
      </c>
      <c r="D4834" s="9" t="str">
        <f>IFERROR(__xludf.DUMMYFUNCTION("GOOGLETRANSLATE($A4834,""en"",""fr"")"),"Sangre Grande")</f>
        <v>Sangre Grande</v>
      </c>
      <c r="E4834" s="9" t="str">
        <f>IFERROR(__xludf.DUMMYFUNCTION("GOOGLETRANSLATE($A4834,""en"",""es"")"),"Sangre Grande")</f>
        <v>Sangre Grande</v>
      </c>
      <c r="F4834" s="9" t="str">
        <f>IFERROR(__xludf.DUMMYFUNCTION("GOOGLETRANSLATE($A4834,""en"",""it"")"),"Sangre Grande")</f>
        <v>Sangre Grande</v>
      </c>
      <c r="G4834" s="9" t="str">
        <f>IFERROR(__xludf.DUMMYFUNCTION("GOOGLETRANSLATE($A4834,""en"",""zh-cn"")"),"桑格雷格兰德")</f>
        <v>桑格雷格兰德</v>
      </c>
      <c r="H4834" s="9" t="str">
        <f>IFERROR(__xludf.DUMMYFUNCTION("GOOGLETRANSLATE($A4834,""en"",""ja"")"),"サングレ グランデ")</f>
        <v>サングレ グランデ</v>
      </c>
      <c r="I4834" s="9" t="str">
        <f>IFERROR(__xludf.DUMMYFUNCTION("GOOGLETRANSLATE($A4834,""en"",""ko"")"),"상그레 그란데")</f>
        <v>상그레 그란데</v>
      </c>
      <c r="J4834" s="9" t="str">
        <f>IFERROR(__xludf.DUMMYFUNCTION("GOOGLETRANSLATE($A4834,""en"",""pt-BR"")"),"Sangue Grande")</f>
        <v>Sangue Grande</v>
      </c>
    </row>
    <row r="4835">
      <c r="A4835" s="9" t="str">
        <f>IFERROR(__xludf.DUMMYFUNCTION("""COMPUTED_VALUE"""),"Arima")</f>
        <v>Arima</v>
      </c>
      <c r="B4835" s="9" t="str">
        <f>IFERROR(__xludf.DUMMYFUNCTION("""COMPUTED_VALUE"""),"tt-ari")</f>
        <v>tt-ari</v>
      </c>
      <c r="C4835" s="9" t="str">
        <f>IFERROR(__xludf.DUMMYFUNCTION("GOOGLETRANSLATE($A4835,""en"",""de"")"),"Arima")</f>
        <v>Arima</v>
      </c>
      <c r="D4835" s="9" t="str">
        <f>IFERROR(__xludf.DUMMYFUNCTION("GOOGLETRANSLATE($A4835,""en"",""fr"")"),"Arima")</f>
        <v>Arima</v>
      </c>
      <c r="E4835" s="9" t="str">
        <f>IFERROR(__xludf.DUMMYFUNCTION("GOOGLETRANSLATE($A4835,""en"",""es"")"),"Arima")</f>
        <v>Arima</v>
      </c>
      <c r="F4835" s="9" t="str">
        <f>IFERROR(__xludf.DUMMYFUNCTION("GOOGLETRANSLATE($A4835,""en"",""it"")"),"Arima")</f>
        <v>Arima</v>
      </c>
      <c r="G4835" s="9" t="str">
        <f>IFERROR(__xludf.DUMMYFUNCTION("GOOGLETRANSLATE($A4835,""en"",""zh-cn"")"),"有马")</f>
        <v>有马</v>
      </c>
      <c r="H4835" s="9" t="str">
        <f>IFERROR(__xludf.DUMMYFUNCTION("GOOGLETRANSLATE($A4835,""en"",""ja"")"),"有馬")</f>
        <v>有馬</v>
      </c>
      <c r="I4835" s="9" t="str">
        <f>IFERROR(__xludf.DUMMYFUNCTION("GOOGLETRANSLATE($A4835,""en"",""ko"")"),"아리마")</f>
        <v>아리마</v>
      </c>
      <c r="J4835" s="9" t="str">
        <f>IFERROR(__xludf.DUMMYFUNCTION("GOOGLETRANSLATE($A4835,""en"",""pt-BR"")"),"Arima")</f>
        <v>Arima</v>
      </c>
    </row>
    <row r="4836">
      <c r="A4836" s="9" t="str">
        <f>IFERROR(__xludf.DUMMYFUNCTION("""COMPUTED_VALUE"""),"Penal-Debe")</f>
        <v>Penal-Debe</v>
      </c>
      <c r="B4836" s="9" t="str">
        <f>IFERROR(__xludf.DUMMYFUNCTION("""COMPUTED_VALUE"""),"tt-ped")</f>
        <v>tt-ped</v>
      </c>
      <c r="C4836" s="9" t="str">
        <f>IFERROR(__xludf.DUMMYFUNCTION("GOOGLETRANSLATE($A4836,""en"",""de"")"),"Straf-Debe")</f>
        <v>Straf-Debe</v>
      </c>
      <c r="D4836" s="9" t="str">
        <f>IFERROR(__xludf.DUMMYFUNCTION("GOOGLETRANSLATE($A4836,""en"",""fr"")"),"Pénal-Debe")</f>
        <v>Pénal-Debe</v>
      </c>
      <c r="E4836" s="9" t="str">
        <f>IFERROR(__xludf.DUMMYFUNCTION("GOOGLETRANSLATE($A4836,""en"",""es"")"),"Penal-Debe")</f>
        <v>Penal-Debe</v>
      </c>
      <c r="F4836" s="9" t="str">
        <f>IFERROR(__xludf.DUMMYFUNCTION("GOOGLETRANSLATE($A4836,""en"",""it"")"),"Penale-Debe")</f>
        <v>Penale-Debe</v>
      </c>
      <c r="G4836" s="9" t="str">
        <f>IFERROR(__xludf.DUMMYFUNCTION("GOOGLETRANSLATE($A4836,""en"",""zh-cn"")"),"刑罚-德贝")</f>
        <v>刑罚-德贝</v>
      </c>
      <c r="H4836" s="9" t="str">
        <f>IFERROR(__xludf.DUMMYFUNCTION("GOOGLETRANSLATE($A4836,""en"",""ja"")"),"ペナルデベ")</f>
        <v>ペナルデベ</v>
      </c>
      <c r="I4836" s="9" t="str">
        <f>IFERROR(__xludf.DUMMYFUNCTION("GOOGLETRANSLATE($A4836,""en"",""ko"")"),"페널데베")</f>
        <v>페널데베</v>
      </c>
      <c r="J4836" s="9" t="str">
        <f>IFERROR(__xludf.DUMMYFUNCTION("GOOGLETRANSLATE($A4836,""en"",""pt-BR"")"),"Penal-Debe")</f>
        <v>Penal-Debe</v>
      </c>
    </row>
    <row r="4837">
      <c r="A4837" s="9" t="str">
        <f>IFERROR(__xludf.DUMMYFUNCTION("""COMPUTED_VALUE"""),"Eastern Tobago")</f>
        <v>Eastern Tobago</v>
      </c>
      <c r="B4837" s="9" t="str">
        <f>IFERROR(__xludf.DUMMYFUNCTION("""COMPUTED_VALUE"""),"tt-eto")</f>
        <v>tt-eto</v>
      </c>
      <c r="C4837" s="9" t="str">
        <f>IFERROR(__xludf.DUMMYFUNCTION("GOOGLETRANSLATE($A4837,""en"",""de"")"),"Ost-Tobago")</f>
        <v>Ost-Tobago</v>
      </c>
      <c r="D4837" s="9" t="str">
        <f>IFERROR(__xludf.DUMMYFUNCTION("GOOGLETRANSLATE($A4837,""en"",""fr"")"),"Tobago oriental")</f>
        <v>Tobago oriental</v>
      </c>
      <c r="E4837" s="9" t="str">
        <f>IFERROR(__xludf.DUMMYFUNCTION("GOOGLETRANSLATE($A4837,""en"",""es"")"),"Este de Tobago")</f>
        <v>Este de Tobago</v>
      </c>
      <c r="F4837" s="9" t="str">
        <f>IFERROR(__xludf.DUMMYFUNCTION("GOOGLETRANSLATE($A4837,""en"",""it"")"),"Tobago orientale")</f>
        <v>Tobago orientale</v>
      </c>
      <c r="G4837" s="9" t="str">
        <f>IFERROR(__xludf.DUMMYFUNCTION("GOOGLETRANSLATE($A4837,""en"",""zh-cn"")"),"东多巴哥")</f>
        <v>东多巴哥</v>
      </c>
      <c r="H4837" s="9" t="str">
        <f>IFERROR(__xludf.DUMMYFUNCTION("GOOGLETRANSLATE($A4837,""en"",""ja"")"),"東トバゴ島")</f>
        <v>東トバゴ島</v>
      </c>
      <c r="I4837" s="9" t="str">
        <f>IFERROR(__xludf.DUMMYFUNCTION("GOOGLETRANSLATE($A4837,""en"",""ko"")"),"동부 토바고")</f>
        <v>동부 토바고</v>
      </c>
      <c r="J4837" s="9" t="str">
        <f>IFERROR(__xludf.DUMMYFUNCTION("GOOGLETRANSLATE($A4837,""en"",""pt-BR"")"),"Leste de Tobago")</f>
        <v>Leste de Tobago</v>
      </c>
    </row>
    <row r="4838">
      <c r="A4838" s="9" t="str">
        <f>IFERROR(__xludf.DUMMYFUNCTION("""COMPUTED_VALUE"""),"Monastir")</f>
        <v>Monastir</v>
      </c>
      <c r="B4838" s="9" t="str">
        <f>IFERROR(__xludf.DUMMYFUNCTION("""COMPUTED_VALUE"""),"tn-52")</f>
        <v>tn-52</v>
      </c>
      <c r="C4838" s="9" t="str">
        <f>IFERROR(__xludf.DUMMYFUNCTION("GOOGLETRANSLATE($A4838,""en"",""de"")"),"Monastir")</f>
        <v>Monastir</v>
      </c>
      <c r="D4838" s="9" t="str">
        <f>IFERROR(__xludf.DUMMYFUNCTION("GOOGLETRANSLATE($A4838,""en"",""fr"")"),"Monastir")</f>
        <v>Monastir</v>
      </c>
      <c r="E4838" s="9" t="str">
        <f>IFERROR(__xludf.DUMMYFUNCTION("GOOGLETRANSLATE($A4838,""en"",""es"")"),"Monastir")</f>
        <v>Monastir</v>
      </c>
      <c r="F4838" s="9" t="str">
        <f>IFERROR(__xludf.DUMMYFUNCTION("GOOGLETRANSLATE($A4838,""en"",""it"")"),"Monastir")</f>
        <v>Monastir</v>
      </c>
      <c r="G4838" s="9" t="str">
        <f>IFERROR(__xludf.DUMMYFUNCTION("GOOGLETRANSLATE($A4838,""en"",""zh-cn"")"),"莫纳斯提尔")</f>
        <v>莫纳斯提尔</v>
      </c>
      <c r="H4838" s="9" t="str">
        <f>IFERROR(__xludf.DUMMYFUNCTION("GOOGLETRANSLATE($A4838,""en"",""ja"")"),"モナスティル")</f>
        <v>モナスティル</v>
      </c>
      <c r="I4838" s="9" t="str">
        <f>IFERROR(__xludf.DUMMYFUNCTION("GOOGLETRANSLATE($A4838,""en"",""ko"")"),"모나스티르")</f>
        <v>모나스티르</v>
      </c>
      <c r="J4838" s="9" t="str">
        <f>IFERROR(__xludf.DUMMYFUNCTION("GOOGLETRANSLATE($A4838,""en"",""pt-BR"")"),"Monastir")</f>
        <v>Monastir</v>
      </c>
    </row>
    <row r="4839">
      <c r="A4839" s="9" t="str">
        <f>IFERROR(__xludf.DUMMYFUNCTION("""COMPUTED_VALUE"""),"Zaghouan")</f>
        <v>Zaghouan</v>
      </c>
      <c r="B4839" s="9" t="str">
        <f>IFERROR(__xludf.DUMMYFUNCTION("""COMPUTED_VALUE"""),"tn-22")</f>
        <v>tn-22</v>
      </c>
      <c r="C4839" s="9" t="str">
        <f>IFERROR(__xludf.DUMMYFUNCTION("GOOGLETRANSLATE($A4839,""en"",""de"")"),"Zaghouan")</f>
        <v>Zaghouan</v>
      </c>
      <c r="D4839" s="9" t="str">
        <f>IFERROR(__xludf.DUMMYFUNCTION("GOOGLETRANSLATE($A4839,""en"",""fr"")"),"Zaghouan")</f>
        <v>Zaghouan</v>
      </c>
      <c r="E4839" s="9" t="str">
        <f>IFERROR(__xludf.DUMMYFUNCTION("GOOGLETRANSLATE($A4839,""en"",""es"")"),"Zaghouán")</f>
        <v>Zaghouán</v>
      </c>
      <c r="F4839" s="9" t="str">
        <f>IFERROR(__xludf.DUMMYFUNCTION("GOOGLETRANSLATE($A4839,""en"",""it"")"),"Zaghouan")</f>
        <v>Zaghouan</v>
      </c>
      <c r="G4839" s="9" t="str">
        <f>IFERROR(__xludf.DUMMYFUNCTION("GOOGLETRANSLATE($A4839,""en"",""zh-cn"")"),"扎格万")</f>
        <v>扎格万</v>
      </c>
      <c r="H4839" s="9" t="str">
        <f>IFERROR(__xludf.DUMMYFUNCTION("GOOGLETRANSLATE($A4839,""en"",""ja"")"),"ザグアン")</f>
        <v>ザグアン</v>
      </c>
      <c r="I4839" s="9" t="str">
        <f>IFERROR(__xludf.DUMMYFUNCTION("GOOGLETRANSLATE($A4839,""en"",""ko"")"),"자구안")</f>
        <v>자구안</v>
      </c>
      <c r="J4839" s="9" t="str">
        <f>IFERROR(__xludf.DUMMYFUNCTION("GOOGLETRANSLATE($A4839,""en"",""pt-BR"")"),"Zaguã")</f>
        <v>Zaguã</v>
      </c>
    </row>
    <row r="4840">
      <c r="A4840" s="9" t="str">
        <f>IFERROR(__xludf.DUMMYFUNCTION("""COMPUTED_VALUE"""),"Ben Arous")</f>
        <v>Ben Arous</v>
      </c>
      <c r="B4840" s="9" t="str">
        <f>IFERROR(__xludf.DUMMYFUNCTION("""COMPUTED_VALUE"""),"tn-13")</f>
        <v>tn-13</v>
      </c>
      <c r="C4840" s="9" t="str">
        <f>IFERROR(__xludf.DUMMYFUNCTION("GOOGLETRANSLATE($A4840,""en"",""de"")"),"Ben Arous")</f>
        <v>Ben Arous</v>
      </c>
      <c r="D4840" s="9" t="str">
        <f>IFERROR(__xludf.DUMMYFUNCTION("GOOGLETRANSLATE($A4840,""en"",""fr"")"),"Ben Arous")</f>
        <v>Ben Arous</v>
      </c>
      <c r="E4840" s="9" t="str">
        <f>IFERROR(__xludf.DUMMYFUNCTION("GOOGLETRANSLATE($A4840,""en"",""es"")"),"Ben Arous")</f>
        <v>Ben Arous</v>
      </c>
      <c r="F4840" s="9" t="str">
        <f>IFERROR(__xludf.DUMMYFUNCTION("GOOGLETRANSLATE($A4840,""en"",""it"")"),"Ben Arous")</f>
        <v>Ben Arous</v>
      </c>
      <c r="G4840" s="9" t="str">
        <f>IFERROR(__xludf.DUMMYFUNCTION("GOOGLETRANSLATE($A4840,""en"",""zh-cn"")"),"本·阿鲁斯")</f>
        <v>本·阿鲁斯</v>
      </c>
      <c r="H4840" s="9" t="str">
        <f>IFERROR(__xludf.DUMMYFUNCTION("GOOGLETRANSLATE($A4840,""en"",""ja"")"),"ベン・アロウス")</f>
        <v>ベン・アロウス</v>
      </c>
      <c r="I4840" s="9" t="str">
        <f>IFERROR(__xludf.DUMMYFUNCTION("GOOGLETRANSLATE($A4840,""en"",""ko"")"),"벤 아루스")</f>
        <v>벤 아루스</v>
      </c>
      <c r="J4840" s="9" t="str">
        <f>IFERROR(__xludf.DUMMYFUNCTION("GOOGLETRANSLATE($A4840,""en"",""pt-BR"")"),"Ben Arous")</f>
        <v>Ben Arous</v>
      </c>
    </row>
    <row r="4841">
      <c r="A4841" s="9" t="str">
        <f>IFERROR(__xludf.DUMMYFUNCTION("""COMPUTED_VALUE"""),"Kairouan")</f>
        <v>Kairouan</v>
      </c>
      <c r="B4841" s="9" t="str">
        <f>IFERROR(__xludf.DUMMYFUNCTION("""COMPUTED_VALUE"""),"tn-41")</f>
        <v>tn-41</v>
      </c>
      <c r="C4841" s="9" t="str">
        <f>IFERROR(__xludf.DUMMYFUNCTION("GOOGLETRANSLATE($A4841,""en"",""de"")"),"Kairouan")</f>
        <v>Kairouan</v>
      </c>
      <c r="D4841" s="9" t="str">
        <f>IFERROR(__xludf.DUMMYFUNCTION("GOOGLETRANSLATE($A4841,""en"",""fr"")"),"Kairouan")</f>
        <v>Kairouan</v>
      </c>
      <c r="E4841" s="9" t="str">
        <f>IFERROR(__xludf.DUMMYFUNCTION("GOOGLETRANSLATE($A4841,""en"",""es"")"),"Kairuán")</f>
        <v>Kairuán</v>
      </c>
      <c r="F4841" s="9" t="str">
        <f>IFERROR(__xludf.DUMMYFUNCTION("GOOGLETRANSLATE($A4841,""en"",""it"")"),"Kairouan")</f>
        <v>Kairouan</v>
      </c>
      <c r="G4841" s="9" t="str">
        <f>IFERROR(__xludf.DUMMYFUNCTION("GOOGLETRANSLATE($A4841,""en"",""zh-cn"")"),"凯鲁万")</f>
        <v>凯鲁万</v>
      </c>
      <c r="H4841" s="9" t="str">
        <f>IFERROR(__xludf.DUMMYFUNCTION("GOOGLETRANSLATE($A4841,""en"",""ja"")"),"ケロアン")</f>
        <v>ケロアン</v>
      </c>
      <c r="I4841" s="9" t="str">
        <f>IFERROR(__xludf.DUMMYFUNCTION("GOOGLETRANSLATE($A4841,""en"",""ko"")"),"카이로우안")</f>
        <v>카이로우안</v>
      </c>
      <c r="J4841" s="9" t="str">
        <f>IFERROR(__xludf.DUMMYFUNCTION("GOOGLETRANSLATE($A4841,""en"",""pt-BR"")"),"Cairuão")</f>
        <v>Cairuão</v>
      </c>
    </row>
    <row r="4842">
      <c r="A4842" s="9" t="str">
        <f>IFERROR(__xludf.DUMMYFUNCTION("""COMPUTED_VALUE"""),"Tozeur")</f>
        <v>Tozeur</v>
      </c>
      <c r="B4842" s="9" t="str">
        <f>IFERROR(__xludf.DUMMYFUNCTION("""COMPUTED_VALUE"""),"tn-72")</f>
        <v>tn-72</v>
      </c>
      <c r="C4842" s="9" t="str">
        <f>IFERROR(__xludf.DUMMYFUNCTION("GOOGLETRANSLATE($A4842,""en"",""de"")"),"Tozeur")</f>
        <v>Tozeur</v>
      </c>
      <c r="D4842" s="9" t="str">
        <f>IFERROR(__xludf.DUMMYFUNCTION("GOOGLETRANSLATE($A4842,""en"",""fr"")"),"Tozeur")</f>
        <v>Tozeur</v>
      </c>
      <c r="E4842" s="9" t="str">
        <f>IFERROR(__xludf.DUMMYFUNCTION("GOOGLETRANSLATE($A4842,""en"",""es"")"),"Tozeur")</f>
        <v>Tozeur</v>
      </c>
      <c r="F4842" s="9" t="str">
        <f>IFERROR(__xludf.DUMMYFUNCTION("GOOGLETRANSLATE($A4842,""en"",""it"")"),"Tozeur")</f>
        <v>Tozeur</v>
      </c>
      <c r="G4842" s="9" t="str">
        <f>IFERROR(__xludf.DUMMYFUNCTION("GOOGLETRANSLATE($A4842,""en"",""zh-cn"")"),"托泽尔")</f>
        <v>托泽尔</v>
      </c>
      <c r="H4842" s="9" t="str">
        <f>IFERROR(__xludf.DUMMYFUNCTION("GOOGLETRANSLATE($A4842,""en"",""ja"")"),"トズール")</f>
        <v>トズール</v>
      </c>
      <c r="I4842" s="9" t="str">
        <f>IFERROR(__xludf.DUMMYFUNCTION("GOOGLETRANSLATE($A4842,""en"",""ko"")"),"토주르")</f>
        <v>토주르</v>
      </c>
      <c r="J4842" s="9" t="str">
        <f>IFERROR(__xludf.DUMMYFUNCTION("GOOGLETRANSLATE($A4842,""en"",""pt-BR"")"),"Tozeur")</f>
        <v>Tozeur</v>
      </c>
    </row>
    <row r="4843">
      <c r="A4843" s="9" t="str">
        <f>IFERROR(__xludf.DUMMYFUNCTION("""COMPUTED_VALUE"""),"Béja (TN)")</f>
        <v>Béja (TN)</v>
      </c>
      <c r="B4843" s="9" t="str">
        <f>IFERROR(__xludf.DUMMYFUNCTION("""COMPUTED_VALUE"""),"tn-31")</f>
        <v>tn-31</v>
      </c>
      <c r="C4843" s="9" t="str">
        <f>IFERROR(__xludf.DUMMYFUNCTION("GOOGLETRANSLATE($A4843,""en"",""de"")"),"Beja (TN)")</f>
        <v>Beja (TN)</v>
      </c>
      <c r="D4843" s="9" t="str">
        <f>IFERROR(__xludf.DUMMYFUNCTION("GOOGLETRANSLATE($A4843,""en"",""fr"")"),"Béja (TN)")</f>
        <v>Béja (TN)</v>
      </c>
      <c r="E4843" s="9" t="str">
        <f>IFERROR(__xludf.DUMMYFUNCTION("GOOGLETRANSLATE($A4843,""en"",""es"")"),"Béja (TN)")</f>
        <v>Béja (TN)</v>
      </c>
      <c r="F4843" s="9" t="str">
        <f>IFERROR(__xludf.DUMMYFUNCTION("GOOGLETRANSLATE($A4843,""en"",""it"")"),"Beja (TN)")</f>
        <v>Beja (TN)</v>
      </c>
      <c r="G4843" s="9" t="str">
        <f>IFERROR(__xludf.DUMMYFUNCTION("GOOGLETRANSLATE($A4843,""en"",""zh-cn"")"),"贝雅（田纳西州）")</f>
        <v>贝雅（田纳西州）</v>
      </c>
      <c r="H4843" s="9" t="str">
        <f>IFERROR(__xludf.DUMMYFUNCTION("GOOGLETRANSLATE($A4843,""en"",""ja"")"),"ベジャ (テネシー州)")</f>
        <v>ベジャ (テネシー州)</v>
      </c>
      <c r="I4843" s="9" t="str">
        <f>IFERROR(__xludf.DUMMYFUNCTION("GOOGLETRANSLATE($A4843,""en"",""ko"")"),"베자(TN)")</f>
        <v>베자(TN)</v>
      </c>
      <c r="J4843" s="9" t="str">
        <f>IFERROR(__xludf.DUMMYFUNCTION("GOOGLETRANSLATE($A4843,""en"",""pt-BR"")"),"Beja (TN)")</f>
        <v>Beja (TN)</v>
      </c>
    </row>
    <row r="4844">
      <c r="A4844" s="9" t="str">
        <f>IFERROR(__xludf.DUMMYFUNCTION("""COMPUTED_VALUE"""),"Sfax")</f>
        <v>Sfax</v>
      </c>
      <c r="B4844" s="9" t="str">
        <f>IFERROR(__xludf.DUMMYFUNCTION("""COMPUTED_VALUE"""),"tn-61")</f>
        <v>tn-61</v>
      </c>
      <c r="C4844" s="9" t="str">
        <f>IFERROR(__xludf.DUMMYFUNCTION("GOOGLETRANSLATE($A4844,""en"",""de"")"),"Sfax")</f>
        <v>Sfax</v>
      </c>
      <c r="D4844" s="9" t="str">
        <f>IFERROR(__xludf.DUMMYFUNCTION("GOOGLETRANSLATE($A4844,""en"",""fr"")"),"Sfax")</f>
        <v>Sfax</v>
      </c>
      <c r="E4844" s="9" t="str">
        <f>IFERROR(__xludf.DUMMYFUNCTION("GOOGLETRANSLATE($A4844,""en"",""es"")"),"sfax")</f>
        <v>sfax</v>
      </c>
      <c r="F4844" s="9" t="str">
        <f>IFERROR(__xludf.DUMMYFUNCTION("GOOGLETRANSLATE($A4844,""en"",""it"")"),"Sfax")</f>
        <v>Sfax</v>
      </c>
      <c r="G4844" s="9" t="str">
        <f>IFERROR(__xludf.DUMMYFUNCTION("GOOGLETRANSLATE($A4844,""en"",""zh-cn"")"),"斯法克斯")</f>
        <v>斯法克斯</v>
      </c>
      <c r="H4844" s="9" t="str">
        <f>IFERROR(__xludf.DUMMYFUNCTION("GOOGLETRANSLATE($A4844,""en"",""ja"")"),"スファックス")</f>
        <v>スファックス</v>
      </c>
      <c r="I4844" s="9" t="str">
        <f>IFERROR(__xludf.DUMMYFUNCTION("GOOGLETRANSLATE($A4844,""en"",""ko"")"),"스팍스")</f>
        <v>스팍스</v>
      </c>
      <c r="J4844" s="9" t="str">
        <f>IFERROR(__xludf.DUMMYFUNCTION("GOOGLETRANSLATE($A4844,""en"",""pt-BR"")"),"Sfax")</f>
        <v>Sfax</v>
      </c>
    </row>
    <row r="4845">
      <c r="A4845" s="9" t="str">
        <f>IFERROR(__xludf.DUMMYFUNCTION("""COMPUTED_VALUE"""),"Tunis")</f>
        <v>Tunis</v>
      </c>
      <c r="B4845" s="9" t="str">
        <f>IFERROR(__xludf.DUMMYFUNCTION("""COMPUTED_VALUE"""),"tn-11")</f>
        <v>tn-11</v>
      </c>
      <c r="C4845" s="9" t="str">
        <f>IFERROR(__xludf.DUMMYFUNCTION("GOOGLETRANSLATE($A4845,""en"",""de"")"),"Tunis")</f>
        <v>Tunis</v>
      </c>
      <c r="D4845" s="9" t="str">
        <f>IFERROR(__xludf.DUMMYFUNCTION("GOOGLETRANSLATE($A4845,""en"",""fr"")"),"Tunisie")</f>
        <v>Tunisie</v>
      </c>
      <c r="E4845" s="9" t="str">
        <f>IFERROR(__xludf.DUMMYFUNCTION("GOOGLETRANSLATE($A4845,""en"",""es"")"),"Túnez")</f>
        <v>Túnez</v>
      </c>
      <c r="F4845" s="9" t="str">
        <f>IFERROR(__xludf.DUMMYFUNCTION("GOOGLETRANSLATE($A4845,""en"",""it"")"),"Tunisi")</f>
        <v>Tunisi</v>
      </c>
      <c r="G4845" s="9" t="str">
        <f>IFERROR(__xludf.DUMMYFUNCTION("GOOGLETRANSLATE($A4845,""en"",""zh-cn"")"),"突尼斯")</f>
        <v>突尼斯</v>
      </c>
      <c r="H4845" s="9" t="str">
        <f>IFERROR(__xludf.DUMMYFUNCTION("GOOGLETRANSLATE($A4845,""en"",""ja"")"),"チュニス")</f>
        <v>チュニス</v>
      </c>
      <c r="I4845" s="9" t="str">
        <f>IFERROR(__xludf.DUMMYFUNCTION("GOOGLETRANSLATE($A4845,""en"",""ko"")"),"튀니스")</f>
        <v>튀니스</v>
      </c>
      <c r="J4845" s="9" t="str">
        <f>IFERROR(__xludf.DUMMYFUNCTION("GOOGLETRANSLATE($A4845,""en"",""pt-BR"")"),"Tunes")</f>
        <v>Tunes</v>
      </c>
    </row>
    <row r="4846">
      <c r="A4846" s="9" t="str">
        <f>IFERROR(__xludf.DUMMYFUNCTION("""COMPUTED_VALUE"""),"Gafsa")</f>
        <v>Gafsa</v>
      </c>
      <c r="B4846" s="9" t="str">
        <f>IFERROR(__xludf.DUMMYFUNCTION("""COMPUTED_VALUE"""),"tn-71")</f>
        <v>tn-71</v>
      </c>
      <c r="C4846" s="9" t="str">
        <f>IFERROR(__xludf.DUMMYFUNCTION("GOOGLETRANSLATE($A4846,""en"",""de"")"),"Gafsa")</f>
        <v>Gafsa</v>
      </c>
      <c r="D4846" s="9" t="str">
        <f>IFERROR(__xludf.DUMMYFUNCTION("GOOGLETRANSLATE($A4846,""en"",""fr"")"),"Gafsa")</f>
        <v>Gafsa</v>
      </c>
      <c r="E4846" s="9" t="str">
        <f>IFERROR(__xludf.DUMMYFUNCTION("GOOGLETRANSLATE($A4846,""en"",""es"")"),"gafsa")</f>
        <v>gafsa</v>
      </c>
      <c r="F4846" s="9" t="str">
        <f>IFERROR(__xludf.DUMMYFUNCTION("GOOGLETRANSLATE($A4846,""en"",""it"")"),"Gafsa")</f>
        <v>Gafsa</v>
      </c>
      <c r="G4846" s="9" t="str">
        <f>IFERROR(__xludf.DUMMYFUNCTION("GOOGLETRANSLATE($A4846,""en"",""zh-cn"")"),"加夫萨")</f>
        <v>加夫萨</v>
      </c>
      <c r="H4846" s="9" t="str">
        <f>IFERROR(__xludf.DUMMYFUNCTION("GOOGLETRANSLATE($A4846,""en"",""ja"")"),"ガフサ")</f>
        <v>ガフサ</v>
      </c>
      <c r="I4846" s="9" t="str">
        <f>IFERROR(__xludf.DUMMYFUNCTION("GOOGLETRANSLATE($A4846,""en"",""ko"")"),"가프사")</f>
        <v>가프사</v>
      </c>
      <c r="J4846" s="9" t="str">
        <f>IFERROR(__xludf.DUMMYFUNCTION("GOOGLETRANSLATE($A4846,""en"",""pt-BR"")"),"Gafsa")</f>
        <v>Gafsa</v>
      </c>
    </row>
    <row r="4847">
      <c r="A4847" s="9" t="str">
        <f>IFERROR(__xludf.DUMMYFUNCTION("""COMPUTED_VALUE"""),"Medenine")</f>
        <v>Medenine</v>
      </c>
      <c r="B4847" s="9" t="str">
        <f>IFERROR(__xludf.DUMMYFUNCTION("""COMPUTED_VALUE"""),"tn-82")</f>
        <v>tn-82</v>
      </c>
      <c r="C4847" s="9" t="str">
        <f>IFERROR(__xludf.DUMMYFUNCTION("GOOGLETRANSLATE($A4847,""en"",""de"")"),"Medenine")</f>
        <v>Medenine</v>
      </c>
      <c r="D4847" s="9" t="str">
        <f>IFERROR(__xludf.DUMMYFUNCTION("GOOGLETRANSLATE($A4847,""en"",""fr"")"),"Médenine")</f>
        <v>Médenine</v>
      </c>
      <c r="E4847" s="9" t="str">
        <f>IFERROR(__xludf.DUMMYFUNCTION("GOOGLETRANSLATE($A4847,""en"",""es"")"),"medenina")</f>
        <v>medenina</v>
      </c>
      <c r="F4847" s="9" t="str">
        <f>IFERROR(__xludf.DUMMYFUNCTION("GOOGLETRANSLATE($A4847,""en"",""it"")"),"Médenine")</f>
        <v>Médenine</v>
      </c>
      <c r="G4847" s="9" t="str">
        <f>IFERROR(__xludf.DUMMYFUNCTION("GOOGLETRANSLATE($A4847,""en"",""zh-cn"")"),"梅德宁")</f>
        <v>梅德宁</v>
      </c>
      <c r="H4847" s="9" t="str">
        <f>IFERROR(__xludf.DUMMYFUNCTION("GOOGLETRANSLATE($A4847,""en"",""ja"")"),"メデニン")</f>
        <v>メデニン</v>
      </c>
      <c r="I4847" s="9" t="str">
        <f>IFERROR(__xludf.DUMMYFUNCTION("GOOGLETRANSLATE($A4847,""en"",""ko"")"),"메데닌")</f>
        <v>메데닌</v>
      </c>
      <c r="J4847" s="9" t="str">
        <f>IFERROR(__xludf.DUMMYFUNCTION("GOOGLETRANSLATE($A4847,""en"",""pt-BR"")"),"Médenina")</f>
        <v>Médenina</v>
      </c>
    </row>
    <row r="4848">
      <c r="A4848" s="9" t="str">
        <f>IFERROR(__xludf.DUMMYFUNCTION("""COMPUTED_VALUE"""),"Sidi Bouzid")</f>
        <v>Sidi Bouzid</v>
      </c>
      <c r="B4848" s="9" t="str">
        <f>IFERROR(__xludf.DUMMYFUNCTION("""COMPUTED_VALUE"""),"tn-43")</f>
        <v>tn-43</v>
      </c>
      <c r="C4848" s="9" t="str">
        <f>IFERROR(__xludf.DUMMYFUNCTION("GOOGLETRANSLATE($A4848,""en"",""de"")"),"Sidi Bouzid")</f>
        <v>Sidi Bouzid</v>
      </c>
      <c r="D4848" s="9" t="str">
        <f>IFERROR(__xludf.DUMMYFUNCTION("GOOGLETRANSLATE($A4848,""en"",""fr"")"),"Sidi Bouzid")</f>
        <v>Sidi Bouzid</v>
      </c>
      <c r="E4848" s="9" t="str">
        <f>IFERROR(__xludf.DUMMYFUNCTION("GOOGLETRANSLATE($A4848,""en"",""es"")"),"Sidi Bouzid")</f>
        <v>Sidi Bouzid</v>
      </c>
      <c r="F4848" s="9" t="str">
        <f>IFERROR(__xludf.DUMMYFUNCTION("GOOGLETRANSLATE($A4848,""en"",""it"")"),"Sidi Bouzid")</f>
        <v>Sidi Bouzid</v>
      </c>
      <c r="G4848" s="9" t="str">
        <f>IFERROR(__xludf.DUMMYFUNCTION("GOOGLETRANSLATE($A4848,""en"",""zh-cn"")"),"西迪布齐德")</f>
        <v>西迪布齐德</v>
      </c>
      <c r="H4848" s="9" t="str">
        <f>IFERROR(__xludf.DUMMYFUNCTION("GOOGLETRANSLATE($A4848,""en"",""ja"")"),"シディ・ブジッド")</f>
        <v>シディ・ブジッド</v>
      </c>
      <c r="I4848" s="9" t="str">
        <f>IFERROR(__xludf.DUMMYFUNCTION("GOOGLETRANSLATE($A4848,""en"",""ko"")"),"시디 부지드")</f>
        <v>시디 부지드</v>
      </c>
      <c r="J4848" s="9" t="str">
        <f>IFERROR(__xludf.DUMMYFUNCTION("GOOGLETRANSLATE($A4848,""en"",""pt-BR"")"),"Sidi Bouzid")</f>
        <v>Sidi Bouzid</v>
      </c>
    </row>
    <row r="4849">
      <c r="A4849" s="9" t="str">
        <f>IFERROR(__xludf.DUMMYFUNCTION("""COMPUTED_VALUE"""),"Kebili")</f>
        <v>Kebili</v>
      </c>
      <c r="B4849" s="9" t="str">
        <f>IFERROR(__xludf.DUMMYFUNCTION("""COMPUTED_VALUE"""),"tn-73")</f>
        <v>tn-73</v>
      </c>
      <c r="C4849" s="9" t="str">
        <f>IFERROR(__xludf.DUMMYFUNCTION("GOOGLETRANSLATE($A4849,""en"",""de"")"),"Kebili")</f>
        <v>Kebili</v>
      </c>
      <c r="D4849" s="9" t="str">
        <f>IFERROR(__xludf.DUMMYFUNCTION("GOOGLETRANSLATE($A4849,""en"",""fr"")"),"Kébili")</f>
        <v>Kébili</v>
      </c>
      <c r="E4849" s="9" t="str">
        <f>IFERROR(__xludf.DUMMYFUNCTION("GOOGLETRANSLATE($A4849,""en"",""es"")"),"kébili")</f>
        <v>kébili</v>
      </c>
      <c r="F4849" s="9" t="str">
        <f>IFERROR(__xludf.DUMMYFUNCTION("GOOGLETRANSLATE($A4849,""en"",""it"")"),"Kebili")</f>
        <v>Kebili</v>
      </c>
      <c r="G4849" s="9" t="str">
        <f>IFERROR(__xludf.DUMMYFUNCTION("GOOGLETRANSLATE($A4849,""en"",""zh-cn"")"),"克比利")</f>
        <v>克比利</v>
      </c>
      <c r="H4849" s="9" t="str">
        <f>IFERROR(__xludf.DUMMYFUNCTION("GOOGLETRANSLATE($A4849,""en"",""ja"")"),"ケビリ")</f>
        <v>ケビリ</v>
      </c>
      <c r="I4849" s="9" t="str">
        <f>IFERROR(__xludf.DUMMYFUNCTION("GOOGLETRANSLATE($A4849,""en"",""ko"")"),"케빌리")</f>
        <v>케빌리</v>
      </c>
      <c r="J4849" s="9" t="str">
        <f>IFERROR(__xludf.DUMMYFUNCTION("GOOGLETRANSLATE($A4849,""en"",""pt-BR"")"),"Kebili")</f>
        <v>Kebili</v>
      </c>
    </row>
    <row r="4850">
      <c r="A4850" s="9" t="str">
        <f>IFERROR(__xludf.DUMMYFUNCTION("""COMPUTED_VALUE"""),"Nabeul")</f>
        <v>Nabeul</v>
      </c>
      <c r="B4850" s="9" t="str">
        <f>IFERROR(__xludf.DUMMYFUNCTION("""COMPUTED_VALUE"""),"tn-21")</f>
        <v>tn-21</v>
      </c>
      <c r="C4850" s="9" t="str">
        <f>IFERROR(__xludf.DUMMYFUNCTION("GOOGLETRANSLATE($A4850,""en"",""de"")"),"Nabeul")</f>
        <v>Nabeul</v>
      </c>
      <c r="D4850" s="9" t="str">
        <f>IFERROR(__xludf.DUMMYFUNCTION("GOOGLETRANSLATE($A4850,""en"",""fr"")"),"Nabeul")</f>
        <v>Nabeul</v>
      </c>
      <c r="E4850" s="9" t="str">
        <f>IFERROR(__xludf.DUMMYFUNCTION("GOOGLETRANSLATE($A4850,""en"",""es"")"),"Nabeul")</f>
        <v>Nabeul</v>
      </c>
      <c r="F4850" s="9" t="str">
        <f>IFERROR(__xludf.DUMMYFUNCTION("GOOGLETRANSLATE($A4850,""en"",""it"")"),"Nabeul")</f>
        <v>Nabeul</v>
      </c>
      <c r="G4850" s="9" t="str">
        <f>IFERROR(__xludf.DUMMYFUNCTION("GOOGLETRANSLATE($A4850,""en"",""zh-cn"")"),"纳布勒")</f>
        <v>纳布勒</v>
      </c>
      <c r="H4850" s="9" t="str">
        <f>IFERROR(__xludf.DUMMYFUNCTION("GOOGLETRANSLATE($A4850,""en"",""ja"")"),"ナブール")</f>
        <v>ナブール</v>
      </c>
      <c r="I4850" s="9" t="str">
        <f>IFERROR(__xludf.DUMMYFUNCTION("GOOGLETRANSLATE($A4850,""en"",""ko"")"),"나블")</f>
        <v>나블</v>
      </c>
      <c r="J4850" s="9" t="str">
        <f>IFERROR(__xludf.DUMMYFUNCTION("GOOGLETRANSLATE($A4850,""en"",""pt-BR"")"),"Nabeul")</f>
        <v>Nabeul</v>
      </c>
    </row>
    <row r="4851">
      <c r="A4851" s="9" t="str">
        <f>IFERROR(__xludf.DUMMYFUNCTION("""COMPUTED_VALUE"""),"Tataouine")</f>
        <v>Tataouine</v>
      </c>
      <c r="B4851" s="9" t="str">
        <f>IFERROR(__xludf.DUMMYFUNCTION("""COMPUTED_VALUE"""),"tn-83")</f>
        <v>tn-83</v>
      </c>
      <c r="C4851" s="9" t="str">
        <f>IFERROR(__xludf.DUMMYFUNCTION("GOOGLETRANSLATE($A4851,""en"",""de"")"),"Tataouine")</f>
        <v>Tataouine</v>
      </c>
      <c r="D4851" s="9" t="str">
        <f>IFERROR(__xludf.DUMMYFUNCTION("GOOGLETRANSLATE($A4851,""en"",""fr"")"),"Tataouine")</f>
        <v>Tataouine</v>
      </c>
      <c r="E4851" s="9" t="str">
        <f>IFERROR(__xludf.DUMMYFUNCTION("GOOGLETRANSLATE($A4851,""en"",""es"")"),"Tataouine")</f>
        <v>Tataouine</v>
      </c>
      <c r="F4851" s="9" t="str">
        <f>IFERROR(__xludf.DUMMYFUNCTION("GOOGLETRANSLATE($A4851,""en"",""it"")"),"Tataouine")</f>
        <v>Tataouine</v>
      </c>
      <c r="G4851" s="9" t="str">
        <f>IFERROR(__xludf.DUMMYFUNCTION("GOOGLETRANSLATE($A4851,""en"",""zh-cn"")"),"塔塔温")</f>
        <v>塔塔温</v>
      </c>
      <c r="H4851" s="9" t="str">
        <f>IFERROR(__xludf.DUMMYFUNCTION("GOOGLETRANSLATE($A4851,""en"",""ja"")"),"タタウィーン")</f>
        <v>タタウィーン</v>
      </c>
      <c r="I4851" s="9" t="str">
        <f>IFERROR(__xludf.DUMMYFUNCTION("GOOGLETRANSLATE($A4851,""en"",""ko"")"),"타타윈")</f>
        <v>타타윈</v>
      </c>
      <c r="J4851" s="9" t="str">
        <f>IFERROR(__xludf.DUMMYFUNCTION("GOOGLETRANSLATE($A4851,""en"",""pt-BR"")"),"Tataouine")</f>
        <v>Tataouine</v>
      </c>
    </row>
    <row r="4852">
      <c r="A4852" s="9" t="str">
        <f>IFERROR(__xludf.DUMMYFUNCTION("""COMPUTED_VALUE"""),"Siliana")</f>
        <v>Siliana</v>
      </c>
      <c r="B4852" s="9" t="str">
        <f>IFERROR(__xludf.DUMMYFUNCTION("""COMPUTED_VALUE"""),"tn-34")</f>
        <v>tn-34</v>
      </c>
      <c r="C4852" s="9" t="str">
        <f>IFERROR(__xludf.DUMMYFUNCTION("GOOGLETRANSLATE($A4852,""en"",""de"")"),"Siliana")</f>
        <v>Siliana</v>
      </c>
      <c r="D4852" s="9" t="str">
        <f>IFERROR(__xludf.DUMMYFUNCTION("GOOGLETRANSLATE($A4852,""en"",""fr"")"),"Siliana")</f>
        <v>Siliana</v>
      </c>
      <c r="E4852" s="9" t="str">
        <f>IFERROR(__xludf.DUMMYFUNCTION("GOOGLETRANSLATE($A4852,""en"",""es"")"),"Siliana")</f>
        <v>Siliana</v>
      </c>
      <c r="F4852" s="9" t="str">
        <f>IFERROR(__xludf.DUMMYFUNCTION("GOOGLETRANSLATE($A4852,""en"",""it"")"),"Siliana")</f>
        <v>Siliana</v>
      </c>
      <c r="G4852" s="9" t="str">
        <f>IFERROR(__xludf.DUMMYFUNCTION("GOOGLETRANSLATE($A4852,""en"",""zh-cn"")"),"西利亚娜")</f>
        <v>西利亚娜</v>
      </c>
      <c r="H4852" s="9" t="str">
        <f>IFERROR(__xludf.DUMMYFUNCTION("GOOGLETRANSLATE($A4852,""en"",""ja"")"),"シリアナ")</f>
        <v>シリアナ</v>
      </c>
      <c r="I4852" s="9" t="str">
        <f>IFERROR(__xludf.DUMMYFUNCTION("GOOGLETRANSLATE($A4852,""en"",""ko"")"),"실리아나")</f>
        <v>실리아나</v>
      </c>
      <c r="J4852" s="9" t="str">
        <f>IFERROR(__xludf.DUMMYFUNCTION("GOOGLETRANSLATE($A4852,""en"",""pt-BR"")"),"Siliana")</f>
        <v>Siliana</v>
      </c>
    </row>
    <row r="4853">
      <c r="A4853" s="9" t="str">
        <f>IFERROR(__xludf.DUMMYFUNCTION("""COMPUTED_VALUE"""),"La Manouba")</f>
        <v>La Manouba</v>
      </c>
      <c r="B4853" s="9" t="str">
        <f>IFERROR(__xludf.DUMMYFUNCTION("""COMPUTED_VALUE"""),"tn-14")</f>
        <v>tn-14</v>
      </c>
      <c r="C4853" s="9" t="str">
        <f>IFERROR(__xludf.DUMMYFUNCTION("GOOGLETRANSLATE($A4853,""en"",""de"")"),"La Manouba")</f>
        <v>La Manouba</v>
      </c>
      <c r="D4853" s="9" t="str">
        <f>IFERROR(__xludf.DUMMYFUNCTION("GOOGLETRANSLATE($A4853,""en"",""fr"")"),"La Manouba")</f>
        <v>La Manouba</v>
      </c>
      <c r="E4853" s="9" t="str">
        <f>IFERROR(__xludf.DUMMYFUNCTION("GOOGLETRANSLATE($A4853,""en"",""es"")"),"La Manouba")</f>
        <v>La Manouba</v>
      </c>
      <c r="F4853" s="9" t="str">
        <f>IFERROR(__xludf.DUMMYFUNCTION("GOOGLETRANSLATE($A4853,""en"",""it"")"),"La Manouba")</f>
        <v>La Manouba</v>
      </c>
      <c r="G4853" s="9" t="str">
        <f>IFERROR(__xludf.DUMMYFUNCTION("GOOGLETRANSLATE($A4853,""en"",""zh-cn"")"),"拉马努巴")</f>
        <v>拉马努巴</v>
      </c>
      <c r="H4853" s="9" t="str">
        <f>IFERROR(__xludf.DUMMYFUNCTION("GOOGLETRANSLATE($A4853,""en"",""ja"")"),"ラ・マヌーバ")</f>
        <v>ラ・マヌーバ</v>
      </c>
      <c r="I4853" s="9" t="str">
        <f>IFERROR(__xludf.DUMMYFUNCTION("GOOGLETRANSLATE($A4853,""en"",""ko"")"),"라 마누바")</f>
        <v>라 마누바</v>
      </c>
      <c r="J4853" s="9" t="str">
        <f>IFERROR(__xludf.DUMMYFUNCTION("GOOGLETRANSLATE($A4853,""en"",""pt-BR"")"),"La Manouba")</f>
        <v>La Manouba</v>
      </c>
    </row>
    <row r="4854">
      <c r="A4854" s="9" t="str">
        <f>IFERROR(__xludf.DUMMYFUNCTION("""COMPUTED_VALUE"""),"Mahdia")</f>
        <v>Mahdia</v>
      </c>
      <c r="B4854" s="9" t="str">
        <f>IFERROR(__xludf.DUMMYFUNCTION("""COMPUTED_VALUE"""),"tn-53")</f>
        <v>tn-53</v>
      </c>
      <c r="C4854" s="9" t="str">
        <f>IFERROR(__xludf.DUMMYFUNCTION("GOOGLETRANSLATE($A4854,""en"",""de"")"),"Mahdia")</f>
        <v>Mahdia</v>
      </c>
      <c r="D4854" s="9" t="str">
        <f>IFERROR(__xludf.DUMMYFUNCTION("GOOGLETRANSLATE($A4854,""en"",""fr"")"),"Mahdia")</f>
        <v>Mahdia</v>
      </c>
      <c r="E4854" s="9" t="str">
        <f>IFERROR(__xludf.DUMMYFUNCTION("GOOGLETRANSLATE($A4854,""en"",""es"")"),"Mahdía")</f>
        <v>Mahdía</v>
      </c>
      <c r="F4854" s="9" t="str">
        <f>IFERROR(__xludf.DUMMYFUNCTION("GOOGLETRANSLATE($A4854,""en"",""it"")"),"Mahdia")</f>
        <v>Mahdia</v>
      </c>
      <c r="G4854" s="9" t="str">
        <f>IFERROR(__xludf.DUMMYFUNCTION("GOOGLETRANSLATE($A4854,""en"",""zh-cn"")"),"马赫迪耶")</f>
        <v>马赫迪耶</v>
      </c>
      <c r="H4854" s="9" t="str">
        <f>IFERROR(__xludf.DUMMYFUNCTION("GOOGLETRANSLATE($A4854,""en"",""ja"")"),"マディア")</f>
        <v>マディア</v>
      </c>
      <c r="I4854" s="9" t="str">
        <f>IFERROR(__xludf.DUMMYFUNCTION("GOOGLETRANSLATE($A4854,""en"",""ko"")"),"마디아")</f>
        <v>마디아</v>
      </c>
      <c r="J4854" s="9" t="str">
        <f>IFERROR(__xludf.DUMMYFUNCTION("GOOGLETRANSLATE($A4854,""en"",""pt-BR"")"),"Mahdia")</f>
        <v>Mahdia</v>
      </c>
    </row>
    <row r="4855">
      <c r="A4855" s="9" t="str">
        <f>IFERROR(__xludf.DUMMYFUNCTION("""COMPUTED_VALUE"""),"Bizerte")</f>
        <v>Bizerte</v>
      </c>
      <c r="B4855" s="9" t="str">
        <f>IFERROR(__xludf.DUMMYFUNCTION("""COMPUTED_VALUE"""),"tn-23")</f>
        <v>tn-23</v>
      </c>
      <c r="C4855" s="9" t="str">
        <f>IFERROR(__xludf.DUMMYFUNCTION("GOOGLETRANSLATE($A4855,""en"",""de"")"),"Bizerta")</f>
        <v>Bizerta</v>
      </c>
      <c r="D4855" s="9" t="str">
        <f>IFERROR(__xludf.DUMMYFUNCTION("GOOGLETRANSLATE($A4855,""en"",""fr"")"),"Bizerte")</f>
        <v>Bizerte</v>
      </c>
      <c r="E4855" s="9" t="str">
        <f>IFERROR(__xludf.DUMMYFUNCTION("GOOGLETRANSLATE($A4855,""en"",""es"")"),"Bizerta")</f>
        <v>Bizerta</v>
      </c>
      <c r="F4855" s="9" t="str">
        <f>IFERROR(__xludf.DUMMYFUNCTION("GOOGLETRANSLATE($A4855,""en"",""it"")"),"Biserta")</f>
        <v>Biserta</v>
      </c>
      <c r="G4855" s="9" t="str">
        <f>IFERROR(__xludf.DUMMYFUNCTION("GOOGLETRANSLATE($A4855,""en"",""zh-cn"")"),"比塞大")</f>
        <v>比塞大</v>
      </c>
      <c r="H4855" s="9" t="str">
        <f>IFERROR(__xludf.DUMMYFUNCTION("GOOGLETRANSLATE($A4855,""en"",""ja"")"),"ビゼルト")</f>
        <v>ビゼルト</v>
      </c>
      <c r="I4855" s="9" t="str">
        <f>IFERROR(__xludf.DUMMYFUNCTION("GOOGLETRANSLATE($A4855,""en"",""ko"")"),"비제르테")</f>
        <v>비제르테</v>
      </c>
      <c r="J4855" s="9" t="str">
        <f>IFERROR(__xludf.DUMMYFUNCTION("GOOGLETRANSLATE($A4855,""en"",""pt-BR"")"),"Bizerta")</f>
        <v>Bizerta</v>
      </c>
    </row>
    <row r="4856">
      <c r="A4856" s="9" t="str">
        <f>IFERROR(__xludf.DUMMYFUNCTION("""COMPUTED_VALUE"""),"Jendouba")</f>
        <v>Jendouba</v>
      </c>
      <c r="B4856" s="9" t="str">
        <f>IFERROR(__xludf.DUMMYFUNCTION("""COMPUTED_VALUE"""),"tn-32")</f>
        <v>tn-32</v>
      </c>
      <c r="C4856" s="9" t="str">
        <f>IFERROR(__xludf.DUMMYFUNCTION("GOOGLETRANSLATE($A4856,""en"",""de"")"),"Jendouba")</f>
        <v>Jendouba</v>
      </c>
      <c r="D4856" s="9" t="str">
        <f>IFERROR(__xludf.DUMMYFUNCTION("GOOGLETRANSLATE($A4856,""en"",""fr"")"),"Jendouba")</f>
        <v>Jendouba</v>
      </c>
      <c r="E4856" s="9" t="str">
        <f>IFERROR(__xludf.DUMMYFUNCTION("GOOGLETRANSLATE($A4856,""en"",""es"")"),"jendoba")</f>
        <v>jendoba</v>
      </c>
      <c r="F4856" s="9" t="str">
        <f>IFERROR(__xludf.DUMMYFUNCTION("GOOGLETRANSLATE($A4856,""en"",""it"")"),"Jendouba")</f>
        <v>Jendouba</v>
      </c>
      <c r="G4856" s="9" t="str">
        <f>IFERROR(__xludf.DUMMYFUNCTION("GOOGLETRANSLATE($A4856,""en"",""zh-cn"")"),"延杜巴")</f>
        <v>延杜巴</v>
      </c>
      <c r="H4856" s="9" t="str">
        <f>IFERROR(__xludf.DUMMYFUNCTION("GOOGLETRANSLATE($A4856,""en"",""ja"")"),"ジェンドゥバ")</f>
        <v>ジェンドゥバ</v>
      </c>
      <c r="I4856" s="9" t="str">
        <f>IFERROR(__xludf.DUMMYFUNCTION("GOOGLETRANSLATE($A4856,""en"",""ko"")"),"젠두바")</f>
        <v>젠두바</v>
      </c>
      <c r="J4856" s="9" t="str">
        <f>IFERROR(__xludf.DUMMYFUNCTION("GOOGLETRANSLATE($A4856,""en"",""pt-BR"")"),"Jendoúba")</f>
        <v>Jendoúba</v>
      </c>
    </row>
    <row r="4857">
      <c r="A4857" s="9" t="str">
        <f>IFERROR(__xludf.DUMMYFUNCTION("""COMPUTED_VALUE"""),"Le Kef")</f>
        <v>Le Kef</v>
      </c>
      <c r="B4857" s="9" t="str">
        <f>IFERROR(__xludf.DUMMYFUNCTION("""COMPUTED_VALUE"""),"tn-33")</f>
        <v>tn-33</v>
      </c>
      <c r="C4857" s="9" t="str">
        <f>IFERROR(__xludf.DUMMYFUNCTION("GOOGLETRANSLATE($A4857,""en"",""de"")"),"Le Kef")</f>
        <v>Le Kef</v>
      </c>
      <c r="D4857" s="9" t="str">
        <f>IFERROR(__xludf.DUMMYFUNCTION("GOOGLETRANSLATE($A4857,""en"",""fr"")"),"Le Kef")</f>
        <v>Le Kef</v>
      </c>
      <c r="E4857" s="9" t="str">
        <f>IFERROR(__xludf.DUMMYFUNCTION("GOOGLETRANSLATE($A4857,""en"",""es"")"),"Le Kef")</f>
        <v>Le Kef</v>
      </c>
      <c r="F4857" s="9" t="str">
        <f>IFERROR(__xludf.DUMMYFUNCTION("GOOGLETRANSLATE($A4857,""en"",""it"")"),"Le Kef")</f>
        <v>Le Kef</v>
      </c>
      <c r="G4857" s="9" t="str">
        <f>IFERROR(__xludf.DUMMYFUNCTION("GOOGLETRANSLATE($A4857,""en"",""zh-cn"")"),"勒凯夫")</f>
        <v>勒凯夫</v>
      </c>
      <c r="H4857" s="9" t="str">
        <f>IFERROR(__xludf.DUMMYFUNCTION("GOOGLETRANSLATE($A4857,""en"",""ja"")"),"ル・ケフ")</f>
        <v>ル・ケフ</v>
      </c>
      <c r="I4857" s="9" t="str">
        <f>IFERROR(__xludf.DUMMYFUNCTION("GOOGLETRANSLATE($A4857,""en"",""ko"")"),"르 케프")</f>
        <v>르 케프</v>
      </c>
      <c r="J4857" s="9" t="str">
        <f>IFERROR(__xludf.DUMMYFUNCTION("GOOGLETRANSLATE($A4857,""en"",""pt-BR"")"),"Le Kef")</f>
        <v>Le Kef</v>
      </c>
    </row>
    <row r="4858">
      <c r="A4858" s="9" t="str">
        <f>IFERROR(__xludf.DUMMYFUNCTION("""COMPUTED_VALUE"""),"Kasserine")</f>
        <v>Kasserine</v>
      </c>
      <c r="B4858" s="9" t="str">
        <f>IFERROR(__xludf.DUMMYFUNCTION("""COMPUTED_VALUE"""),"tn-42")</f>
        <v>tn-42</v>
      </c>
      <c r="C4858" s="9" t="str">
        <f>IFERROR(__xludf.DUMMYFUNCTION("GOOGLETRANSLATE($A4858,""en"",""de"")"),"Kasserine")</f>
        <v>Kasserine</v>
      </c>
      <c r="D4858" s="9" t="str">
        <f>IFERROR(__xludf.DUMMYFUNCTION("GOOGLETRANSLATE($A4858,""en"",""fr"")"),"Kasserine")</f>
        <v>Kasserine</v>
      </c>
      <c r="E4858" s="9" t="str">
        <f>IFERROR(__xludf.DUMMYFUNCTION("GOOGLETRANSLATE($A4858,""en"",""es"")"),"kasserine")</f>
        <v>kasserine</v>
      </c>
      <c r="F4858" s="9" t="str">
        <f>IFERROR(__xludf.DUMMYFUNCTION("GOOGLETRANSLATE($A4858,""en"",""it"")"),"Kasserine")</f>
        <v>Kasserine</v>
      </c>
      <c r="G4858" s="9" t="str">
        <f>IFERROR(__xludf.DUMMYFUNCTION("GOOGLETRANSLATE($A4858,""en"",""zh-cn"")"),"卡塞林")</f>
        <v>卡塞林</v>
      </c>
      <c r="H4858" s="9" t="str">
        <f>IFERROR(__xludf.DUMMYFUNCTION("GOOGLETRANSLATE($A4858,""en"",""ja"")"),"キャセリーヌ")</f>
        <v>キャセリーヌ</v>
      </c>
      <c r="I4858" s="9" t="str">
        <f>IFERROR(__xludf.DUMMYFUNCTION("GOOGLETRANSLATE($A4858,""en"",""ko"")"),"카세린")</f>
        <v>카세린</v>
      </c>
      <c r="J4858" s="9" t="str">
        <f>IFERROR(__xludf.DUMMYFUNCTION("GOOGLETRANSLATE($A4858,""en"",""pt-BR"")"),"Casserina")</f>
        <v>Casserina</v>
      </c>
    </row>
    <row r="4859">
      <c r="A4859" s="9" t="str">
        <f>IFERROR(__xludf.DUMMYFUNCTION("""COMPUTED_VALUE"""),"L'Ariana")</f>
        <v>L'Ariana</v>
      </c>
      <c r="B4859" s="9" t="str">
        <f>IFERROR(__xludf.DUMMYFUNCTION("""COMPUTED_VALUE"""),"tn-12")</f>
        <v>tn-12</v>
      </c>
      <c r="C4859" s="9" t="str">
        <f>IFERROR(__xludf.DUMMYFUNCTION("GOOGLETRANSLATE($A4859,""en"",""de"")"),"L'Ariana")</f>
        <v>L'Ariana</v>
      </c>
      <c r="D4859" s="9" t="str">
        <f>IFERROR(__xludf.DUMMYFUNCTION("GOOGLETRANSLATE($A4859,""en"",""fr"")"),"L'Ariana")</f>
        <v>L'Ariana</v>
      </c>
      <c r="E4859" s="9" t="str">
        <f>IFERROR(__xludf.DUMMYFUNCTION("GOOGLETRANSLATE($A4859,""en"",""es"")"),"La Ariana")</f>
        <v>La Ariana</v>
      </c>
      <c r="F4859" s="9" t="str">
        <f>IFERROR(__xludf.DUMMYFUNCTION("GOOGLETRANSLATE($A4859,""en"",""it"")"),"L'Ariana")</f>
        <v>L'Ariana</v>
      </c>
      <c r="G4859" s="9" t="str">
        <f>IFERROR(__xludf.DUMMYFUNCTION("GOOGLETRANSLATE($A4859,""en"",""zh-cn"")"),"拉阿丽亚娜")</f>
        <v>拉阿丽亚娜</v>
      </c>
      <c r="H4859" s="9" t="str">
        <f>IFERROR(__xludf.DUMMYFUNCTION("GOOGLETRANSLATE($A4859,""en"",""ja"")"),"ラリアナ")</f>
        <v>ラリアナ</v>
      </c>
      <c r="I4859" s="9" t="str">
        <f>IFERROR(__xludf.DUMMYFUNCTION("GOOGLETRANSLATE($A4859,""en"",""ko"")"),"라리아나")</f>
        <v>라리아나</v>
      </c>
      <c r="J4859" s="9" t="str">
        <f>IFERROR(__xludf.DUMMYFUNCTION("GOOGLETRANSLATE($A4859,""en"",""pt-BR"")"),"Ariana")</f>
        <v>Ariana</v>
      </c>
    </row>
    <row r="4860">
      <c r="A4860" s="9" t="str">
        <f>IFERROR(__xludf.DUMMYFUNCTION("""COMPUTED_VALUE"""),"Gabès")</f>
        <v>Gabès</v>
      </c>
      <c r="B4860" s="9" t="str">
        <f>IFERROR(__xludf.DUMMYFUNCTION("""COMPUTED_VALUE"""),"tn-81")</f>
        <v>tn-81</v>
      </c>
      <c r="C4860" s="9" t="str">
        <f>IFERROR(__xludf.DUMMYFUNCTION("GOOGLETRANSLATE($A4860,""en"",""de"")"),"Gabès")</f>
        <v>Gabès</v>
      </c>
      <c r="D4860" s="9" t="str">
        <f>IFERROR(__xludf.DUMMYFUNCTION("GOOGLETRANSLATE($A4860,""en"",""fr"")"),"Gabès")</f>
        <v>Gabès</v>
      </c>
      <c r="E4860" s="9" t="str">
        <f>IFERROR(__xludf.DUMMYFUNCTION("GOOGLETRANSLATE($A4860,""en"",""es"")"),"Gabes")</f>
        <v>Gabes</v>
      </c>
      <c r="F4860" s="9" t="str">
        <f>IFERROR(__xludf.DUMMYFUNCTION("GOOGLETRANSLATE($A4860,""en"",""it"")"),"Gabès")</f>
        <v>Gabès</v>
      </c>
      <c r="G4860" s="9" t="str">
        <f>IFERROR(__xludf.DUMMYFUNCTION("GOOGLETRANSLATE($A4860,""en"",""zh-cn"")"),"加贝斯")</f>
        <v>加贝斯</v>
      </c>
      <c r="H4860" s="9" t="str">
        <f>IFERROR(__xludf.DUMMYFUNCTION("GOOGLETRANSLATE($A4860,""en"",""ja"")"),"ガベス")</f>
        <v>ガベス</v>
      </c>
      <c r="I4860" s="9" t="str">
        <f>IFERROR(__xludf.DUMMYFUNCTION("GOOGLETRANSLATE($A4860,""en"",""ko"")"),"가베스")</f>
        <v>가베스</v>
      </c>
      <c r="J4860" s="9" t="str">
        <f>IFERROR(__xludf.DUMMYFUNCTION("GOOGLETRANSLATE($A4860,""en"",""pt-BR"")"),"Gabès")</f>
        <v>Gabès</v>
      </c>
    </row>
    <row r="4861">
      <c r="A4861" s="9" t="str">
        <f>IFERROR(__xludf.DUMMYFUNCTION("""COMPUTED_VALUE"""),"Sousse")</f>
        <v>Sousse</v>
      </c>
      <c r="B4861" s="9" t="str">
        <f>IFERROR(__xludf.DUMMYFUNCTION("""COMPUTED_VALUE"""),"tn-51")</f>
        <v>tn-51</v>
      </c>
      <c r="C4861" s="9" t="str">
        <f>IFERROR(__xludf.DUMMYFUNCTION("GOOGLETRANSLATE($A4861,""en"",""de"")"),"Sousse")</f>
        <v>Sousse</v>
      </c>
      <c r="D4861" s="9" t="str">
        <f>IFERROR(__xludf.DUMMYFUNCTION("GOOGLETRANSLATE($A4861,""en"",""fr"")"),"Sousse")</f>
        <v>Sousse</v>
      </c>
      <c r="E4861" s="9" t="str">
        <f>IFERROR(__xludf.DUMMYFUNCTION("GOOGLETRANSLATE($A4861,""en"",""es"")"),"Susa")</f>
        <v>Susa</v>
      </c>
      <c r="F4861" s="9" t="str">
        <f>IFERROR(__xludf.DUMMYFUNCTION("GOOGLETRANSLATE($A4861,""en"",""it"")"),"Susa")</f>
        <v>Susa</v>
      </c>
      <c r="G4861" s="9" t="str">
        <f>IFERROR(__xludf.DUMMYFUNCTION("GOOGLETRANSLATE($A4861,""en"",""zh-cn"")"),"苏塞")</f>
        <v>苏塞</v>
      </c>
      <c r="H4861" s="9" t="str">
        <f>IFERROR(__xludf.DUMMYFUNCTION("GOOGLETRANSLATE($A4861,""en"",""ja"")"),"スース")</f>
        <v>スース</v>
      </c>
      <c r="I4861" s="9" t="str">
        <f>IFERROR(__xludf.DUMMYFUNCTION("GOOGLETRANSLATE($A4861,""en"",""ko"")"),"수스")</f>
        <v>수스</v>
      </c>
      <c r="J4861" s="9" t="str">
        <f>IFERROR(__xludf.DUMMYFUNCTION("GOOGLETRANSLATE($A4861,""en"",""pt-BR"")"),"Sousse")</f>
        <v>Sousse</v>
      </c>
    </row>
    <row r="4862">
      <c r="A4862" s="9" t="str">
        <f>IFERROR(__xludf.DUMMYFUNCTION("""COMPUTED_VALUE"""),"Bitlis")</f>
        <v>Bitlis</v>
      </c>
      <c r="B4862" s="9" t="str">
        <f>IFERROR(__xludf.DUMMYFUNCTION("""COMPUTED_VALUE"""),"tr-13")</f>
        <v>tr-13</v>
      </c>
      <c r="C4862" s="9" t="str">
        <f>IFERROR(__xludf.DUMMYFUNCTION("GOOGLETRANSLATE($A4862,""en"",""de"")"),"Bitlis")</f>
        <v>Bitlis</v>
      </c>
      <c r="D4862" s="9" t="str">
        <f>IFERROR(__xludf.DUMMYFUNCTION("GOOGLETRANSLATE($A4862,""en"",""fr"")"),"Bitlis")</f>
        <v>Bitlis</v>
      </c>
      <c r="E4862" s="9" t="str">
        <f>IFERROR(__xludf.DUMMYFUNCTION("GOOGLETRANSLATE($A4862,""en"",""es"")"),"Bitlis")</f>
        <v>Bitlis</v>
      </c>
      <c r="F4862" s="9" t="str">
        <f>IFERROR(__xludf.DUMMYFUNCTION("GOOGLETRANSLATE($A4862,""en"",""it"")"),"Bitlis")</f>
        <v>Bitlis</v>
      </c>
      <c r="G4862" s="9" t="str">
        <f>IFERROR(__xludf.DUMMYFUNCTION("GOOGLETRANSLATE($A4862,""en"",""zh-cn"")"),"比特利斯")</f>
        <v>比特利斯</v>
      </c>
      <c r="H4862" s="9" t="str">
        <f>IFERROR(__xludf.DUMMYFUNCTION("GOOGLETRANSLATE($A4862,""en"",""ja"")"),"ビトリス")</f>
        <v>ビトリス</v>
      </c>
      <c r="I4862" s="9" t="str">
        <f>IFERROR(__xludf.DUMMYFUNCTION("GOOGLETRANSLATE($A4862,""en"",""ko"")"),"비트리스")</f>
        <v>비트리스</v>
      </c>
      <c r="J4862" s="9" t="str">
        <f>IFERROR(__xludf.DUMMYFUNCTION("GOOGLETRANSLATE($A4862,""en"",""pt-BR"")"),"Bitlis")</f>
        <v>Bitlis</v>
      </c>
    </row>
    <row r="4863">
      <c r="A4863" s="9" t="str">
        <f>IFERROR(__xludf.DUMMYFUNCTION("""COMPUTED_VALUE"""),"Bursa")</f>
        <v>Bursa</v>
      </c>
      <c r="B4863" s="9" t="str">
        <f>IFERROR(__xludf.DUMMYFUNCTION("""COMPUTED_VALUE"""),"tr-16")</f>
        <v>tr-16</v>
      </c>
      <c r="C4863" s="9" t="str">
        <f>IFERROR(__xludf.DUMMYFUNCTION("GOOGLETRANSLATE($A4863,""en"",""de"")"),"Schleimbeutel")</f>
        <v>Schleimbeutel</v>
      </c>
      <c r="D4863" s="9" t="str">
        <f>IFERROR(__xludf.DUMMYFUNCTION("GOOGLETRANSLATE($A4863,""en"",""fr"")"),"Bourse")</f>
        <v>Bourse</v>
      </c>
      <c r="E4863" s="9" t="str">
        <f>IFERROR(__xludf.DUMMYFUNCTION("GOOGLETRANSLATE($A4863,""en"",""es"")"),"Bolsa")</f>
        <v>Bolsa</v>
      </c>
      <c r="F4863" s="9" t="str">
        <f>IFERROR(__xludf.DUMMYFUNCTION("GOOGLETRANSLATE($A4863,""en"",""it"")"),"Bursa")</f>
        <v>Bursa</v>
      </c>
      <c r="G4863" s="9" t="str">
        <f>IFERROR(__xludf.DUMMYFUNCTION("GOOGLETRANSLATE($A4863,""en"",""zh-cn"")"),"囊")</f>
        <v>囊</v>
      </c>
      <c r="H4863" s="9" t="str">
        <f>IFERROR(__xludf.DUMMYFUNCTION("GOOGLETRANSLATE($A4863,""en"",""ja"")"),"ブルサ")</f>
        <v>ブルサ</v>
      </c>
      <c r="I4863" s="9" t="str">
        <f>IFERROR(__xludf.DUMMYFUNCTION("GOOGLETRANSLATE($A4863,""en"",""ko"")"),"부르사")</f>
        <v>부르사</v>
      </c>
      <c r="J4863" s="9" t="str">
        <f>IFERROR(__xludf.DUMMYFUNCTION("GOOGLETRANSLATE($A4863,""en"",""pt-BR"")"),"Bursa")</f>
        <v>Bursa</v>
      </c>
    </row>
    <row r="4864">
      <c r="A4864" s="9" t="str">
        <f>IFERROR(__xludf.DUMMYFUNCTION("""COMPUTED_VALUE"""),"Denizli")</f>
        <v>Denizli</v>
      </c>
      <c r="B4864" s="9" t="str">
        <f>IFERROR(__xludf.DUMMYFUNCTION("""COMPUTED_VALUE"""),"tr-20")</f>
        <v>tr-20</v>
      </c>
      <c r="C4864" s="9" t="str">
        <f>IFERROR(__xludf.DUMMYFUNCTION("GOOGLETRANSLATE($A4864,""en"",""de"")"),"Denizli")</f>
        <v>Denizli</v>
      </c>
      <c r="D4864" s="9" t="str">
        <f>IFERROR(__xludf.DUMMYFUNCTION("GOOGLETRANSLATE($A4864,""en"",""fr"")"),"Denizli")</f>
        <v>Denizli</v>
      </c>
      <c r="E4864" s="9" t="str">
        <f>IFERROR(__xludf.DUMMYFUNCTION("GOOGLETRANSLATE($A4864,""en"",""es"")"),"Denizli")</f>
        <v>Denizli</v>
      </c>
      <c r="F4864" s="9" t="str">
        <f>IFERROR(__xludf.DUMMYFUNCTION("GOOGLETRANSLATE($A4864,""en"",""it"")"),"Denizli")</f>
        <v>Denizli</v>
      </c>
      <c r="G4864" s="9" t="str">
        <f>IFERROR(__xludf.DUMMYFUNCTION("GOOGLETRANSLATE($A4864,""en"",""zh-cn"")"),"代尼兹利")</f>
        <v>代尼兹利</v>
      </c>
      <c r="H4864" s="9" t="str">
        <f>IFERROR(__xludf.DUMMYFUNCTION("GOOGLETRANSLATE($A4864,""en"",""ja"")"),"デニズリ")</f>
        <v>デニズリ</v>
      </c>
      <c r="I4864" s="9" t="str">
        <f>IFERROR(__xludf.DUMMYFUNCTION("GOOGLETRANSLATE($A4864,""en"",""ko"")"),"데니즐리")</f>
        <v>데니즐리</v>
      </c>
      <c r="J4864" s="9" t="str">
        <f>IFERROR(__xludf.DUMMYFUNCTION("GOOGLETRANSLATE($A4864,""en"",""pt-BR"")"),"Denizli")</f>
        <v>Denizli</v>
      </c>
    </row>
    <row r="4865">
      <c r="A4865" s="9" t="str">
        <f>IFERROR(__xludf.DUMMYFUNCTION("""COMPUTED_VALUE"""),"Giresun")</f>
        <v>Giresun</v>
      </c>
      <c r="B4865" s="9" t="str">
        <f>IFERROR(__xludf.DUMMYFUNCTION("""COMPUTED_VALUE"""),"tr-28")</f>
        <v>tr-28</v>
      </c>
      <c r="C4865" s="9" t="str">
        <f>IFERROR(__xludf.DUMMYFUNCTION("GOOGLETRANSLATE($A4865,""en"",""de"")"),"Giresun")</f>
        <v>Giresun</v>
      </c>
      <c r="D4865" s="9" t="str">
        <f>IFERROR(__xludf.DUMMYFUNCTION("GOOGLETRANSLATE($A4865,""en"",""fr"")"),"Giresun")</f>
        <v>Giresun</v>
      </c>
      <c r="E4865" s="9" t="str">
        <f>IFERROR(__xludf.DUMMYFUNCTION("GOOGLETRANSLATE($A4865,""en"",""es"")"),"Giresun")</f>
        <v>Giresun</v>
      </c>
      <c r="F4865" s="9" t="str">
        <f>IFERROR(__xludf.DUMMYFUNCTION("GOOGLETRANSLATE($A4865,""en"",""it"")"),"Giresun")</f>
        <v>Giresun</v>
      </c>
      <c r="G4865" s="9" t="str">
        <f>IFERROR(__xludf.DUMMYFUNCTION("GOOGLETRANSLATE($A4865,""en"",""zh-cn"")"),"吉雷松")</f>
        <v>吉雷松</v>
      </c>
      <c r="H4865" s="9" t="str">
        <f>IFERROR(__xludf.DUMMYFUNCTION("GOOGLETRANSLATE($A4865,""en"",""ja"")"),"ギレスン")</f>
        <v>ギレスン</v>
      </c>
      <c r="I4865" s="9" t="str">
        <f>IFERROR(__xludf.DUMMYFUNCTION("GOOGLETRANSLATE($A4865,""en"",""ko"")"),"기레순")</f>
        <v>기레순</v>
      </c>
      <c r="J4865" s="9" t="str">
        <f>IFERROR(__xludf.DUMMYFUNCTION("GOOGLETRANSLATE($A4865,""en"",""pt-BR"")"),"Giresun")</f>
        <v>Giresun</v>
      </c>
    </row>
    <row r="4866">
      <c r="A4866" s="9" t="str">
        <f>IFERROR(__xludf.DUMMYFUNCTION("""COMPUTED_VALUE"""),"Tekirdağ")</f>
        <v>Tekirdağ</v>
      </c>
      <c r="B4866" s="9" t="str">
        <f>IFERROR(__xludf.DUMMYFUNCTION("""COMPUTED_VALUE"""),"tr-59")</f>
        <v>tr-59</v>
      </c>
      <c r="C4866" s="9" t="str">
        <f>IFERROR(__xludf.DUMMYFUNCTION("GOOGLETRANSLATE($A4866,""en"",""de"")"),"Tekirdağ")</f>
        <v>Tekirdağ</v>
      </c>
      <c r="D4866" s="9" t="str">
        <f>IFERROR(__xludf.DUMMYFUNCTION("GOOGLETRANSLATE($A4866,""en"",""fr"")"),"Tekirdağ")</f>
        <v>Tekirdağ</v>
      </c>
      <c r="E4866" s="9" t="str">
        <f>IFERROR(__xludf.DUMMYFUNCTION("GOOGLETRANSLATE($A4866,""en"",""es"")"),"Tekirdağ")</f>
        <v>Tekirdağ</v>
      </c>
      <c r="F4866" s="9" t="str">
        <f>IFERROR(__xludf.DUMMYFUNCTION("GOOGLETRANSLATE($A4866,""en"",""it"")"),"Tekirdag")</f>
        <v>Tekirdag</v>
      </c>
      <c r="G4866" s="9" t="str">
        <f>IFERROR(__xludf.DUMMYFUNCTION("GOOGLETRANSLATE($A4866,""en"",""zh-cn"")"),"泰基尔达")</f>
        <v>泰基尔达</v>
      </c>
      <c r="H4866" s="9" t="str">
        <f>IFERROR(__xludf.DUMMYFUNCTION("GOOGLETRANSLATE($A4866,""en"",""ja"")"),"テキルダー")</f>
        <v>テキルダー</v>
      </c>
      <c r="I4866" s="9" t="str">
        <f>IFERROR(__xludf.DUMMYFUNCTION("GOOGLETRANSLATE($A4866,""en"",""ko"")"),"테키르다그")</f>
        <v>테키르다그</v>
      </c>
      <c r="J4866" s="9" t="str">
        <f>IFERROR(__xludf.DUMMYFUNCTION("GOOGLETRANSLATE($A4866,""en"",""pt-BR"")"),"Tekirdağ")</f>
        <v>Tekirdağ</v>
      </c>
    </row>
    <row r="4867">
      <c r="A4867" s="9" t="str">
        <f>IFERROR(__xludf.DUMMYFUNCTION("""COMPUTED_VALUE"""),"Adıyaman")</f>
        <v>Adıyaman</v>
      </c>
      <c r="B4867" s="9" t="str">
        <f>IFERROR(__xludf.DUMMYFUNCTION("""COMPUTED_VALUE"""),"tr-02")</f>
        <v>tr-02</v>
      </c>
      <c r="C4867" s="9" t="str">
        <f>IFERROR(__xludf.DUMMYFUNCTION("GOOGLETRANSLATE($A4867,""en"",""de"")"),"Adıyaman")</f>
        <v>Adıyaman</v>
      </c>
      <c r="D4867" s="9" t="str">
        <f>IFERROR(__xludf.DUMMYFUNCTION("GOOGLETRANSLATE($A4867,""en"",""fr"")"),"Adıyaman")</f>
        <v>Adıyaman</v>
      </c>
      <c r="E4867" s="9" t="str">
        <f>IFERROR(__xludf.DUMMYFUNCTION("GOOGLETRANSLATE($A4867,""en"",""es"")"),"Adiyaman")</f>
        <v>Adiyaman</v>
      </c>
      <c r="F4867" s="9" t="str">
        <f>IFERROR(__xludf.DUMMYFUNCTION("GOOGLETRANSLATE($A4867,""en"",""it"")"),"Adıyaman")</f>
        <v>Adıyaman</v>
      </c>
      <c r="G4867" s="9" t="str">
        <f>IFERROR(__xludf.DUMMYFUNCTION("GOOGLETRANSLATE($A4867,""en"",""zh-cn"")"),"阿迪亚曼")</f>
        <v>阿迪亚曼</v>
      </c>
      <c r="H4867" s="9" t="str">
        <f>IFERROR(__xludf.DUMMYFUNCTION("GOOGLETRANSLATE($A4867,""en"",""ja"")"),"アドゥヤマン")</f>
        <v>アドゥヤマン</v>
      </c>
      <c r="I4867" s="9" t="str">
        <f>IFERROR(__xludf.DUMMYFUNCTION("GOOGLETRANSLATE($A4867,""en"",""ko"")"),"아디야만")</f>
        <v>아디야만</v>
      </c>
      <c r="J4867" s="9" t="str">
        <f>IFERROR(__xludf.DUMMYFUNCTION("GOOGLETRANSLATE($A4867,""en"",""pt-BR"")"),"Adiyaman")</f>
        <v>Adiyaman</v>
      </c>
    </row>
    <row r="4868">
      <c r="A4868" s="9" t="str">
        <f>IFERROR(__xludf.DUMMYFUNCTION("""COMPUTED_VALUE"""),"Niğde")</f>
        <v>Niğde</v>
      </c>
      <c r="B4868" s="9" t="str">
        <f>IFERROR(__xludf.DUMMYFUNCTION("""COMPUTED_VALUE"""),"tr-51")</f>
        <v>tr-51</v>
      </c>
      <c r="C4868" s="9" t="str">
        <f>IFERROR(__xludf.DUMMYFUNCTION("GOOGLETRANSLATE($A4868,""en"",""de"")"),"Niğde")</f>
        <v>Niğde</v>
      </c>
      <c r="D4868" s="9" t="str">
        <f>IFERROR(__xludf.DUMMYFUNCTION("GOOGLETRANSLATE($A4868,""en"",""fr"")"),"Niğde")</f>
        <v>Niğde</v>
      </c>
      <c r="E4868" s="9" t="str">
        <f>IFERROR(__xludf.DUMMYFUNCTION("GOOGLETRANSLATE($A4868,""en"",""es"")"),"Niğde")</f>
        <v>Niğde</v>
      </c>
      <c r="F4868" s="9" t="str">
        <f>IFERROR(__xludf.DUMMYFUNCTION("GOOGLETRANSLATE($A4868,""en"",""it"")"),"Niğde")</f>
        <v>Niğde</v>
      </c>
      <c r="G4868" s="9" t="str">
        <f>IFERROR(__xludf.DUMMYFUNCTION("GOOGLETRANSLATE($A4868,""en"",""zh-cn"")"),"尼德")</f>
        <v>尼德</v>
      </c>
      <c r="H4868" s="9" t="str">
        <f>IFERROR(__xludf.DUMMYFUNCTION("GOOGLETRANSLATE($A4868,""en"",""ja"")"),"ニーデ")</f>
        <v>ニーデ</v>
      </c>
      <c r="I4868" s="9" t="str">
        <f>IFERROR(__xludf.DUMMYFUNCTION("GOOGLETRANSLATE($A4868,""en"",""ko"")"),"니데")</f>
        <v>니데</v>
      </c>
      <c r="J4868" s="9" t="str">
        <f>IFERROR(__xludf.DUMMYFUNCTION("GOOGLETRANSLATE($A4868,""en"",""pt-BR"")"),"Nigde")</f>
        <v>Nigde</v>
      </c>
    </row>
    <row r="4869">
      <c r="A4869" s="9" t="str">
        <f>IFERROR(__xludf.DUMMYFUNCTION("""COMPUTED_VALUE"""),"Ağrı")</f>
        <v>Ağrı</v>
      </c>
      <c r="B4869" s="9" t="str">
        <f>IFERROR(__xludf.DUMMYFUNCTION("""COMPUTED_VALUE"""),"tr-04")</f>
        <v>tr-04</v>
      </c>
      <c r="C4869" s="9" t="str">
        <f>IFERROR(__xludf.DUMMYFUNCTION("GOOGLETRANSLATE($A4869,""en"",""de"")"),"Ağrı")</f>
        <v>Ağrı</v>
      </c>
      <c r="D4869" s="9" t="str">
        <f>IFERROR(__xludf.DUMMYFUNCTION("GOOGLETRANSLATE($A4869,""en"",""fr"")"),"AGRI")</f>
        <v>AGRI</v>
      </c>
      <c r="E4869" s="9" t="str">
        <f>IFERROR(__xludf.DUMMYFUNCTION("GOOGLETRANSLATE($A4869,""en"",""es"")"),"Ağrı")</f>
        <v>Ağrı</v>
      </c>
      <c r="F4869" s="9" t="str">
        <f>IFERROR(__xludf.DUMMYFUNCTION("GOOGLETRANSLATE($A4869,""en"",""it"")"),"Ağri")</f>
        <v>Ağri</v>
      </c>
      <c r="G4869" s="9" t="str">
        <f>IFERROR(__xludf.DUMMYFUNCTION("GOOGLETRANSLATE($A4869,""en"",""zh-cn"")"),"阿格里")</f>
        <v>阿格里</v>
      </c>
      <c r="H4869" s="9" t="str">
        <f>IFERROR(__xludf.DUMMYFUNCTION("GOOGLETRANSLATE($A4869,""en"",""ja"")"),"アール")</f>
        <v>アール</v>
      </c>
      <c r="I4869" s="9" t="str">
        <f>IFERROR(__xludf.DUMMYFUNCTION("GOOGLETRANSLATE($A4869,""en"",""ko"")"),"아그리")</f>
        <v>아그리</v>
      </c>
      <c r="J4869" s="9" t="str">
        <f>IFERROR(__xludf.DUMMYFUNCTION("GOOGLETRANSLATE($A4869,""en"",""pt-BR"")"),"Ağrı")</f>
        <v>Ağrı</v>
      </c>
    </row>
    <row r="4870">
      <c r="A4870" s="9" t="str">
        <f>IFERROR(__xludf.DUMMYFUNCTION("""COMPUTED_VALUE"""),"Mersin")</f>
        <v>Mersin</v>
      </c>
      <c r="B4870" s="9" t="str">
        <f>IFERROR(__xludf.DUMMYFUNCTION("""COMPUTED_VALUE"""),"tr-33")</f>
        <v>tr-33</v>
      </c>
      <c r="C4870" s="9" t="str">
        <f>IFERROR(__xludf.DUMMYFUNCTION("GOOGLETRANSLATE($A4870,""en"",""de"")"),"Mersin")</f>
        <v>Mersin</v>
      </c>
      <c r="D4870" s="9" t="str">
        <f>IFERROR(__xludf.DUMMYFUNCTION("GOOGLETRANSLATE($A4870,""en"",""fr"")"),"Mersin")</f>
        <v>Mersin</v>
      </c>
      <c r="E4870" s="9" t="str">
        <f>IFERROR(__xludf.DUMMYFUNCTION("GOOGLETRANSLATE($A4870,""en"",""es"")"),"Mersin")</f>
        <v>Mersin</v>
      </c>
      <c r="F4870" s="9" t="str">
        <f>IFERROR(__xludf.DUMMYFUNCTION("GOOGLETRANSLATE($A4870,""en"",""it"")"),"Mersina")</f>
        <v>Mersina</v>
      </c>
      <c r="G4870" s="9" t="str">
        <f>IFERROR(__xludf.DUMMYFUNCTION("GOOGLETRANSLATE($A4870,""en"",""zh-cn"")"),"梅尔辛")</f>
        <v>梅尔辛</v>
      </c>
      <c r="H4870" s="9" t="str">
        <f>IFERROR(__xludf.DUMMYFUNCTION("GOOGLETRANSLATE($A4870,""en"",""ja"")"),"メルシン")</f>
        <v>メルシン</v>
      </c>
      <c r="I4870" s="9" t="str">
        <f>IFERROR(__xludf.DUMMYFUNCTION("GOOGLETRANSLATE($A4870,""en"",""ko"")"),"메르신")</f>
        <v>메르신</v>
      </c>
      <c r="J4870" s="9" t="str">
        <f>IFERROR(__xludf.DUMMYFUNCTION("GOOGLETRANSLATE($A4870,""en"",""pt-BR"")"),"Mersin")</f>
        <v>Mersin</v>
      </c>
    </row>
    <row r="4871">
      <c r="A4871" s="9" t="str">
        <f>IFERROR(__xludf.DUMMYFUNCTION("""COMPUTED_VALUE"""),"Kars")</f>
        <v>Kars</v>
      </c>
      <c r="B4871" s="9" t="str">
        <f>IFERROR(__xludf.DUMMYFUNCTION("""COMPUTED_VALUE"""),"tr-36")</f>
        <v>tr-36</v>
      </c>
      <c r="C4871" s="9" t="str">
        <f>IFERROR(__xludf.DUMMYFUNCTION("GOOGLETRANSLATE($A4871,""en"",""de"")"),"Kars")</f>
        <v>Kars</v>
      </c>
      <c r="D4871" s="9" t="str">
        <f>IFERROR(__xludf.DUMMYFUNCTION("GOOGLETRANSLATE($A4871,""en"",""fr"")"),"Kars")</f>
        <v>Kars</v>
      </c>
      <c r="E4871" s="9" t="str">
        <f>IFERROR(__xludf.DUMMYFUNCTION("GOOGLETRANSLATE($A4871,""en"",""es"")"),"kars")</f>
        <v>kars</v>
      </c>
      <c r="F4871" s="9" t="str">
        <f>IFERROR(__xludf.DUMMYFUNCTION("GOOGLETRANSLATE($A4871,""en"",""it"")"),"Kars")</f>
        <v>Kars</v>
      </c>
      <c r="G4871" s="9" t="str">
        <f>IFERROR(__xludf.DUMMYFUNCTION("GOOGLETRANSLATE($A4871,""en"",""zh-cn"")"),"卡尔斯")</f>
        <v>卡尔斯</v>
      </c>
      <c r="H4871" s="9" t="str">
        <f>IFERROR(__xludf.DUMMYFUNCTION("GOOGLETRANSLATE($A4871,""en"",""ja"")"),"カーズ")</f>
        <v>カーズ</v>
      </c>
      <c r="I4871" s="9" t="str">
        <f>IFERROR(__xludf.DUMMYFUNCTION("GOOGLETRANSLATE($A4871,""en"",""ko"")"),"카르스")</f>
        <v>카르스</v>
      </c>
      <c r="J4871" s="9" t="str">
        <f>IFERROR(__xludf.DUMMYFUNCTION("GOOGLETRANSLATE($A4871,""en"",""pt-BR"")"),"Kars")</f>
        <v>Kars</v>
      </c>
    </row>
    <row r="4872">
      <c r="A4872" s="9" t="str">
        <f>IFERROR(__xludf.DUMMYFUNCTION("""COMPUTED_VALUE"""),"Siirt")</f>
        <v>Siirt</v>
      </c>
      <c r="B4872" s="9" t="str">
        <f>IFERROR(__xludf.DUMMYFUNCTION("""COMPUTED_VALUE"""),"tr-56")</f>
        <v>tr-56</v>
      </c>
      <c r="C4872" s="9" t="str">
        <f>IFERROR(__xludf.DUMMYFUNCTION("GOOGLETRANSLATE($A4872,""en"",""de"")"),"Siirt")</f>
        <v>Siirt</v>
      </c>
      <c r="D4872" s="9" t="str">
        <f>IFERROR(__xludf.DUMMYFUNCTION("GOOGLETRANSLATE($A4872,""en"",""fr"")"),"Siirt")</f>
        <v>Siirt</v>
      </c>
      <c r="E4872" s="9" t="str">
        <f>IFERROR(__xludf.DUMMYFUNCTION("GOOGLETRANSLATE($A4872,""en"",""es"")"),"Siirt")</f>
        <v>Siirt</v>
      </c>
      <c r="F4872" s="9" t="str">
        <f>IFERROR(__xludf.DUMMYFUNCTION("GOOGLETRANSLATE($A4872,""en"",""it"")"),"Siirt")</f>
        <v>Siirt</v>
      </c>
      <c r="G4872" s="9" t="str">
        <f>IFERROR(__xludf.DUMMYFUNCTION("GOOGLETRANSLATE($A4872,""en"",""zh-cn"")"),"锡尔特")</f>
        <v>锡尔特</v>
      </c>
      <c r="H4872" s="9" t="str">
        <f>IFERROR(__xludf.DUMMYFUNCTION("GOOGLETRANSLATE($A4872,""en"",""ja"")"),"シイルト")</f>
        <v>シイルト</v>
      </c>
      <c r="I4872" s="9" t="str">
        <f>IFERROR(__xludf.DUMMYFUNCTION("GOOGLETRANSLATE($A4872,""en"",""ko"")"),"시르트")</f>
        <v>시르트</v>
      </c>
      <c r="J4872" s="9" t="str">
        <f>IFERROR(__xludf.DUMMYFUNCTION("GOOGLETRANSLATE($A4872,""en"",""pt-BR"")"),"Siirt")</f>
        <v>Siirt</v>
      </c>
    </row>
    <row r="4873">
      <c r="A4873" s="9" t="str">
        <f>IFERROR(__xludf.DUMMYFUNCTION("""COMPUTED_VALUE"""),"Çorum")</f>
        <v>Çorum</v>
      </c>
      <c r="B4873" s="9" t="str">
        <f>IFERROR(__xludf.DUMMYFUNCTION("""COMPUTED_VALUE"""),"tr-19")</f>
        <v>tr-19</v>
      </c>
      <c r="C4873" s="9" t="str">
        <f>IFERROR(__xludf.DUMMYFUNCTION("GOOGLETRANSLATE($A4873,""en"",""de"")"),"Çorum")</f>
        <v>Çorum</v>
      </c>
      <c r="D4873" s="9" t="str">
        <f>IFERROR(__xludf.DUMMYFUNCTION("GOOGLETRANSLATE($A4873,""en"",""fr"")"),"Corum")</f>
        <v>Corum</v>
      </c>
      <c r="E4873" s="9" t="str">
        <f>IFERROR(__xludf.DUMMYFUNCTION("GOOGLETRANSLATE($A4873,""en"",""es"")"),"Çorum")</f>
        <v>Çorum</v>
      </c>
      <c r="F4873" s="9" t="str">
        <f>IFERROR(__xludf.DUMMYFUNCTION("GOOGLETRANSLATE($A4873,""en"",""it"")"),"Corum")</f>
        <v>Corum</v>
      </c>
      <c r="G4873" s="9" t="str">
        <f>IFERROR(__xludf.DUMMYFUNCTION("GOOGLETRANSLATE($A4873,""en"",""zh-cn"")"),"乔鲁姆")</f>
        <v>乔鲁姆</v>
      </c>
      <c r="H4873" s="9" t="str">
        <f>IFERROR(__xludf.DUMMYFUNCTION("GOOGLETRANSLATE($A4873,""en"",""ja"")"),"チョルム")</f>
        <v>チョルム</v>
      </c>
      <c r="I4873" s="9" t="str">
        <f>IFERROR(__xludf.DUMMYFUNCTION("GOOGLETRANSLATE($A4873,""en"",""ko"")"),"코룸")</f>
        <v>코룸</v>
      </c>
      <c r="J4873" s="9" t="str">
        <f>IFERROR(__xludf.DUMMYFUNCTION("GOOGLETRANSLATE($A4873,""en"",""pt-BR"")"),"Çorum")</f>
        <v>Çorum</v>
      </c>
    </row>
    <row r="4874">
      <c r="A4874" s="9" t="str">
        <f>IFERROR(__xludf.DUMMYFUNCTION("""COMPUTED_VALUE"""),"Konya")</f>
        <v>Konya</v>
      </c>
      <c r="B4874" s="9" t="str">
        <f>IFERROR(__xludf.DUMMYFUNCTION("""COMPUTED_VALUE"""),"tr-42")</f>
        <v>tr-42</v>
      </c>
      <c r="C4874" s="9" t="str">
        <f>IFERROR(__xludf.DUMMYFUNCTION("GOOGLETRANSLATE($A4874,""en"",""de"")"),"Konya")</f>
        <v>Konya</v>
      </c>
      <c r="D4874" s="9" t="str">
        <f>IFERROR(__xludf.DUMMYFUNCTION("GOOGLETRANSLATE($A4874,""en"",""fr"")"),"Konya")</f>
        <v>Konya</v>
      </c>
      <c r="E4874" s="9" t="str">
        <f>IFERROR(__xludf.DUMMYFUNCTION("GOOGLETRANSLATE($A4874,""en"",""es"")"),"konya")</f>
        <v>konya</v>
      </c>
      <c r="F4874" s="9" t="str">
        <f>IFERROR(__xludf.DUMMYFUNCTION("GOOGLETRANSLATE($A4874,""en"",""it"")"),"Konja")</f>
        <v>Konja</v>
      </c>
      <c r="G4874" s="9" t="str">
        <f>IFERROR(__xludf.DUMMYFUNCTION("GOOGLETRANSLATE($A4874,""en"",""zh-cn"")"),"科尼亚")</f>
        <v>科尼亚</v>
      </c>
      <c r="H4874" s="9" t="str">
        <f>IFERROR(__xludf.DUMMYFUNCTION("GOOGLETRANSLATE($A4874,""en"",""ja"")"),"コンヤ")</f>
        <v>コンヤ</v>
      </c>
      <c r="I4874" s="9" t="str">
        <f>IFERROR(__xludf.DUMMYFUNCTION("GOOGLETRANSLATE($A4874,""en"",""ko"")"),"코냐")</f>
        <v>코냐</v>
      </c>
      <c r="J4874" s="9" t="str">
        <f>IFERROR(__xludf.DUMMYFUNCTION("GOOGLETRANSLATE($A4874,""en"",""pt-BR"")"),"Cônia")</f>
        <v>Cônia</v>
      </c>
    </row>
    <row r="4875">
      <c r="A4875" s="9" t="str">
        <f>IFERROR(__xludf.DUMMYFUNCTION("""COMPUTED_VALUE"""),"Hatay")</f>
        <v>Hatay</v>
      </c>
      <c r="B4875" s="9" t="str">
        <f>IFERROR(__xludf.DUMMYFUNCTION("""COMPUTED_VALUE"""),"tr-31")</f>
        <v>tr-31</v>
      </c>
      <c r="C4875" s="9" t="str">
        <f>IFERROR(__xludf.DUMMYFUNCTION("GOOGLETRANSLATE($A4875,""en"",""de"")"),"Hatay")</f>
        <v>Hatay</v>
      </c>
      <c r="D4875" s="9" t="str">
        <f>IFERROR(__xludf.DUMMYFUNCTION("GOOGLETRANSLATE($A4875,""en"",""fr"")"),"Hatay")</f>
        <v>Hatay</v>
      </c>
      <c r="E4875" s="9" t="str">
        <f>IFERROR(__xludf.DUMMYFUNCTION("GOOGLETRANSLATE($A4875,""en"",""es"")"),"Hatay")</f>
        <v>Hatay</v>
      </c>
      <c r="F4875" s="9" t="str">
        <f>IFERROR(__xludf.DUMMYFUNCTION("GOOGLETRANSLATE($A4875,""en"",""it"")"),"Hatay")</f>
        <v>Hatay</v>
      </c>
      <c r="G4875" s="9" t="str">
        <f>IFERROR(__xludf.DUMMYFUNCTION("GOOGLETRANSLATE($A4875,""en"",""zh-cn"")"),"哈塔伊")</f>
        <v>哈塔伊</v>
      </c>
      <c r="H4875" s="9" t="str">
        <f>IFERROR(__xludf.DUMMYFUNCTION("GOOGLETRANSLATE($A4875,""en"",""ja"")"),"ハタイ")</f>
        <v>ハタイ</v>
      </c>
      <c r="I4875" s="9" t="str">
        <f>IFERROR(__xludf.DUMMYFUNCTION("GOOGLETRANSLATE($A4875,""en"",""ko"")"),"하타이")</f>
        <v>하타이</v>
      </c>
      <c r="J4875" s="9" t="str">
        <f>IFERROR(__xludf.DUMMYFUNCTION("GOOGLETRANSLATE($A4875,""en"",""pt-BR"")"),"Hatay")</f>
        <v>Hatay</v>
      </c>
    </row>
    <row r="4876">
      <c r="A4876" s="9" t="str">
        <f>IFERROR(__xludf.DUMMYFUNCTION("""COMPUTED_VALUE"""),"Kayseri")</f>
        <v>Kayseri</v>
      </c>
      <c r="B4876" s="9" t="str">
        <f>IFERROR(__xludf.DUMMYFUNCTION("""COMPUTED_VALUE"""),"tr-38")</f>
        <v>tr-38</v>
      </c>
      <c r="C4876" s="9" t="str">
        <f>IFERROR(__xludf.DUMMYFUNCTION("GOOGLETRANSLATE($A4876,""en"",""de"")"),"Kayseri")</f>
        <v>Kayseri</v>
      </c>
      <c r="D4876" s="9" t="str">
        <f>IFERROR(__xludf.DUMMYFUNCTION("GOOGLETRANSLATE($A4876,""en"",""fr"")"),"Kayseri")</f>
        <v>Kayseri</v>
      </c>
      <c r="E4876" s="9" t="str">
        <f>IFERROR(__xludf.DUMMYFUNCTION("GOOGLETRANSLATE($A4876,""en"",""es"")"),"Kayseri")</f>
        <v>Kayseri</v>
      </c>
      <c r="F4876" s="9" t="str">
        <f>IFERROR(__xludf.DUMMYFUNCTION("GOOGLETRANSLATE($A4876,""en"",""it"")"),"Kayseri")</f>
        <v>Kayseri</v>
      </c>
      <c r="G4876" s="9" t="str">
        <f>IFERROR(__xludf.DUMMYFUNCTION("GOOGLETRANSLATE($A4876,""en"",""zh-cn"")"),"开塞利")</f>
        <v>开塞利</v>
      </c>
      <c r="H4876" s="9" t="str">
        <f>IFERROR(__xludf.DUMMYFUNCTION("GOOGLETRANSLATE($A4876,""en"",""ja"")"),"カイセリ")</f>
        <v>カイセリ</v>
      </c>
      <c r="I4876" s="9" t="str">
        <f>IFERROR(__xludf.DUMMYFUNCTION("GOOGLETRANSLATE($A4876,""en"",""ko"")"),"카이세리")</f>
        <v>카이세리</v>
      </c>
      <c r="J4876" s="9" t="str">
        <f>IFERROR(__xludf.DUMMYFUNCTION("GOOGLETRANSLATE($A4876,""en"",""pt-BR"")"),"Caiseri")</f>
        <v>Caiseri</v>
      </c>
    </row>
    <row r="4877">
      <c r="A4877" s="9" t="str">
        <f>IFERROR(__xludf.DUMMYFUNCTION("""COMPUTED_VALUE"""),"Kütahya")</f>
        <v>Kütahya</v>
      </c>
      <c r="B4877" s="9" t="str">
        <f>IFERROR(__xludf.DUMMYFUNCTION("""COMPUTED_VALUE"""),"tr-43")</f>
        <v>tr-43</v>
      </c>
      <c r="C4877" s="9" t="str">
        <f>IFERROR(__xludf.DUMMYFUNCTION("GOOGLETRANSLATE($A4877,""en"",""de"")"),"Kütahya")</f>
        <v>Kütahya</v>
      </c>
      <c r="D4877" s="9" t="str">
        <f>IFERROR(__xludf.DUMMYFUNCTION("GOOGLETRANSLATE($A4877,""en"",""fr"")"),"Kutahya")</f>
        <v>Kutahya</v>
      </c>
      <c r="E4877" s="9" t="str">
        <f>IFERROR(__xludf.DUMMYFUNCTION("GOOGLETRANSLATE($A4877,""en"",""es"")"),"Kutahya")</f>
        <v>Kutahya</v>
      </c>
      <c r="F4877" s="9" t="str">
        <f>IFERROR(__xludf.DUMMYFUNCTION("GOOGLETRANSLATE($A4877,""en"",""it"")"),"Kütahya")</f>
        <v>Kütahya</v>
      </c>
      <c r="G4877" s="9" t="str">
        <f>IFERROR(__xludf.DUMMYFUNCTION("GOOGLETRANSLATE($A4877,""en"",""zh-cn"")"),"屈塔希亚")</f>
        <v>屈塔希亚</v>
      </c>
      <c r="H4877" s="9" t="str">
        <f>IFERROR(__xludf.DUMMYFUNCTION("GOOGLETRANSLATE($A4877,""en"",""ja"")"),"キュタヒヤ")</f>
        <v>キュタヒヤ</v>
      </c>
      <c r="I4877" s="9" t="str">
        <f>IFERROR(__xludf.DUMMYFUNCTION("GOOGLETRANSLATE($A4877,""en"",""ko"")"),"쿠타히아")</f>
        <v>쿠타히아</v>
      </c>
      <c r="J4877" s="9" t="str">
        <f>IFERROR(__xludf.DUMMYFUNCTION("GOOGLETRANSLATE($A4877,""en"",""pt-BR"")"),"Kütahya")</f>
        <v>Kütahya</v>
      </c>
    </row>
    <row r="4878">
      <c r="A4878" s="9" t="str">
        <f>IFERROR(__xludf.DUMMYFUNCTION("""COMPUTED_VALUE"""),"Şanlıurfa")</f>
        <v>Şanlıurfa</v>
      </c>
      <c r="B4878" s="9" t="str">
        <f>IFERROR(__xludf.DUMMYFUNCTION("""COMPUTED_VALUE"""),"tr-63")</f>
        <v>tr-63</v>
      </c>
      <c r="C4878" s="9" t="str">
        <f>IFERROR(__xludf.DUMMYFUNCTION("GOOGLETRANSLATE($A4878,""en"",""de"")"),"Şanlıurfa")</f>
        <v>Şanlıurfa</v>
      </c>
      <c r="D4878" s="9" t="str">
        <f>IFERROR(__xludf.DUMMYFUNCTION("GOOGLETRANSLATE($A4878,""en"",""fr"")"),"Sanlıurfa")</f>
        <v>Sanlıurfa</v>
      </c>
      <c r="E4878" s="9" t="str">
        <f>IFERROR(__xludf.DUMMYFUNCTION("GOOGLETRANSLATE($A4878,""en"",""es"")"),"Sanliurfa")</f>
        <v>Sanliurfa</v>
      </c>
      <c r="F4878" s="9" t="str">
        <f>IFERROR(__xludf.DUMMYFUNCTION("GOOGLETRANSLATE($A4878,""en"",""it"")"),"Sanlıurfa")</f>
        <v>Sanlıurfa</v>
      </c>
      <c r="G4878" s="9" t="str">
        <f>IFERROR(__xludf.DUMMYFUNCTION("GOOGLETRANSLATE($A4878,""en"",""zh-cn"")"),"尚勒乌尔法")</f>
        <v>尚勒乌尔法</v>
      </c>
      <c r="H4878" s="9" t="str">
        <f>IFERROR(__xludf.DUMMYFUNCTION("GOOGLETRANSLATE($A4878,""en"",""ja"")"),"シャンルウルファ")</f>
        <v>シャンルウルファ</v>
      </c>
      <c r="I4878" s="9" t="str">
        <f>IFERROR(__xludf.DUMMYFUNCTION("GOOGLETRANSLATE($A4878,""en"",""ko"")"),"샨리우르파")</f>
        <v>샨리우르파</v>
      </c>
      <c r="J4878" s="9" t="str">
        <f>IFERROR(__xludf.DUMMYFUNCTION("GOOGLETRANSLATE($A4878,""en"",""pt-BR"")"),"Şanlıurfa")</f>
        <v>Şanlıurfa</v>
      </c>
    </row>
    <row r="4879">
      <c r="A4879" s="9" t="str">
        <f>IFERROR(__xludf.DUMMYFUNCTION("""COMPUTED_VALUE"""),"Burdur")</f>
        <v>Burdur</v>
      </c>
      <c r="B4879" s="9" t="str">
        <f>IFERROR(__xludf.DUMMYFUNCTION("""COMPUTED_VALUE"""),"tr-15")</f>
        <v>tr-15</v>
      </c>
      <c r="C4879" s="9" t="str">
        <f>IFERROR(__xludf.DUMMYFUNCTION("GOOGLETRANSLATE($A4879,""en"",""de"")"),"Burdur")</f>
        <v>Burdur</v>
      </c>
      <c r="D4879" s="9" t="str">
        <f>IFERROR(__xludf.DUMMYFUNCTION("GOOGLETRANSLATE($A4879,""en"",""fr"")"),"Burdur")</f>
        <v>Burdur</v>
      </c>
      <c r="E4879" s="9" t="str">
        <f>IFERROR(__xludf.DUMMYFUNCTION("GOOGLETRANSLATE($A4879,""en"",""es"")"),"burdur")</f>
        <v>burdur</v>
      </c>
      <c r="F4879" s="9" t="str">
        <f>IFERROR(__xludf.DUMMYFUNCTION("GOOGLETRANSLATE($A4879,""en"",""it"")"),"Burdur")</f>
        <v>Burdur</v>
      </c>
      <c r="G4879" s="9" t="str">
        <f>IFERROR(__xludf.DUMMYFUNCTION("GOOGLETRANSLATE($A4879,""en"",""zh-cn"")"),"布尔杜尔")</f>
        <v>布尔杜尔</v>
      </c>
      <c r="H4879" s="9" t="str">
        <f>IFERROR(__xludf.DUMMYFUNCTION("GOOGLETRANSLATE($A4879,""en"",""ja"")"),"ブルドゥル")</f>
        <v>ブルドゥル</v>
      </c>
      <c r="I4879" s="9" t="str">
        <f>IFERROR(__xludf.DUMMYFUNCTION("GOOGLETRANSLATE($A4879,""en"",""ko"")"),"부르두르")</f>
        <v>부르두르</v>
      </c>
      <c r="J4879" s="9" t="str">
        <f>IFERROR(__xludf.DUMMYFUNCTION("GOOGLETRANSLATE($A4879,""en"",""pt-BR"")"),"Burdur")</f>
        <v>Burdur</v>
      </c>
    </row>
    <row r="4880">
      <c r="A4880" s="9" t="str">
        <f>IFERROR(__xludf.DUMMYFUNCTION("""COMPUTED_VALUE"""),"Yozgat")</f>
        <v>Yozgat</v>
      </c>
      <c r="B4880" s="9" t="str">
        <f>IFERROR(__xludf.DUMMYFUNCTION("""COMPUTED_VALUE"""),"tr-66")</f>
        <v>tr-66</v>
      </c>
      <c r="C4880" s="9" t="str">
        <f>IFERROR(__xludf.DUMMYFUNCTION("GOOGLETRANSLATE($A4880,""en"",""de"")"),"Yozgat")</f>
        <v>Yozgat</v>
      </c>
      <c r="D4880" s="9" t="str">
        <f>IFERROR(__xludf.DUMMYFUNCTION("GOOGLETRANSLATE($A4880,""en"",""fr"")"),"Yozgat")</f>
        <v>Yozgat</v>
      </c>
      <c r="E4880" s="9" t="str">
        <f>IFERROR(__xludf.DUMMYFUNCTION("GOOGLETRANSLATE($A4880,""en"",""es"")"),"Yozgat")</f>
        <v>Yozgat</v>
      </c>
      <c r="F4880" s="9" t="str">
        <f>IFERROR(__xludf.DUMMYFUNCTION("GOOGLETRANSLATE($A4880,""en"",""it"")"),"Yozgat")</f>
        <v>Yozgat</v>
      </c>
      <c r="G4880" s="9" t="str">
        <f>IFERROR(__xludf.DUMMYFUNCTION("GOOGLETRANSLATE($A4880,""en"",""zh-cn"")"),"约兹加特")</f>
        <v>约兹加特</v>
      </c>
      <c r="H4880" s="9" t="str">
        <f>IFERROR(__xludf.DUMMYFUNCTION("GOOGLETRANSLATE($A4880,""en"",""ja"")"),"ヨズガット")</f>
        <v>ヨズガット</v>
      </c>
      <c r="I4880" s="9" t="str">
        <f>IFERROR(__xludf.DUMMYFUNCTION("GOOGLETRANSLATE($A4880,""en"",""ko"")"),"요즈가트")</f>
        <v>요즈가트</v>
      </c>
      <c r="J4880" s="9" t="str">
        <f>IFERROR(__xludf.DUMMYFUNCTION("GOOGLETRANSLATE($A4880,""en"",""pt-BR"")"),"Yozgat")</f>
        <v>Yozgat</v>
      </c>
    </row>
    <row r="4881">
      <c r="A4881" s="9" t="str">
        <f>IFERROR(__xludf.DUMMYFUNCTION("""COMPUTED_VALUE"""),"Erzurum")</f>
        <v>Erzurum</v>
      </c>
      <c r="B4881" s="9" t="str">
        <f>IFERROR(__xludf.DUMMYFUNCTION("""COMPUTED_VALUE"""),"tr-25")</f>
        <v>tr-25</v>
      </c>
      <c r="C4881" s="9" t="str">
        <f>IFERROR(__xludf.DUMMYFUNCTION("GOOGLETRANSLATE($A4881,""en"",""de"")"),"Erzurum")</f>
        <v>Erzurum</v>
      </c>
      <c r="D4881" s="9" t="str">
        <f>IFERROR(__xludf.DUMMYFUNCTION("GOOGLETRANSLATE($A4881,""en"",""fr"")"),"Erzurum")</f>
        <v>Erzurum</v>
      </c>
      <c r="E4881" s="9" t="str">
        <f>IFERROR(__xludf.DUMMYFUNCTION("GOOGLETRANSLATE($A4881,""en"",""es"")"),"Erzurum")</f>
        <v>Erzurum</v>
      </c>
      <c r="F4881" s="9" t="str">
        <f>IFERROR(__xludf.DUMMYFUNCTION("GOOGLETRANSLATE($A4881,""en"",""it"")"),"Erzurum")</f>
        <v>Erzurum</v>
      </c>
      <c r="G4881" s="9" t="str">
        <f>IFERROR(__xludf.DUMMYFUNCTION("GOOGLETRANSLATE($A4881,""en"",""zh-cn"")"),"埃尔祖鲁姆")</f>
        <v>埃尔祖鲁姆</v>
      </c>
      <c r="H4881" s="9" t="str">
        <f>IFERROR(__xludf.DUMMYFUNCTION("GOOGLETRANSLATE($A4881,""en"",""ja"")"),"エルズルム")</f>
        <v>エルズルム</v>
      </c>
      <c r="I4881" s="9" t="str">
        <f>IFERROR(__xludf.DUMMYFUNCTION("GOOGLETRANSLATE($A4881,""en"",""ko"")"),"에르주룸")</f>
        <v>에르주룸</v>
      </c>
      <c r="J4881" s="9" t="str">
        <f>IFERROR(__xludf.DUMMYFUNCTION("GOOGLETRANSLATE($A4881,""en"",""pt-BR"")"),"Erzurum")</f>
        <v>Erzurum</v>
      </c>
    </row>
    <row r="4882">
      <c r="A4882" s="9" t="str">
        <f>IFERROR(__xludf.DUMMYFUNCTION("""COMPUTED_VALUE"""),"Şırnak")</f>
        <v>Şırnak</v>
      </c>
      <c r="B4882" s="9" t="str">
        <f>IFERROR(__xludf.DUMMYFUNCTION("""COMPUTED_VALUE"""),"tr-73")</f>
        <v>tr-73</v>
      </c>
      <c r="C4882" s="9" t="str">
        <f>IFERROR(__xludf.DUMMYFUNCTION("GOOGLETRANSLATE($A4882,""en"",""de"")"),"Sirnak")</f>
        <v>Sirnak</v>
      </c>
      <c r="D4882" s="9" t="str">
        <f>IFERROR(__xludf.DUMMYFUNCTION("GOOGLETRANSLATE($A4882,""en"",""fr"")"),"Sirnak")</f>
        <v>Sirnak</v>
      </c>
      <c r="E4882" s="9" t="str">
        <f>IFERROR(__xludf.DUMMYFUNCTION("GOOGLETRANSLATE($A4882,""en"",""es"")"),"Şırnak")</f>
        <v>Şırnak</v>
      </c>
      <c r="F4882" s="9" t="str">
        <f>IFERROR(__xludf.DUMMYFUNCTION("GOOGLETRANSLATE($A4882,""en"",""it"")"),"Şırnak")</f>
        <v>Şırnak</v>
      </c>
      <c r="G4882" s="9" t="str">
        <f>IFERROR(__xludf.DUMMYFUNCTION("GOOGLETRANSLATE($A4882,""en"",""zh-cn"")"),"舍尔纳克")</f>
        <v>舍尔纳克</v>
      </c>
      <c r="H4882" s="9" t="str">
        <f>IFERROR(__xludf.DUMMYFUNCTION("GOOGLETRANSLATE($A4882,""en"",""ja"")"),"シュルナク")</f>
        <v>シュルナク</v>
      </c>
      <c r="I4882" s="9" t="str">
        <f>IFERROR(__xludf.DUMMYFUNCTION("GOOGLETRANSLATE($A4882,""en"",""ko"")"),"시르나크")</f>
        <v>시르나크</v>
      </c>
      <c r="J4882" s="9" t="str">
        <f>IFERROR(__xludf.DUMMYFUNCTION("GOOGLETRANSLATE($A4882,""en"",""pt-BR"")"),"Şırnak")</f>
        <v>Şırnak</v>
      </c>
    </row>
    <row r="4883">
      <c r="A4883" s="9" t="str">
        <f>IFERROR(__xludf.DUMMYFUNCTION("""COMPUTED_VALUE"""),"Karabük")</f>
        <v>Karabük</v>
      </c>
      <c r="B4883" s="9" t="str">
        <f>IFERROR(__xludf.DUMMYFUNCTION("""COMPUTED_VALUE"""),"tr-78")</f>
        <v>tr-78</v>
      </c>
      <c r="C4883" s="9" t="str">
        <f>IFERROR(__xludf.DUMMYFUNCTION("GOOGLETRANSLATE($A4883,""en"",""de"")"),"Karabük")</f>
        <v>Karabük</v>
      </c>
      <c r="D4883" s="9" t="str">
        <f>IFERROR(__xludf.DUMMYFUNCTION("GOOGLETRANSLATE($A4883,""en"",""fr"")"),"Karabük")</f>
        <v>Karabük</v>
      </c>
      <c r="E4883" s="9" t="str">
        <f>IFERROR(__xludf.DUMMYFUNCTION("GOOGLETRANSLATE($A4883,""en"",""es"")"),"Karabuk")</f>
        <v>Karabuk</v>
      </c>
      <c r="F4883" s="9" t="str">
        <f>IFERROR(__xludf.DUMMYFUNCTION("GOOGLETRANSLATE($A4883,""en"",""it"")"),"Karabük")</f>
        <v>Karabük</v>
      </c>
      <c r="G4883" s="9" t="str">
        <f>IFERROR(__xludf.DUMMYFUNCTION("GOOGLETRANSLATE($A4883,""en"",""zh-cn"")"),"卡拉布克")</f>
        <v>卡拉布克</v>
      </c>
      <c r="H4883" s="9" t="str">
        <f>IFERROR(__xludf.DUMMYFUNCTION("GOOGLETRANSLATE($A4883,""en"",""ja"")"),"カラビュク")</f>
        <v>カラビュク</v>
      </c>
      <c r="I4883" s="9" t="str">
        <f>IFERROR(__xludf.DUMMYFUNCTION("GOOGLETRANSLATE($A4883,""en"",""ko"")"),"카라뷔크")</f>
        <v>카라뷔크</v>
      </c>
      <c r="J4883" s="9" t="str">
        <f>IFERROR(__xludf.DUMMYFUNCTION("GOOGLETRANSLATE($A4883,""en"",""pt-BR"")"),"Karabük")</f>
        <v>Karabük</v>
      </c>
    </row>
    <row r="4884">
      <c r="A4884" s="9" t="str">
        <f>IFERROR(__xludf.DUMMYFUNCTION("""COMPUTED_VALUE"""),"Bolu")</f>
        <v>Bolu</v>
      </c>
      <c r="B4884" s="9" t="str">
        <f>IFERROR(__xludf.DUMMYFUNCTION("""COMPUTED_VALUE"""),"tr-14")</f>
        <v>tr-14</v>
      </c>
      <c r="C4884" s="9" t="str">
        <f>IFERROR(__xludf.DUMMYFUNCTION("GOOGLETRANSLATE($A4884,""en"",""de"")"),"Bolu")</f>
        <v>Bolu</v>
      </c>
      <c r="D4884" s="9" t="str">
        <f>IFERROR(__xludf.DUMMYFUNCTION("GOOGLETRANSLATE($A4884,""en"",""fr"")"),"Bolu")</f>
        <v>Bolu</v>
      </c>
      <c r="E4884" s="9" t="str">
        <f>IFERROR(__xludf.DUMMYFUNCTION("GOOGLETRANSLATE($A4884,""en"",""es"")"),"bolú")</f>
        <v>bolú</v>
      </c>
      <c r="F4884" s="9" t="str">
        <f>IFERROR(__xludf.DUMMYFUNCTION("GOOGLETRANSLATE($A4884,""en"",""it"")"),"Bolu")</f>
        <v>Bolu</v>
      </c>
      <c r="G4884" s="9" t="str">
        <f>IFERROR(__xludf.DUMMYFUNCTION("GOOGLETRANSLATE($A4884,""en"",""zh-cn"")"),"博鲁")</f>
        <v>博鲁</v>
      </c>
      <c r="H4884" s="9" t="str">
        <f>IFERROR(__xludf.DUMMYFUNCTION("GOOGLETRANSLATE($A4884,""en"",""ja"")"),"ボル")</f>
        <v>ボル</v>
      </c>
      <c r="I4884" s="9" t="str">
        <f>IFERROR(__xludf.DUMMYFUNCTION("GOOGLETRANSLATE($A4884,""en"",""ko"")"),"볼루")</f>
        <v>볼루</v>
      </c>
      <c r="J4884" s="9" t="str">
        <f>IFERROR(__xludf.DUMMYFUNCTION("GOOGLETRANSLATE($A4884,""en"",""pt-BR"")"),"Bolu")</f>
        <v>Bolu</v>
      </c>
    </row>
    <row r="4885">
      <c r="A4885" s="9" t="str">
        <f>IFERROR(__xludf.DUMMYFUNCTION("""COMPUTED_VALUE"""),"Diyarbakır")</f>
        <v>Diyarbakır</v>
      </c>
      <c r="B4885" s="9" t="str">
        <f>IFERROR(__xludf.DUMMYFUNCTION("""COMPUTED_VALUE"""),"tr-21")</f>
        <v>tr-21</v>
      </c>
      <c r="C4885" s="9" t="str">
        <f>IFERROR(__xludf.DUMMYFUNCTION("GOOGLETRANSLATE($A4885,""en"",""de"")"),"Diyarbakır")</f>
        <v>Diyarbakır</v>
      </c>
      <c r="D4885" s="9" t="str">
        <f>IFERROR(__xludf.DUMMYFUNCTION("GOOGLETRANSLATE($A4885,""en"",""fr"")"),"Diyarbakır")</f>
        <v>Diyarbakır</v>
      </c>
      <c r="E4885" s="9" t="str">
        <f>IFERROR(__xludf.DUMMYFUNCTION("GOOGLETRANSLATE($A4885,""en"",""es"")"),"Diyarbakir")</f>
        <v>Diyarbakir</v>
      </c>
      <c r="F4885" s="9" t="str">
        <f>IFERROR(__xludf.DUMMYFUNCTION("GOOGLETRANSLATE($A4885,""en"",""it"")"),"Diyarbakir")</f>
        <v>Diyarbakir</v>
      </c>
      <c r="G4885" s="9" t="str">
        <f>IFERROR(__xludf.DUMMYFUNCTION("GOOGLETRANSLATE($A4885,""en"",""zh-cn"")"),"迪亚巴克尔")</f>
        <v>迪亚巴克尔</v>
      </c>
      <c r="H4885" s="9" t="str">
        <f>IFERROR(__xludf.DUMMYFUNCTION("GOOGLETRANSLATE($A4885,""en"",""ja"")"),"ディヤルバクル")</f>
        <v>ディヤルバクル</v>
      </c>
      <c r="I4885" s="9" t="str">
        <f>IFERROR(__xludf.DUMMYFUNCTION("GOOGLETRANSLATE($A4885,""en"",""ko"")"),"디야르바키르")</f>
        <v>디야르바키르</v>
      </c>
      <c r="J4885" s="9" t="str">
        <f>IFERROR(__xludf.DUMMYFUNCTION("GOOGLETRANSLATE($A4885,""en"",""pt-BR"")"),"Diarbaquir")</f>
        <v>Diarbaquir</v>
      </c>
    </row>
    <row r="4886">
      <c r="A4886" s="9" t="str">
        <f>IFERROR(__xludf.DUMMYFUNCTION("""COMPUTED_VALUE"""),"Tokat")</f>
        <v>Tokat</v>
      </c>
      <c r="B4886" s="9" t="str">
        <f>IFERROR(__xludf.DUMMYFUNCTION("""COMPUTED_VALUE"""),"tr-60")</f>
        <v>tr-60</v>
      </c>
      <c r="C4886" s="9" t="str">
        <f>IFERROR(__xludf.DUMMYFUNCTION("GOOGLETRANSLATE($A4886,""en"",""de"")"),"Tokat")</f>
        <v>Tokat</v>
      </c>
      <c r="D4886" s="9" t="str">
        <f>IFERROR(__xludf.DUMMYFUNCTION("GOOGLETRANSLATE($A4886,""en"",""fr"")"),"Tokat")</f>
        <v>Tokat</v>
      </c>
      <c r="E4886" s="9" t="str">
        <f>IFERROR(__xludf.DUMMYFUNCTION("GOOGLETRANSLATE($A4886,""en"",""es"")"),"Tokat")</f>
        <v>Tokat</v>
      </c>
      <c r="F4886" s="9" t="str">
        <f>IFERROR(__xludf.DUMMYFUNCTION("GOOGLETRANSLATE($A4886,""en"",""it"")"),"Tokat")</f>
        <v>Tokat</v>
      </c>
      <c r="G4886" s="9" t="str">
        <f>IFERROR(__xludf.DUMMYFUNCTION("GOOGLETRANSLATE($A4886,""en"",""zh-cn"")"),"托卡特")</f>
        <v>托卡特</v>
      </c>
      <c r="H4886" s="9" t="str">
        <f>IFERROR(__xludf.DUMMYFUNCTION("GOOGLETRANSLATE($A4886,""en"",""ja"")"),"トカット")</f>
        <v>トカット</v>
      </c>
      <c r="I4886" s="9" t="str">
        <f>IFERROR(__xludf.DUMMYFUNCTION("GOOGLETRANSLATE($A4886,""en"",""ko"")"),"토카트")</f>
        <v>토카트</v>
      </c>
      <c r="J4886" s="9" t="str">
        <f>IFERROR(__xludf.DUMMYFUNCTION("GOOGLETRANSLATE($A4886,""en"",""pt-BR"")"),"Tocate")</f>
        <v>Tocate</v>
      </c>
    </row>
    <row r="4887">
      <c r="A4887" s="9" t="str">
        <f>IFERROR(__xludf.DUMMYFUNCTION("""COMPUTED_VALUE"""),"İzmir")</f>
        <v>İzmir</v>
      </c>
      <c r="B4887" s="9" t="str">
        <f>IFERROR(__xludf.DUMMYFUNCTION("""COMPUTED_VALUE"""),"tr-35")</f>
        <v>tr-35</v>
      </c>
      <c r="C4887" s="9" t="str">
        <f>IFERROR(__xludf.DUMMYFUNCTION("GOOGLETRANSLATE($A4887,""en"",""de"")"),"Izmir")</f>
        <v>Izmir</v>
      </c>
      <c r="D4887" s="9" t="str">
        <f>IFERROR(__xludf.DUMMYFUNCTION("GOOGLETRANSLATE($A4887,""en"",""fr"")"),"Izmir")</f>
        <v>Izmir</v>
      </c>
      <c r="E4887" s="9" t="str">
        <f>IFERROR(__xludf.DUMMYFUNCTION("GOOGLETRANSLATE($A4887,""en"",""es"")"),"Esmirna")</f>
        <v>Esmirna</v>
      </c>
      <c r="F4887" s="9" t="str">
        <f>IFERROR(__xludf.DUMMYFUNCTION("GOOGLETRANSLATE($A4887,""en"",""it"")"),"Smirne")</f>
        <v>Smirne</v>
      </c>
      <c r="G4887" s="9" t="str">
        <f>IFERROR(__xludf.DUMMYFUNCTION("GOOGLETRANSLATE($A4887,""en"",""zh-cn"")"),"伊兹密尔")</f>
        <v>伊兹密尔</v>
      </c>
      <c r="H4887" s="9" t="str">
        <f>IFERROR(__xludf.DUMMYFUNCTION("GOOGLETRANSLATE($A4887,""en"",""ja"")"),"イズミル")</f>
        <v>イズミル</v>
      </c>
      <c r="I4887" s="9" t="str">
        <f>IFERROR(__xludf.DUMMYFUNCTION("GOOGLETRANSLATE($A4887,""en"",""ko"")"),"이즈미르")</f>
        <v>이즈미르</v>
      </c>
      <c r="J4887" s="9" t="str">
        <f>IFERROR(__xludf.DUMMYFUNCTION("GOOGLETRANSLATE($A4887,""en"",""pt-BR"")"),"Esmirna")</f>
        <v>Esmirna</v>
      </c>
    </row>
    <row r="4888">
      <c r="A4888" s="9" t="str">
        <f>IFERROR(__xludf.DUMMYFUNCTION("""COMPUTED_VALUE"""),"Samsun")</f>
        <v>Samsun</v>
      </c>
      <c r="B4888" s="9" t="str">
        <f>IFERROR(__xludf.DUMMYFUNCTION("""COMPUTED_VALUE"""),"tr-55")</f>
        <v>tr-55</v>
      </c>
      <c r="C4888" s="9" t="str">
        <f>IFERROR(__xludf.DUMMYFUNCTION("GOOGLETRANSLATE($A4888,""en"",""de"")"),"Samsun")</f>
        <v>Samsun</v>
      </c>
      <c r="D4888" s="9" t="str">
        <f>IFERROR(__xludf.DUMMYFUNCTION("GOOGLETRANSLATE($A4888,""en"",""fr"")"),"Samsun")</f>
        <v>Samsun</v>
      </c>
      <c r="E4888" s="9" t="str">
        <f>IFERROR(__xludf.DUMMYFUNCTION("GOOGLETRANSLATE($A4888,""en"",""es"")"),"Samsung")</f>
        <v>Samsung</v>
      </c>
      <c r="F4888" s="9" t="str">
        <f>IFERROR(__xludf.DUMMYFUNCTION("GOOGLETRANSLATE($A4888,""en"",""it"")"),"Samsun")</f>
        <v>Samsun</v>
      </c>
      <c r="G4888" s="9" t="str">
        <f>IFERROR(__xludf.DUMMYFUNCTION("GOOGLETRANSLATE($A4888,""en"",""zh-cn"")"),"萨姆松")</f>
        <v>萨姆松</v>
      </c>
      <c r="H4888" s="9" t="str">
        <f>IFERROR(__xludf.DUMMYFUNCTION("GOOGLETRANSLATE($A4888,""en"",""ja"")"),"サムスン")</f>
        <v>サムスン</v>
      </c>
      <c r="I4888" s="9" t="str">
        <f>IFERROR(__xludf.DUMMYFUNCTION("GOOGLETRANSLATE($A4888,""en"",""ko"")"),"삼순")</f>
        <v>삼순</v>
      </c>
      <c r="J4888" s="9" t="str">
        <f>IFERROR(__xludf.DUMMYFUNCTION("GOOGLETRANSLATE($A4888,""en"",""pt-BR"")"),"Samsun")</f>
        <v>Samsun</v>
      </c>
    </row>
    <row r="4889">
      <c r="A4889" s="9" t="str">
        <f>IFERROR(__xludf.DUMMYFUNCTION("""COMPUTED_VALUE"""),"Karaman")</f>
        <v>Karaman</v>
      </c>
      <c r="B4889" s="9" t="str">
        <f>IFERROR(__xludf.DUMMYFUNCTION("""COMPUTED_VALUE"""),"tr-70")</f>
        <v>tr-70</v>
      </c>
      <c r="C4889" s="9" t="str">
        <f>IFERROR(__xludf.DUMMYFUNCTION("GOOGLETRANSLATE($A4889,""en"",""de"")"),"Karaman")</f>
        <v>Karaman</v>
      </c>
      <c r="D4889" s="9" t="str">
        <f>IFERROR(__xludf.DUMMYFUNCTION("GOOGLETRANSLATE($A4889,""en"",""fr"")"),"Karaman")</f>
        <v>Karaman</v>
      </c>
      <c r="E4889" s="9" t="str">
        <f>IFERROR(__xludf.DUMMYFUNCTION("GOOGLETRANSLATE($A4889,""en"",""es"")"),"Karamán")</f>
        <v>Karamán</v>
      </c>
      <c r="F4889" s="9" t="str">
        <f>IFERROR(__xludf.DUMMYFUNCTION("GOOGLETRANSLATE($A4889,""en"",""it"")"),"Karaman")</f>
        <v>Karaman</v>
      </c>
      <c r="G4889" s="9" t="str">
        <f>IFERROR(__xludf.DUMMYFUNCTION("GOOGLETRANSLATE($A4889,""en"",""zh-cn"")"),"卡拉曼")</f>
        <v>卡拉曼</v>
      </c>
      <c r="H4889" s="9" t="str">
        <f>IFERROR(__xludf.DUMMYFUNCTION("GOOGLETRANSLATE($A4889,""en"",""ja"")"),"カラマン")</f>
        <v>カラマン</v>
      </c>
      <c r="I4889" s="9" t="str">
        <f>IFERROR(__xludf.DUMMYFUNCTION("GOOGLETRANSLATE($A4889,""en"",""ko"")"),"카라만")</f>
        <v>카라만</v>
      </c>
      <c r="J4889" s="9" t="str">
        <f>IFERROR(__xludf.DUMMYFUNCTION("GOOGLETRANSLATE($A4889,""en"",""pt-BR"")"),"Karaman")</f>
        <v>Karaman</v>
      </c>
    </row>
    <row r="4890">
      <c r="A4890" s="9" t="str">
        <f>IFERROR(__xludf.DUMMYFUNCTION("""COMPUTED_VALUE"""),"Batman")</f>
        <v>Batman</v>
      </c>
      <c r="B4890" s="9" t="str">
        <f>IFERROR(__xludf.DUMMYFUNCTION("""COMPUTED_VALUE"""),"tr-72")</f>
        <v>tr-72</v>
      </c>
      <c r="C4890" s="9" t="str">
        <f>IFERROR(__xludf.DUMMYFUNCTION("GOOGLETRANSLATE($A4890,""en"",""de"")"),"Batman")</f>
        <v>Batman</v>
      </c>
      <c r="D4890" s="9" t="str">
        <f>IFERROR(__xludf.DUMMYFUNCTION("GOOGLETRANSLATE($A4890,""en"",""fr"")"),"Batman")</f>
        <v>Batman</v>
      </c>
      <c r="E4890" s="9" t="str">
        <f>IFERROR(__xludf.DUMMYFUNCTION("GOOGLETRANSLATE($A4890,""en"",""es"")"),"Ordenanza")</f>
        <v>Ordenanza</v>
      </c>
      <c r="F4890" s="9" t="str">
        <f>IFERROR(__xludf.DUMMYFUNCTION("GOOGLETRANSLATE($A4890,""en"",""it"")"),"Batman")</f>
        <v>Batman</v>
      </c>
      <c r="G4890" s="9" t="str">
        <f>IFERROR(__xludf.DUMMYFUNCTION("GOOGLETRANSLATE($A4890,""en"",""zh-cn"")"),"蝙蝠侠")</f>
        <v>蝙蝠侠</v>
      </c>
      <c r="H4890" s="9" t="str">
        <f>IFERROR(__xludf.DUMMYFUNCTION("GOOGLETRANSLATE($A4890,""en"",""ja"")"),"バットマン")</f>
        <v>バットマン</v>
      </c>
      <c r="I4890" s="9" t="str">
        <f>IFERROR(__xludf.DUMMYFUNCTION("GOOGLETRANSLATE($A4890,""en"",""ko"")"),"말 당번")</f>
        <v>말 당번</v>
      </c>
      <c r="J4890" s="9" t="str">
        <f>IFERROR(__xludf.DUMMYFUNCTION("GOOGLETRANSLATE($A4890,""en"",""pt-BR"")"),"homem Morcego")</f>
        <v>homem Morcego</v>
      </c>
    </row>
    <row r="4891">
      <c r="A4891" s="9" t="str">
        <f>IFERROR(__xludf.DUMMYFUNCTION("""COMPUTED_VALUE"""),"Osmaniye")</f>
        <v>Osmaniye</v>
      </c>
      <c r="B4891" s="9" t="str">
        <f>IFERROR(__xludf.DUMMYFUNCTION("""COMPUTED_VALUE"""),"tr-80")</f>
        <v>tr-80</v>
      </c>
      <c r="C4891" s="9" t="str">
        <f>IFERROR(__xludf.DUMMYFUNCTION("GOOGLETRANSLATE($A4891,""en"",""de"")"),"Osmaniye")</f>
        <v>Osmaniye</v>
      </c>
      <c r="D4891" s="9" t="str">
        <f>IFERROR(__xludf.DUMMYFUNCTION("GOOGLETRANSLATE($A4891,""en"",""fr"")"),"Osmaniye")</f>
        <v>Osmaniye</v>
      </c>
      <c r="E4891" s="9" t="str">
        <f>IFERROR(__xludf.DUMMYFUNCTION("GOOGLETRANSLATE($A4891,""en"",""es"")"),"Osmaniye")</f>
        <v>Osmaniye</v>
      </c>
      <c r="F4891" s="9" t="str">
        <f>IFERROR(__xludf.DUMMYFUNCTION("GOOGLETRANSLATE($A4891,""en"",""it"")"),"Osmaniye")</f>
        <v>Osmaniye</v>
      </c>
      <c r="G4891" s="9" t="str">
        <f>IFERROR(__xludf.DUMMYFUNCTION("GOOGLETRANSLATE($A4891,""en"",""zh-cn"")"),"奥斯曼尼耶")</f>
        <v>奥斯曼尼耶</v>
      </c>
      <c r="H4891" s="9" t="str">
        <f>IFERROR(__xludf.DUMMYFUNCTION("GOOGLETRANSLATE($A4891,""en"",""ja"")"),"オスマニエ")</f>
        <v>オスマニエ</v>
      </c>
      <c r="I4891" s="9" t="str">
        <f>IFERROR(__xludf.DUMMYFUNCTION("GOOGLETRANSLATE($A4891,""en"",""ko"")"),"오스마니예")</f>
        <v>오스마니예</v>
      </c>
      <c r="J4891" s="9" t="str">
        <f>IFERROR(__xludf.DUMMYFUNCTION("GOOGLETRANSLATE($A4891,""en"",""pt-BR"")"),"Osmaniye")</f>
        <v>Osmaniye</v>
      </c>
    </row>
    <row r="4892">
      <c r="A4892" s="9" t="str">
        <f>IFERROR(__xludf.DUMMYFUNCTION("""COMPUTED_VALUE"""),"Düzce")</f>
        <v>Düzce</v>
      </c>
      <c r="B4892" s="9" t="str">
        <f>IFERROR(__xludf.DUMMYFUNCTION("""COMPUTED_VALUE"""),"tr-81")</f>
        <v>tr-81</v>
      </c>
      <c r="C4892" s="9" t="str">
        <f>IFERROR(__xludf.DUMMYFUNCTION("GOOGLETRANSLATE($A4892,""en"",""de"")"),"Düzce")</f>
        <v>Düzce</v>
      </c>
      <c r="D4892" s="9" t="str">
        <f>IFERROR(__xludf.DUMMYFUNCTION("GOOGLETRANSLATE($A4892,""en"",""fr"")"),"Düzce")</f>
        <v>Düzce</v>
      </c>
      <c r="E4892" s="9" t="str">
        <f>IFERROR(__xludf.DUMMYFUNCTION("GOOGLETRANSLATE($A4892,""en"",""es"")"),"Düzce")</f>
        <v>Düzce</v>
      </c>
      <c r="F4892" s="9" t="str">
        <f>IFERROR(__xludf.DUMMYFUNCTION("GOOGLETRANSLATE($A4892,""en"",""it"")"),"Düzce")</f>
        <v>Düzce</v>
      </c>
      <c r="G4892" s="9" t="str">
        <f>IFERROR(__xludf.DUMMYFUNCTION("GOOGLETRANSLATE($A4892,""en"",""zh-cn"")"),"迪兹杰")</f>
        <v>迪兹杰</v>
      </c>
      <c r="H4892" s="9" t="str">
        <f>IFERROR(__xludf.DUMMYFUNCTION("GOOGLETRANSLATE($A4892,""en"",""ja"")"),"デュズチェ")</f>
        <v>デュズチェ</v>
      </c>
      <c r="I4892" s="9" t="str">
        <f>IFERROR(__xludf.DUMMYFUNCTION("GOOGLETRANSLATE($A4892,""en"",""ko"")"),"뒤즈체")</f>
        <v>뒤즈체</v>
      </c>
      <c r="J4892" s="9" t="str">
        <f>IFERROR(__xludf.DUMMYFUNCTION("GOOGLETRANSLATE($A4892,""en"",""pt-BR"")"),"Düzce")</f>
        <v>Düzce</v>
      </c>
    </row>
    <row r="4893">
      <c r="A4893" s="9" t="str">
        <f>IFERROR(__xludf.DUMMYFUNCTION("""COMPUTED_VALUE"""),"Mardin")</f>
        <v>Mardin</v>
      </c>
      <c r="B4893" s="9" t="str">
        <f>IFERROR(__xludf.DUMMYFUNCTION("""COMPUTED_VALUE"""),"tr-47")</f>
        <v>tr-47</v>
      </c>
      <c r="C4893" s="9" t="str">
        <f>IFERROR(__xludf.DUMMYFUNCTION("GOOGLETRANSLATE($A4893,""en"",""de"")"),"Mardin")</f>
        <v>Mardin</v>
      </c>
      <c r="D4893" s="9" t="str">
        <f>IFERROR(__xludf.DUMMYFUNCTION("GOOGLETRANSLATE($A4893,""en"",""fr"")"),"Mardin")</f>
        <v>Mardin</v>
      </c>
      <c r="E4893" s="9" t="str">
        <f>IFERROR(__xludf.DUMMYFUNCTION("GOOGLETRANSLATE($A4893,""en"",""es"")"),"mardin")</f>
        <v>mardin</v>
      </c>
      <c r="F4893" s="9" t="str">
        <f>IFERROR(__xludf.DUMMYFUNCTION("GOOGLETRANSLATE($A4893,""en"",""it"")"),"Mardin")</f>
        <v>Mardin</v>
      </c>
      <c r="G4893" s="9" t="str">
        <f>IFERROR(__xludf.DUMMYFUNCTION("GOOGLETRANSLATE($A4893,""en"",""zh-cn"")"),"马尔丁")</f>
        <v>马尔丁</v>
      </c>
      <c r="H4893" s="9" t="str">
        <f>IFERROR(__xludf.DUMMYFUNCTION("GOOGLETRANSLATE($A4893,""en"",""ja"")"),"マーディン")</f>
        <v>マーディン</v>
      </c>
      <c r="I4893" s="9" t="str">
        <f>IFERROR(__xludf.DUMMYFUNCTION("GOOGLETRANSLATE($A4893,""en"",""ko"")"),"마르딘")</f>
        <v>마르딘</v>
      </c>
      <c r="J4893" s="9" t="str">
        <f>IFERROR(__xludf.DUMMYFUNCTION("GOOGLETRANSLATE($A4893,""en"",""pt-BR"")"),"Mardín")</f>
        <v>Mardín</v>
      </c>
    </row>
    <row r="4894">
      <c r="A4894" s="9" t="str">
        <f>IFERROR(__xludf.DUMMYFUNCTION("""COMPUTED_VALUE"""),"Van")</f>
        <v>Van</v>
      </c>
      <c r="B4894" s="9" t="str">
        <f>IFERROR(__xludf.DUMMYFUNCTION("""COMPUTED_VALUE"""),"tr-65")</f>
        <v>tr-65</v>
      </c>
      <c r="C4894" s="9" t="str">
        <f>IFERROR(__xludf.DUMMYFUNCTION("GOOGLETRANSLATE($A4894,""en"",""de"")"),"Van")</f>
        <v>Van</v>
      </c>
      <c r="D4894" s="9" t="str">
        <f>IFERROR(__xludf.DUMMYFUNCTION("GOOGLETRANSLATE($A4894,""en"",""fr"")"),"Van")</f>
        <v>Van</v>
      </c>
      <c r="E4894" s="9" t="str">
        <f>IFERROR(__xludf.DUMMYFUNCTION("GOOGLETRANSLATE($A4894,""en"",""es"")"),"Furgoneta")</f>
        <v>Furgoneta</v>
      </c>
      <c r="F4894" s="9" t="str">
        <f>IFERROR(__xludf.DUMMYFUNCTION("GOOGLETRANSLATE($A4894,""en"",""it"")"),"Furgone")</f>
        <v>Furgone</v>
      </c>
      <c r="G4894" s="9" t="str">
        <f>IFERROR(__xludf.DUMMYFUNCTION("GOOGLETRANSLATE($A4894,""en"",""zh-cn"")"),"货车")</f>
        <v>货车</v>
      </c>
      <c r="H4894" s="9" t="str">
        <f>IFERROR(__xludf.DUMMYFUNCTION("GOOGLETRANSLATE($A4894,""en"",""ja"")"),"バン")</f>
        <v>バン</v>
      </c>
      <c r="I4894" s="9" t="str">
        <f>IFERROR(__xludf.DUMMYFUNCTION("GOOGLETRANSLATE($A4894,""en"",""ko"")"),"봉고차")</f>
        <v>봉고차</v>
      </c>
      <c r="J4894" s="9" t="str">
        <f>IFERROR(__xludf.DUMMYFUNCTION("GOOGLETRANSLATE($A4894,""en"",""pt-BR"")"),"Van")</f>
        <v>Van</v>
      </c>
    </row>
    <row r="4895">
      <c r="A4895" s="9" t="str">
        <f>IFERROR(__xludf.DUMMYFUNCTION("""COMPUTED_VALUE"""),"Amasya")</f>
        <v>Amasya</v>
      </c>
      <c r="B4895" s="9" t="str">
        <f>IFERROR(__xludf.DUMMYFUNCTION("""COMPUTED_VALUE"""),"tr-05")</f>
        <v>tr-05</v>
      </c>
      <c r="C4895" s="9" t="str">
        <f>IFERROR(__xludf.DUMMYFUNCTION("GOOGLETRANSLATE($A4895,""en"",""de"")"),"Amasya")</f>
        <v>Amasya</v>
      </c>
      <c r="D4895" s="9" t="str">
        <f>IFERROR(__xludf.DUMMYFUNCTION("GOOGLETRANSLATE($A4895,""en"",""fr"")"),"Amasya")</f>
        <v>Amasya</v>
      </c>
      <c r="E4895" s="9" t="str">
        <f>IFERROR(__xludf.DUMMYFUNCTION("GOOGLETRANSLATE($A4895,""en"",""es"")"),"amasia")</f>
        <v>amasia</v>
      </c>
      <c r="F4895" s="9" t="str">
        <f>IFERROR(__xludf.DUMMYFUNCTION("GOOGLETRANSLATE($A4895,""en"",""it"")"),"Amasya")</f>
        <v>Amasya</v>
      </c>
      <c r="G4895" s="9" t="str">
        <f>IFERROR(__xludf.DUMMYFUNCTION("GOOGLETRANSLATE($A4895,""en"",""zh-cn"")"),"阿马西亚")</f>
        <v>阿马西亚</v>
      </c>
      <c r="H4895" s="9" t="str">
        <f>IFERROR(__xludf.DUMMYFUNCTION("GOOGLETRANSLATE($A4895,""en"",""ja"")"),"アマスヤ")</f>
        <v>アマスヤ</v>
      </c>
      <c r="I4895" s="9" t="str">
        <f>IFERROR(__xludf.DUMMYFUNCTION("GOOGLETRANSLATE($A4895,""en"",""ko"")"),"아마시아")</f>
        <v>아마시아</v>
      </c>
      <c r="J4895" s="9" t="str">
        <f>IFERROR(__xludf.DUMMYFUNCTION("GOOGLETRANSLATE($A4895,""en"",""pt-BR"")"),"Amásia")</f>
        <v>Amásia</v>
      </c>
    </row>
    <row r="4896">
      <c r="A4896" s="9" t="str">
        <f>IFERROR(__xludf.DUMMYFUNCTION("""COMPUTED_VALUE"""),"Kastamonu")</f>
        <v>Kastamonu</v>
      </c>
      <c r="B4896" s="9" t="str">
        <f>IFERROR(__xludf.DUMMYFUNCTION("""COMPUTED_VALUE"""),"tr-37")</f>
        <v>tr-37</v>
      </c>
      <c r="C4896" s="9" t="str">
        <f>IFERROR(__xludf.DUMMYFUNCTION("GOOGLETRANSLATE($A4896,""en"",""de"")"),"Kastamonu")</f>
        <v>Kastamonu</v>
      </c>
      <c r="D4896" s="9" t="str">
        <f>IFERROR(__xludf.DUMMYFUNCTION("GOOGLETRANSLATE($A4896,""en"",""fr"")"),"Kastamonu")</f>
        <v>Kastamonu</v>
      </c>
      <c r="E4896" s="9" t="str">
        <f>IFERROR(__xludf.DUMMYFUNCTION("GOOGLETRANSLATE($A4896,""en"",""es"")"),"Kastamonu")</f>
        <v>Kastamonu</v>
      </c>
      <c r="F4896" s="9" t="str">
        <f>IFERROR(__xludf.DUMMYFUNCTION("GOOGLETRANSLATE($A4896,""en"",""it"")"),"Kastamonu")</f>
        <v>Kastamonu</v>
      </c>
      <c r="G4896" s="9" t="str">
        <f>IFERROR(__xludf.DUMMYFUNCTION("GOOGLETRANSLATE($A4896,""en"",""zh-cn"")"),"卡斯塔莫努")</f>
        <v>卡斯塔莫努</v>
      </c>
      <c r="H4896" s="9" t="str">
        <f>IFERROR(__xludf.DUMMYFUNCTION("GOOGLETRANSLATE($A4896,""en"",""ja"")"),"カスタモヌ")</f>
        <v>カスタモヌ</v>
      </c>
      <c r="I4896" s="9" t="str">
        <f>IFERROR(__xludf.DUMMYFUNCTION("GOOGLETRANSLATE($A4896,""en"",""ko"")"),"카스타모누")</f>
        <v>카스타모누</v>
      </c>
      <c r="J4896" s="9" t="str">
        <f>IFERROR(__xludf.DUMMYFUNCTION("GOOGLETRANSLATE($A4896,""en"",""pt-BR"")"),"Castamonu")</f>
        <v>Castamonu</v>
      </c>
    </row>
    <row r="4897">
      <c r="A4897" s="9" t="str">
        <f>IFERROR(__xludf.DUMMYFUNCTION("""COMPUTED_VALUE"""),"Sakarya")</f>
        <v>Sakarya</v>
      </c>
      <c r="B4897" s="9" t="str">
        <f>IFERROR(__xludf.DUMMYFUNCTION("""COMPUTED_VALUE"""),"tr-54")</f>
        <v>tr-54</v>
      </c>
      <c r="C4897" s="9" t="str">
        <f>IFERROR(__xludf.DUMMYFUNCTION("GOOGLETRANSLATE($A4897,""en"",""de"")"),"Sakarya")</f>
        <v>Sakarya</v>
      </c>
      <c r="D4897" s="9" t="str">
        <f>IFERROR(__xludf.DUMMYFUNCTION("GOOGLETRANSLATE($A4897,""en"",""fr"")"),"Sakarya")</f>
        <v>Sakarya</v>
      </c>
      <c r="E4897" s="9" t="str">
        <f>IFERROR(__xludf.DUMMYFUNCTION("GOOGLETRANSLATE($A4897,""en"",""es"")"),"Sakarya")</f>
        <v>Sakarya</v>
      </c>
      <c r="F4897" s="9" t="str">
        <f>IFERROR(__xludf.DUMMYFUNCTION("GOOGLETRANSLATE($A4897,""en"",""it"")"),"Sakarya")</f>
        <v>Sakarya</v>
      </c>
      <c r="G4897" s="9" t="str">
        <f>IFERROR(__xludf.DUMMYFUNCTION("GOOGLETRANSLATE($A4897,""en"",""zh-cn"")"),"萨卡里亚")</f>
        <v>萨卡里亚</v>
      </c>
      <c r="H4897" s="9" t="str">
        <f>IFERROR(__xludf.DUMMYFUNCTION("GOOGLETRANSLATE($A4897,""en"",""ja"")"),"サカリヤ")</f>
        <v>サカリヤ</v>
      </c>
      <c r="I4897" s="9" t="str">
        <f>IFERROR(__xludf.DUMMYFUNCTION("GOOGLETRANSLATE($A4897,""en"",""ko"")"),"사카리아")</f>
        <v>사카리아</v>
      </c>
      <c r="J4897" s="9" t="str">
        <f>IFERROR(__xludf.DUMMYFUNCTION("GOOGLETRANSLATE($A4897,""en"",""pt-BR"")"),"Sakarya")</f>
        <v>Sakarya</v>
      </c>
    </row>
    <row r="4898">
      <c r="A4898" s="9" t="str">
        <f>IFERROR(__xludf.DUMMYFUNCTION("""COMPUTED_VALUE"""),"Trabzon")</f>
        <v>Trabzon</v>
      </c>
      <c r="B4898" s="9" t="str">
        <f>IFERROR(__xludf.DUMMYFUNCTION("""COMPUTED_VALUE"""),"tr-61")</f>
        <v>tr-61</v>
      </c>
      <c r="C4898" s="9" t="str">
        <f>IFERROR(__xludf.DUMMYFUNCTION("GOOGLETRANSLATE($A4898,""en"",""de"")"),"Trabzon")</f>
        <v>Trabzon</v>
      </c>
      <c r="D4898" s="9" t="str">
        <f>IFERROR(__xludf.DUMMYFUNCTION("GOOGLETRANSLATE($A4898,""en"",""fr"")"),"Trabzon")</f>
        <v>Trabzon</v>
      </c>
      <c r="E4898" s="9" t="str">
        <f>IFERROR(__xludf.DUMMYFUNCTION("GOOGLETRANSLATE($A4898,""en"",""es"")"),"Trebisonda")</f>
        <v>Trebisonda</v>
      </c>
      <c r="F4898" s="9" t="str">
        <f>IFERROR(__xludf.DUMMYFUNCTION("GOOGLETRANSLATE($A4898,""en"",""it"")"),"Trebisonda")</f>
        <v>Trebisonda</v>
      </c>
      <c r="G4898" s="9" t="str">
        <f>IFERROR(__xludf.DUMMYFUNCTION("GOOGLETRANSLATE($A4898,""en"",""zh-cn"")"),"特拉布宗")</f>
        <v>特拉布宗</v>
      </c>
      <c r="H4898" s="9" t="str">
        <f>IFERROR(__xludf.DUMMYFUNCTION("GOOGLETRANSLATE($A4898,""en"",""ja"")"),"トラブゾン")</f>
        <v>トラブゾン</v>
      </c>
      <c r="I4898" s="9" t="str">
        <f>IFERROR(__xludf.DUMMYFUNCTION("GOOGLETRANSLATE($A4898,""en"",""ko"")"),"트라브존")</f>
        <v>트라브존</v>
      </c>
      <c r="J4898" s="9" t="str">
        <f>IFERROR(__xludf.DUMMYFUNCTION("GOOGLETRANSLATE($A4898,""en"",""pt-BR"")"),"Trebizonda")</f>
        <v>Trebizonda</v>
      </c>
    </row>
    <row r="4899">
      <c r="A4899" s="9" t="str">
        <f>IFERROR(__xludf.DUMMYFUNCTION("""COMPUTED_VALUE"""),"Balıkesir")</f>
        <v>Balıkesir</v>
      </c>
      <c r="B4899" s="9" t="str">
        <f>IFERROR(__xludf.DUMMYFUNCTION("""COMPUTED_VALUE"""),"tr-10")</f>
        <v>tr-10</v>
      </c>
      <c r="C4899" s="9" t="str">
        <f>IFERROR(__xludf.DUMMYFUNCTION("GOOGLETRANSLATE($A4899,""en"",""de"")"),"Balikesir")</f>
        <v>Balikesir</v>
      </c>
      <c r="D4899" s="9" t="str">
        <f>IFERROR(__xludf.DUMMYFUNCTION("GOOGLETRANSLATE($A4899,""en"",""fr"")"),"Balikesir")</f>
        <v>Balikesir</v>
      </c>
      <c r="E4899" s="9" t="str">
        <f>IFERROR(__xludf.DUMMYFUNCTION("GOOGLETRANSLATE($A4899,""en"",""es"")"),"Balikesir")</f>
        <v>Balikesir</v>
      </c>
      <c r="F4899" s="9" t="str">
        <f>IFERROR(__xludf.DUMMYFUNCTION("GOOGLETRANSLATE($A4899,""en"",""it"")"),"Balikesir")</f>
        <v>Balikesir</v>
      </c>
      <c r="G4899" s="9" t="str">
        <f>IFERROR(__xludf.DUMMYFUNCTION("GOOGLETRANSLATE($A4899,""en"",""zh-cn"")"),"巴勒克埃西尔")</f>
        <v>巴勒克埃西尔</v>
      </c>
      <c r="H4899" s="9" t="str">
        <f>IFERROR(__xludf.DUMMYFUNCTION("GOOGLETRANSLATE($A4899,""en"",""ja"")"),"バルケシル")</f>
        <v>バルケシル</v>
      </c>
      <c r="I4899" s="9" t="str">
        <f>IFERROR(__xludf.DUMMYFUNCTION("GOOGLETRANSLATE($A4899,""en"",""ko"")"),"발리케시르")</f>
        <v>발리케시르</v>
      </c>
      <c r="J4899" s="9" t="str">
        <f>IFERROR(__xludf.DUMMYFUNCTION("GOOGLETRANSLATE($A4899,""en"",""pt-BR"")"),"Balıkesir")</f>
        <v>Balıkesir</v>
      </c>
    </row>
    <row r="4900">
      <c r="A4900" s="9" t="str">
        <f>IFERROR(__xludf.DUMMYFUNCTION("""COMPUTED_VALUE"""),"Nevşehir")</f>
        <v>Nevşehir</v>
      </c>
      <c r="B4900" s="9" t="str">
        <f>IFERROR(__xludf.DUMMYFUNCTION("""COMPUTED_VALUE"""),"tr-50")</f>
        <v>tr-50</v>
      </c>
      <c r="C4900" s="9" t="str">
        <f>IFERROR(__xludf.DUMMYFUNCTION("GOOGLETRANSLATE($A4900,""en"",""de"")"),"Nevşehir")</f>
        <v>Nevşehir</v>
      </c>
      <c r="D4900" s="9" t="str">
        <f>IFERROR(__xludf.DUMMYFUNCTION("GOOGLETRANSLATE($A4900,""en"",""fr"")"),"Nevşehir")</f>
        <v>Nevşehir</v>
      </c>
      <c r="E4900" s="9" t="str">
        <f>IFERROR(__xludf.DUMMYFUNCTION("GOOGLETRANSLATE($A4900,""en"",""es"")"),"Nevşehir")</f>
        <v>Nevşehir</v>
      </c>
      <c r="F4900" s="9" t="str">
        <f>IFERROR(__xludf.DUMMYFUNCTION("GOOGLETRANSLATE($A4900,""en"",""it"")"),"Nevşehir")</f>
        <v>Nevşehir</v>
      </c>
      <c r="G4900" s="9" t="str">
        <f>IFERROR(__xludf.DUMMYFUNCTION("GOOGLETRANSLATE($A4900,""en"",""zh-cn"")"),"内夫谢希尔")</f>
        <v>内夫谢希尔</v>
      </c>
      <c r="H4900" s="9" t="str">
        <f>IFERROR(__xludf.DUMMYFUNCTION("GOOGLETRANSLATE($A4900,""en"",""ja"")"),"ネヴシェヒル")</f>
        <v>ネヴシェヒル</v>
      </c>
      <c r="I4900" s="9" t="str">
        <f>IFERROR(__xludf.DUMMYFUNCTION("GOOGLETRANSLATE($A4900,""en"",""ko"")"),"네브셰히르")</f>
        <v>네브셰히르</v>
      </c>
      <c r="J4900" s="9" t="str">
        <f>IFERROR(__xludf.DUMMYFUNCTION("GOOGLETRANSLATE($A4900,""en"",""pt-BR"")"),"Nevsehir")</f>
        <v>Nevsehir</v>
      </c>
    </row>
    <row r="4901">
      <c r="A4901" s="9" t="str">
        <f>IFERROR(__xludf.DUMMYFUNCTION("""COMPUTED_VALUE"""),"Rize")</f>
        <v>Rize</v>
      </c>
      <c r="B4901" s="9" t="str">
        <f>IFERROR(__xludf.DUMMYFUNCTION("""COMPUTED_VALUE"""),"tr-53")</f>
        <v>tr-53</v>
      </c>
      <c r="C4901" s="9" t="str">
        <f>IFERROR(__xludf.DUMMYFUNCTION("GOOGLETRANSLATE($A4901,""en"",""de"")"),"Rize")</f>
        <v>Rize</v>
      </c>
      <c r="D4901" s="9" t="str">
        <f>IFERROR(__xludf.DUMMYFUNCTION("GOOGLETRANSLATE($A4901,""en"",""fr"")"),"Rizé")</f>
        <v>Rizé</v>
      </c>
      <c r="E4901" s="9" t="str">
        <f>IFERROR(__xludf.DUMMYFUNCTION("GOOGLETRANSLATE($A4901,""en"",""es"")"),"Rize")</f>
        <v>Rize</v>
      </c>
      <c r="F4901" s="9" t="str">
        <f>IFERROR(__xludf.DUMMYFUNCTION("GOOGLETRANSLATE($A4901,""en"",""it"")"),"Rize")</f>
        <v>Rize</v>
      </c>
      <c r="G4901" s="9" t="str">
        <f>IFERROR(__xludf.DUMMYFUNCTION("GOOGLETRANSLATE($A4901,""en"",""zh-cn"")"),"里泽")</f>
        <v>里泽</v>
      </c>
      <c r="H4901" s="9" t="str">
        <f>IFERROR(__xludf.DUMMYFUNCTION("GOOGLETRANSLATE($A4901,""en"",""ja"")"),"リゼ")</f>
        <v>リゼ</v>
      </c>
      <c r="I4901" s="9" t="str">
        <f>IFERROR(__xludf.DUMMYFUNCTION("GOOGLETRANSLATE($A4901,""en"",""ko"")"),"리제")</f>
        <v>리제</v>
      </c>
      <c r="J4901" s="9" t="str">
        <f>IFERROR(__xludf.DUMMYFUNCTION("GOOGLETRANSLATE($A4901,""en"",""pt-BR"")"),"Rize")</f>
        <v>Rize</v>
      </c>
    </row>
    <row r="4902">
      <c r="A4902" s="9" t="str">
        <f>IFERROR(__xludf.DUMMYFUNCTION("""COMPUTED_VALUE"""),"Iğdır")</f>
        <v>Iğdır</v>
      </c>
      <c r="B4902" s="9" t="str">
        <f>IFERROR(__xludf.DUMMYFUNCTION("""COMPUTED_VALUE"""),"tr-76")</f>
        <v>tr-76</v>
      </c>
      <c r="C4902" s="9" t="str">
        <f>IFERROR(__xludf.DUMMYFUNCTION("GOOGLETRANSLATE($A4902,""en"",""de"")"),"Iğdır")</f>
        <v>Iğdır</v>
      </c>
      <c r="D4902" s="9" t="str">
        <f>IFERROR(__xludf.DUMMYFUNCTION("GOOGLETRANSLATE($A4902,""en"",""fr"")"),"Iğdır")</f>
        <v>Iğdır</v>
      </c>
      <c r="E4902" s="9" t="str">
        <f>IFERROR(__xludf.DUMMYFUNCTION("GOOGLETRANSLATE($A4902,""en"",""es"")"),"Iğdır")</f>
        <v>Iğdır</v>
      </c>
      <c r="F4902" s="9" t="str">
        <f>IFERROR(__xludf.DUMMYFUNCTION("GOOGLETRANSLATE($A4902,""en"",""it"")"),"Iğdir")</f>
        <v>Iğdir</v>
      </c>
      <c r="G4902" s="9" t="str">
        <f>IFERROR(__xludf.DUMMYFUNCTION("GOOGLETRANSLATE($A4902,""en"",""zh-cn"")"),"伊德尔")</f>
        <v>伊德尔</v>
      </c>
      <c r="H4902" s="9" t="str">
        <f>IFERROR(__xludf.DUMMYFUNCTION("GOOGLETRANSLATE($A4902,""en"",""ja"")"),"イドゥル")</f>
        <v>イドゥル</v>
      </c>
      <c r="I4902" s="9" t="str">
        <f>IFERROR(__xludf.DUMMYFUNCTION("GOOGLETRANSLATE($A4902,""en"",""ko"")"),"이디르")</f>
        <v>이디르</v>
      </c>
      <c r="J4902" s="9" t="str">
        <f>IFERROR(__xludf.DUMMYFUNCTION("GOOGLETRANSLATE($A4902,""en"",""pt-BR"")"),"Iğdır")</f>
        <v>Iğdır</v>
      </c>
    </row>
    <row r="4903">
      <c r="A4903" s="9" t="str">
        <f>IFERROR(__xludf.DUMMYFUNCTION("""COMPUTED_VALUE"""),"Erzincan")</f>
        <v>Erzincan</v>
      </c>
      <c r="B4903" s="9" t="str">
        <f>IFERROR(__xludf.DUMMYFUNCTION("""COMPUTED_VALUE"""),"tr-24")</f>
        <v>tr-24</v>
      </c>
      <c r="C4903" s="9" t="str">
        <f>IFERROR(__xludf.DUMMYFUNCTION("GOOGLETRANSLATE($A4903,""en"",""de"")"),"Erzincan")</f>
        <v>Erzincan</v>
      </c>
      <c r="D4903" s="9" t="str">
        <f>IFERROR(__xludf.DUMMYFUNCTION("GOOGLETRANSLATE($A4903,""en"",""fr"")"),"Erzincan")</f>
        <v>Erzincan</v>
      </c>
      <c r="E4903" s="9" t="str">
        <f>IFERROR(__xludf.DUMMYFUNCTION("GOOGLETRANSLATE($A4903,""en"",""es"")"),"Erzincan")</f>
        <v>Erzincan</v>
      </c>
      <c r="F4903" s="9" t="str">
        <f>IFERROR(__xludf.DUMMYFUNCTION("GOOGLETRANSLATE($A4903,""en"",""it"")"),"Erzincan")</f>
        <v>Erzincan</v>
      </c>
      <c r="G4903" s="9" t="str">
        <f>IFERROR(__xludf.DUMMYFUNCTION("GOOGLETRANSLATE($A4903,""en"",""zh-cn"")"),"埃尔津詹")</f>
        <v>埃尔津詹</v>
      </c>
      <c r="H4903" s="9" t="str">
        <f>IFERROR(__xludf.DUMMYFUNCTION("GOOGLETRANSLATE($A4903,""en"",""ja"")"),"エルズィンジャン")</f>
        <v>エルズィンジャン</v>
      </c>
      <c r="I4903" s="9" t="str">
        <f>IFERROR(__xludf.DUMMYFUNCTION("GOOGLETRANSLATE($A4903,""en"",""ko"")"),"에르진칸")</f>
        <v>에르진칸</v>
      </c>
      <c r="J4903" s="9" t="str">
        <f>IFERROR(__xludf.DUMMYFUNCTION("GOOGLETRANSLATE($A4903,""en"",""pt-BR"")"),"Erzincan")</f>
        <v>Erzincan</v>
      </c>
    </row>
    <row r="4904">
      <c r="A4904" s="9" t="str">
        <f>IFERROR(__xludf.DUMMYFUNCTION("""COMPUTED_VALUE"""),"Malatya")</f>
        <v>Malatya</v>
      </c>
      <c r="B4904" s="9" t="str">
        <f>IFERROR(__xludf.DUMMYFUNCTION("""COMPUTED_VALUE"""),"tr-44")</f>
        <v>tr-44</v>
      </c>
      <c r="C4904" s="9" t="str">
        <f>IFERROR(__xludf.DUMMYFUNCTION("GOOGLETRANSLATE($A4904,""en"",""de"")"),"Malatya")</f>
        <v>Malatya</v>
      </c>
      <c r="D4904" s="9" t="str">
        <f>IFERROR(__xludf.DUMMYFUNCTION("GOOGLETRANSLATE($A4904,""en"",""fr"")"),"Malatya")</f>
        <v>Malatya</v>
      </c>
      <c r="E4904" s="9" t="str">
        <f>IFERROR(__xludf.DUMMYFUNCTION("GOOGLETRANSLATE($A4904,""en"",""es"")"),"Malatya")</f>
        <v>Malatya</v>
      </c>
      <c r="F4904" s="9" t="str">
        <f>IFERROR(__xludf.DUMMYFUNCTION("GOOGLETRANSLATE($A4904,""en"",""it"")"),"Malatya")</f>
        <v>Malatya</v>
      </c>
      <c r="G4904" s="9" t="str">
        <f>IFERROR(__xludf.DUMMYFUNCTION("GOOGLETRANSLATE($A4904,""en"",""zh-cn"")"),"马拉蒂亚")</f>
        <v>马拉蒂亚</v>
      </c>
      <c r="H4904" s="9" t="str">
        <f>IFERROR(__xludf.DUMMYFUNCTION("GOOGLETRANSLATE($A4904,""en"",""ja"")"),"マラティヤ")</f>
        <v>マラティヤ</v>
      </c>
      <c r="I4904" s="9" t="str">
        <f>IFERROR(__xludf.DUMMYFUNCTION("GOOGLETRANSLATE($A4904,""en"",""ko"")"),"말라티아")</f>
        <v>말라티아</v>
      </c>
      <c r="J4904" s="9" t="str">
        <f>IFERROR(__xludf.DUMMYFUNCTION("GOOGLETRANSLATE($A4904,""en"",""pt-BR"")"),"Malatya")</f>
        <v>Malatya</v>
      </c>
    </row>
    <row r="4905">
      <c r="A4905" s="9" t="str">
        <f>IFERROR(__xludf.DUMMYFUNCTION("""COMPUTED_VALUE"""),"Afyonkarahisar")</f>
        <v>Afyonkarahisar</v>
      </c>
      <c r="B4905" s="9" t="str">
        <f>IFERROR(__xludf.DUMMYFUNCTION("""COMPUTED_VALUE"""),"tr-03")</f>
        <v>tr-03</v>
      </c>
      <c r="C4905" s="9" t="str">
        <f>IFERROR(__xludf.DUMMYFUNCTION("GOOGLETRANSLATE($A4905,""en"",""de"")"),"Afyonkarahisar")</f>
        <v>Afyonkarahisar</v>
      </c>
      <c r="D4905" s="9" t="str">
        <f>IFERROR(__xludf.DUMMYFUNCTION("GOOGLETRANSLATE($A4905,""en"",""fr"")"),"Afyonkarahisar")</f>
        <v>Afyonkarahisar</v>
      </c>
      <c r="E4905" s="9" t="str">
        <f>IFERROR(__xludf.DUMMYFUNCTION("GOOGLETRANSLATE($A4905,""en"",""es"")"),"Afyonkarahisar")</f>
        <v>Afyonkarahisar</v>
      </c>
      <c r="F4905" s="9" t="str">
        <f>IFERROR(__xludf.DUMMYFUNCTION("GOOGLETRANSLATE($A4905,""en"",""it"")"),"Afyonkarahisar")</f>
        <v>Afyonkarahisar</v>
      </c>
      <c r="G4905" s="9" t="str">
        <f>IFERROR(__xludf.DUMMYFUNCTION("GOOGLETRANSLATE($A4905,""en"",""zh-cn"")"),"阿菲永卡拉希萨尔")</f>
        <v>阿菲永卡拉希萨尔</v>
      </c>
      <c r="H4905" s="9" t="str">
        <f>IFERROR(__xludf.DUMMYFUNCTION("GOOGLETRANSLATE($A4905,""en"",""ja"")"),"アフィヨンカラヒサール")</f>
        <v>アフィヨンカラヒサール</v>
      </c>
      <c r="I4905" s="9" t="str">
        <f>IFERROR(__xludf.DUMMYFUNCTION("GOOGLETRANSLATE($A4905,""en"",""ko"")"),"아피온카라히사르")</f>
        <v>아피온카라히사르</v>
      </c>
      <c r="J4905" s="9" t="str">
        <f>IFERROR(__xludf.DUMMYFUNCTION("GOOGLETRANSLATE($A4905,""en"",""pt-BR"")"),"Afyonkarahisar")</f>
        <v>Afyonkarahisar</v>
      </c>
    </row>
    <row r="4906">
      <c r="A4906" s="9" t="str">
        <f>IFERROR(__xludf.DUMMYFUNCTION("""COMPUTED_VALUE"""),"Gümüşhane")</f>
        <v>Gümüşhane</v>
      </c>
      <c r="B4906" s="9" t="str">
        <f>IFERROR(__xludf.DUMMYFUNCTION("""COMPUTED_VALUE"""),"tr-29")</f>
        <v>tr-29</v>
      </c>
      <c r="C4906" s="9" t="str">
        <f>IFERROR(__xludf.DUMMYFUNCTION("GOOGLETRANSLATE($A4906,""en"",""de"")"),"Gümüşhane")</f>
        <v>Gümüşhane</v>
      </c>
      <c r="D4906" s="9" t="str">
        <f>IFERROR(__xludf.DUMMYFUNCTION("GOOGLETRANSLATE($A4906,""en"",""fr"")"),"Gümüşhane")</f>
        <v>Gümüşhane</v>
      </c>
      <c r="E4906" s="9" t="str">
        <f>IFERROR(__xludf.DUMMYFUNCTION("GOOGLETRANSLATE($A4906,""en"",""es"")"),"Gümüşhane")</f>
        <v>Gümüşhane</v>
      </c>
      <c r="F4906" s="9" t="str">
        <f>IFERROR(__xludf.DUMMYFUNCTION("GOOGLETRANSLATE($A4906,""en"",""it"")"),"Gümüşhane")</f>
        <v>Gümüşhane</v>
      </c>
      <c r="G4906" s="9" t="str">
        <f>IFERROR(__xludf.DUMMYFUNCTION("GOOGLETRANSLATE($A4906,""en"",""zh-cn"")"),"古穆什哈内")</f>
        <v>古穆什哈内</v>
      </c>
      <c r="H4906" s="9" t="str">
        <f>IFERROR(__xludf.DUMMYFUNCTION("GOOGLETRANSLATE($A4906,""en"",""ja"")"),"ギュムシュハネ")</f>
        <v>ギュムシュハネ</v>
      </c>
      <c r="I4906" s="9" t="str">
        <f>IFERROR(__xludf.DUMMYFUNCTION("GOOGLETRANSLATE($A4906,""en"",""ko"")"),"구무쉬하네")</f>
        <v>구무쉬하네</v>
      </c>
      <c r="J4906" s="9" t="str">
        <f>IFERROR(__xludf.DUMMYFUNCTION("GOOGLETRANSLATE($A4906,""en"",""pt-BR"")"),"Gümüşhane")</f>
        <v>Gümüşhane</v>
      </c>
    </row>
    <row r="4907">
      <c r="A4907" s="9" t="str">
        <f>IFERROR(__xludf.DUMMYFUNCTION("""COMPUTED_VALUE"""),"Kırklareli")</f>
        <v>Kırklareli</v>
      </c>
      <c r="B4907" s="9" t="str">
        <f>IFERROR(__xludf.DUMMYFUNCTION("""COMPUTED_VALUE"""),"tr-39")</f>
        <v>tr-39</v>
      </c>
      <c r="C4907" s="9" t="str">
        <f>IFERROR(__xludf.DUMMYFUNCTION("GOOGLETRANSLATE($A4907,""en"",""de"")"),"Kırklareli")</f>
        <v>Kırklareli</v>
      </c>
      <c r="D4907" s="9" t="str">
        <f>IFERROR(__xludf.DUMMYFUNCTION("GOOGLETRANSLATE($A4907,""en"",""fr"")"),"Kırklareli")</f>
        <v>Kırklareli</v>
      </c>
      <c r="E4907" s="9" t="str">
        <f>IFERROR(__xludf.DUMMYFUNCTION("GOOGLETRANSLATE($A4907,""en"",""es"")"),"Kirklareli")</f>
        <v>Kirklareli</v>
      </c>
      <c r="F4907" s="9" t="str">
        <f>IFERROR(__xludf.DUMMYFUNCTION("GOOGLETRANSLATE($A4907,""en"",""it"")"),"Kırklareli")</f>
        <v>Kırklareli</v>
      </c>
      <c r="G4907" s="9" t="str">
        <f>IFERROR(__xludf.DUMMYFUNCTION("GOOGLETRANSLATE($A4907,""en"",""zh-cn"")"),"克尔克拉雷利")</f>
        <v>克尔克拉雷利</v>
      </c>
      <c r="H4907" s="9" t="str">
        <f>IFERROR(__xludf.DUMMYFUNCTION("GOOGLETRANSLATE($A4907,""en"",""ja"")"),"クルクラレリ")</f>
        <v>クルクラレリ</v>
      </c>
      <c r="I4907" s="9" t="str">
        <f>IFERROR(__xludf.DUMMYFUNCTION("GOOGLETRANSLATE($A4907,""en"",""ko"")"),"키르클라렐리")</f>
        <v>키르클라렐리</v>
      </c>
      <c r="J4907" s="9" t="str">
        <f>IFERROR(__xludf.DUMMYFUNCTION("GOOGLETRANSLATE($A4907,""en"",""pt-BR"")"),"Kırklareli")</f>
        <v>Kırklareli</v>
      </c>
    </row>
    <row r="4908">
      <c r="A4908" s="9" t="str">
        <f>IFERROR(__xludf.DUMMYFUNCTION("""COMPUTED_VALUE"""),"Isparta")</f>
        <v>Isparta</v>
      </c>
      <c r="B4908" s="9" t="str">
        <f>IFERROR(__xludf.DUMMYFUNCTION("""COMPUTED_VALUE"""),"tr-32")</f>
        <v>tr-32</v>
      </c>
      <c r="C4908" s="9" t="str">
        <f>IFERROR(__xludf.DUMMYFUNCTION("GOOGLETRANSLATE($A4908,""en"",""de"")"),"Isparta")</f>
        <v>Isparta</v>
      </c>
      <c r="D4908" s="9" t="str">
        <f>IFERROR(__xludf.DUMMYFUNCTION("GOOGLETRANSLATE($A4908,""en"",""fr"")"),"Isparta")</f>
        <v>Isparta</v>
      </c>
      <c r="E4908" s="9" t="str">
        <f>IFERROR(__xludf.DUMMYFUNCTION("GOOGLETRANSLATE($A4908,""en"",""es"")"),"Isparta")</f>
        <v>Isparta</v>
      </c>
      <c r="F4908" s="9" t="str">
        <f>IFERROR(__xludf.DUMMYFUNCTION("GOOGLETRANSLATE($A4908,""en"",""it"")"),"Isparta")</f>
        <v>Isparta</v>
      </c>
      <c r="G4908" s="9" t="str">
        <f>IFERROR(__xludf.DUMMYFUNCTION("GOOGLETRANSLATE($A4908,""en"",""zh-cn"")"),"伊斯帕尔塔")</f>
        <v>伊斯帕尔塔</v>
      </c>
      <c r="H4908" s="9" t="str">
        <f>IFERROR(__xludf.DUMMYFUNCTION("GOOGLETRANSLATE($A4908,""en"",""ja"")"),"イスパルタ")</f>
        <v>イスパルタ</v>
      </c>
      <c r="I4908" s="9" t="str">
        <f>IFERROR(__xludf.DUMMYFUNCTION("GOOGLETRANSLATE($A4908,""en"",""ko"")"),"이스파르타")</f>
        <v>이스파르타</v>
      </c>
      <c r="J4908" s="9" t="str">
        <f>IFERROR(__xludf.DUMMYFUNCTION("GOOGLETRANSLATE($A4908,""en"",""pt-BR"")"),"Isparta")</f>
        <v>Isparta</v>
      </c>
    </row>
    <row r="4909">
      <c r="A4909" s="9" t="str">
        <f>IFERROR(__xludf.DUMMYFUNCTION("""COMPUTED_VALUE"""),"Kahramanmaraş")</f>
        <v>Kahramanmaraş</v>
      </c>
      <c r="B4909" s="9" t="str">
        <f>IFERROR(__xludf.DUMMYFUNCTION("""COMPUTED_VALUE"""),"tr-46")</f>
        <v>tr-46</v>
      </c>
      <c r="C4909" s="9" t="str">
        <f>IFERROR(__xludf.DUMMYFUNCTION("GOOGLETRANSLATE($A4909,""en"",""de"")"),"Kahramanmaraş")</f>
        <v>Kahramanmaraş</v>
      </c>
      <c r="D4909" s="9" t="str">
        <f>IFERROR(__xludf.DUMMYFUNCTION("GOOGLETRANSLATE($A4909,""en"",""fr"")"),"Kahramanmaraş")</f>
        <v>Kahramanmaraş</v>
      </c>
      <c r="E4909" s="9" t="str">
        <f>IFERROR(__xludf.DUMMYFUNCTION("GOOGLETRANSLATE($A4909,""en"",""es"")"),"Kahramanmaraş")</f>
        <v>Kahramanmaraş</v>
      </c>
      <c r="F4909" s="9" t="str">
        <f>IFERROR(__xludf.DUMMYFUNCTION("GOOGLETRANSLATE($A4909,""en"",""it"")"),"Kahramanmaraş")</f>
        <v>Kahramanmaraş</v>
      </c>
      <c r="G4909" s="9" t="str">
        <f>IFERROR(__xludf.DUMMYFUNCTION("GOOGLETRANSLATE($A4909,""en"",""zh-cn"")"),"卡赫拉曼马拉什")</f>
        <v>卡赫拉曼马拉什</v>
      </c>
      <c r="H4909" s="9" t="str">
        <f>IFERROR(__xludf.DUMMYFUNCTION("GOOGLETRANSLATE($A4909,""en"",""ja"")"),"カフラマンマラシュ")</f>
        <v>カフラマンマラシュ</v>
      </c>
      <c r="I4909" s="9" t="str">
        <f>IFERROR(__xludf.DUMMYFUNCTION("GOOGLETRANSLATE($A4909,""en"",""ko"")"),"카라만마라슈")</f>
        <v>카라만마라슈</v>
      </c>
      <c r="J4909" s="9" t="str">
        <f>IFERROR(__xludf.DUMMYFUNCTION("GOOGLETRANSLATE($A4909,""en"",""pt-BR"")"),"Kahramanmaraş")</f>
        <v>Kahramanmaraş</v>
      </c>
    </row>
    <row r="4910">
      <c r="A4910" s="9" t="str">
        <f>IFERROR(__xludf.DUMMYFUNCTION("""COMPUTED_VALUE"""),"Adana")</f>
        <v>Adana</v>
      </c>
      <c r="B4910" s="9" t="str">
        <f>IFERROR(__xludf.DUMMYFUNCTION("""COMPUTED_VALUE"""),"tr-01")</f>
        <v>tr-01</v>
      </c>
      <c r="C4910" s="9" t="str">
        <f>IFERROR(__xludf.DUMMYFUNCTION("GOOGLETRANSLATE($A4910,""en"",""de"")"),"Adana")</f>
        <v>Adana</v>
      </c>
      <c r="D4910" s="9" t="str">
        <f>IFERROR(__xludf.DUMMYFUNCTION("GOOGLETRANSLATE($A4910,""en"",""fr"")"),"Adana")</f>
        <v>Adana</v>
      </c>
      <c r="E4910" s="9" t="str">
        <f>IFERROR(__xludf.DUMMYFUNCTION("GOOGLETRANSLATE($A4910,""en"",""es"")"),"Адана")</f>
        <v>Адана</v>
      </c>
      <c r="F4910" s="9" t="str">
        <f>IFERROR(__xludf.DUMMYFUNCTION("GOOGLETRANSLATE($A4910,""en"",""it"")"),"Adana")</f>
        <v>Adana</v>
      </c>
      <c r="G4910" s="9" t="str">
        <f>IFERROR(__xludf.DUMMYFUNCTION("GOOGLETRANSLATE($A4910,""en"",""zh-cn"")"),"阿达纳")</f>
        <v>阿达纳</v>
      </c>
      <c r="H4910" s="9" t="str">
        <f>IFERROR(__xludf.DUMMYFUNCTION("GOOGLETRANSLATE($A4910,""en"",""ja"")"),"アダナ")</f>
        <v>アダナ</v>
      </c>
      <c r="I4910" s="9" t="str">
        <f>IFERROR(__xludf.DUMMYFUNCTION("GOOGLETRANSLATE($A4910,""en"",""ko"")"),"아다나")</f>
        <v>아다나</v>
      </c>
      <c r="J4910" s="9" t="str">
        <f>IFERROR(__xludf.DUMMYFUNCTION("GOOGLETRANSLATE($A4910,""en"",""pt-BR"")"),"Adana")</f>
        <v>Adana</v>
      </c>
    </row>
    <row r="4911">
      <c r="A4911" s="9" t="str">
        <f>IFERROR(__xludf.DUMMYFUNCTION("""COMPUTED_VALUE"""),"Bingöl")</f>
        <v>Bingöl</v>
      </c>
      <c r="B4911" s="9" t="str">
        <f>IFERROR(__xludf.DUMMYFUNCTION("""COMPUTED_VALUE"""),"tr-12")</f>
        <v>tr-12</v>
      </c>
      <c r="C4911" s="9" t="str">
        <f>IFERROR(__xludf.DUMMYFUNCTION("GOOGLETRANSLATE($A4911,""en"",""de"")"),"Bingöl")</f>
        <v>Bingöl</v>
      </c>
      <c r="D4911" s="9" t="str">
        <f>IFERROR(__xludf.DUMMYFUNCTION("GOOGLETRANSLATE($A4911,""en"",""fr"")"),"Bingöl")</f>
        <v>Bingöl</v>
      </c>
      <c r="E4911" s="9" t="str">
        <f>IFERROR(__xludf.DUMMYFUNCTION("GOOGLETRANSLATE($A4911,""en"",""es"")"),"Bingöl")</f>
        <v>Bingöl</v>
      </c>
      <c r="F4911" s="9" t="str">
        <f>IFERROR(__xludf.DUMMYFUNCTION("GOOGLETRANSLATE($A4911,""en"",""it"")"),"Bingöl")</f>
        <v>Bingöl</v>
      </c>
      <c r="G4911" s="9" t="str">
        <f>IFERROR(__xludf.DUMMYFUNCTION("GOOGLETRANSLATE($A4911,""en"",""zh-cn"")"),"宾格尔")</f>
        <v>宾格尔</v>
      </c>
      <c r="H4911" s="9" t="str">
        <f>IFERROR(__xludf.DUMMYFUNCTION("GOOGLETRANSLATE($A4911,""en"",""ja"")"),"ビンギョル")</f>
        <v>ビンギョル</v>
      </c>
      <c r="I4911" s="9" t="str">
        <f>IFERROR(__xludf.DUMMYFUNCTION("GOOGLETRANSLATE($A4911,""en"",""ko"")"),"빙골")</f>
        <v>빙골</v>
      </c>
      <c r="J4911" s="9" t="str">
        <f>IFERROR(__xludf.DUMMYFUNCTION("GOOGLETRANSLATE($A4911,""en"",""pt-BR"")"),"Bingol")</f>
        <v>Bingol</v>
      </c>
    </row>
    <row r="4912">
      <c r="A4912" s="9" t="str">
        <f>IFERROR(__xludf.DUMMYFUNCTION("""COMPUTED_VALUE"""),"Aydın")</f>
        <v>Aydın</v>
      </c>
      <c r="B4912" s="9" t="str">
        <f>IFERROR(__xludf.DUMMYFUNCTION("""COMPUTED_VALUE"""),"tr-09")</f>
        <v>tr-09</v>
      </c>
      <c r="C4912" s="9" t="str">
        <f>IFERROR(__xludf.DUMMYFUNCTION("GOOGLETRANSLATE($A4912,""en"",""de"")"),"Aydın")</f>
        <v>Aydın</v>
      </c>
      <c r="D4912" s="9" t="str">
        <f>IFERROR(__xludf.DUMMYFUNCTION("GOOGLETRANSLATE($A4912,""en"",""fr"")"),"Aydin")</f>
        <v>Aydin</v>
      </c>
      <c r="E4912" s="9" t="str">
        <f>IFERROR(__xludf.DUMMYFUNCTION("GOOGLETRANSLATE($A4912,""en"",""es"")"),"Aydin")</f>
        <v>Aydin</v>
      </c>
      <c r="F4912" s="9" t="str">
        <f>IFERROR(__xludf.DUMMYFUNCTION("GOOGLETRANSLATE($A4912,""en"",""it"")"),"Aydin")</f>
        <v>Aydin</v>
      </c>
      <c r="G4912" s="9" t="str">
        <f>IFERROR(__xludf.DUMMYFUNCTION("GOOGLETRANSLATE($A4912,""en"",""zh-cn"")"),"艾登")</f>
        <v>艾登</v>
      </c>
      <c r="H4912" s="9" t="str">
        <f>IFERROR(__xludf.DUMMYFUNCTION("GOOGLETRANSLATE($A4912,""en"",""ja"")"),"アイドゥン")</f>
        <v>アイドゥン</v>
      </c>
      <c r="I4912" s="9" t="str">
        <f>IFERROR(__xludf.DUMMYFUNCTION("GOOGLETRANSLATE($A4912,""en"",""ko"")"),"아이딘")</f>
        <v>아이딘</v>
      </c>
      <c r="J4912" s="9" t="str">
        <f>IFERROR(__xludf.DUMMYFUNCTION("GOOGLETRANSLATE($A4912,""en"",""pt-BR"")"),"Aidim")</f>
        <v>Aidim</v>
      </c>
    </row>
    <row r="4913">
      <c r="A4913" s="9" t="str">
        <f>IFERROR(__xludf.DUMMYFUNCTION("""COMPUTED_VALUE"""),"Çanakkale")</f>
        <v>Çanakkale</v>
      </c>
      <c r="B4913" s="9" t="str">
        <f>IFERROR(__xludf.DUMMYFUNCTION("""COMPUTED_VALUE"""),"tr-17")</f>
        <v>tr-17</v>
      </c>
      <c r="C4913" s="9" t="str">
        <f>IFERROR(__xludf.DUMMYFUNCTION("GOOGLETRANSLATE($A4913,""en"",""de"")"),"Çanakkale")</f>
        <v>Çanakkale</v>
      </c>
      <c r="D4913" s="9" t="str">
        <f>IFERROR(__xludf.DUMMYFUNCTION("GOOGLETRANSLATE($A4913,""en"",""fr"")"),"Çanakkale")</f>
        <v>Çanakkale</v>
      </c>
      <c r="E4913" s="9" t="str">
        <f>IFERROR(__xludf.DUMMYFUNCTION("GOOGLETRANSLATE($A4913,""en"",""es"")"),"Çanakkale")</f>
        <v>Çanakkale</v>
      </c>
      <c r="F4913" s="9" t="str">
        <f>IFERROR(__xludf.DUMMYFUNCTION("GOOGLETRANSLATE($A4913,""en"",""it"")"),"Çanakkale")</f>
        <v>Çanakkale</v>
      </c>
      <c r="G4913" s="9" t="str">
        <f>IFERROR(__xludf.DUMMYFUNCTION("GOOGLETRANSLATE($A4913,""en"",""zh-cn"")"),"恰纳卡莱")</f>
        <v>恰纳卡莱</v>
      </c>
      <c r="H4913" s="9" t="str">
        <f>IFERROR(__xludf.DUMMYFUNCTION("GOOGLETRANSLATE($A4913,""en"",""ja"")"),"チャナッカレ")</f>
        <v>チャナッカレ</v>
      </c>
      <c r="I4913" s="9" t="str">
        <f>IFERROR(__xludf.DUMMYFUNCTION("GOOGLETRANSLATE($A4913,""en"",""ko"")"),"차낙칼레")</f>
        <v>차낙칼레</v>
      </c>
      <c r="J4913" s="9" t="str">
        <f>IFERROR(__xludf.DUMMYFUNCTION("GOOGLETRANSLATE($A4913,""en"",""pt-BR"")"),"Çanakkale")</f>
        <v>Çanakkale</v>
      </c>
    </row>
    <row r="4914">
      <c r="A4914" s="9" t="str">
        <f>IFERROR(__xludf.DUMMYFUNCTION("""COMPUTED_VALUE"""),"Muğla")</f>
        <v>Muğla</v>
      </c>
      <c r="B4914" s="9" t="str">
        <f>IFERROR(__xludf.DUMMYFUNCTION("""COMPUTED_VALUE"""),"tr-48")</f>
        <v>tr-48</v>
      </c>
      <c r="C4914" s="9" t="str">
        <f>IFERROR(__xludf.DUMMYFUNCTION("GOOGLETRANSLATE($A4914,""en"",""de"")"),"Muğla")</f>
        <v>Muğla</v>
      </c>
      <c r="D4914" s="9" t="str">
        <f>IFERROR(__xludf.DUMMYFUNCTION("GOOGLETRANSLATE($A4914,""en"",""fr"")"),"Mugla")</f>
        <v>Mugla</v>
      </c>
      <c r="E4914" s="9" t="str">
        <f>IFERROR(__xludf.DUMMYFUNCTION("GOOGLETRANSLATE($A4914,""en"",""es"")"),"Mugla")</f>
        <v>Mugla</v>
      </c>
      <c r="F4914" s="9" t="str">
        <f>IFERROR(__xludf.DUMMYFUNCTION("GOOGLETRANSLATE($A4914,""en"",""it"")"),"Muğla")</f>
        <v>Muğla</v>
      </c>
      <c r="G4914" s="9" t="str">
        <f>IFERROR(__xludf.DUMMYFUNCTION("GOOGLETRANSLATE($A4914,""en"",""zh-cn"")"),"穆拉")</f>
        <v>穆拉</v>
      </c>
      <c r="H4914" s="9" t="str">
        <f>IFERROR(__xludf.DUMMYFUNCTION("GOOGLETRANSLATE($A4914,""en"",""ja"")"),"ムーラ")</f>
        <v>ムーラ</v>
      </c>
      <c r="I4914" s="9" t="str">
        <f>IFERROR(__xludf.DUMMYFUNCTION("GOOGLETRANSLATE($A4914,""en"",""ko"")"),"물라")</f>
        <v>물라</v>
      </c>
      <c r="J4914" s="9" t="str">
        <f>IFERROR(__xludf.DUMMYFUNCTION("GOOGLETRANSLATE($A4914,""en"",""pt-BR"")"),"Muğla")</f>
        <v>Muğla</v>
      </c>
    </row>
    <row r="4915">
      <c r="A4915" s="9" t="str">
        <f>IFERROR(__xludf.DUMMYFUNCTION("""COMPUTED_VALUE"""),"Elazığ")</f>
        <v>Elazığ</v>
      </c>
      <c r="B4915" s="9" t="str">
        <f>IFERROR(__xludf.DUMMYFUNCTION("""COMPUTED_VALUE"""),"tr-23")</f>
        <v>tr-23</v>
      </c>
      <c r="C4915" s="9" t="str">
        <f>IFERROR(__xludf.DUMMYFUNCTION("GOOGLETRANSLATE($A4915,""en"",""de"")"),"Elazig")</f>
        <v>Elazig</v>
      </c>
      <c r="D4915" s="9" t="str">
        <f>IFERROR(__xludf.DUMMYFUNCTION("GOOGLETRANSLATE($A4915,""en"",""fr"")"),"Elazığ")</f>
        <v>Elazığ</v>
      </c>
      <c r="E4915" s="9" t="str">
        <f>IFERROR(__xludf.DUMMYFUNCTION("GOOGLETRANSLATE($A4915,""en"",""es"")"),"Elazığ")</f>
        <v>Elazığ</v>
      </c>
      <c r="F4915" s="9" t="str">
        <f>IFERROR(__xludf.DUMMYFUNCTION("GOOGLETRANSLATE($A4915,""en"",""it"")"),"Elazığ")</f>
        <v>Elazığ</v>
      </c>
      <c r="G4915" s="9" t="str">
        <f>IFERROR(__xludf.DUMMYFUNCTION("GOOGLETRANSLATE($A4915,""en"",""zh-cn"")"),"埃拉泽")</f>
        <v>埃拉泽</v>
      </c>
      <c r="H4915" s="9" t="str">
        <f>IFERROR(__xludf.DUMMYFUNCTION("GOOGLETRANSLATE($A4915,""en"",""ja"")"),"エラズグ")</f>
        <v>エラズグ</v>
      </c>
      <c r="I4915" s="9" t="str">
        <f>IFERROR(__xludf.DUMMYFUNCTION("GOOGLETRANSLATE($A4915,""en"",""ko"")"),"엘라지그")</f>
        <v>엘라지그</v>
      </c>
      <c r="J4915" s="9" t="str">
        <f>IFERROR(__xludf.DUMMYFUNCTION("GOOGLETRANSLATE($A4915,""en"",""pt-BR"")"),"Elaziğ")</f>
        <v>Elaziğ</v>
      </c>
    </row>
    <row r="4916">
      <c r="A4916" s="9" t="str">
        <f>IFERROR(__xludf.DUMMYFUNCTION("""COMPUTED_VALUE"""),"Tunceli")</f>
        <v>Tunceli</v>
      </c>
      <c r="B4916" s="9" t="str">
        <f>IFERROR(__xludf.DUMMYFUNCTION("""COMPUTED_VALUE"""),"tr-62")</f>
        <v>tr-62</v>
      </c>
      <c r="C4916" s="9" t="str">
        <f>IFERROR(__xludf.DUMMYFUNCTION("GOOGLETRANSLATE($A4916,""en"",""de"")"),"Tunceli")</f>
        <v>Tunceli</v>
      </c>
      <c r="D4916" s="9" t="str">
        <f>IFERROR(__xludf.DUMMYFUNCTION("GOOGLETRANSLATE($A4916,""en"",""fr"")"),"Tunceli")</f>
        <v>Tunceli</v>
      </c>
      <c r="E4916" s="9" t="str">
        <f>IFERROR(__xludf.DUMMYFUNCTION("GOOGLETRANSLATE($A4916,""en"",""es"")"),"Tunceli")</f>
        <v>Tunceli</v>
      </c>
      <c r="F4916" s="9" t="str">
        <f>IFERROR(__xludf.DUMMYFUNCTION("GOOGLETRANSLATE($A4916,""en"",""it"")"),"Tunceli")</f>
        <v>Tunceli</v>
      </c>
      <c r="G4916" s="9" t="str">
        <f>IFERROR(__xludf.DUMMYFUNCTION("GOOGLETRANSLATE($A4916,""en"",""zh-cn"")"),"通杰利")</f>
        <v>通杰利</v>
      </c>
      <c r="H4916" s="9" t="str">
        <f>IFERROR(__xludf.DUMMYFUNCTION("GOOGLETRANSLATE($A4916,""en"",""ja"")"),"トゥンセリ")</f>
        <v>トゥンセリ</v>
      </c>
      <c r="I4916" s="9" t="str">
        <f>IFERROR(__xludf.DUMMYFUNCTION("GOOGLETRANSLATE($A4916,""en"",""ko"")"),"툰셀리")</f>
        <v>툰셀리</v>
      </c>
      <c r="J4916" s="9" t="str">
        <f>IFERROR(__xludf.DUMMYFUNCTION("GOOGLETRANSLATE($A4916,""en"",""pt-BR"")"),"Tunceli")</f>
        <v>Tunceli</v>
      </c>
    </row>
    <row r="4917">
      <c r="A4917" s="9" t="str">
        <f>IFERROR(__xludf.DUMMYFUNCTION("""COMPUTED_VALUE"""),"Yalova")</f>
        <v>Yalova</v>
      </c>
      <c r="B4917" s="9" t="str">
        <f>IFERROR(__xludf.DUMMYFUNCTION("""COMPUTED_VALUE"""),"tr-77")</f>
        <v>tr-77</v>
      </c>
      <c r="C4917" s="9" t="str">
        <f>IFERROR(__xludf.DUMMYFUNCTION("GOOGLETRANSLATE($A4917,""en"",""de"")"),"Yalova")</f>
        <v>Yalova</v>
      </c>
      <c r="D4917" s="9" t="str">
        <f>IFERROR(__xludf.DUMMYFUNCTION("GOOGLETRANSLATE($A4917,""en"",""fr"")"),"Yalova")</f>
        <v>Yalova</v>
      </c>
      <c r="E4917" s="9" t="str">
        <f>IFERROR(__xludf.DUMMYFUNCTION("GOOGLETRANSLATE($A4917,""en"",""es"")"),"Yalova")</f>
        <v>Yalova</v>
      </c>
      <c r="F4917" s="9" t="str">
        <f>IFERROR(__xludf.DUMMYFUNCTION("GOOGLETRANSLATE($A4917,""en"",""it"")"),"Yalova")</f>
        <v>Yalova</v>
      </c>
      <c r="G4917" s="9" t="str">
        <f>IFERROR(__xludf.DUMMYFUNCTION("GOOGLETRANSLATE($A4917,""en"",""zh-cn"")"),"亚洛娃")</f>
        <v>亚洛娃</v>
      </c>
      <c r="H4917" s="9" t="str">
        <f>IFERROR(__xludf.DUMMYFUNCTION("GOOGLETRANSLATE($A4917,""en"",""ja"")"),"ヤロバ")</f>
        <v>ヤロバ</v>
      </c>
      <c r="I4917" s="9" t="str">
        <f>IFERROR(__xludf.DUMMYFUNCTION("GOOGLETRANSLATE($A4917,""en"",""ko"")"),"얄로바")</f>
        <v>얄로바</v>
      </c>
      <c r="J4917" s="9" t="str">
        <f>IFERROR(__xludf.DUMMYFUNCTION("GOOGLETRANSLATE($A4917,""en"",""pt-BR"")"),"Ialova")</f>
        <v>Ialova</v>
      </c>
    </row>
    <row r="4918">
      <c r="A4918" s="9" t="str">
        <f>IFERROR(__xludf.DUMMYFUNCTION("""COMPUTED_VALUE"""),"Ardahan")</f>
        <v>Ardahan</v>
      </c>
      <c r="B4918" s="9" t="str">
        <f>IFERROR(__xludf.DUMMYFUNCTION("""COMPUTED_VALUE"""),"tr-75")</f>
        <v>tr-75</v>
      </c>
      <c r="C4918" s="9" t="str">
        <f>IFERROR(__xludf.DUMMYFUNCTION("GOOGLETRANSLATE($A4918,""en"",""de"")"),"Ardahan")</f>
        <v>Ardahan</v>
      </c>
      <c r="D4918" s="9" t="str">
        <f>IFERROR(__xludf.DUMMYFUNCTION("GOOGLETRANSLATE($A4918,""en"",""fr"")"),"Ardahan")</f>
        <v>Ardahan</v>
      </c>
      <c r="E4918" s="9" t="str">
        <f>IFERROR(__xludf.DUMMYFUNCTION("GOOGLETRANSLATE($A4918,""en"",""es"")"),"Ardahan")</f>
        <v>Ardahan</v>
      </c>
      <c r="F4918" s="9" t="str">
        <f>IFERROR(__xludf.DUMMYFUNCTION("GOOGLETRANSLATE($A4918,""en"",""it"")"),"Ardahan")</f>
        <v>Ardahan</v>
      </c>
      <c r="G4918" s="9" t="str">
        <f>IFERROR(__xludf.DUMMYFUNCTION("GOOGLETRANSLATE($A4918,""en"",""zh-cn"")"),"阿尔达汉")</f>
        <v>阿尔达汉</v>
      </c>
      <c r="H4918" s="9" t="str">
        <f>IFERROR(__xludf.DUMMYFUNCTION("GOOGLETRANSLATE($A4918,""en"",""ja"")"),"アルダハン")</f>
        <v>アルダハン</v>
      </c>
      <c r="I4918" s="9" t="str">
        <f>IFERROR(__xludf.DUMMYFUNCTION("GOOGLETRANSLATE($A4918,""en"",""ko"")"),"아르다한")</f>
        <v>아르다한</v>
      </c>
      <c r="J4918" s="9" t="str">
        <f>IFERROR(__xludf.DUMMYFUNCTION("GOOGLETRANSLATE($A4918,""en"",""pt-BR"")"),"Ardahan")</f>
        <v>Ardahan</v>
      </c>
    </row>
    <row r="4919">
      <c r="A4919" s="9" t="str">
        <f>IFERROR(__xludf.DUMMYFUNCTION("""COMPUTED_VALUE"""),"Manisa")</f>
        <v>Manisa</v>
      </c>
      <c r="B4919" s="9" t="str">
        <f>IFERROR(__xludf.DUMMYFUNCTION("""COMPUTED_VALUE"""),"tr-45")</f>
        <v>tr-45</v>
      </c>
      <c r="C4919" s="9" t="str">
        <f>IFERROR(__xludf.DUMMYFUNCTION("GOOGLETRANSLATE($A4919,""en"",""de"")"),"Manisa")</f>
        <v>Manisa</v>
      </c>
      <c r="D4919" s="9" t="str">
        <f>IFERROR(__xludf.DUMMYFUNCTION("GOOGLETRANSLATE($A4919,""en"",""fr"")"),"Manisa")</f>
        <v>Manisa</v>
      </c>
      <c r="E4919" s="9" t="str">
        <f>IFERROR(__xludf.DUMMYFUNCTION("GOOGLETRANSLATE($A4919,""en"",""es"")"),"Manisa")</f>
        <v>Manisa</v>
      </c>
      <c r="F4919" s="9" t="str">
        <f>IFERROR(__xludf.DUMMYFUNCTION("GOOGLETRANSLATE($A4919,""en"",""it"")"),"Manisa")</f>
        <v>Manisa</v>
      </c>
      <c r="G4919" s="9" t="str">
        <f>IFERROR(__xludf.DUMMYFUNCTION("GOOGLETRANSLATE($A4919,""en"",""zh-cn"")"),"马尼萨")</f>
        <v>马尼萨</v>
      </c>
      <c r="H4919" s="9" t="str">
        <f>IFERROR(__xludf.DUMMYFUNCTION("GOOGLETRANSLATE($A4919,""en"",""ja"")"),"マニサ")</f>
        <v>マニサ</v>
      </c>
      <c r="I4919" s="9" t="str">
        <f>IFERROR(__xludf.DUMMYFUNCTION("GOOGLETRANSLATE($A4919,""en"",""ko"")"),"마니사")</f>
        <v>마니사</v>
      </c>
      <c r="J4919" s="9" t="str">
        <f>IFERROR(__xludf.DUMMYFUNCTION("GOOGLETRANSLATE($A4919,""en"",""pt-BR"")"),"Manisa")</f>
        <v>Manisa</v>
      </c>
    </row>
    <row r="4920">
      <c r="A4920" s="9" t="str">
        <f>IFERROR(__xludf.DUMMYFUNCTION("""COMPUTED_VALUE"""),"Artvin")</f>
        <v>Artvin</v>
      </c>
      <c r="B4920" s="9" t="str">
        <f>IFERROR(__xludf.DUMMYFUNCTION("""COMPUTED_VALUE"""),"tr-08")</f>
        <v>tr-08</v>
      </c>
      <c r="C4920" s="9" t="str">
        <f>IFERROR(__xludf.DUMMYFUNCTION("GOOGLETRANSLATE($A4920,""en"",""de"")"),"Artvin")</f>
        <v>Artvin</v>
      </c>
      <c r="D4920" s="9" t="str">
        <f>IFERROR(__xludf.DUMMYFUNCTION("GOOGLETRANSLATE($A4920,""en"",""fr"")"),"Artvin")</f>
        <v>Artvin</v>
      </c>
      <c r="E4920" s="9" t="str">
        <f>IFERROR(__xludf.DUMMYFUNCTION("GOOGLETRANSLATE($A4920,""en"",""es"")"),"artvin")</f>
        <v>artvin</v>
      </c>
      <c r="F4920" s="9" t="str">
        <f>IFERROR(__xludf.DUMMYFUNCTION("GOOGLETRANSLATE($A4920,""en"",""it"")"),"Artvin")</f>
        <v>Artvin</v>
      </c>
      <c r="G4920" s="9" t="str">
        <f>IFERROR(__xludf.DUMMYFUNCTION("GOOGLETRANSLATE($A4920,""en"",""zh-cn"")"),"阿尔特温")</f>
        <v>阿尔特温</v>
      </c>
      <c r="H4920" s="9" t="str">
        <f>IFERROR(__xludf.DUMMYFUNCTION("GOOGLETRANSLATE($A4920,""en"",""ja"")"),"アルトヴィン")</f>
        <v>アルトヴィン</v>
      </c>
      <c r="I4920" s="9" t="str">
        <f>IFERROR(__xludf.DUMMYFUNCTION("GOOGLETRANSLATE($A4920,""en"",""ko"")"),"아트빈")</f>
        <v>아트빈</v>
      </c>
      <c r="J4920" s="9" t="str">
        <f>IFERROR(__xludf.DUMMYFUNCTION("GOOGLETRANSLATE($A4920,""en"",""pt-BR"")"),"Artvin")</f>
        <v>Artvin</v>
      </c>
    </row>
    <row r="4921">
      <c r="A4921" s="9" t="str">
        <f>IFERROR(__xludf.DUMMYFUNCTION("""COMPUTED_VALUE"""),"Muş")</f>
        <v>Muş</v>
      </c>
      <c r="B4921" s="9" t="str">
        <f>IFERROR(__xludf.DUMMYFUNCTION("""COMPUTED_VALUE"""),"tr-49")</f>
        <v>tr-49</v>
      </c>
      <c r="C4921" s="9" t="str">
        <f>IFERROR(__xludf.DUMMYFUNCTION("GOOGLETRANSLATE($A4921,""en"",""de"")"),"Muş")</f>
        <v>Muş</v>
      </c>
      <c r="D4921" s="9" t="str">
        <f>IFERROR(__xludf.DUMMYFUNCTION("GOOGLETRANSLATE($A4921,""en"",""fr"")"),"Mus")</f>
        <v>Mus</v>
      </c>
      <c r="E4921" s="9" t="str">
        <f>IFERROR(__xludf.DUMMYFUNCTION("GOOGLETRANSLATE($A4921,""en"",""es"")"),"mus")</f>
        <v>mus</v>
      </c>
      <c r="F4921" s="9" t="str">
        <f>IFERROR(__xludf.DUMMYFUNCTION("GOOGLETRANSLATE($A4921,""en"",""it"")"),"Muş")</f>
        <v>Muş</v>
      </c>
      <c r="G4921" s="9" t="str">
        <f>IFERROR(__xludf.DUMMYFUNCTION("GOOGLETRANSLATE($A4921,""en"",""zh-cn"")"),"穆什")</f>
        <v>穆什</v>
      </c>
      <c r="H4921" s="9" t="str">
        <f>IFERROR(__xludf.DUMMYFUNCTION("GOOGLETRANSLATE($A4921,""en"",""ja"")"),"ムシュ")</f>
        <v>ムシュ</v>
      </c>
      <c r="I4921" s="9" t="str">
        <f>IFERROR(__xludf.DUMMYFUNCTION("GOOGLETRANSLATE($A4921,""en"",""ko"")"),"무쉬")</f>
        <v>무쉬</v>
      </c>
      <c r="J4921" s="9" t="str">
        <f>IFERROR(__xludf.DUMMYFUNCTION("GOOGLETRANSLATE($A4921,""en"",""pt-BR"")"),"Muş")</f>
        <v>Muş</v>
      </c>
    </row>
    <row r="4922">
      <c r="A4922" s="9" t="str">
        <f>IFERROR(__xludf.DUMMYFUNCTION("""COMPUTED_VALUE"""),"Bayburt")</f>
        <v>Bayburt</v>
      </c>
      <c r="B4922" s="9" t="str">
        <f>IFERROR(__xludf.DUMMYFUNCTION("""COMPUTED_VALUE"""),"tr-69")</f>
        <v>tr-69</v>
      </c>
      <c r="C4922" s="9" t="str">
        <f>IFERROR(__xludf.DUMMYFUNCTION("GOOGLETRANSLATE($A4922,""en"",""de"")"),"Bayburt")</f>
        <v>Bayburt</v>
      </c>
      <c r="D4922" s="9" t="str">
        <f>IFERROR(__xludf.DUMMYFUNCTION("GOOGLETRANSLATE($A4922,""en"",""fr"")"),"Bayburt")</f>
        <v>Bayburt</v>
      </c>
      <c r="E4922" s="9" t="str">
        <f>IFERROR(__xludf.DUMMYFUNCTION("GOOGLETRANSLATE($A4922,""en"",""es"")"),"bayburt")</f>
        <v>bayburt</v>
      </c>
      <c r="F4922" s="9" t="str">
        <f>IFERROR(__xludf.DUMMYFUNCTION("GOOGLETRANSLATE($A4922,""en"",""it"")"),"Bayburt")</f>
        <v>Bayburt</v>
      </c>
      <c r="G4922" s="9" t="str">
        <f>IFERROR(__xludf.DUMMYFUNCTION("GOOGLETRANSLATE($A4922,""en"",""zh-cn"")"),"拜伯特")</f>
        <v>拜伯特</v>
      </c>
      <c r="H4922" s="9" t="str">
        <f>IFERROR(__xludf.DUMMYFUNCTION("GOOGLETRANSLATE($A4922,""en"",""ja"")"),"バイブルト")</f>
        <v>バイブルト</v>
      </c>
      <c r="I4922" s="9" t="str">
        <f>IFERROR(__xludf.DUMMYFUNCTION("GOOGLETRANSLATE($A4922,""en"",""ko"")"),"바이부르트")</f>
        <v>바이부르트</v>
      </c>
      <c r="J4922" s="9" t="str">
        <f>IFERROR(__xludf.DUMMYFUNCTION("GOOGLETRANSLATE($A4922,""en"",""pt-BR"")"),"Bayburt")</f>
        <v>Bayburt</v>
      </c>
    </row>
    <row r="4923">
      <c r="A4923" s="9" t="str">
        <f>IFERROR(__xludf.DUMMYFUNCTION("""COMPUTED_VALUE"""),"Bartın")</f>
        <v>Bartın</v>
      </c>
      <c r="B4923" s="9" t="str">
        <f>IFERROR(__xludf.DUMMYFUNCTION("""COMPUTED_VALUE"""),"tr-74")</f>
        <v>tr-74</v>
      </c>
      <c r="C4923" s="9" t="str">
        <f>IFERROR(__xludf.DUMMYFUNCTION("GOOGLETRANSLATE($A4923,""en"",""de"")"),"Bartın")</f>
        <v>Bartın</v>
      </c>
      <c r="D4923" s="9" t="str">
        <f>IFERROR(__xludf.DUMMYFUNCTION("GOOGLETRANSLATE($A4923,""en"",""fr"")"),"Bartın")</f>
        <v>Bartın</v>
      </c>
      <c r="E4923" s="9" t="str">
        <f>IFERROR(__xludf.DUMMYFUNCTION("GOOGLETRANSLATE($A4923,""en"",""es"")"),"Bartin")</f>
        <v>Bartin</v>
      </c>
      <c r="F4923" s="9" t="str">
        <f>IFERROR(__xludf.DUMMYFUNCTION("GOOGLETRANSLATE($A4923,""en"",""it"")"),"Bartin")</f>
        <v>Bartin</v>
      </c>
      <c r="G4923" s="9" t="str">
        <f>IFERROR(__xludf.DUMMYFUNCTION("GOOGLETRANSLATE($A4923,""en"",""zh-cn"")"),"巴尔廷")</f>
        <v>巴尔廷</v>
      </c>
      <c r="H4923" s="9" t="str">
        <f>IFERROR(__xludf.DUMMYFUNCTION("GOOGLETRANSLATE($A4923,""en"",""ja"")"),"バルティン")</f>
        <v>バルティン</v>
      </c>
      <c r="I4923" s="9" t="str">
        <f>IFERROR(__xludf.DUMMYFUNCTION("GOOGLETRANSLATE($A4923,""en"",""ko"")"),"바르틴")</f>
        <v>바르틴</v>
      </c>
      <c r="J4923" s="9" t="str">
        <f>IFERROR(__xludf.DUMMYFUNCTION("GOOGLETRANSLATE($A4923,""en"",""pt-BR"")"),"Bartin")</f>
        <v>Bartin</v>
      </c>
    </row>
    <row r="4924">
      <c r="A4924" s="9" t="str">
        <f>IFERROR(__xludf.DUMMYFUNCTION("""COMPUTED_VALUE"""),"Kilis")</f>
        <v>Kilis</v>
      </c>
      <c r="B4924" s="9" t="str">
        <f>IFERROR(__xludf.DUMMYFUNCTION("""COMPUTED_VALUE"""),"tr-79")</f>
        <v>tr-79</v>
      </c>
      <c r="C4924" s="9" t="str">
        <f>IFERROR(__xludf.DUMMYFUNCTION("GOOGLETRANSLATE($A4924,""en"",""de"")"),"Kilis")</f>
        <v>Kilis</v>
      </c>
      <c r="D4924" s="9" t="str">
        <f>IFERROR(__xludf.DUMMYFUNCTION("GOOGLETRANSLATE($A4924,""en"",""fr"")"),"Kilis")</f>
        <v>Kilis</v>
      </c>
      <c r="E4924" s="9" t="str">
        <f>IFERROR(__xludf.DUMMYFUNCTION("GOOGLETRANSLATE($A4924,""en"",""es"")"),"Kilis")</f>
        <v>Kilis</v>
      </c>
      <c r="F4924" s="9" t="str">
        <f>IFERROR(__xludf.DUMMYFUNCTION("GOOGLETRANSLATE($A4924,""en"",""it"")"),"Kilis")</f>
        <v>Kilis</v>
      </c>
      <c r="G4924" s="9" t="str">
        <f>IFERROR(__xludf.DUMMYFUNCTION("GOOGLETRANSLATE($A4924,""en"",""zh-cn"")"),"基利斯")</f>
        <v>基利斯</v>
      </c>
      <c r="H4924" s="9" t="str">
        <f>IFERROR(__xludf.DUMMYFUNCTION("GOOGLETRANSLATE($A4924,""en"",""ja"")"),"キリス")</f>
        <v>キリス</v>
      </c>
      <c r="I4924" s="9" t="str">
        <f>IFERROR(__xludf.DUMMYFUNCTION("GOOGLETRANSLATE($A4924,""en"",""ko"")"),"킬리스")</f>
        <v>킬리스</v>
      </c>
      <c r="J4924" s="9" t="str">
        <f>IFERROR(__xludf.DUMMYFUNCTION("GOOGLETRANSLATE($A4924,""en"",""pt-BR"")"),"Kilis")</f>
        <v>Kilis</v>
      </c>
    </row>
    <row r="4925">
      <c r="A4925" s="9" t="str">
        <f>IFERROR(__xludf.DUMMYFUNCTION("""COMPUTED_VALUE"""),"Ankara")</f>
        <v>Ankara</v>
      </c>
      <c r="B4925" s="9" t="str">
        <f>IFERROR(__xludf.DUMMYFUNCTION("""COMPUTED_VALUE"""),"tr-06")</f>
        <v>tr-06</v>
      </c>
      <c r="C4925" s="9" t="str">
        <f>IFERROR(__xludf.DUMMYFUNCTION("GOOGLETRANSLATE($A4925,""en"",""de"")"),"Ankara")</f>
        <v>Ankara</v>
      </c>
      <c r="D4925" s="9" t="str">
        <f>IFERROR(__xludf.DUMMYFUNCTION("GOOGLETRANSLATE($A4925,""en"",""fr"")"),"Ankara")</f>
        <v>Ankara</v>
      </c>
      <c r="E4925" s="9" t="str">
        <f>IFERROR(__xludf.DUMMYFUNCTION("GOOGLETRANSLATE($A4925,""en"",""es"")"),"ankara")</f>
        <v>ankara</v>
      </c>
      <c r="F4925" s="9" t="str">
        <f>IFERROR(__xludf.DUMMYFUNCTION("GOOGLETRANSLATE($A4925,""en"",""it"")"),"Ankara")</f>
        <v>Ankara</v>
      </c>
      <c r="G4925" s="9" t="str">
        <f>IFERROR(__xludf.DUMMYFUNCTION("GOOGLETRANSLATE($A4925,""en"",""zh-cn"")"),"安卡拉")</f>
        <v>安卡拉</v>
      </c>
      <c r="H4925" s="9" t="str">
        <f>IFERROR(__xludf.DUMMYFUNCTION("GOOGLETRANSLATE($A4925,""en"",""ja"")"),"アンカラ")</f>
        <v>アンカラ</v>
      </c>
      <c r="I4925" s="9" t="str">
        <f>IFERROR(__xludf.DUMMYFUNCTION("GOOGLETRANSLATE($A4925,""en"",""ko"")"),"앙카라")</f>
        <v>앙카라</v>
      </c>
      <c r="J4925" s="9" t="str">
        <f>IFERROR(__xludf.DUMMYFUNCTION("GOOGLETRANSLATE($A4925,""en"",""pt-BR"")"),"Ancara")</f>
        <v>Ancara</v>
      </c>
    </row>
    <row r="4926">
      <c r="A4926" s="9" t="str">
        <f>IFERROR(__xludf.DUMMYFUNCTION("""COMPUTED_VALUE"""),"Gaziantep")</f>
        <v>Gaziantep</v>
      </c>
      <c r="B4926" s="9" t="str">
        <f>IFERROR(__xludf.DUMMYFUNCTION("""COMPUTED_VALUE"""),"tr-27")</f>
        <v>tr-27</v>
      </c>
      <c r="C4926" s="9" t="str">
        <f>IFERROR(__xludf.DUMMYFUNCTION("GOOGLETRANSLATE($A4926,""en"",""de"")"),"Gaziantep")</f>
        <v>Gaziantep</v>
      </c>
      <c r="D4926" s="9" t="str">
        <f>IFERROR(__xludf.DUMMYFUNCTION("GOOGLETRANSLATE($A4926,""en"",""fr"")"),"Gaziantep")</f>
        <v>Gaziantep</v>
      </c>
      <c r="E4926" s="9" t="str">
        <f>IFERROR(__xludf.DUMMYFUNCTION("GOOGLETRANSLATE($A4926,""en"",""es"")"),"Gaziantep")</f>
        <v>Gaziantep</v>
      </c>
      <c r="F4926" s="9" t="str">
        <f>IFERROR(__xludf.DUMMYFUNCTION("GOOGLETRANSLATE($A4926,""en"",""it"")"),"Gaziantep")</f>
        <v>Gaziantep</v>
      </c>
      <c r="G4926" s="9" t="str">
        <f>IFERROR(__xludf.DUMMYFUNCTION("GOOGLETRANSLATE($A4926,""en"",""zh-cn"")"),"加济安泰普")</f>
        <v>加济安泰普</v>
      </c>
      <c r="H4926" s="9" t="str">
        <f>IFERROR(__xludf.DUMMYFUNCTION("GOOGLETRANSLATE($A4926,""en"",""ja"")"),"ガズィアンテプ")</f>
        <v>ガズィアンテプ</v>
      </c>
      <c r="I4926" s="9" t="str">
        <f>IFERROR(__xludf.DUMMYFUNCTION("GOOGLETRANSLATE($A4926,""en"",""ko"")"),"가지안테프")</f>
        <v>가지안테프</v>
      </c>
      <c r="J4926" s="9" t="str">
        <f>IFERROR(__xludf.DUMMYFUNCTION("GOOGLETRANSLATE($A4926,""en"",""pt-BR"")"),"Gaziantep")</f>
        <v>Gaziantep</v>
      </c>
    </row>
    <row r="4927">
      <c r="A4927" s="9" t="str">
        <f>IFERROR(__xludf.DUMMYFUNCTION("""COMPUTED_VALUE"""),"Uşak")</f>
        <v>Uşak</v>
      </c>
      <c r="B4927" s="9" t="str">
        <f>IFERROR(__xludf.DUMMYFUNCTION("""COMPUTED_VALUE"""),"tr-64")</f>
        <v>tr-64</v>
      </c>
      <c r="C4927" s="9" t="str">
        <f>IFERROR(__xludf.DUMMYFUNCTION("GOOGLETRANSLATE($A4927,""en"",""de"")"),"Uşak")</f>
        <v>Uşak</v>
      </c>
      <c r="D4927" s="9" t="str">
        <f>IFERROR(__xludf.DUMMYFUNCTION("GOOGLETRANSLATE($A4927,""en"",""fr"")"),"Uşak")</f>
        <v>Uşak</v>
      </c>
      <c r="E4927" s="9" t="str">
        <f>IFERROR(__xludf.DUMMYFUNCTION("GOOGLETRANSLATE($A4927,""en"",""es"")"),"Usak")</f>
        <v>Usak</v>
      </c>
      <c r="F4927" s="9" t="str">
        <f>IFERROR(__xludf.DUMMYFUNCTION("GOOGLETRANSLATE($A4927,""en"",""it"")"),"Usak")</f>
        <v>Usak</v>
      </c>
      <c r="G4927" s="9" t="str">
        <f>IFERROR(__xludf.DUMMYFUNCTION("GOOGLETRANSLATE($A4927,""en"",""zh-cn"")"),"乌沙克")</f>
        <v>乌沙克</v>
      </c>
      <c r="H4927" s="9" t="str">
        <f>IFERROR(__xludf.DUMMYFUNCTION("GOOGLETRANSLATE($A4927,""en"",""ja"")"),"ウシャク")</f>
        <v>ウシャク</v>
      </c>
      <c r="I4927" s="9" t="str">
        <f>IFERROR(__xludf.DUMMYFUNCTION("GOOGLETRANSLATE($A4927,""en"",""ko"")"),"우샤크")</f>
        <v>우샤크</v>
      </c>
      <c r="J4927" s="9" t="str">
        <f>IFERROR(__xludf.DUMMYFUNCTION("GOOGLETRANSLATE($A4927,""en"",""pt-BR"")"),"Usak")</f>
        <v>Usak</v>
      </c>
    </row>
    <row r="4928">
      <c r="A4928" s="9" t="str">
        <f>IFERROR(__xludf.DUMMYFUNCTION("""COMPUTED_VALUE"""),"Zonguldak")</f>
        <v>Zonguldak</v>
      </c>
      <c r="B4928" s="9" t="str">
        <f>IFERROR(__xludf.DUMMYFUNCTION("""COMPUTED_VALUE"""),"tr-67")</f>
        <v>tr-67</v>
      </c>
      <c r="C4928" s="9" t="str">
        <f>IFERROR(__xludf.DUMMYFUNCTION("GOOGLETRANSLATE($A4928,""en"",""de"")"),"Zonguldak")</f>
        <v>Zonguldak</v>
      </c>
      <c r="D4928" s="9" t="str">
        <f>IFERROR(__xludf.DUMMYFUNCTION("GOOGLETRANSLATE($A4928,""en"",""fr"")"),"Zonguldak")</f>
        <v>Zonguldak</v>
      </c>
      <c r="E4928" s="9" t="str">
        <f>IFERROR(__xludf.DUMMYFUNCTION("GOOGLETRANSLATE($A4928,""en"",""es"")"),"Zonguldak")</f>
        <v>Zonguldak</v>
      </c>
      <c r="F4928" s="9" t="str">
        <f>IFERROR(__xludf.DUMMYFUNCTION("GOOGLETRANSLATE($A4928,""en"",""it"")"),"Zonguldak")</f>
        <v>Zonguldak</v>
      </c>
      <c r="G4928" s="9" t="str">
        <f>IFERROR(__xludf.DUMMYFUNCTION("GOOGLETRANSLATE($A4928,""en"",""zh-cn"")"),"宗古尔达克")</f>
        <v>宗古尔达克</v>
      </c>
      <c r="H4928" s="9" t="str">
        <f>IFERROR(__xludf.DUMMYFUNCTION("GOOGLETRANSLATE($A4928,""en"",""ja"")"),"ゾングルダク")</f>
        <v>ゾングルダク</v>
      </c>
      <c r="I4928" s="9" t="str">
        <f>IFERROR(__xludf.DUMMYFUNCTION("GOOGLETRANSLATE($A4928,""en"",""ko"")"),"종굴다크")</f>
        <v>종굴다크</v>
      </c>
      <c r="J4928" s="9" t="str">
        <f>IFERROR(__xludf.DUMMYFUNCTION("GOOGLETRANSLATE($A4928,""en"",""pt-BR"")"),"Zonguldak")</f>
        <v>Zonguldak</v>
      </c>
    </row>
    <row r="4929">
      <c r="A4929" s="9" t="str">
        <f>IFERROR(__xludf.DUMMYFUNCTION("""COMPUTED_VALUE"""),"Çankırı")</f>
        <v>Çankırı</v>
      </c>
      <c r="B4929" s="9" t="str">
        <f>IFERROR(__xludf.DUMMYFUNCTION("""COMPUTED_VALUE"""),"tr-18")</f>
        <v>tr-18</v>
      </c>
      <c r="C4929" s="9" t="str">
        <f>IFERROR(__xludf.DUMMYFUNCTION("GOOGLETRANSLATE($A4929,""en"",""de"")"),"Çankırı")</f>
        <v>Çankırı</v>
      </c>
      <c r="D4929" s="9" t="str">
        <f>IFERROR(__xludf.DUMMYFUNCTION("GOOGLETRANSLATE($A4929,""en"",""fr"")"),"Çankırı")</f>
        <v>Çankırı</v>
      </c>
      <c r="E4929" s="9" t="str">
        <f>IFERROR(__xludf.DUMMYFUNCTION("GOOGLETRANSLATE($A4929,""en"",""es"")"),"Çankırı")</f>
        <v>Çankırı</v>
      </c>
      <c r="F4929" s="9" t="str">
        <f>IFERROR(__xludf.DUMMYFUNCTION("GOOGLETRANSLATE($A4929,""en"",""it"")"),"Çankiri")</f>
        <v>Çankiri</v>
      </c>
      <c r="G4929" s="9" t="str">
        <f>IFERROR(__xludf.DUMMYFUNCTION("GOOGLETRANSLATE($A4929,""en"",""zh-cn"")"),"坎克里")</f>
        <v>坎克里</v>
      </c>
      <c r="H4929" s="9" t="str">
        <f>IFERROR(__xludf.DUMMYFUNCTION("GOOGLETRANSLATE($A4929,""en"",""ja"")"),"チャンクル")</f>
        <v>チャンクル</v>
      </c>
      <c r="I4929" s="9" t="str">
        <f>IFERROR(__xludf.DUMMYFUNCTION("GOOGLETRANSLATE($A4929,""en"",""ko"")"),"찬키리")</f>
        <v>찬키리</v>
      </c>
      <c r="J4929" s="9" t="str">
        <f>IFERROR(__xludf.DUMMYFUNCTION("GOOGLETRANSLATE($A4929,""en"",""pt-BR"")"),"Çankırı")</f>
        <v>Çankırı</v>
      </c>
    </row>
    <row r="4930">
      <c r="A4930" s="9" t="str">
        <f>IFERROR(__xludf.DUMMYFUNCTION("""COMPUTED_VALUE"""),"Kırıkkale")</f>
        <v>Kırıkkale</v>
      </c>
      <c r="B4930" s="9" t="str">
        <f>IFERROR(__xludf.DUMMYFUNCTION("""COMPUTED_VALUE"""),"tr-71")</f>
        <v>tr-71</v>
      </c>
      <c r="C4930" s="9" t="str">
        <f>IFERROR(__xludf.DUMMYFUNCTION("GOOGLETRANSLATE($A4930,""en"",""de"")"),"Kırıkkale")</f>
        <v>Kırıkkale</v>
      </c>
      <c r="D4930" s="9" t="str">
        <f>IFERROR(__xludf.DUMMYFUNCTION("GOOGLETRANSLATE($A4930,""en"",""fr"")"),"Kirikkale")</f>
        <v>Kirikkale</v>
      </c>
      <c r="E4930" s="9" t="str">
        <f>IFERROR(__xludf.DUMMYFUNCTION("GOOGLETRANSLATE($A4930,""en"",""es"")"),"Kirikkale")</f>
        <v>Kirikkale</v>
      </c>
      <c r="F4930" s="9" t="str">
        <f>IFERROR(__xludf.DUMMYFUNCTION("GOOGLETRANSLATE($A4930,""en"",""it"")"),"Kırıkkale")</f>
        <v>Kırıkkale</v>
      </c>
      <c r="G4930" s="9" t="str">
        <f>IFERROR(__xludf.DUMMYFUNCTION("GOOGLETRANSLATE($A4930,""en"",""zh-cn"")"),"柯里卡莱")</f>
        <v>柯里卡莱</v>
      </c>
      <c r="H4930" s="9" t="str">
        <f>IFERROR(__xludf.DUMMYFUNCTION("GOOGLETRANSLATE($A4930,""en"",""ja"")"),"クルッカレ")</f>
        <v>クルッカレ</v>
      </c>
      <c r="I4930" s="9" t="str">
        <f>IFERROR(__xludf.DUMMYFUNCTION("GOOGLETRANSLATE($A4930,""en"",""ko"")"),"키리칼레")</f>
        <v>키리칼레</v>
      </c>
      <c r="J4930" s="9" t="str">
        <f>IFERROR(__xludf.DUMMYFUNCTION("GOOGLETRANSLATE($A4930,""en"",""pt-BR"")"),"Kirıkkale")</f>
        <v>Kirıkkale</v>
      </c>
    </row>
    <row r="4931">
      <c r="A4931" s="9" t="str">
        <f>IFERROR(__xludf.DUMMYFUNCTION("""COMPUTED_VALUE"""),"Antalya")</f>
        <v>Antalya</v>
      </c>
      <c r="B4931" s="9" t="str">
        <f>IFERROR(__xludf.DUMMYFUNCTION("""COMPUTED_VALUE"""),"tr-07")</f>
        <v>tr-07</v>
      </c>
      <c r="C4931" s="9" t="str">
        <f>IFERROR(__xludf.DUMMYFUNCTION("GOOGLETRANSLATE($A4931,""en"",""de"")"),"Antalya")</f>
        <v>Antalya</v>
      </c>
      <c r="D4931" s="9" t="str">
        <f>IFERROR(__xludf.DUMMYFUNCTION("GOOGLETRANSLATE($A4931,""en"",""fr"")"),"Antalya")</f>
        <v>Antalya</v>
      </c>
      <c r="E4931" s="9" t="str">
        <f>IFERROR(__xludf.DUMMYFUNCTION("GOOGLETRANSLATE($A4931,""en"",""es"")"),"Antalya")</f>
        <v>Antalya</v>
      </c>
      <c r="F4931" s="9" t="str">
        <f>IFERROR(__xludf.DUMMYFUNCTION("GOOGLETRANSLATE($A4931,""en"",""it"")"),"Antalya")</f>
        <v>Antalya</v>
      </c>
      <c r="G4931" s="9" t="str">
        <f>IFERROR(__xludf.DUMMYFUNCTION("GOOGLETRANSLATE($A4931,""en"",""zh-cn"")"),"安塔利亚")</f>
        <v>安塔利亚</v>
      </c>
      <c r="H4931" s="9" t="str">
        <f>IFERROR(__xludf.DUMMYFUNCTION("GOOGLETRANSLATE($A4931,""en"",""ja"")"),"アンタルヤ")</f>
        <v>アンタルヤ</v>
      </c>
      <c r="I4931" s="9" t="str">
        <f>IFERROR(__xludf.DUMMYFUNCTION("GOOGLETRANSLATE($A4931,""en"",""ko"")"),"안탈리아")</f>
        <v>안탈리아</v>
      </c>
      <c r="J4931" s="9" t="str">
        <f>IFERROR(__xludf.DUMMYFUNCTION("GOOGLETRANSLATE($A4931,""en"",""pt-BR"")"),"Antália")</f>
        <v>Antália</v>
      </c>
    </row>
    <row r="4932">
      <c r="A4932" s="9" t="str">
        <f>IFERROR(__xludf.DUMMYFUNCTION("""COMPUTED_VALUE"""),"Bilecik")</f>
        <v>Bilecik</v>
      </c>
      <c r="B4932" s="9" t="str">
        <f>IFERROR(__xludf.DUMMYFUNCTION("""COMPUTED_VALUE"""),"tr-11")</f>
        <v>tr-11</v>
      </c>
      <c r="C4932" s="9" t="str">
        <f>IFERROR(__xludf.DUMMYFUNCTION("GOOGLETRANSLATE($A4932,""en"",""de"")"),"Bilecik")</f>
        <v>Bilecik</v>
      </c>
      <c r="D4932" s="9" t="str">
        <f>IFERROR(__xludf.DUMMYFUNCTION("GOOGLETRANSLATE($A4932,""en"",""fr"")"),"Bilecik")</f>
        <v>Bilecik</v>
      </c>
      <c r="E4932" s="9" t="str">
        <f>IFERROR(__xludf.DUMMYFUNCTION("GOOGLETRANSLATE($A4932,""en"",""es"")"),"Bilecik")</f>
        <v>Bilecik</v>
      </c>
      <c r="F4932" s="9" t="str">
        <f>IFERROR(__xludf.DUMMYFUNCTION("GOOGLETRANSLATE($A4932,""en"",""it"")"),"Bilecik")</f>
        <v>Bilecik</v>
      </c>
      <c r="G4932" s="9" t="str">
        <f>IFERROR(__xludf.DUMMYFUNCTION("GOOGLETRANSLATE($A4932,""en"",""zh-cn"")"),"比莱吉克")</f>
        <v>比莱吉克</v>
      </c>
      <c r="H4932" s="9" t="str">
        <f>IFERROR(__xludf.DUMMYFUNCTION("GOOGLETRANSLATE($A4932,""en"",""ja"")"),"ビレシク")</f>
        <v>ビレシク</v>
      </c>
      <c r="I4932" s="9" t="str">
        <f>IFERROR(__xludf.DUMMYFUNCTION("GOOGLETRANSLATE($A4932,""en"",""ko"")"),"빌레식")</f>
        <v>빌레식</v>
      </c>
      <c r="J4932" s="9" t="str">
        <f>IFERROR(__xludf.DUMMYFUNCTION("GOOGLETRANSLATE($A4932,""en"",""pt-BR"")"),"Bilecik")</f>
        <v>Bilecik</v>
      </c>
    </row>
    <row r="4933">
      <c r="A4933" s="9" t="str">
        <f>IFERROR(__xludf.DUMMYFUNCTION("""COMPUTED_VALUE"""),"Eskişehir")</f>
        <v>Eskişehir</v>
      </c>
      <c r="B4933" s="9" t="str">
        <f>IFERROR(__xludf.DUMMYFUNCTION("""COMPUTED_VALUE"""),"tr-26")</f>
        <v>tr-26</v>
      </c>
      <c r="C4933" s="9" t="str">
        <f>IFERROR(__xludf.DUMMYFUNCTION("GOOGLETRANSLATE($A4933,""en"",""de"")"),"Eskişehir")</f>
        <v>Eskişehir</v>
      </c>
      <c r="D4933" s="9" t="str">
        <f>IFERROR(__xludf.DUMMYFUNCTION("GOOGLETRANSLATE($A4933,""en"",""fr"")"),"Eskişehir")</f>
        <v>Eskişehir</v>
      </c>
      <c r="E4933" s="9" t="str">
        <f>IFERROR(__xludf.DUMMYFUNCTION("GOOGLETRANSLATE($A4933,""en"",""es"")"),"Eskişehir")</f>
        <v>Eskişehir</v>
      </c>
      <c r="F4933" s="9" t="str">
        <f>IFERROR(__xludf.DUMMYFUNCTION("GOOGLETRANSLATE($A4933,""en"",""it"")"),"Eskişehir")</f>
        <v>Eskişehir</v>
      </c>
      <c r="G4933" s="9" t="str">
        <f>IFERROR(__xludf.DUMMYFUNCTION("GOOGLETRANSLATE($A4933,""en"",""zh-cn"")"),"埃斯基谢希尔")</f>
        <v>埃斯基谢希尔</v>
      </c>
      <c r="H4933" s="9" t="str">
        <f>IFERROR(__xludf.DUMMYFUNCTION("GOOGLETRANSLATE($A4933,""en"",""ja"")"),"エスキシェヒル")</f>
        <v>エスキシェヒル</v>
      </c>
      <c r="I4933" s="9" t="str">
        <f>IFERROR(__xludf.DUMMYFUNCTION("GOOGLETRANSLATE($A4933,""en"",""ko"")"),"에스키셰히르")</f>
        <v>에스키셰히르</v>
      </c>
      <c r="J4933" s="9" t="str">
        <f>IFERROR(__xludf.DUMMYFUNCTION("GOOGLETRANSLATE($A4933,""en"",""pt-BR"")"),"Esquiceir")</f>
        <v>Esquiceir</v>
      </c>
    </row>
    <row r="4934">
      <c r="A4934" s="9" t="str">
        <f>IFERROR(__xludf.DUMMYFUNCTION("""COMPUTED_VALUE"""),"Kırşehir")</f>
        <v>Kırşehir</v>
      </c>
      <c r="B4934" s="9" t="str">
        <f>IFERROR(__xludf.DUMMYFUNCTION("""COMPUTED_VALUE"""),"tr-40")</f>
        <v>tr-40</v>
      </c>
      <c r="C4934" s="9" t="str">
        <f>IFERROR(__xludf.DUMMYFUNCTION("GOOGLETRANSLATE($A4934,""en"",""de"")"),"Kirşehir")</f>
        <v>Kirşehir</v>
      </c>
      <c r="D4934" s="9" t="str">
        <f>IFERROR(__xludf.DUMMYFUNCTION("GOOGLETRANSLATE($A4934,""en"",""fr"")"),"Kirşehir")</f>
        <v>Kirşehir</v>
      </c>
      <c r="E4934" s="9" t="str">
        <f>IFERROR(__xludf.DUMMYFUNCTION("GOOGLETRANSLATE($A4934,""en"",""es"")"),"Kirşehir")</f>
        <v>Kirşehir</v>
      </c>
      <c r="F4934" s="9" t="str">
        <f>IFERROR(__xludf.DUMMYFUNCTION("GOOGLETRANSLATE($A4934,""en"",""it"")"),"Kirsehir")</f>
        <v>Kirsehir</v>
      </c>
      <c r="G4934" s="9" t="str">
        <f>IFERROR(__xludf.DUMMYFUNCTION("GOOGLETRANSLATE($A4934,""en"",""zh-cn"")"),"克尔谢希尔")</f>
        <v>克尔谢希尔</v>
      </c>
      <c r="H4934" s="9" t="str">
        <f>IFERROR(__xludf.DUMMYFUNCTION("GOOGLETRANSLATE($A4934,""en"",""ja"")"),"クルシェヒル")</f>
        <v>クルシェヒル</v>
      </c>
      <c r="I4934" s="9" t="str">
        <f>IFERROR(__xludf.DUMMYFUNCTION("GOOGLETRANSLATE($A4934,""en"",""ko"")"),"키르세히르")</f>
        <v>키르세히르</v>
      </c>
      <c r="J4934" s="9" t="str">
        <f>IFERROR(__xludf.DUMMYFUNCTION("GOOGLETRANSLATE($A4934,""en"",""pt-BR"")"),"Kirşehir")</f>
        <v>Kirşehir</v>
      </c>
    </row>
    <row r="4935">
      <c r="A4935" s="9" t="str">
        <f>IFERROR(__xludf.DUMMYFUNCTION("""COMPUTED_VALUE"""),"Sinop")</f>
        <v>Sinop</v>
      </c>
      <c r="B4935" s="9" t="str">
        <f>IFERROR(__xludf.DUMMYFUNCTION("""COMPUTED_VALUE"""),"tr-57")</f>
        <v>tr-57</v>
      </c>
      <c r="C4935" s="9" t="str">
        <f>IFERROR(__xludf.DUMMYFUNCTION("GOOGLETRANSLATE($A4935,""en"",""de"")"),"Sinop")</f>
        <v>Sinop</v>
      </c>
      <c r="D4935" s="9" t="str">
        <f>IFERROR(__xludf.DUMMYFUNCTION("GOOGLETRANSLATE($A4935,""en"",""fr"")"),"Sinop")</f>
        <v>Sinop</v>
      </c>
      <c r="E4935" s="9" t="str">
        <f>IFERROR(__xludf.DUMMYFUNCTION("GOOGLETRANSLATE($A4935,""en"",""es"")"),"Sinop")</f>
        <v>Sinop</v>
      </c>
      <c r="F4935" s="9" t="str">
        <f>IFERROR(__xludf.DUMMYFUNCTION("GOOGLETRANSLATE($A4935,""en"",""it"")"),"Sinop")</f>
        <v>Sinop</v>
      </c>
      <c r="G4935" s="9" t="str">
        <f>IFERROR(__xludf.DUMMYFUNCTION("GOOGLETRANSLATE($A4935,""en"",""zh-cn"")"),"锡诺普")</f>
        <v>锡诺普</v>
      </c>
      <c r="H4935" s="9" t="str">
        <f>IFERROR(__xludf.DUMMYFUNCTION("GOOGLETRANSLATE($A4935,""en"",""ja"")"),"シノプ")</f>
        <v>シノプ</v>
      </c>
      <c r="I4935" s="9" t="str">
        <f>IFERROR(__xludf.DUMMYFUNCTION("GOOGLETRANSLATE($A4935,""en"",""ko"")"),"시놉")</f>
        <v>시놉</v>
      </c>
      <c r="J4935" s="9" t="str">
        <f>IFERROR(__xludf.DUMMYFUNCTION("GOOGLETRANSLATE($A4935,""en"",""pt-BR"")"),"Sinop")</f>
        <v>Sinop</v>
      </c>
    </row>
    <row r="4936">
      <c r="A4936" s="9" t="str">
        <f>IFERROR(__xludf.DUMMYFUNCTION("""COMPUTED_VALUE"""),"Edirne")</f>
        <v>Edirne</v>
      </c>
      <c r="B4936" s="9" t="str">
        <f>IFERROR(__xludf.DUMMYFUNCTION("""COMPUTED_VALUE"""),"tr-22")</f>
        <v>tr-22</v>
      </c>
      <c r="C4936" s="9" t="str">
        <f>IFERROR(__xludf.DUMMYFUNCTION("GOOGLETRANSLATE($A4936,""en"",""de"")"),"Edirne")</f>
        <v>Edirne</v>
      </c>
      <c r="D4936" s="9" t="str">
        <f>IFERROR(__xludf.DUMMYFUNCTION("GOOGLETRANSLATE($A4936,""en"",""fr"")"),"Édirne")</f>
        <v>Édirne</v>
      </c>
      <c r="E4936" s="9" t="str">
        <f>IFERROR(__xludf.DUMMYFUNCTION("GOOGLETRANSLATE($A4936,""en"",""es"")"),"Edirne")</f>
        <v>Edirne</v>
      </c>
      <c r="F4936" s="9" t="str">
        <f>IFERROR(__xludf.DUMMYFUNCTION("GOOGLETRANSLATE($A4936,""en"",""it"")"),"Edirne")</f>
        <v>Edirne</v>
      </c>
      <c r="G4936" s="9" t="str">
        <f>IFERROR(__xludf.DUMMYFUNCTION("GOOGLETRANSLATE($A4936,""en"",""zh-cn"")"),"埃迪尔内")</f>
        <v>埃迪尔内</v>
      </c>
      <c r="H4936" s="9" t="str">
        <f>IFERROR(__xludf.DUMMYFUNCTION("GOOGLETRANSLATE($A4936,""en"",""ja"")"),"エディルネ")</f>
        <v>エディルネ</v>
      </c>
      <c r="I4936" s="9" t="str">
        <f>IFERROR(__xludf.DUMMYFUNCTION("GOOGLETRANSLATE($A4936,""en"",""ko"")"),"에디르네")</f>
        <v>에디르네</v>
      </c>
      <c r="J4936" s="9" t="str">
        <f>IFERROR(__xludf.DUMMYFUNCTION("GOOGLETRANSLATE($A4936,""en"",""pt-BR"")"),"Edirne")</f>
        <v>Edirne</v>
      </c>
    </row>
    <row r="4937">
      <c r="A4937" s="9" t="str">
        <f>IFERROR(__xludf.DUMMYFUNCTION("""COMPUTED_VALUE"""),"Aksaray")</f>
        <v>Aksaray</v>
      </c>
      <c r="B4937" s="9" t="str">
        <f>IFERROR(__xludf.DUMMYFUNCTION("""COMPUTED_VALUE"""),"tr-68")</f>
        <v>tr-68</v>
      </c>
      <c r="C4937" s="9" t="str">
        <f>IFERROR(__xludf.DUMMYFUNCTION("GOOGLETRANSLATE($A4937,""en"",""de"")"),"Aksaray")</f>
        <v>Aksaray</v>
      </c>
      <c r="D4937" s="9" t="str">
        <f>IFERROR(__xludf.DUMMYFUNCTION("GOOGLETRANSLATE($A4937,""en"",""fr"")"),"Aksaray")</f>
        <v>Aksaray</v>
      </c>
      <c r="E4937" s="9" t="str">
        <f>IFERROR(__xludf.DUMMYFUNCTION("GOOGLETRANSLATE($A4937,""en"",""es"")"),"Aksaray")</f>
        <v>Aksaray</v>
      </c>
      <c r="F4937" s="9" t="str">
        <f>IFERROR(__xludf.DUMMYFUNCTION("GOOGLETRANSLATE($A4937,""en"",""it"")"),"Aksaray")</f>
        <v>Aksaray</v>
      </c>
      <c r="G4937" s="9" t="str">
        <f>IFERROR(__xludf.DUMMYFUNCTION("GOOGLETRANSLATE($A4937,""en"",""zh-cn"")"),"阿克萨赖")</f>
        <v>阿克萨赖</v>
      </c>
      <c r="H4937" s="9" t="str">
        <f>IFERROR(__xludf.DUMMYFUNCTION("GOOGLETRANSLATE($A4937,""en"",""ja"")"),"アクサライ")</f>
        <v>アクサライ</v>
      </c>
      <c r="I4937" s="9" t="str">
        <f>IFERROR(__xludf.DUMMYFUNCTION("GOOGLETRANSLATE($A4937,""en"",""ko"")"),"악사라이")</f>
        <v>악사라이</v>
      </c>
      <c r="J4937" s="9" t="str">
        <f>IFERROR(__xludf.DUMMYFUNCTION("GOOGLETRANSLATE($A4937,""en"",""pt-BR"")"),"Aksaray")</f>
        <v>Aksaray</v>
      </c>
    </row>
    <row r="4938">
      <c r="A4938" s="9" t="str">
        <f>IFERROR(__xludf.DUMMYFUNCTION("""COMPUTED_VALUE"""),"Hakkâri")</f>
        <v>Hakkâri</v>
      </c>
      <c r="B4938" s="9" t="str">
        <f>IFERROR(__xludf.DUMMYFUNCTION("""COMPUTED_VALUE"""),"tr-30")</f>
        <v>tr-30</v>
      </c>
      <c r="C4938" s="9" t="str">
        <f>IFERROR(__xludf.DUMMYFUNCTION("GOOGLETRANSLATE($A4938,""en"",""de"")"),"Hakkari")</f>
        <v>Hakkari</v>
      </c>
      <c r="D4938" s="9" t="str">
        <f>IFERROR(__xludf.DUMMYFUNCTION("GOOGLETRANSLATE($A4938,""en"",""fr"")"),"Hakkari")</f>
        <v>Hakkari</v>
      </c>
      <c r="E4938" s="9" t="str">
        <f>IFERROR(__xludf.DUMMYFUNCTION("GOOGLETRANSLATE($A4938,""en"",""es"")"),"Hakkâri")</f>
        <v>Hakkâri</v>
      </c>
      <c r="F4938" s="9" t="str">
        <f>IFERROR(__xludf.DUMMYFUNCTION("GOOGLETRANSLATE($A4938,""en"",""it"")"),"Hakkâri")</f>
        <v>Hakkâri</v>
      </c>
      <c r="G4938" s="9" t="str">
        <f>IFERROR(__xludf.DUMMYFUNCTION("GOOGLETRANSLATE($A4938,""en"",""zh-cn"")"),"哈卡里")</f>
        <v>哈卡里</v>
      </c>
      <c r="H4938" s="9" t="str">
        <f>IFERROR(__xludf.DUMMYFUNCTION("GOOGLETRANSLATE($A4938,""en"",""ja"")"),"ハッカリ")</f>
        <v>ハッカリ</v>
      </c>
      <c r="I4938" s="9" t="str">
        <f>IFERROR(__xludf.DUMMYFUNCTION("GOOGLETRANSLATE($A4938,""en"",""ko"")"),"하카리")</f>
        <v>하카리</v>
      </c>
      <c r="J4938" s="9" t="str">
        <f>IFERROR(__xludf.DUMMYFUNCTION("GOOGLETRANSLATE($A4938,""en"",""pt-BR"")"),"Hakkâri")</f>
        <v>Hakkâri</v>
      </c>
    </row>
    <row r="4939">
      <c r="A4939" s="9" t="str">
        <f>IFERROR(__xludf.DUMMYFUNCTION("""COMPUTED_VALUE"""),"İstanbul")</f>
        <v>İstanbul</v>
      </c>
      <c r="B4939" s="9" t="str">
        <f>IFERROR(__xludf.DUMMYFUNCTION("""COMPUTED_VALUE"""),"tr-34")</f>
        <v>tr-34</v>
      </c>
      <c r="C4939" s="9" t="str">
        <f>IFERROR(__xludf.DUMMYFUNCTION("GOOGLETRANSLATE($A4939,""en"",""de"")"),"Istanbul")</f>
        <v>Istanbul</v>
      </c>
      <c r="D4939" s="9" t="str">
        <f>IFERROR(__xludf.DUMMYFUNCTION("GOOGLETRANSLATE($A4939,""en"",""fr"")"),"Istanbul")</f>
        <v>Istanbul</v>
      </c>
      <c r="E4939" s="9" t="str">
        <f>IFERROR(__xludf.DUMMYFUNCTION("GOOGLETRANSLATE($A4939,""en"",""es"")"),"Estanbul")</f>
        <v>Estanbul</v>
      </c>
      <c r="F4939" s="9" t="str">
        <f>IFERROR(__xludf.DUMMYFUNCTION("GOOGLETRANSLATE($A4939,""en"",""it"")"),"Istanbul")</f>
        <v>Istanbul</v>
      </c>
      <c r="G4939" s="9" t="str">
        <f>IFERROR(__xludf.DUMMYFUNCTION("GOOGLETRANSLATE($A4939,""en"",""zh-cn"")"),"伊斯坦布尔")</f>
        <v>伊斯坦布尔</v>
      </c>
      <c r="H4939" s="9" t="str">
        <f>IFERROR(__xludf.DUMMYFUNCTION("GOOGLETRANSLATE($A4939,""en"",""ja"")"),"イスタンブール")</f>
        <v>イスタンブール</v>
      </c>
      <c r="I4939" s="9" t="str">
        <f>IFERROR(__xludf.DUMMYFUNCTION("GOOGLETRANSLATE($A4939,""en"",""ko"")"),"이스탄불")</f>
        <v>이스탄불</v>
      </c>
      <c r="J4939" s="9" t="str">
        <f>IFERROR(__xludf.DUMMYFUNCTION("GOOGLETRANSLATE($A4939,""en"",""pt-BR"")"),"Istambul")</f>
        <v>Istambul</v>
      </c>
    </row>
    <row r="4940">
      <c r="A4940" s="9" t="str">
        <f>IFERROR(__xludf.DUMMYFUNCTION("""COMPUTED_VALUE"""),"Ordu")</f>
        <v>Ordu</v>
      </c>
      <c r="B4940" s="9" t="str">
        <f>IFERROR(__xludf.DUMMYFUNCTION("""COMPUTED_VALUE"""),"tr-52")</f>
        <v>tr-52</v>
      </c>
      <c r="C4940" s="9" t="str">
        <f>IFERROR(__xludf.DUMMYFUNCTION("GOOGLETRANSLATE($A4940,""en"",""de"")"),"Ordu")</f>
        <v>Ordu</v>
      </c>
      <c r="D4940" s="9" t="str">
        <f>IFERROR(__xludf.DUMMYFUNCTION("GOOGLETRANSLATE($A4940,""en"",""fr"")"),"Ordu")</f>
        <v>Ordu</v>
      </c>
      <c r="E4940" s="9" t="str">
        <f>IFERROR(__xludf.DUMMYFUNCTION("GOOGLETRANSLATE($A4940,""en"",""es"")"),"Ordu")</f>
        <v>Ordu</v>
      </c>
      <c r="F4940" s="9" t="str">
        <f>IFERROR(__xludf.DUMMYFUNCTION("GOOGLETRANSLATE($A4940,""en"",""it"")"),"Ordu")</f>
        <v>Ordu</v>
      </c>
      <c r="G4940" s="9" t="str">
        <f>IFERROR(__xludf.DUMMYFUNCTION("GOOGLETRANSLATE($A4940,""en"",""zh-cn"")"),"奥尔杜")</f>
        <v>奥尔杜</v>
      </c>
      <c r="H4940" s="9" t="str">
        <f>IFERROR(__xludf.DUMMYFUNCTION("GOOGLETRANSLATE($A4940,""en"",""ja"")"),"オルドゥ")</f>
        <v>オルドゥ</v>
      </c>
      <c r="I4940" s="9" t="str">
        <f>IFERROR(__xludf.DUMMYFUNCTION("GOOGLETRANSLATE($A4940,""en"",""ko"")"),"오르두")</f>
        <v>오르두</v>
      </c>
      <c r="J4940" s="9" t="str">
        <f>IFERROR(__xludf.DUMMYFUNCTION("GOOGLETRANSLATE($A4940,""en"",""pt-BR"")"),"Ordu")</f>
        <v>Ordu</v>
      </c>
    </row>
    <row r="4941">
      <c r="A4941" s="9" t="str">
        <f>IFERROR(__xludf.DUMMYFUNCTION("""COMPUTED_VALUE"""),"Sivas")</f>
        <v>Sivas</v>
      </c>
      <c r="B4941" s="9" t="str">
        <f>IFERROR(__xludf.DUMMYFUNCTION("""COMPUTED_VALUE"""),"tr-58")</f>
        <v>tr-58</v>
      </c>
      <c r="C4941" s="9" t="str">
        <f>IFERROR(__xludf.DUMMYFUNCTION("GOOGLETRANSLATE($A4941,""en"",""de"")"),"Sivas")</f>
        <v>Sivas</v>
      </c>
      <c r="D4941" s="9" t="str">
        <f>IFERROR(__xludf.DUMMYFUNCTION("GOOGLETRANSLATE($A4941,""en"",""fr"")"),"Sivas")</f>
        <v>Sivas</v>
      </c>
      <c r="E4941" s="9" t="str">
        <f>IFERROR(__xludf.DUMMYFUNCTION("GOOGLETRANSLATE($A4941,""en"",""es"")"),"sivas")</f>
        <v>sivas</v>
      </c>
      <c r="F4941" s="9" t="str">
        <f>IFERROR(__xludf.DUMMYFUNCTION("GOOGLETRANSLATE($A4941,""en"",""it"")"),"Sivas")</f>
        <v>Sivas</v>
      </c>
      <c r="G4941" s="9" t="str">
        <f>IFERROR(__xludf.DUMMYFUNCTION("GOOGLETRANSLATE($A4941,""en"",""zh-cn"")"),"西瓦斯")</f>
        <v>西瓦斯</v>
      </c>
      <c r="H4941" s="9" t="str">
        <f>IFERROR(__xludf.DUMMYFUNCTION("GOOGLETRANSLATE($A4941,""en"",""ja"")"),"シバス")</f>
        <v>シバス</v>
      </c>
      <c r="I4941" s="9" t="str">
        <f>IFERROR(__xludf.DUMMYFUNCTION("GOOGLETRANSLATE($A4941,""en"",""ko"")"),"시바스")</f>
        <v>시바스</v>
      </c>
      <c r="J4941" s="9" t="str">
        <f>IFERROR(__xludf.DUMMYFUNCTION("GOOGLETRANSLATE($A4941,""en"",""pt-BR"")"),"Silvas")</f>
        <v>Silvas</v>
      </c>
    </row>
    <row r="4942">
      <c r="A4942" s="9" t="str">
        <f>IFERROR(__xludf.DUMMYFUNCTION("""COMPUTED_VALUE"""),"Kocaeli")</f>
        <v>Kocaeli</v>
      </c>
      <c r="B4942" s="9" t="str">
        <f>IFERROR(__xludf.DUMMYFUNCTION("""COMPUTED_VALUE"""),"tr-41")</f>
        <v>tr-41</v>
      </c>
      <c r="C4942" s="9" t="str">
        <f>IFERROR(__xludf.DUMMYFUNCTION("GOOGLETRANSLATE($A4942,""en"",""de"")"),"Kocaeli")</f>
        <v>Kocaeli</v>
      </c>
      <c r="D4942" s="9" t="str">
        <f>IFERROR(__xludf.DUMMYFUNCTION("GOOGLETRANSLATE($A4942,""en"",""fr"")"),"Kocaeli")</f>
        <v>Kocaeli</v>
      </c>
      <c r="E4942" s="9" t="str">
        <f>IFERROR(__xludf.DUMMYFUNCTION("GOOGLETRANSLATE($A4942,""en"",""es"")"),"Kocaeli")</f>
        <v>Kocaeli</v>
      </c>
      <c r="F4942" s="9" t="str">
        <f>IFERROR(__xludf.DUMMYFUNCTION("GOOGLETRANSLATE($A4942,""en"",""it"")"),"Kocaeli")</f>
        <v>Kocaeli</v>
      </c>
      <c r="G4942" s="9" t="str">
        <f>IFERROR(__xludf.DUMMYFUNCTION("GOOGLETRANSLATE($A4942,""en"",""zh-cn"")"),"科贾埃利")</f>
        <v>科贾埃利</v>
      </c>
      <c r="H4942" s="9" t="str">
        <f>IFERROR(__xludf.DUMMYFUNCTION("GOOGLETRANSLATE($A4942,""en"",""ja"")"),"コジャエリ")</f>
        <v>コジャエリ</v>
      </c>
      <c r="I4942" s="9" t="str">
        <f>IFERROR(__xludf.DUMMYFUNCTION("GOOGLETRANSLATE($A4942,""en"",""ko"")"),"코자엘리")</f>
        <v>코자엘리</v>
      </c>
      <c r="J4942" s="9" t="str">
        <f>IFERROR(__xludf.DUMMYFUNCTION("GOOGLETRANSLATE($A4942,""en"",""pt-BR"")"),"Kocaeli")</f>
        <v>Kocaeli</v>
      </c>
    </row>
    <row r="4943">
      <c r="A4943" s="9" t="str">
        <f>IFERROR(__xludf.DUMMYFUNCTION("""COMPUTED_VALUE"""),"Balkan")</f>
        <v>Balkan</v>
      </c>
      <c r="B4943" s="9" t="str">
        <f>IFERROR(__xludf.DUMMYFUNCTION("""COMPUTED_VALUE"""),"tm-b")</f>
        <v>tm-b</v>
      </c>
      <c r="C4943" s="9" t="str">
        <f>IFERROR(__xludf.DUMMYFUNCTION("GOOGLETRANSLATE($A4943,""en"",""de"")"),"Balkan")</f>
        <v>Balkan</v>
      </c>
      <c r="D4943" s="9" t="str">
        <f>IFERROR(__xludf.DUMMYFUNCTION("GOOGLETRANSLATE($A4943,""en"",""fr"")"),"balkanique")</f>
        <v>balkanique</v>
      </c>
      <c r="E4943" s="9" t="str">
        <f>IFERROR(__xludf.DUMMYFUNCTION("GOOGLETRANSLATE($A4943,""en"",""es"")"),"balcánico")</f>
        <v>balcánico</v>
      </c>
      <c r="F4943" s="9" t="str">
        <f>IFERROR(__xludf.DUMMYFUNCTION("GOOGLETRANSLATE($A4943,""en"",""it"")"),"Balcanico")</f>
        <v>Balcanico</v>
      </c>
      <c r="G4943" s="9" t="str">
        <f>IFERROR(__xludf.DUMMYFUNCTION("GOOGLETRANSLATE($A4943,""en"",""zh-cn"")"),"巴尔干")</f>
        <v>巴尔干</v>
      </c>
      <c r="H4943" s="9" t="str">
        <f>IFERROR(__xludf.DUMMYFUNCTION("GOOGLETRANSLATE($A4943,""en"",""ja"")"),"バルカン半島")</f>
        <v>バルカン半島</v>
      </c>
      <c r="I4943" s="9" t="str">
        <f>IFERROR(__xludf.DUMMYFUNCTION("GOOGLETRANSLATE($A4943,""en"",""ko"")"),"발칸 반도")</f>
        <v>발칸 반도</v>
      </c>
      <c r="J4943" s="9" t="str">
        <f>IFERROR(__xludf.DUMMYFUNCTION("GOOGLETRANSLATE($A4943,""en"",""pt-BR"")"),"Balcãs")</f>
        <v>Balcãs</v>
      </c>
    </row>
    <row r="4944">
      <c r="A4944" s="9" t="str">
        <f>IFERROR(__xludf.DUMMYFUNCTION("""COMPUTED_VALUE"""),"Ahal")</f>
        <v>Ahal</v>
      </c>
      <c r="B4944" s="9" t="str">
        <f>IFERROR(__xludf.DUMMYFUNCTION("""COMPUTED_VALUE"""),"tm-a")</f>
        <v>tm-a</v>
      </c>
      <c r="C4944" s="9" t="str">
        <f>IFERROR(__xludf.DUMMYFUNCTION("GOOGLETRANSLATE($A4944,""en"",""de"")"),"Ahal")</f>
        <v>Ahal</v>
      </c>
      <c r="D4944" s="9" t="str">
        <f>IFERROR(__xludf.DUMMYFUNCTION("GOOGLETRANSLATE($A4944,""en"",""fr"")"),"Ahal")</f>
        <v>Ahal</v>
      </c>
      <c r="E4944" s="9" t="str">
        <f>IFERROR(__xludf.DUMMYFUNCTION("GOOGLETRANSLATE($A4944,""en"",""es"")"),"Ahal")</f>
        <v>Ahal</v>
      </c>
      <c r="F4944" s="9" t="str">
        <f>IFERROR(__xludf.DUMMYFUNCTION("GOOGLETRANSLATE($A4944,""en"",""it"")"),"Ahal")</f>
        <v>Ahal</v>
      </c>
      <c r="G4944" s="9" t="str">
        <f>IFERROR(__xludf.DUMMYFUNCTION("GOOGLETRANSLATE($A4944,""en"",""zh-cn"")"),"阿哈尔")</f>
        <v>阿哈尔</v>
      </c>
      <c r="H4944" s="9" t="str">
        <f>IFERROR(__xludf.DUMMYFUNCTION("GOOGLETRANSLATE($A4944,""en"",""ja"")"),"アハル")</f>
        <v>アハル</v>
      </c>
      <c r="I4944" s="9" t="str">
        <f>IFERROR(__xludf.DUMMYFUNCTION("GOOGLETRANSLATE($A4944,""en"",""ko"")"),"아할")</f>
        <v>아할</v>
      </c>
      <c r="J4944" s="9" t="str">
        <f>IFERROR(__xludf.DUMMYFUNCTION("GOOGLETRANSLATE($A4944,""en"",""pt-BR"")"),"Ahal")</f>
        <v>Ahal</v>
      </c>
    </row>
    <row r="4945">
      <c r="A4945" s="9" t="str">
        <f>IFERROR(__xludf.DUMMYFUNCTION("""COMPUTED_VALUE"""),"Daşoguz")</f>
        <v>Daşoguz</v>
      </c>
      <c r="B4945" s="9" t="str">
        <f>IFERROR(__xludf.DUMMYFUNCTION("""COMPUTED_VALUE"""),"tm-d")</f>
        <v>tm-d</v>
      </c>
      <c r="C4945" s="9" t="str">
        <f>IFERROR(__xludf.DUMMYFUNCTION("GOOGLETRANSLATE($A4945,""en"",""de"")"),"Daşoguz")</f>
        <v>Daşoguz</v>
      </c>
      <c r="D4945" s="9" t="str">
        <f>IFERROR(__xludf.DUMMYFUNCTION("GOOGLETRANSLATE($A4945,""en"",""fr"")"),"Daşoguz")</f>
        <v>Daşoguz</v>
      </c>
      <c r="E4945" s="9" t="str">
        <f>IFERROR(__xludf.DUMMYFUNCTION("GOOGLETRANSLATE($A4945,""en"",""es"")"),"Daşoguz")</f>
        <v>Daşoguz</v>
      </c>
      <c r="F4945" s="9" t="str">
        <f>IFERROR(__xludf.DUMMYFUNCTION("GOOGLETRANSLATE($A4945,""en"",""it"")"),"Daşoguz")</f>
        <v>Daşoguz</v>
      </c>
      <c r="G4945" s="9" t="str">
        <f>IFERROR(__xludf.DUMMYFUNCTION("GOOGLETRANSLATE($A4945,""en"",""zh-cn"")"),"达沙古兹")</f>
        <v>达沙古兹</v>
      </c>
      <c r="H4945" s="9" t="str">
        <f>IFERROR(__xludf.DUMMYFUNCTION("GOOGLETRANSLATE($A4945,""en"",""ja"")"),"ダショグズ")</f>
        <v>ダショグズ</v>
      </c>
      <c r="I4945" s="9" t="str">
        <f>IFERROR(__xludf.DUMMYFUNCTION("GOOGLETRANSLATE($A4945,""en"",""ko"")"),"다쇼구즈")</f>
        <v>다쇼구즈</v>
      </c>
      <c r="J4945" s="9" t="str">
        <f>IFERROR(__xludf.DUMMYFUNCTION("GOOGLETRANSLATE($A4945,""en"",""pt-BR"")"),"Dasoguz")</f>
        <v>Dasoguz</v>
      </c>
    </row>
    <row r="4946">
      <c r="A4946" s="9" t="str">
        <f>IFERROR(__xludf.DUMMYFUNCTION("""COMPUTED_VALUE"""),"Mary")</f>
        <v>Mary</v>
      </c>
      <c r="B4946" s="9" t="str">
        <f>IFERROR(__xludf.DUMMYFUNCTION("""COMPUTED_VALUE"""),"tm-m")</f>
        <v>tm-m</v>
      </c>
      <c r="C4946" s="9" t="str">
        <f>IFERROR(__xludf.DUMMYFUNCTION("GOOGLETRANSLATE($A4946,""en"",""de"")"),"Maria")</f>
        <v>Maria</v>
      </c>
      <c r="D4946" s="9" t="str">
        <f>IFERROR(__xludf.DUMMYFUNCTION("GOOGLETRANSLATE($A4946,""en"",""fr"")"),"Marie")</f>
        <v>Marie</v>
      </c>
      <c r="E4946" s="9" t="str">
        <f>IFERROR(__xludf.DUMMYFUNCTION("GOOGLETRANSLATE($A4946,""en"",""es"")"),"María")</f>
        <v>María</v>
      </c>
      <c r="F4946" s="9" t="str">
        <f>IFERROR(__xludf.DUMMYFUNCTION("GOOGLETRANSLATE($A4946,""en"",""it"")"),"Maria")</f>
        <v>Maria</v>
      </c>
      <c r="G4946" s="9" t="str">
        <f>IFERROR(__xludf.DUMMYFUNCTION("GOOGLETRANSLATE($A4946,""en"",""zh-cn"")"),"玛丽")</f>
        <v>玛丽</v>
      </c>
      <c r="H4946" s="9" t="str">
        <f>IFERROR(__xludf.DUMMYFUNCTION("GOOGLETRANSLATE($A4946,""en"",""ja"")"),"メアリー")</f>
        <v>メアリー</v>
      </c>
      <c r="I4946" s="9" t="str">
        <f>IFERROR(__xludf.DUMMYFUNCTION("GOOGLETRANSLATE($A4946,""en"",""ko"")"),"메리")</f>
        <v>메리</v>
      </c>
      <c r="J4946" s="9" t="str">
        <f>IFERROR(__xludf.DUMMYFUNCTION("GOOGLETRANSLATE($A4946,""en"",""pt-BR"")"),"Mary")</f>
        <v>Mary</v>
      </c>
    </row>
    <row r="4947">
      <c r="A4947" s="9" t="str">
        <f>IFERROR(__xludf.DUMMYFUNCTION("""COMPUTED_VALUE"""),"Aşgabat")</f>
        <v>Aşgabat</v>
      </c>
      <c r="B4947" s="9" t="str">
        <f>IFERROR(__xludf.DUMMYFUNCTION("""COMPUTED_VALUE"""),"tm-s")</f>
        <v>tm-s</v>
      </c>
      <c r="C4947" s="9" t="str">
        <f>IFERROR(__xludf.DUMMYFUNCTION("GOOGLETRANSLATE($A4947,""en"",""de"")"),"Aşgabat")</f>
        <v>Aşgabat</v>
      </c>
      <c r="D4947" s="9" t="str">
        <f>IFERROR(__xludf.DUMMYFUNCTION("GOOGLETRANSLATE($A4947,""en"",""fr"")"),"Achgabat")</f>
        <v>Achgabat</v>
      </c>
      <c r="E4947" s="9" t="str">
        <f>IFERROR(__xludf.DUMMYFUNCTION("GOOGLETRANSLATE($A4947,""en"",""es"")"),"Asgabat")</f>
        <v>Asgabat</v>
      </c>
      <c r="F4947" s="9" t="str">
        <f>IFERROR(__xludf.DUMMYFUNCTION("GOOGLETRANSLATE($A4947,""en"",""it"")"),"Asgabat")</f>
        <v>Asgabat</v>
      </c>
      <c r="G4947" s="9" t="str">
        <f>IFERROR(__xludf.DUMMYFUNCTION("GOOGLETRANSLATE($A4947,""en"",""zh-cn"")"),"阿什哈巴德")</f>
        <v>阿什哈巴德</v>
      </c>
      <c r="H4947" s="9" t="str">
        <f>IFERROR(__xludf.DUMMYFUNCTION("GOOGLETRANSLATE($A4947,""en"",""ja"")"),"アシュガバート")</f>
        <v>アシュガバート</v>
      </c>
      <c r="I4947" s="9" t="str">
        <f>IFERROR(__xludf.DUMMYFUNCTION("GOOGLETRANSLATE($A4947,""en"",""ko"")"),"아시가바트")</f>
        <v>아시가바트</v>
      </c>
      <c r="J4947" s="9" t="str">
        <f>IFERROR(__xludf.DUMMYFUNCTION("GOOGLETRANSLATE($A4947,""en"",""pt-BR"")"),"Aşgabat")</f>
        <v>Aşgabat</v>
      </c>
    </row>
    <row r="4948">
      <c r="A4948" s="9" t="str">
        <f>IFERROR(__xludf.DUMMYFUNCTION("""COMPUTED_VALUE"""),"Lebap")</f>
        <v>Lebap</v>
      </c>
      <c r="B4948" s="9" t="str">
        <f>IFERROR(__xludf.DUMMYFUNCTION("""COMPUTED_VALUE"""),"tm-l")</f>
        <v>tm-l</v>
      </c>
      <c r="C4948" s="9" t="str">
        <f>IFERROR(__xludf.DUMMYFUNCTION("GOOGLETRANSLATE($A4948,""en"",""de"")"),"Lebap")</f>
        <v>Lebap</v>
      </c>
      <c r="D4948" s="9" t="str">
        <f>IFERROR(__xludf.DUMMYFUNCTION("GOOGLETRANSLATE($A4948,""en"",""fr"")"),"Lébap")</f>
        <v>Lébap</v>
      </c>
      <c r="E4948" s="9" t="str">
        <f>IFERROR(__xludf.DUMMYFUNCTION("GOOGLETRANSLATE($A4948,""en"",""es"")"),"lebap")</f>
        <v>lebap</v>
      </c>
      <c r="F4948" s="9" t="str">
        <f>IFERROR(__xludf.DUMMYFUNCTION("GOOGLETRANSLATE($A4948,""en"",""it"")"),"Lebap")</f>
        <v>Lebap</v>
      </c>
      <c r="G4948" s="9" t="str">
        <f>IFERROR(__xludf.DUMMYFUNCTION("GOOGLETRANSLATE($A4948,""en"",""zh-cn"")"),"勒巴普")</f>
        <v>勒巴普</v>
      </c>
      <c r="H4948" s="9" t="str">
        <f>IFERROR(__xludf.DUMMYFUNCTION("GOOGLETRANSLATE($A4948,""en"",""ja"")"),"レバプ")</f>
        <v>レバプ</v>
      </c>
      <c r="I4948" s="9" t="str">
        <f>IFERROR(__xludf.DUMMYFUNCTION("GOOGLETRANSLATE($A4948,""en"",""ko"")"),"르밥")</f>
        <v>르밥</v>
      </c>
      <c r="J4948" s="9" t="str">
        <f>IFERROR(__xludf.DUMMYFUNCTION("GOOGLETRANSLATE($A4948,""en"",""pt-BR"")"),"Lebap")</f>
        <v>Lebap</v>
      </c>
    </row>
    <row r="4949">
      <c r="A4949" s="9" t="str">
        <f>IFERROR(__xludf.DUMMYFUNCTION("""COMPUTED_VALUE"""),"Nanumanga")</f>
        <v>Nanumanga</v>
      </c>
      <c r="B4949" s="9" t="str">
        <f>IFERROR(__xludf.DUMMYFUNCTION("""COMPUTED_VALUE"""),"tv-nmg")</f>
        <v>tv-nmg</v>
      </c>
      <c r="C4949" s="9" t="str">
        <f>IFERROR(__xludf.DUMMYFUNCTION("GOOGLETRANSLATE($A4949,""en"",""de"")"),"Nanumanga")</f>
        <v>Nanumanga</v>
      </c>
      <c r="D4949" s="9" t="str">
        <f>IFERROR(__xludf.DUMMYFUNCTION("GOOGLETRANSLATE($A4949,""en"",""fr"")"),"Nanumanga")</f>
        <v>Nanumanga</v>
      </c>
      <c r="E4949" s="9" t="str">
        <f>IFERROR(__xludf.DUMMYFUNCTION("GOOGLETRANSLATE($A4949,""en"",""es"")"),"Nanumanga")</f>
        <v>Nanumanga</v>
      </c>
      <c r="F4949" s="9" t="str">
        <f>IFERROR(__xludf.DUMMYFUNCTION("GOOGLETRANSLATE($A4949,""en"",""it"")"),"Nanumanga")</f>
        <v>Nanumanga</v>
      </c>
      <c r="G4949" s="9" t="str">
        <f>IFERROR(__xludf.DUMMYFUNCTION("GOOGLETRANSLATE($A4949,""en"",""zh-cn"")"),"纳努曼加")</f>
        <v>纳努曼加</v>
      </c>
      <c r="H4949" s="9" t="str">
        <f>IFERROR(__xludf.DUMMYFUNCTION("GOOGLETRANSLATE($A4949,""en"",""ja"")"),"ナヌマンガ")</f>
        <v>ナヌマンガ</v>
      </c>
      <c r="I4949" s="9" t="str">
        <f>IFERROR(__xludf.DUMMYFUNCTION("GOOGLETRANSLATE($A4949,""en"",""ko"")"),"나누망가")</f>
        <v>나누망가</v>
      </c>
      <c r="J4949" s="9" t="str">
        <f>IFERROR(__xludf.DUMMYFUNCTION("GOOGLETRANSLATE($A4949,""en"",""pt-BR"")"),"Nanumanga")</f>
        <v>Nanumanga</v>
      </c>
    </row>
    <row r="4950">
      <c r="A4950" s="9" t="str">
        <f>IFERROR(__xludf.DUMMYFUNCTION("""COMPUTED_VALUE"""),"Nanumea")</f>
        <v>Nanumea</v>
      </c>
      <c r="B4950" s="9" t="str">
        <f>IFERROR(__xludf.DUMMYFUNCTION("""COMPUTED_VALUE"""),"tv-nma")</f>
        <v>tv-nma</v>
      </c>
      <c r="C4950" s="9" t="str">
        <f>IFERROR(__xludf.DUMMYFUNCTION("GOOGLETRANSLATE($A4950,""en"",""de"")"),"Nanumea")</f>
        <v>Nanumea</v>
      </c>
      <c r="D4950" s="9" t="str">
        <f>IFERROR(__xludf.DUMMYFUNCTION("GOOGLETRANSLATE($A4950,""en"",""fr"")"),"Nanuméa")</f>
        <v>Nanuméa</v>
      </c>
      <c r="E4950" s="9" t="str">
        <f>IFERROR(__xludf.DUMMYFUNCTION("GOOGLETRANSLATE($A4950,""en"",""es"")"),"Nanumea")</f>
        <v>Nanumea</v>
      </c>
      <c r="F4950" s="9" t="str">
        <f>IFERROR(__xludf.DUMMYFUNCTION("GOOGLETRANSLATE($A4950,""en"",""it"")"),"Nanumea")</f>
        <v>Nanumea</v>
      </c>
      <c r="G4950" s="9" t="str">
        <f>IFERROR(__xludf.DUMMYFUNCTION("GOOGLETRANSLATE($A4950,""en"",""zh-cn"")"),"纳努梅亚")</f>
        <v>纳努梅亚</v>
      </c>
      <c r="H4950" s="9" t="str">
        <f>IFERROR(__xludf.DUMMYFUNCTION("GOOGLETRANSLATE($A4950,""en"",""ja"")"),"ナヌメア")</f>
        <v>ナヌメア</v>
      </c>
      <c r="I4950" s="9" t="str">
        <f>IFERROR(__xludf.DUMMYFUNCTION("GOOGLETRANSLATE($A4950,""en"",""ko"")"),"나누메아")</f>
        <v>나누메아</v>
      </c>
      <c r="J4950" s="9" t="str">
        <f>IFERROR(__xludf.DUMMYFUNCTION("GOOGLETRANSLATE($A4950,""en"",""pt-BR"")"),"Nanumea")</f>
        <v>Nanumea</v>
      </c>
    </row>
    <row r="4951">
      <c r="A4951" s="9" t="str">
        <f>IFERROR(__xludf.DUMMYFUNCTION("""COMPUTED_VALUE"""),"Nukulaelae")</f>
        <v>Nukulaelae</v>
      </c>
      <c r="B4951" s="9" t="str">
        <f>IFERROR(__xludf.DUMMYFUNCTION("""COMPUTED_VALUE"""),"tv-nkl")</f>
        <v>tv-nkl</v>
      </c>
      <c r="C4951" s="9" t="str">
        <f>IFERROR(__xludf.DUMMYFUNCTION("GOOGLETRANSLATE($A4951,""en"",""de"")"),"Nukulaelae")</f>
        <v>Nukulaelae</v>
      </c>
      <c r="D4951" s="9" t="str">
        <f>IFERROR(__xludf.DUMMYFUNCTION("GOOGLETRANSLATE($A4951,""en"",""fr"")"),"Nukulaelae")</f>
        <v>Nukulaelae</v>
      </c>
      <c r="E4951" s="9" t="str">
        <f>IFERROR(__xludf.DUMMYFUNCTION("GOOGLETRANSLATE($A4951,""en"",""es"")"),"Nukulaelae")</f>
        <v>Nukulaelae</v>
      </c>
      <c r="F4951" s="9" t="str">
        <f>IFERROR(__xludf.DUMMYFUNCTION("GOOGLETRANSLATE($A4951,""en"",""it"")"),"Nukulaelae")</f>
        <v>Nukulaelae</v>
      </c>
      <c r="G4951" s="9" t="str">
        <f>IFERROR(__xludf.DUMMYFUNCTION("GOOGLETRANSLATE($A4951,""en"",""zh-cn"")"),"努库莱亚科")</f>
        <v>努库莱亚科</v>
      </c>
      <c r="H4951" s="9" t="str">
        <f>IFERROR(__xludf.DUMMYFUNCTION("GOOGLETRANSLATE($A4951,""en"",""ja"")"),"ヌクラエラエ")</f>
        <v>ヌクラエラエ</v>
      </c>
      <c r="I4951" s="9" t="str">
        <f>IFERROR(__xludf.DUMMYFUNCTION("GOOGLETRANSLATE($A4951,""en"",""ko"")"),"누쿠라엘래")</f>
        <v>누쿠라엘래</v>
      </c>
      <c r="J4951" s="9" t="str">
        <f>IFERROR(__xludf.DUMMYFUNCTION("GOOGLETRANSLATE($A4951,""en"",""pt-BR"")"),"Nukulaelae")</f>
        <v>Nukulaelae</v>
      </c>
    </row>
    <row r="4952">
      <c r="A4952" s="9" t="str">
        <f>IFERROR(__xludf.DUMMYFUNCTION("""COMPUTED_VALUE"""),"Funafuti")</f>
        <v>Funafuti</v>
      </c>
      <c r="B4952" s="9" t="str">
        <f>IFERROR(__xludf.DUMMYFUNCTION("""COMPUTED_VALUE"""),"tv-fun")</f>
        <v>tv-fun</v>
      </c>
      <c r="C4952" s="9" t="str">
        <f>IFERROR(__xludf.DUMMYFUNCTION("GOOGLETRANSLATE($A4952,""en"",""de"")"),"Funafuti")</f>
        <v>Funafuti</v>
      </c>
      <c r="D4952" s="9" t="str">
        <f>IFERROR(__xludf.DUMMYFUNCTION("GOOGLETRANSLATE($A4952,""en"",""fr"")"),"Funafuti")</f>
        <v>Funafuti</v>
      </c>
      <c r="E4952" s="9" t="str">
        <f>IFERROR(__xludf.DUMMYFUNCTION("GOOGLETRANSLATE($A4952,""en"",""es"")"),"Funafuti")</f>
        <v>Funafuti</v>
      </c>
      <c r="F4952" s="9" t="str">
        <f>IFERROR(__xludf.DUMMYFUNCTION("GOOGLETRANSLATE($A4952,""en"",""it"")"),"Funafuti")</f>
        <v>Funafuti</v>
      </c>
      <c r="G4952" s="9" t="str">
        <f>IFERROR(__xludf.DUMMYFUNCTION("GOOGLETRANSLATE($A4952,""en"",""zh-cn"")"),"富纳富提")</f>
        <v>富纳富提</v>
      </c>
      <c r="H4952" s="9" t="str">
        <f>IFERROR(__xludf.DUMMYFUNCTION("GOOGLETRANSLATE($A4952,""en"",""ja"")"),"フナフティ")</f>
        <v>フナフティ</v>
      </c>
      <c r="I4952" s="9" t="str">
        <f>IFERROR(__xludf.DUMMYFUNCTION("GOOGLETRANSLATE($A4952,""en"",""ko"")"),"푸나푸티")</f>
        <v>푸나푸티</v>
      </c>
      <c r="J4952" s="9" t="str">
        <f>IFERROR(__xludf.DUMMYFUNCTION("GOOGLETRANSLATE($A4952,""en"",""pt-BR"")"),"Funafuti")</f>
        <v>Funafuti</v>
      </c>
    </row>
    <row r="4953">
      <c r="A4953" s="9" t="str">
        <f>IFERROR(__xludf.DUMMYFUNCTION("""COMPUTED_VALUE"""),"Nukufetau")</f>
        <v>Nukufetau</v>
      </c>
      <c r="B4953" s="9" t="str">
        <f>IFERROR(__xludf.DUMMYFUNCTION("""COMPUTED_VALUE"""),"tv-nkf")</f>
        <v>tv-nkf</v>
      </c>
      <c r="C4953" s="9" t="str">
        <f>IFERROR(__xludf.DUMMYFUNCTION("GOOGLETRANSLATE($A4953,""en"",""de"")"),"Nukufetau")</f>
        <v>Nukufetau</v>
      </c>
      <c r="D4953" s="9" t="str">
        <f>IFERROR(__xludf.DUMMYFUNCTION("GOOGLETRANSLATE($A4953,""en"",""fr"")"),"Nukufetau")</f>
        <v>Nukufetau</v>
      </c>
      <c r="E4953" s="9" t="str">
        <f>IFERROR(__xludf.DUMMYFUNCTION("GOOGLETRANSLATE($A4953,""en"",""es"")"),"Nukufetau")</f>
        <v>Nukufetau</v>
      </c>
      <c r="F4953" s="9" t="str">
        <f>IFERROR(__xludf.DUMMYFUNCTION("GOOGLETRANSLATE($A4953,""en"",""it"")"),"Nukufetau")</f>
        <v>Nukufetau</v>
      </c>
      <c r="G4953" s="9" t="str">
        <f>IFERROR(__xludf.DUMMYFUNCTION("GOOGLETRANSLATE($A4953,""en"",""zh-cn"")"),"努库费陶")</f>
        <v>努库费陶</v>
      </c>
      <c r="H4953" s="9" t="str">
        <f>IFERROR(__xludf.DUMMYFUNCTION("GOOGLETRANSLATE($A4953,""en"",""ja"")"),"ヌクフェタウ")</f>
        <v>ヌクフェタウ</v>
      </c>
      <c r="I4953" s="9" t="str">
        <f>IFERROR(__xludf.DUMMYFUNCTION("GOOGLETRANSLATE($A4953,""en"",""ko"")"),"누쿠페타우")</f>
        <v>누쿠페타우</v>
      </c>
      <c r="J4953" s="9" t="str">
        <f>IFERROR(__xludf.DUMMYFUNCTION("GOOGLETRANSLATE($A4953,""en"",""pt-BR"")"),"Nukufetau")</f>
        <v>Nukufetau</v>
      </c>
    </row>
    <row r="4954">
      <c r="A4954" s="9" t="str">
        <f>IFERROR(__xludf.DUMMYFUNCTION("""COMPUTED_VALUE"""),"Niutao")</f>
        <v>Niutao</v>
      </c>
      <c r="B4954" s="9" t="str">
        <f>IFERROR(__xludf.DUMMYFUNCTION("""COMPUTED_VALUE"""),"tv-nit")</f>
        <v>tv-nit</v>
      </c>
      <c r="C4954" s="9" t="str">
        <f>IFERROR(__xludf.DUMMYFUNCTION("GOOGLETRANSLATE($A4954,""en"",""de"")"),"Niutao")</f>
        <v>Niutao</v>
      </c>
      <c r="D4954" s="9" t="str">
        <f>IFERROR(__xludf.DUMMYFUNCTION("GOOGLETRANSLATE($A4954,""en"",""fr"")"),"Niutao")</f>
        <v>Niutao</v>
      </c>
      <c r="E4954" s="9" t="str">
        <f>IFERROR(__xludf.DUMMYFUNCTION("GOOGLETRANSLATE($A4954,""en"",""es"")"),"Niutao")</f>
        <v>Niutao</v>
      </c>
      <c r="F4954" s="9" t="str">
        <f>IFERROR(__xludf.DUMMYFUNCTION("GOOGLETRANSLATE($A4954,""en"",""it"")"),"Niutao")</f>
        <v>Niutao</v>
      </c>
      <c r="G4954" s="9" t="str">
        <f>IFERROR(__xludf.DUMMYFUNCTION("GOOGLETRANSLATE($A4954,""en"",""zh-cn"")"),"牛涛")</f>
        <v>牛涛</v>
      </c>
      <c r="H4954" s="9" t="str">
        <f>IFERROR(__xludf.DUMMYFUNCTION("GOOGLETRANSLATE($A4954,""en"",""ja"")"),"牛島")</f>
        <v>牛島</v>
      </c>
      <c r="I4954" s="9" t="str">
        <f>IFERROR(__xludf.DUMMYFUNCTION("GOOGLETRANSLATE($A4954,""en"",""ko"")"),"니우타오")</f>
        <v>니우타오</v>
      </c>
      <c r="J4954" s="9" t="str">
        <f>IFERROR(__xludf.DUMMYFUNCTION("GOOGLETRANSLATE($A4954,""en"",""pt-BR"")"),"Niutao")</f>
        <v>Niutao</v>
      </c>
    </row>
    <row r="4955">
      <c r="A4955" s="9" t="str">
        <f>IFERROR(__xludf.DUMMYFUNCTION("""COMPUTED_VALUE"""),"Vaitupu")</f>
        <v>Vaitupu</v>
      </c>
      <c r="B4955" s="9" t="str">
        <f>IFERROR(__xludf.DUMMYFUNCTION("""COMPUTED_VALUE"""),"tv-vai")</f>
        <v>tv-vai</v>
      </c>
      <c r="C4955" s="9" t="str">
        <f>IFERROR(__xludf.DUMMYFUNCTION("GOOGLETRANSLATE($A4955,""en"",""de"")"),"Vaitupu")</f>
        <v>Vaitupu</v>
      </c>
      <c r="D4955" s="9" t="str">
        <f>IFERROR(__xludf.DUMMYFUNCTION("GOOGLETRANSLATE($A4955,""en"",""fr"")"),"Vaitupu")</f>
        <v>Vaitupu</v>
      </c>
      <c r="E4955" s="9" t="str">
        <f>IFERROR(__xludf.DUMMYFUNCTION("GOOGLETRANSLATE($A4955,""en"",""es"")"),"Vaitupu")</f>
        <v>Vaitupu</v>
      </c>
      <c r="F4955" s="9" t="str">
        <f>IFERROR(__xludf.DUMMYFUNCTION("GOOGLETRANSLATE($A4955,""en"",""it"")"),"Vaitupu")</f>
        <v>Vaitupu</v>
      </c>
      <c r="G4955" s="9" t="str">
        <f>IFERROR(__xludf.DUMMYFUNCTION("GOOGLETRANSLATE($A4955,""en"",""zh-cn"")"),"瓦伊图普")</f>
        <v>瓦伊图普</v>
      </c>
      <c r="H4955" s="9" t="str">
        <f>IFERROR(__xludf.DUMMYFUNCTION("GOOGLETRANSLATE($A4955,""en"",""ja"")"),"ヴァイトゥプ")</f>
        <v>ヴァイトゥプ</v>
      </c>
      <c r="I4955" s="9" t="str">
        <f>IFERROR(__xludf.DUMMYFUNCTION("GOOGLETRANSLATE($A4955,""en"",""ko"")"),"바이투푸")</f>
        <v>바이투푸</v>
      </c>
      <c r="J4955" s="9" t="str">
        <f>IFERROR(__xludf.DUMMYFUNCTION("GOOGLETRANSLATE($A4955,""en"",""pt-BR"")"),"Vaitupu")</f>
        <v>Vaitupu</v>
      </c>
    </row>
    <row r="4956">
      <c r="A4956" s="9" t="str">
        <f>IFERROR(__xludf.DUMMYFUNCTION("""COMPUTED_VALUE"""),"Nui")</f>
        <v>Nui</v>
      </c>
      <c r="B4956" s="9" t="str">
        <f>IFERROR(__xludf.DUMMYFUNCTION("""COMPUTED_VALUE"""),"tv-nui")</f>
        <v>tv-nui</v>
      </c>
      <c r="C4956" s="9" t="str">
        <f>IFERROR(__xludf.DUMMYFUNCTION("GOOGLETRANSLATE($A4956,""en"",""de"")"),"Nui")</f>
        <v>Nui</v>
      </c>
      <c r="D4956" s="9" t="str">
        <f>IFERROR(__xludf.DUMMYFUNCTION("GOOGLETRANSLATE($A4956,""en"",""fr"")"),"Nui")</f>
        <v>Nui</v>
      </c>
      <c r="E4956" s="9" t="str">
        <f>IFERROR(__xludf.DUMMYFUNCTION("GOOGLETRANSLATE($A4956,""en"",""es"")"),"nui")</f>
        <v>nui</v>
      </c>
      <c r="F4956" s="9" t="str">
        <f>IFERROR(__xludf.DUMMYFUNCTION("GOOGLETRANSLATE($A4956,""en"",""it"")"),"Nui")</f>
        <v>Nui</v>
      </c>
      <c r="G4956" s="9" t="str">
        <f>IFERROR(__xludf.DUMMYFUNCTION("GOOGLETRANSLATE($A4956,""en"",""zh-cn"")"),"努伊")</f>
        <v>努伊</v>
      </c>
      <c r="H4956" s="9" t="str">
        <f>IFERROR(__xludf.DUMMYFUNCTION("GOOGLETRANSLATE($A4956,""en"",""ja"")"),"ぬい")</f>
        <v>ぬい</v>
      </c>
      <c r="I4956" s="9" t="str">
        <f>IFERROR(__xludf.DUMMYFUNCTION("GOOGLETRANSLATE($A4956,""en"",""ko"")"),"누이")</f>
        <v>누이</v>
      </c>
      <c r="J4956" s="9" t="str">
        <f>IFERROR(__xludf.DUMMYFUNCTION("GOOGLETRANSLATE($A4956,""en"",""pt-BR"")"),"Nui")</f>
        <v>Nui</v>
      </c>
    </row>
    <row r="4957">
      <c r="A4957" s="9" t="str">
        <f>IFERROR(__xludf.DUMMYFUNCTION("""COMPUTED_VALUE"""),"Dokolo")</f>
        <v>Dokolo</v>
      </c>
      <c r="B4957" s="9" t="str">
        <f>IFERROR(__xludf.DUMMYFUNCTION("""COMPUTED_VALUE"""),"ug-318")</f>
        <v>ug-318</v>
      </c>
      <c r="C4957" s="9" t="str">
        <f>IFERROR(__xludf.DUMMYFUNCTION("GOOGLETRANSLATE($A4957,""en"",""de"")"),"Dokolo")</f>
        <v>Dokolo</v>
      </c>
      <c r="D4957" s="9" t="str">
        <f>IFERROR(__xludf.DUMMYFUNCTION("GOOGLETRANSLATE($A4957,""en"",""fr"")"),"Dokolo")</f>
        <v>Dokolo</v>
      </c>
      <c r="E4957" s="9" t="str">
        <f>IFERROR(__xludf.DUMMYFUNCTION("GOOGLETRANSLATE($A4957,""en"",""es"")"),"Dokolo")</f>
        <v>Dokolo</v>
      </c>
      <c r="F4957" s="9" t="str">
        <f>IFERROR(__xludf.DUMMYFUNCTION("GOOGLETRANSLATE($A4957,""en"",""it"")"),"Dokolo")</f>
        <v>Dokolo</v>
      </c>
      <c r="G4957" s="9" t="str">
        <f>IFERROR(__xludf.DUMMYFUNCTION("GOOGLETRANSLATE($A4957,""en"",""zh-cn"")"),"多科洛")</f>
        <v>多科洛</v>
      </c>
      <c r="H4957" s="9" t="str">
        <f>IFERROR(__xludf.DUMMYFUNCTION("GOOGLETRANSLATE($A4957,""en"",""ja"")"),"ドコロ")</f>
        <v>ドコロ</v>
      </c>
      <c r="I4957" s="9" t="str">
        <f>IFERROR(__xludf.DUMMYFUNCTION("GOOGLETRANSLATE($A4957,""en"",""ko"")"),"도콜로")</f>
        <v>도콜로</v>
      </c>
      <c r="J4957" s="9" t="str">
        <f>IFERROR(__xludf.DUMMYFUNCTION("GOOGLETRANSLATE($A4957,""en"",""pt-BR"")"),"Dokolo")</f>
        <v>Dokolo</v>
      </c>
    </row>
    <row r="4958">
      <c r="A4958" s="9" t="str">
        <f>IFERROR(__xludf.DUMMYFUNCTION("""COMPUTED_VALUE"""),"Western (UG)")</f>
        <v>Western (UG)</v>
      </c>
      <c r="B4958" s="9" t="str">
        <f>IFERROR(__xludf.DUMMYFUNCTION("""COMPUTED_VALUE"""),"ug-w")</f>
        <v>ug-w</v>
      </c>
      <c r="C4958" s="9" t="str">
        <f>IFERROR(__xludf.DUMMYFUNCTION("GOOGLETRANSLATE($A4958,""en"",""de"")"),"Western (UG)")</f>
        <v>Western (UG)</v>
      </c>
      <c r="D4958" s="9" t="str">
        <f>IFERROR(__xludf.DUMMYFUNCTION("GOOGLETRANSLATE($A4958,""en"",""fr"")"),"Ouest (UG)")</f>
        <v>Ouest (UG)</v>
      </c>
      <c r="E4958" s="9" t="str">
        <f>IFERROR(__xludf.DUMMYFUNCTION("GOOGLETRANSLATE($A4958,""en"",""es"")"),"Occidental (UG)")</f>
        <v>Occidental (UG)</v>
      </c>
      <c r="F4958" s="9" t="str">
        <f>IFERROR(__xludf.DUMMYFUNCTION("GOOGLETRANSLATE($A4958,""en"",""it"")"),"Occidentale (UG)")</f>
        <v>Occidentale (UG)</v>
      </c>
      <c r="G4958" s="9" t="str">
        <f>IFERROR(__xludf.DUMMYFUNCTION("GOOGLETRANSLATE($A4958,""en"",""zh-cn"")"),"西方（UG）")</f>
        <v>西方（UG）</v>
      </c>
      <c r="H4958" s="9" t="str">
        <f>IFERROR(__xludf.DUMMYFUNCTION("GOOGLETRANSLATE($A4958,""en"",""ja"")"),"西部 (UG)")</f>
        <v>西部 (UG)</v>
      </c>
      <c r="I4958" s="9" t="str">
        <f>IFERROR(__xludf.DUMMYFUNCTION("GOOGLETRANSLATE($A4958,""en"",""ko"")"),"서부(UG)")</f>
        <v>서부(UG)</v>
      </c>
      <c r="J4958" s="9" t="str">
        <f>IFERROR(__xludf.DUMMYFUNCTION("GOOGLETRANSLATE($A4958,""en"",""pt-BR"")"),"Ocidental (UG)")</f>
        <v>Ocidental (UG)</v>
      </c>
    </row>
    <row r="4959">
      <c r="A4959" s="9" t="str">
        <f>IFERROR(__xludf.DUMMYFUNCTION("""COMPUTED_VALUE"""),"Kaberamaido")</f>
        <v>Kaberamaido</v>
      </c>
      <c r="B4959" s="9" t="str">
        <f>IFERROR(__xludf.DUMMYFUNCTION("""COMPUTED_VALUE"""),"ug-213")</f>
        <v>ug-213</v>
      </c>
      <c r="C4959" s="9" t="str">
        <f>IFERROR(__xludf.DUMMYFUNCTION("GOOGLETRANSLATE($A4959,""en"",""de"")"),"Kaberamaido")</f>
        <v>Kaberamaido</v>
      </c>
      <c r="D4959" s="9" t="str">
        <f>IFERROR(__xludf.DUMMYFUNCTION("GOOGLETRANSLATE($A4959,""en"",""fr"")"),"Kaberamaïdo")</f>
        <v>Kaberamaïdo</v>
      </c>
      <c r="E4959" s="9" t="str">
        <f>IFERROR(__xludf.DUMMYFUNCTION("GOOGLETRANSLATE($A4959,""en"",""es"")"),"Kaberamaido")</f>
        <v>Kaberamaido</v>
      </c>
      <c r="F4959" s="9" t="str">
        <f>IFERROR(__xludf.DUMMYFUNCTION("GOOGLETRANSLATE($A4959,""en"",""it"")"),"Kaberamaido")</f>
        <v>Kaberamaido</v>
      </c>
      <c r="G4959" s="9" t="str">
        <f>IFERROR(__xludf.DUMMYFUNCTION("GOOGLETRANSLATE($A4959,""en"",""zh-cn"")"),"卡贝拉米多")</f>
        <v>卡贝拉米多</v>
      </c>
      <c r="H4959" s="9" t="str">
        <f>IFERROR(__xludf.DUMMYFUNCTION("GOOGLETRANSLATE($A4959,""en"",""ja"")"),"カベラメイド")</f>
        <v>カベラメイド</v>
      </c>
      <c r="I4959" s="9" t="str">
        <f>IFERROR(__xludf.DUMMYFUNCTION("GOOGLETRANSLATE($A4959,""en"",""ko"")"),"카베라마이도")</f>
        <v>카베라마이도</v>
      </c>
      <c r="J4959" s="9" t="str">
        <f>IFERROR(__xludf.DUMMYFUNCTION("GOOGLETRANSLATE($A4959,""en"",""pt-BR"")"),"Kaberamaido")</f>
        <v>Kaberamaido</v>
      </c>
    </row>
    <row r="4960">
      <c r="A4960" s="9" t="str">
        <f>IFERROR(__xludf.DUMMYFUNCTION("""COMPUTED_VALUE"""),"Mpigi")</f>
        <v>Mpigi</v>
      </c>
      <c r="B4960" s="9" t="str">
        <f>IFERROR(__xludf.DUMMYFUNCTION("""COMPUTED_VALUE"""),"ug-106")</f>
        <v>ug-106</v>
      </c>
      <c r="C4960" s="9" t="str">
        <f>IFERROR(__xludf.DUMMYFUNCTION("GOOGLETRANSLATE($A4960,""en"",""de"")"),"Mpigi")</f>
        <v>Mpigi</v>
      </c>
      <c r="D4960" s="9" t="str">
        <f>IFERROR(__xludf.DUMMYFUNCTION("GOOGLETRANSLATE($A4960,""en"",""fr"")"),"Mpigi")</f>
        <v>Mpigi</v>
      </c>
      <c r="E4960" s="9" t="str">
        <f>IFERROR(__xludf.DUMMYFUNCTION("GOOGLETRANSLATE($A4960,""en"",""es"")"),"Mpigi")</f>
        <v>Mpigi</v>
      </c>
      <c r="F4960" s="9" t="str">
        <f>IFERROR(__xludf.DUMMYFUNCTION("GOOGLETRANSLATE($A4960,""en"",""it"")"),"Mpigi")</f>
        <v>Mpigi</v>
      </c>
      <c r="G4960" s="9" t="str">
        <f>IFERROR(__xludf.DUMMYFUNCTION("GOOGLETRANSLATE($A4960,""en"",""zh-cn"")"),"姆皮吉")</f>
        <v>姆皮吉</v>
      </c>
      <c r="H4960" s="9" t="str">
        <f>IFERROR(__xludf.DUMMYFUNCTION("GOOGLETRANSLATE($A4960,""en"",""ja"")"),"ムピギ")</f>
        <v>ムピギ</v>
      </c>
      <c r="I4960" s="9" t="str">
        <f>IFERROR(__xludf.DUMMYFUNCTION("GOOGLETRANSLATE($A4960,""en"",""ko"")"),"엠피기")</f>
        <v>엠피기</v>
      </c>
      <c r="J4960" s="9" t="str">
        <f>IFERROR(__xludf.DUMMYFUNCTION("GOOGLETRANSLATE($A4960,""en"",""pt-BR"")"),"MPigi")</f>
        <v>MPigi</v>
      </c>
    </row>
    <row r="4961">
      <c r="A4961" s="9" t="str">
        <f>IFERROR(__xludf.DUMMYFUNCTION("""COMPUTED_VALUE"""),"Mityana")</f>
        <v>Mityana</v>
      </c>
      <c r="B4961" s="9" t="str">
        <f>IFERROR(__xludf.DUMMYFUNCTION("""COMPUTED_VALUE"""),"ug-114")</f>
        <v>ug-114</v>
      </c>
      <c r="C4961" s="9" t="str">
        <f>IFERROR(__xludf.DUMMYFUNCTION("GOOGLETRANSLATE($A4961,""en"",""de"")"),"Mityana")</f>
        <v>Mityana</v>
      </c>
      <c r="D4961" s="9" t="str">
        <f>IFERROR(__xludf.DUMMYFUNCTION("GOOGLETRANSLATE($A4961,""en"",""fr"")"),"Mitiana")</f>
        <v>Mitiana</v>
      </c>
      <c r="E4961" s="9" t="str">
        <f>IFERROR(__xludf.DUMMYFUNCTION("GOOGLETRANSLATE($A4961,""en"",""es"")"),"mitana")</f>
        <v>mitana</v>
      </c>
      <c r="F4961" s="9" t="str">
        <f>IFERROR(__xludf.DUMMYFUNCTION("GOOGLETRANSLATE($A4961,""en"",""it"")"),"Mitiana")</f>
        <v>Mitiana</v>
      </c>
      <c r="G4961" s="9" t="str">
        <f>IFERROR(__xludf.DUMMYFUNCTION("GOOGLETRANSLATE($A4961,""en"",""zh-cn"")"),"米蒂亚纳")</f>
        <v>米蒂亚纳</v>
      </c>
      <c r="H4961" s="9" t="str">
        <f>IFERROR(__xludf.DUMMYFUNCTION("GOOGLETRANSLATE($A4961,""en"",""ja"")"),"ミティアナ")</f>
        <v>ミティアナ</v>
      </c>
      <c r="I4961" s="9" t="str">
        <f>IFERROR(__xludf.DUMMYFUNCTION("GOOGLETRANSLATE($A4961,""en"",""ko"")"),"미티아나")</f>
        <v>미티아나</v>
      </c>
      <c r="J4961" s="9" t="str">
        <f>IFERROR(__xludf.DUMMYFUNCTION("GOOGLETRANSLATE($A4961,""en"",""pt-BR"")"),"Mitiana")</f>
        <v>Mitiana</v>
      </c>
    </row>
    <row r="4962">
      <c r="A4962" s="9" t="str">
        <f>IFERROR(__xludf.DUMMYFUNCTION("""COMPUTED_VALUE"""),"Kabale")</f>
        <v>Kabale</v>
      </c>
      <c r="B4962" s="9" t="str">
        <f>IFERROR(__xludf.DUMMYFUNCTION("""COMPUTED_VALUE"""),"ug-404")</f>
        <v>ug-404</v>
      </c>
      <c r="C4962" s="9" t="str">
        <f>IFERROR(__xludf.DUMMYFUNCTION("GOOGLETRANSLATE($A4962,""en"",""de"")"),"Kabale")</f>
        <v>Kabale</v>
      </c>
      <c r="D4962" s="9" t="str">
        <f>IFERROR(__xludf.DUMMYFUNCTION("GOOGLETRANSLATE($A4962,""en"",""fr"")"),"Kabale")</f>
        <v>Kabale</v>
      </c>
      <c r="E4962" s="9" t="str">
        <f>IFERROR(__xludf.DUMMYFUNCTION("GOOGLETRANSLATE($A4962,""en"",""es"")"),"Cabalé")</f>
        <v>Cabalé</v>
      </c>
      <c r="F4962" s="9" t="str">
        <f>IFERROR(__xludf.DUMMYFUNCTION("GOOGLETRANSLATE($A4962,""en"",""it"")"),"Cabala")</f>
        <v>Cabala</v>
      </c>
      <c r="G4962" s="9" t="str">
        <f>IFERROR(__xludf.DUMMYFUNCTION("GOOGLETRANSLATE($A4962,""en"",""zh-cn"")"),"卡巴莱")</f>
        <v>卡巴莱</v>
      </c>
      <c r="H4962" s="9" t="str">
        <f>IFERROR(__xludf.DUMMYFUNCTION("GOOGLETRANSLATE($A4962,""en"",""ja"")"),"カバレ")</f>
        <v>カバレ</v>
      </c>
      <c r="I4962" s="9" t="str">
        <f>IFERROR(__xludf.DUMMYFUNCTION("GOOGLETRANSLATE($A4962,""en"",""ko"")"),"카발레")</f>
        <v>카발레</v>
      </c>
      <c r="J4962" s="9" t="str">
        <f>IFERROR(__xludf.DUMMYFUNCTION("GOOGLETRANSLATE($A4962,""en"",""pt-BR"")"),"Kabale")</f>
        <v>Kabale</v>
      </c>
    </row>
    <row r="4963">
      <c r="A4963" s="9" t="str">
        <f>IFERROR(__xludf.DUMMYFUNCTION("""COMPUTED_VALUE"""),"Bugiri")</f>
        <v>Bugiri</v>
      </c>
      <c r="B4963" s="9" t="str">
        <f>IFERROR(__xludf.DUMMYFUNCTION("""COMPUTED_VALUE"""),"ug-201")</f>
        <v>ug-201</v>
      </c>
      <c r="C4963" s="9" t="str">
        <f>IFERROR(__xludf.DUMMYFUNCTION("GOOGLETRANSLATE($A4963,""en"",""de"")"),"Bugiri")</f>
        <v>Bugiri</v>
      </c>
      <c r="D4963" s="9" t="str">
        <f>IFERROR(__xludf.DUMMYFUNCTION("GOOGLETRANSLATE($A4963,""en"",""fr"")"),"Bugiri")</f>
        <v>Bugiri</v>
      </c>
      <c r="E4963" s="9" t="str">
        <f>IFERROR(__xludf.DUMMYFUNCTION("GOOGLETRANSLATE($A4963,""en"",""es"")"),"Bugiri")</f>
        <v>Bugiri</v>
      </c>
      <c r="F4963" s="9" t="str">
        <f>IFERROR(__xludf.DUMMYFUNCTION("GOOGLETRANSLATE($A4963,""en"",""it"")"),"Bugiri")</f>
        <v>Bugiri</v>
      </c>
      <c r="G4963" s="9" t="str">
        <f>IFERROR(__xludf.DUMMYFUNCTION("GOOGLETRANSLATE($A4963,""en"",""zh-cn"")"),"布吉里")</f>
        <v>布吉里</v>
      </c>
      <c r="H4963" s="9" t="str">
        <f>IFERROR(__xludf.DUMMYFUNCTION("GOOGLETRANSLATE($A4963,""en"",""ja"")"),"ブギリ")</f>
        <v>ブギリ</v>
      </c>
      <c r="I4963" s="9" t="str">
        <f>IFERROR(__xludf.DUMMYFUNCTION("GOOGLETRANSLATE($A4963,""en"",""ko"")"),"부기리")</f>
        <v>부기리</v>
      </c>
      <c r="J4963" s="9" t="str">
        <f>IFERROR(__xludf.DUMMYFUNCTION("GOOGLETRANSLATE($A4963,""en"",""pt-BR"")"),"Bugiri")</f>
        <v>Bugiri</v>
      </c>
    </row>
    <row r="4964">
      <c r="A4964" s="9" t="str">
        <f>IFERROR(__xludf.DUMMYFUNCTION("""COMPUTED_VALUE"""),"Bukwa")</f>
        <v>Bukwa</v>
      </c>
      <c r="B4964" s="9" t="str">
        <f>IFERROR(__xludf.DUMMYFUNCTION("""COMPUTED_VALUE"""),"ug-218")</f>
        <v>ug-218</v>
      </c>
      <c r="C4964" s="9" t="str">
        <f>IFERROR(__xludf.DUMMYFUNCTION("GOOGLETRANSLATE($A4964,""en"",""de"")"),"Bukwa")</f>
        <v>Bukwa</v>
      </c>
      <c r="D4964" s="9" t="str">
        <f>IFERROR(__xludf.DUMMYFUNCTION("GOOGLETRANSLATE($A4964,""en"",""fr"")"),"Boukwa")</f>
        <v>Boukwa</v>
      </c>
      <c r="E4964" s="9" t="str">
        <f>IFERROR(__xludf.DUMMYFUNCTION("GOOGLETRANSLATE($A4964,""en"",""es"")"),"Bukwa")</f>
        <v>Bukwa</v>
      </c>
      <c r="F4964" s="9" t="str">
        <f>IFERROR(__xludf.DUMMYFUNCTION("GOOGLETRANSLATE($A4964,""en"",""it"")"),"Bukwa")</f>
        <v>Bukwa</v>
      </c>
      <c r="G4964" s="9" t="str">
        <f>IFERROR(__xludf.DUMMYFUNCTION("GOOGLETRANSLATE($A4964,""en"",""zh-cn"")"),"布夸")</f>
        <v>布夸</v>
      </c>
      <c r="H4964" s="9" t="str">
        <f>IFERROR(__xludf.DUMMYFUNCTION("GOOGLETRANSLATE($A4964,""en"",""ja"")"),"ブクワ")</f>
        <v>ブクワ</v>
      </c>
      <c r="I4964" s="9" t="str">
        <f>IFERROR(__xludf.DUMMYFUNCTION("GOOGLETRANSLATE($A4964,""en"",""ko"")"),"부콰")</f>
        <v>부콰</v>
      </c>
      <c r="J4964" s="9" t="str">
        <f>IFERROR(__xludf.DUMMYFUNCTION("GOOGLETRANSLATE($A4964,""en"",""pt-BR"")"),"Bukwa")</f>
        <v>Bukwa</v>
      </c>
    </row>
    <row r="4965">
      <c r="A4965" s="9" t="str">
        <f>IFERROR(__xludf.DUMMYFUNCTION("""COMPUTED_VALUE"""),"Nakaseke")</f>
        <v>Nakaseke</v>
      </c>
      <c r="B4965" s="9" t="str">
        <f>IFERROR(__xludf.DUMMYFUNCTION("""COMPUTED_VALUE"""),"ug-115")</f>
        <v>ug-115</v>
      </c>
      <c r="C4965" s="9" t="str">
        <f>IFERROR(__xludf.DUMMYFUNCTION("GOOGLETRANSLATE($A4965,""en"",""de"")"),"Nakaseke")</f>
        <v>Nakaseke</v>
      </c>
      <c r="D4965" s="9" t="str">
        <f>IFERROR(__xludf.DUMMYFUNCTION("GOOGLETRANSLATE($A4965,""en"",""fr"")"),"Nakaseke")</f>
        <v>Nakaseke</v>
      </c>
      <c r="E4965" s="9" t="str">
        <f>IFERROR(__xludf.DUMMYFUNCTION("GOOGLETRANSLATE($A4965,""en"",""es"")"),"Nakaseke")</f>
        <v>Nakaseke</v>
      </c>
      <c r="F4965" s="9" t="str">
        <f>IFERROR(__xludf.DUMMYFUNCTION("GOOGLETRANSLATE($A4965,""en"",""it"")"),"Nakaseke")</f>
        <v>Nakaseke</v>
      </c>
      <c r="G4965" s="9" t="str">
        <f>IFERROR(__xludf.DUMMYFUNCTION("GOOGLETRANSLATE($A4965,""en"",""zh-cn"")"),"中濑")</f>
        <v>中濑</v>
      </c>
      <c r="H4965" s="9" t="str">
        <f>IFERROR(__xludf.DUMMYFUNCTION("GOOGLETRANSLATE($A4965,""en"",""ja"")"),"中瀬家")</f>
        <v>中瀬家</v>
      </c>
      <c r="I4965" s="9" t="str">
        <f>IFERROR(__xludf.DUMMYFUNCTION("GOOGLETRANSLATE($A4965,""en"",""ko"")"),"나카세케")</f>
        <v>나카세케</v>
      </c>
      <c r="J4965" s="9" t="str">
        <f>IFERROR(__xludf.DUMMYFUNCTION("GOOGLETRANSLATE($A4965,""en"",""pt-BR"")"),"Nakaseke")</f>
        <v>Nakaseke</v>
      </c>
    </row>
    <row r="4966">
      <c r="A4966" s="9" t="str">
        <f>IFERROR(__xludf.DUMMYFUNCTION("""COMPUTED_VALUE"""),"Bududa")</f>
        <v>Bududa</v>
      </c>
      <c r="B4966" s="9" t="str">
        <f>IFERROR(__xludf.DUMMYFUNCTION("""COMPUTED_VALUE"""),"ug-223")</f>
        <v>ug-223</v>
      </c>
      <c r="C4966" s="9" t="str">
        <f>IFERROR(__xludf.DUMMYFUNCTION("GOOGLETRANSLATE($A4966,""en"",""de"")"),"Bududa")</f>
        <v>Bududa</v>
      </c>
      <c r="D4966" s="9" t="str">
        <f>IFERROR(__xludf.DUMMYFUNCTION("GOOGLETRANSLATE($A4966,""en"",""fr"")"),"Boududa")</f>
        <v>Boududa</v>
      </c>
      <c r="E4966" s="9" t="str">
        <f>IFERROR(__xludf.DUMMYFUNCTION("GOOGLETRANSLATE($A4966,""en"",""es"")"),"buda")</f>
        <v>buda</v>
      </c>
      <c r="F4966" s="9" t="str">
        <f>IFERROR(__xludf.DUMMYFUNCTION("GOOGLETRANSLATE($A4966,""en"",""it"")"),"Bududa")</f>
        <v>Bududa</v>
      </c>
      <c r="G4966" s="9" t="str">
        <f>IFERROR(__xludf.DUMMYFUNCTION("GOOGLETRANSLATE($A4966,""en"",""zh-cn"")"),"布杜达")</f>
        <v>布杜达</v>
      </c>
      <c r="H4966" s="9" t="str">
        <f>IFERROR(__xludf.DUMMYFUNCTION("GOOGLETRANSLATE($A4966,""en"",""ja"")"),"ブドゥダ")</f>
        <v>ブドゥダ</v>
      </c>
      <c r="I4966" s="9" t="str">
        <f>IFERROR(__xludf.DUMMYFUNCTION("GOOGLETRANSLATE($A4966,""en"",""ko"")"),"부다")</f>
        <v>부다</v>
      </c>
      <c r="J4966" s="9" t="str">
        <f>IFERROR(__xludf.DUMMYFUNCTION("GOOGLETRANSLATE($A4966,""en"",""pt-BR"")"),"Bududa")</f>
        <v>Bududa</v>
      </c>
    </row>
    <row r="4967">
      <c r="A4967" s="9" t="str">
        <f>IFERROR(__xludf.DUMMYFUNCTION("""COMPUTED_VALUE"""),"Amuria")</f>
        <v>Amuria</v>
      </c>
      <c r="B4967" s="9" t="str">
        <f>IFERROR(__xludf.DUMMYFUNCTION("""COMPUTED_VALUE"""),"ug-216")</f>
        <v>ug-216</v>
      </c>
      <c r="C4967" s="9" t="str">
        <f>IFERROR(__xludf.DUMMYFUNCTION("GOOGLETRANSLATE($A4967,""en"",""de"")"),"Amuria")</f>
        <v>Amuria</v>
      </c>
      <c r="D4967" s="9" t="str">
        <f>IFERROR(__xludf.DUMMYFUNCTION("GOOGLETRANSLATE($A4967,""en"",""fr"")"),"Amurie")</f>
        <v>Amurie</v>
      </c>
      <c r="E4967" s="9" t="str">
        <f>IFERROR(__xludf.DUMMYFUNCTION("GOOGLETRANSLATE($A4967,""en"",""es"")"),"Amuria")</f>
        <v>Amuria</v>
      </c>
      <c r="F4967" s="9" t="str">
        <f>IFERROR(__xludf.DUMMYFUNCTION("GOOGLETRANSLATE($A4967,""en"",""it"")"),"Amuria")</f>
        <v>Amuria</v>
      </c>
      <c r="G4967" s="9" t="str">
        <f>IFERROR(__xludf.DUMMYFUNCTION("GOOGLETRANSLATE($A4967,""en"",""zh-cn"")"),"阿穆里亚")</f>
        <v>阿穆里亚</v>
      </c>
      <c r="H4967" s="9" t="str">
        <f>IFERROR(__xludf.DUMMYFUNCTION("GOOGLETRANSLATE($A4967,""en"",""ja"")"),"アムリア")</f>
        <v>アムリア</v>
      </c>
      <c r="I4967" s="9" t="str">
        <f>IFERROR(__xludf.DUMMYFUNCTION("GOOGLETRANSLATE($A4967,""en"",""ko"")"),"아무리아")</f>
        <v>아무리아</v>
      </c>
      <c r="J4967" s="9" t="str">
        <f>IFERROR(__xludf.DUMMYFUNCTION("GOOGLETRANSLATE($A4967,""en"",""pt-BR"")"),"Amúria")</f>
        <v>Amúria</v>
      </c>
    </row>
    <row r="4968">
      <c r="A4968" s="9" t="str">
        <f>IFERROR(__xludf.DUMMYFUNCTION("""COMPUTED_VALUE"""),"Amuru")</f>
        <v>Amuru</v>
      </c>
      <c r="B4968" s="9" t="str">
        <f>IFERROR(__xludf.DUMMYFUNCTION("""COMPUTED_VALUE"""),"ug-319")</f>
        <v>ug-319</v>
      </c>
      <c r="C4968" s="9" t="str">
        <f>IFERROR(__xludf.DUMMYFUNCTION("GOOGLETRANSLATE($A4968,""en"",""de"")"),"Amuru")</f>
        <v>Amuru</v>
      </c>
      <c r="D4968" s="9" t="str">
        <f>IFERROR(__xludf.DUMMYFUNCTION("GOOGLETRANSLATE($A4968,""en"",""fr"")"),"Amuru")</f>
        <v>Amuru</v>
      </c>
      <c r="E4968" s="9" t="str">
        <f>IFERROR(__xludf.DUMMYFUNCTION("GOOGLETRANSLATE($A4968,""en"",""es"")"),"Amuru")</f>
        <v>Amuru</v>
      </c>
      <c r="F4968" s="9" t="str">
        <f>IFERROR(__xludf.DUMMYFUNCTION("GOOGLETRANSLATE($A4968,""en"",""it"")"),"Amuru")</f>
        <v>Amuru</v>
      </c>
      <c r="G4968" s="9" t="str">
        <f>IFERROR(__xludf.DUMMYFUNCTION("GOOGLETRANSLATE($A4968,""en"",""zh-cn"")"),"阿姆鲁")</f>
        <v>阿姆鲁</v>
      </c>
      <c r="H4968" s="9" t="str">
        <f>IFERROR(__xludf.DUMMYFUNCTION("GOOGLETRANSLATE($A4968,""en"",""ja"")"),"アムル")</f>
        <v>アムル</v>
      </c>
      <c r="I4968" s="9" t="str">
        <f>IFERROR(__xludf.DUMMYFUNCTION("GOOGLETRANSLATE($A4968,""en"",""ko"")"),"아무루")</f>
        <v>아무루</v>
      </c>
      <c r="J4968" s="9" t="str">
        <f>IFERROR(__xludf.DUMMYFUNCTION("GOOGLETRANSLATE($A4968,""en"",""pt-BR"")"),"Amuru")</f>
        <v>Amuru</v>
      </c>
    </row>
    <row r="4969">
      <c r="A4969" s="9" t="str">
        <f>IFERROR(__xludf.DUMMYFUNCTION("""COMPUTED_VALUE"""),"Kayunga")</f>
        <v>Kayunga</v>
      </c>
      <c r="B4969" s="9" t="str">
        <f>IFERROR(__xludf.DUMMYFUNCTION("""COMPUTED_VALUE"""),"ug-112")</f>
        <v>ug-112</v>
      </c>
      <c r="C4969" s="9" t="str">
        <f>IFERROR(__xludf.DUMMYFUNCTION("GOOGLETRANSLATE($A4969,""en"",""de"")"),"Kayunga")</f>
        <v>Kayunga</v>
      </c>
      <c r="D4969" s="9" t="str">
        <f>IFERROR(__xludf.DUMMYFUNCTION("GOOGLETRANSLATE($A4969,""en"",""fr"")"),"Kayunga")</f>
        <v>Kayunga</v>
      </c>
      <c r="E4969" s="9" t="str">
        <f>IFERROR(__xludf.DUMMYFUNCTION("GOOGLETRANSLATE($A4969,""en"",""es"")"),"kaunga")</f>
        <v>kaunga</v>
      </c>
      <c r="F4969" s="9" t="str">
        <f>IFERROR(__xludf.DUMMYFUNCTION("GOOGLETRANSLATE($A4969,""en"",""it"")"),"Kayunga")</f>
        <v>Kayunga</v>
      </c>
      <c r="G4969" s="9" t="str">
        <f>IFERROR(__xludf.DUMMYFUNCTION("GOOGLETRANSLATE($A4969,""en"",""zh-cn"")"),"卡永加")</f>
        <v>卡永加</v>
      </c>
      <c r="H4969" s="9" t="str">
        <f>IFERROR(__xludf.DUMMYFUNCTION("GOOGLETRANSLATE($A4969,""en"",""ja"")"),"カユンガ")</f>
        <v>カユンガ</v>
      </c>
      <c r="I4969" s="9" t="str">
        <f>IFERROR(__xludf.DUMMYFUNCTION("GOOGLETRANSLATE($A4969,""en"",""ko"")"),"카윤가")</f>
        <v>카윤가</v>
      </c>
      <c r="J4969" s="9" t="str">
        <f>IFERROR(__xludf.DUMMYFUNCTION("GOOGLETRANSLATE($A4969,""en"",""pt-BR"")"),"Kayunga")</f>
        <v>Kayunga</v>
      </c>
    </row>
    <row r="4970">
      <c r="A4970" s="9" t="str">
        <f>IFERROR(__xludf.DUMMYFUNCTION("""COMPUTED_VALUE"""),"Kaabong")</f>
        <v>Kaabong</v>
      </c>
      <c r="B4970" s="9" t="str">
        <f>IFERROR(__xludf.DUMMYFUNCTION("""COMPUTED_VALUE"""),"ug-315")</f>
        <v>ug-315</v>
      </c>
      <c r="C4970" s="9" t="str">
        <f>IFERROR(__xludf.DUMMYFUNCTION("GOOGLETRANSLATE($A4970,""en"",""de"")"),"Kaabong")</f>
        <v>Kaabong</v>
      </c>
      <c r="D4970" s="9" t="str">
        <f>IFERROR(__xludf.DUMMYFUNCTION("GOOGLETRANSLATE($A4970,""en"",""fr"")"),"Kaabong")</f>
        <v>Kaabong</v>
      </c>
      <c r="E4970" s="9" t="str">
        <f>IFERROR(__xludf.DUMMYFUNCTION("GOOGLETRANSLATE($A4970,""en"",""es"")"),"Kaabong")</f>
        <v>Kaabong</v>
      </c>
      <c r="F4970" s="9" t="str">
        <f>IFERROR(__xludf.DUMMYFUNCTION("GOOGLETRANSLATE($A4970,""en"",""it"")"),"Kaabong")</f>
        <v>Kaabong</v>
      </c>
      <c r="G4970" s="9" t="str">
        <f>IFERROR(__xludf.DUMMYFUNCTION("GOOGLETRANSLATE($A4970,""en"",""zh-cn"")"),"卡邦")</f>
        <v>卡邦</v>
      </c>
      <c r="H4970" s="9" t="str">
        <f>IFERROR(__xludf.DUMMYFUNCTION("GOOGLETRANSLATE($A4970,""en"",""ja"")"),"カーボン")</f>
        <v>カーボン</v>
      </c>
      <c r="I4970" s="9" t="str">
        <f>IFERROR(__xludf.DUMMYFUNCTION("GOOGLETRANSLATE($A4970,""en"",""ko"")"),"카봉")</f>
        <v>카봉</v>
      </c>
      <c r="J4970" s="9" t="str">
        <f>IFERROR(__xludf.DUMMYFUNCTION("GOOGLETRANSLATE($A4970,""en"",""pt-BR"")"),"Kaabong")</f>
        <v>Kaabong</v>
      </c>
    </row>
    <row r="4971">
      <c r="A4971" s="9" t="str">
        <f>IFERROR(__xludf.DUMMYFUNCTION("""COMPUTED_VALUE"""),"Manafwa")</f>
        <v>Manafwa</v>
      </c>
      <c r="B4971" s="9" t="str">
        <f>IFERROR(__xludf.DUMMYFUNCTION("""COMPUTED_VALUE"""),"ug-221")</f>
        <v>ug-221</v>
      </c>
      <c r="C4971" s="9" t="str">
        <f>IFERROR(__xludf.DUMMYFUNCTION("GOOGLETRANSLATE($A4971,""en"",""de"")"),"Manafwa")</f>
        <v>Manafwa</v>
      </c>
      <c r="D4971" s="9" t="str">
        <f>IFERROR(__xludf.DUMMYFUNCTION("GOOGLETRANSLATE($A4971,""en"",""fr"")"),"Manafwa")</f>
        <v>Manafwa</v>
      </c>
      <c r="E4971" s="9" t="str">
        <f>IFERROR(__xludf.DUMMYFUNCTION("GOOGLETRANSLATE($A4971,""en"",""es"")"),"Manafwa")</f>
        <v>Manafwa</v>
      </c>
      <c r="F4971" s="9" t="str">
        <f>IFERROR(__xludf.DUMMYFUNCTION("GOOGLETRANSLATE($A4971,""en"",""it"")"),"Manafwa")</f>
        <v>Manafwa</v>
      </c>
      <c r="G4971" s="9" t="str">
        <f>IFERROR(__xludf.DUMMYFUNCTION("GOOGLETRANSLATE($A4971,""en"",""zh-cn"")"),"马纳夫瓦")</f>
        <v>马纳夫瓦</v>
      </c>
      <c r="H4971" s="9" t="str">
        <f>IFERROR(__xludf.DUMMYFUNCTION("GOOGLETRANSLATE($A4971,""en"",""ja"")"),"マナフワ")</f>
        <v>マナフワ</v>
      </c>
      <c r="I4971" s="9" t="str">
        <f>IFERROR(__xludf.DUMMYFUNCTION("GOOGLETRANSLATE($A4971,""en"",""ko"")"),"마나프와")</f>
        <v>마나프와</v>
      </c>
      <c r="J4971" s="9" t="str">
        <f>IFERROR(__xludf.DUMMYFUNCTION("GOOGLETRANSLATE($A4971,""en"",""pt-BR"")"),"Manafwa")</f>
        <v>Manafwa</v>
      </c>
    </row>
    <row r="4972">
      <c r="A4972" s="9" t="str">
        <f>IFERROR(__xludf.DUMMYFUNCTION("""COMPUTED_VALUE"""),"Nakapiripirit")</f>
        <v>Nakapiripirit</v>
      </c>
      <c r="B4972" s="9" t="str">
        <f>IFERROR(__xludf.DUMMYFUNCTION("""COMPUTED_VALUE"""),"ug-311")</f>
        <v>ug-311</v>
      </c>
      <c r="C4972" s="9" t="str">
        <f>IFERROR(__xludf.DUMMYFUNCTION("GOOGLETRANSLATE($A4972,""en"",""de"")"),"Nakapiripirit")</f>
        <v>Nakapiripirit</v>
      </c>
      <c r="D4972" s="9" t="str">
        <f>IFERROR(__xludf.DUMMYFUNCTION("GOOGLETRANSLATE($A4972,""en"",""fr"")"),"Nakapiripirit")</f>
        <v>Nakapiripirit</v>
      </c>
      <c r="E4972" s="9" t="str">
        <f>IFERROR(__xludf.DUMMYFUNCTION("GOOGLETRANSLATE($A4972,""en"",""es"")"),"Nakapiripirit")</f>
        <v>Nakapiripirit</v>
      </c>
      <c r="F4972" s="9" t="str">
        <f>IFERROR(__xludf.DUMMYFUNCTION("GOOGLETRANSLATE($A4972,""en"",""it"")"),"Nakapiripirit")</f>
        <v>Nakapiripirit</v>
      </c>
      <c r="G4972" s="9" t="str">
        <f>IFERROR(__xludf.DUMMYFUNCTION("GOOGLETRANSLATE($A4972,""en"",""zh-cn"")"),"纳卡皮里皮里特")</f>
        <v>纳卡皮里皮里特</v>
      </c>
      <c r="H4972" s="9" t="str">
        <f>IFERROR(__xludf.DUMMYFUNCTION("GOOGLETRANSLATE($A4972,""en"",""ja"")"),"ナカピリピリット")</f>
        <v>ナカピリピリット</v>
      </c>
      <c r="I4972" s="9" t="str">
        <f>IFERROR(__xludf.DUMMYFUNCTION("GOOGLETRANSLATE($A4972,""en"",""ko"")"),"나카피리피릿")</f>
        <v>나카피리피릿</v>
      </c>
      <c r="J4972" s="9" t="str">
        <f>IFERROR(__xludf.DUMMYFUNCTION("GOOGLETRANSLATE($A4972,""en"",""pt-BR"")"),"Nakapiripirit")</f>
        <v>Nakapiripirit</v>
      </c>
    </row>
    <row r="4973">
      <c r="A4973" s="9" t="str">
        <f>IFERROR(__xludf.DUMMYFUNCTION("""COMPUTED_VALUE"""),"Mbale")</f>
        <v>Mbale</v>
      </c>
      <c r="B4973" s="9" t="str">
        <f>IFERROR(__xludf.DUMMYFUNCTION("""COMPUTED_VALUE"""),"ug-209")</f>
        <v>ug-209</v>
      </c>
      <c r="C4973" s="9" t="str">
        <f>IFERROR(__xludf.DUMMYFUNCTION("GOOGLETRANSLATE($A4973,""en"",""de"")"),"Mbale")</f>
        <v>Mbale</v>
      </c>
      <c r="D4973" s="9" t="str">
        <f>IFERROR(__xludf.DUMMYFUNCTION("GOOGLETRANSLATE($A4973,""en"",""fr"")"),"Mbalé")</f>
        <v>Mbalé</v>
      </c>
      <c r="E4973" s="9" t="str">
        <f>IFERROR(__xludf.DUMMYFUNCTION("GOOGLETRANSLATE($A4973,""en"",""es"")"),"Mbalé")</f>
        <v>Mbalé</v>
      </c>
      <c r="F4973" s="9" t="str">
        <f>IFERROR(__xludf.DUMMYFUNCTION("GOOGLETRANSLATE($A4973,""en"",""it"")"),"Mbale")</f>
        <v>Mbale</v>
      </c>
      <c r="G4973" s="9" t="str">
        <f>IFERROR(__xludf.DUMMYFUNCTION("GOOGLETRANSLATE($A4973,""en"",""zh-cn"")"),"姆巴莱")</f>
        <v>姆巴莱</v>
      </c>
      <c r="H4973" s="9" t="str">
        <f>IFERROR(__xludf.DUMMYFUNCTION("GOOGLETRANSLATE($A4973,""en"",""ja"")"),"ムバレ")</f>
        <v>ムバレ</v>
      </c>
      <c r="I4973" s="9" t="str">
        <f>IFERROR(__xludf.DUMMYFUNCTION("GOOGLETRANSLATE($A4973,""en"",""ko"")"),"음발레")</f>
        <v>음발레</v>
      </c>
      <c r="J4973" s="9" t="str">
        <f>IFERROR(__xludf.DUMMYFUNCTION("GOOGLETRANSLATE($A4973,""en"",""pt-BR"")"),"Mbale")</f>
        <v>Mbale</v>
      </c>
    </row>
    <row r="4974">
      <c r="A4974" s="9" t="str">
        <f>IFERROR(__xludf.DUMMYFUNCTION("""COMPUTED_VALUE"""),"Moyo")</f>
        <v>Moyo</v>
      </c>
      <c r="B4974" s="9" t="str">
        <f>IFERROR(__xludf.DUMMYFUNCTION("""COMPUTED_VALUE"""),"ug-309")</f>
        <v>ug-309</v>
      </c>
      <c r="C4974" s="9" t="str">
        <f>IFERROR(__xludf.DUMMYFUNCTION("GOOGLETRANSLATE($A4974,""en"",""de"")"),"Moyo")</f>
        <v>Moyo</v>
      </c>
      <c r="D4974" s="9" t="str">
        <f>IFERROR(__xludf.DUMMYFUNCTION("GOOGLETRANSLATE($A4974,""en"",""fr"")"),"Moyo")</f>
        <v>Moyo</v>
      </c>
      <c r="E4974" s="9" t="str">
        <f>IFERROR(__xludf.DUMMYFUNCTION("GOOGLETRANSLATE($A4974,""en"",""es"")"),"moyo")</f>
        <v>moyo</v>
      </c>
      <c r="F4974" s="9" t="str">
        <f>IFERROR(__xludf.DUMMYFUNCTION("GOOGLETRANSLATE($A4974,""en"",""it"")"),"Moyo")</f>
        <v>Moyo</v>
      </c>
      <c r="G4974" s="9" t="str">
        <f>IFERROR(__xludf.DUMMYFUNCTION("GOOGLETRANSLATE($A4974,""en"",""zh-cn"")"),"莫约")</f>
        <v>莫约</v>
      </c>
      <c r="H4974" s="9" t="str">
        <f>IFERROR(__xludf.DUMMYFUNCTION("GOOGLETRANSLATE($A4974,""en"",""ja"")"),"モヨ")</f>
        <v>モヨ</v>
      </c>
      <c r="I4974" s="9" t="str">
        <f>IFERROR(__xludf.DUMMYFUNCTION("GOOGLETRANSLATE($A4974,""en"",""ko"")"),"모요")</f>
        <v>모요</v>
      </c>
      <c r="J4974" s="9" t="str">
        <f>IFERROR(__xludf.DUMMYFUNCTION("GOOGLETRANSLATE($A4974,""en"",""pt-BR"")"),"Moyo")</f>
        <v>Moyo</v>
      </c>
    </row>
    <row r="4975">
      <c r="A4975" s="9" t="str">
        <f>IFERROR(__xludf.DUMMYFUNCTION("""COMPUTED_VALUE"""),"Rukungiri")</f>
        <v>Rukungiri</v>
      </c>
      <c r="B4975" s="9" t="str">
        <f>IFERROR(__xludf.DUMMYFUNCTION("""COMPUTED_VALUE"""),"ug-412")</f>
        <v>ug-412</v>
      </c>
      <c r="C4975" s="9" t="str">
        <f>IFERROR(__xludf.DUMMYFUNCTION("GOOGLETRANSLATE($A4975,""en"",""de"")"),"Rukungiri")</f>
        <v>Rukungiri</v>
      </c>
      <c r="D4975" s="9" t="str">
        <f>IFERROR(__xludf.DUMMYFUNCTION("GOOGLETRANSLATE($A4975,""en"",""fr"")"),"Rukungiri")</f>
        <v>Rukungiri</v>
      </c>
      <c r="E4975" s="9" t="str">
        <f>IFERROR(__xludf.DUMMYFUNCTION("GOOGLETRANSLATE($A4975,""en"",""es"")"),"Rukungiri")</f>
        <v>Rukungiri</v>
      </c>
      <c r="F4975" s="9" t="str">
        <f>IFERROR(__xludf.DUMMYFUNCTION("GOOGLETRANSLATE($A4975,""en"",""it"")"),"Rukungiri")</f>
        <v>Rukungiri</v>
      </c>
      <c r="G4975" s="9" t="str">
        <f>IFERROR(__xludf.DUMMYFUNCTION("GOOGLETRANSLATE($A4975,""en"",""zh-cn"")"),"鲁昆吉里")</f>
        <v>鲁昆吉里</v>
      </c>
      <c r="H4975" s="9" t="str">
        <f>IFERROR(__xludf.DUMMYFUNCTION("GOOGLETRANSLATE($A4975,""en"",""ja"")"),"ルクンギリ")</f>
        <v>ルクンギリ</v>
      </c>
      <c r="I4975" s="9" t="str">
        <f>IFERROR(__xludf.DUMMYFUNCTION("GOOGLETRANSLATE($A4975,""en"",""ko"")"),"루쿵기리")</f>
        <v>루쿵기리</v>
      </c>
      <c r="J4975" s="9" t="str">
        <f>IFERROR(__xludf.DUMMYFUNCTION("GOOGLETRANSLATE($A4975,""en"",""pt-BR"")"),"Rukungiri")</f>
        <v>Rukungiri</v>
      </c>
    </row>
    <row r="4976">
      <c r="A4976" s="9" t="str">
        <f>IFERROR(__xludf.DUMMYFUNCTION("""COMPUTED_VALUE"""),"Sironko")</f>
        <v>Sironko</v>
      </c>
      <c r="B4976" s="9" t="str">
        <f>IFERROR(__xludf.DUMMYFUNCTION("""COMPUTED_VALUE"""),"ug-215")</f>
        <v>ug-215</v>
      </c>
      <c r="C4976" s="9" t="str">
        <f>IFERROR(__xludf.DUMMYFUNCTION("GOOGLETRANSLATE($A4976,""en"",""de"")"),"Sironko")</f>
        <v>Sironko</v>
      </c>
      <c r="D4976" s="9" t="str">
        <f>IFERROR(__xludf.DUMMYFUNCTION("GOOGLETRANSLATE($A4976,""en"",""fr"")"),"Sironko")</f>
        <v>Sironko</v>
      </c>
      <c r="E4976" s="9" t="str">
        <f>IFERROR(__xludf.DUMMYFUNCTION("GOOGLETRANSLATE($A4976,""en"",""es"")"),"Sironko")</f>
        <v>Sironko</v>
      </c>
      <c r="F4976" s="9" t="str">
        <f>IFERROR(__xludf.DUMMYFUNCTION("GOOGLETRANSLATE($A4976,""en"",""it"")"),"Sironko")</f>
        <v>Sironko</v>
      </c>
      <c r="G4976" s="9" t="str">
        <f>IFERROR(__xludf.DUMMYFUNCTION("GOOGLETRANSLATE($A4976,""en"",""zh-cn"")"),"西龙科")</f>
        <v>西龙科</v>
      </c>
      <c r="H4976" s="9" t="str">
        <f>IFERROR(__xludf.DUMMYFUNCTION("GOOGLETRANSLATE($A4976,""en"",""ja"")"),"シロンコ")</f>
        <v>シロンコ</v>
      </c>
      <c r="I4976" s="9" t="str">
        <f>IFERROR(__xludf.DUMMYFUNCTION("GOOGLETRANSLATE($A4976,""en"",""ko"")"),"시론코")</f>
        <v>시론코</v>
      </c>
      <c r="J4976" s="9" t="str">
        <f>IFERROR(__xludf.DUMMYFUNCTION("GOOGLETRANSLATE($A4976,""en"",""pt-BR"")"),"Sironko")</f>
        <v>Sironko</v>
      </c>
    </row>
    <row r="4977">
      <c r="A4977" s="9" t="str">
        <f>IFERROR(__xludf.DUMMYFUNCTION("""COMPUTED_VALUE"""),"Katakwi")</f>
        <v>Katakwi</v>
      </c>
      <c r="B4977" s="9" t="str">
        <f>IFERROR(__xludf.DUMMYFUNCTION("""COMPUTED_VALUE"""),"ug-207")</f>
        <v>ug-207</v>
      </c>
      <c r="C4977" s="9" t="str">
        <f>IFERROR(__xludf.DUMMYFUNCTION("GOOGLETRANSLATE($A4977,""en"",""de"")"),"Katakwi")</f>
        <v>Katakwi</v>
      </c>
      <c r="D4977" s="9" t="str">
        <f>IFERROR(__xludf.DUMMYFUNCTION("GOOGLETRANSLATE($A4977,""en"",""fr"")"),"Katakwi")</f>
        <v>Katakwi</v>
      </c>
      <c r="E4977" s="9" t="str">
        <f>IFERROR(__xludf.DUMMYFUNCTION("GOOGLETRANSLATE($A4977,""en"",""es"")"),"Katakwi")</f>
        <v>Katakwi</v>
      </c>
      <c r="F4977" s="9" t="str">
        <f>IFERROR(__xludf.DUMMYFUNCTION("GOOGLETRANSLATE($A4977,""en"",""it"")"),"Katakwi")</f>
        <v>Katakwi</v>
      </c>
      <c r="G4977" s="9" t="str">
        <f>IFERROR(__xludf.DUMMYFUNCTION("GOOGLETRANSLATE($A4977,""en"",""zh-cn"")"),"卡塔奎")</f>
        <v>卡塔奎</v>
      </c>
      <c r="H4977" s="9" t="str">
        <f>IFERROR(__xludf.DUMMYFUNCTION("GOOGLETRANSLATE($A4977,""en"",""ja"")"),"カタクウィ")</f>
        <v>カタクウィ</v>
      </c>
      <c r="I4977" s="9" t="str">
        <f>IFERROR(__xludf.DUMMYFUNCTION("GOOGLETRANSLATE($A4977,""en"",""ko"")"),"카타퀴")</f>
        <v>카타퀴</v>
      </c>
      <c r="J4977" s="9" t="str">
        <f>IFERROR(__xludf.DUMMYFUNCTION("GOOGLETRANSLATE($A4977,""en"",""pt-BR"")"),"Katakwi")</f>
        <v>Katakwi</v>
      </c>
    </row>
    <row r="4978">
      <c r="A4978" s="9" t="str">
        <f>IFERROR(__xludf.DUMMYFUNCTION("""COMPUTED_VALUE"""),"Kiruhura")</f>
        <v>Kiruhura</v>
      </c>
      <c r="B4978" s="9" t="str">
        <f>IFERROR(__xludf.DUMMYFUNCTION("""COMPUTED_VALUE"""),"ug-418")</f>
        <v>ug-418</v>
      </c>
      <c r="C4978" s="9" t="str">
        <f>IFERROR(__xludf.DUMMYFUNCTION("GOOGLETRANSLATE($A4978,""en"",""de"")"),"Kiruhura")</f>
        <v>Kiruhura</v>
      </c>
      <c r="D4978" s="9" t="str">
        <f>IFERROR(__xludf.DUMMYFUNCTION("GOOGLETRANSLATE($A4978,""en"",""fr"")"),"Kiruhura")</f>
        <v>Kiruhura</v>
      </c>
      <c r="E4978" s="9" t="str">
        <f>IFERROR(__xludf.DUMMYFUNCTION("GOOGLETRANSLATE($A4978,""en"",""es"")"),"Kiruhura")</f>
        <v>Kiruhura</v>
      </c>
      <c r="F4978" s="9" t="str">
        <f>IFERROR(__xludf.DUMMYFUNCTION("GOOGLETRANSLATE($A4978,""en"",""it"")"),"Kiruhura")</f>
        <v>Kiruhura</v>
      </c>
      <c r="G4978" s="9" t="str">
        <f>IFERROR(__xludf.DUMMYFUNCTION("GOOGLETRANSLATE($A4978,""en"",""zh-cn"")"),"基鲁胡拉")</f>
        <v>基鲁胡拉</v>
      </c>
      <c r="H4978" s="9" t="str">
        <f>IFERROR(__xludf.DUMMYFUNCTION("GOOGLETRANSLATE($A4978,""en"",""ja"")"),"キルフラ")</f>
        <v>キルフラ</v>
      </c>
      <c r="I4978" s="9" t="str">
        <f>IFERROR(__xludf.DUMMYFUNCTION("GOOGLETRANSLATE($A4978,""en"",""ko"")"),"키루후라")</f>
        <v>키루후라</v>
      </c>
      <c r="J4978" s="9" t="str">
        <f>IFERROR(__xludf.DUMMYFUNCTION("GOOGLETRANSLATE($A4978,""en"",""pt-BR"")"),"Kiruhura")</f>
        <v>Kiruhura</v>
      </c>
    </row>
    <row r="4979">
      <c r="A4979" s="9" t="str">
        <f>IFERROR(__xludf.DUMMYFUNCTION("""COMPUTED_VALUE"""),"Iganga")</f>
        <v>Iganga</v>
      </c>
      <c r="B4979" s="9" t="str">
        <f>IFERROR(__xludf.DUMMYFUNCTION("""COMPUTED_VALUE"""),"ug-203")</f>
        <v>ug-203</v>
      </c>
      <c r="C4979" s="9" t="str">
        <f>IFERROR(__xludf.DUMMYFUNCTION("GOOGLETRANSLATE($A4979,""en"",""de"")"),"Iganga")</f>
        <v>Iganga</v>
      </c>
      <c r="D4979" s="9" t="str">
        <f>IFERROR(__xludf.DUMMYFUNCTION("GOOGLETRANSLATE($A4979,""en"",""fr"")"),"Iganga")</f>
        <v>Iganga</v>
      </c>
      <c r="E4979" s="9" t="str">
        <f>IFERROR(__xludf.DUMMYFUNCTION("GOOGLETRANSLATE($A4979,""en"",""es"")"),"Iganga")</f>
        <v>Iganga</v>
      </c>
      <c r="F4979" s="9" t="str">
        <f>IFERROR(__xludf.DUMMYFUNCTION("GOOGLETRANSLATE($A4979,""en"",""it"")"),"Iganga")</f>
        <v>Iganga</v>
      </c>
      <c r="G4979" s="9" t="str">
        <f>IFERROR(__xludf.DUMMYFUNCTION("GOOGLETRANSLATE($A4979,""en"",""zh-cn"")"),"伊甘加")</f>
        <v>伊甘加</v>
      </c>
      <c r="H4979" s="9" t="str">
        <f>IFERROR(__xludf.DUMMYFUNCTION("GOOGLETRANSLATE($A4979,""en"",""ja"")"),"イガンガ")</f>
        <v>イガンガ</v>
      </c>
      <c r="I4979" s="9" t="str">
        <f>IFERROR(__xludf.DUMMYFUNCTION("GOOGLETRANSLATE($A4979,""en"",""ko"")"),"이강가")</f>
        <v>이강가</v>
      </c>
      <c r="J4979" s="9" t="str">
        <f>IFERROR(__xludf.DUMMYFUNCTION("GOOGLETRANSLATE($A4979,""en"",""pt-BR"")"),"Iganga")</f>
        <v>Iganga</v>
      </c>
    </row>
    <row r="4980">
      <c r="A4980" s="9" t="str">
        <f>IFERROR(__xludf.DUMMYFUNCTION("""COMPUTED_VALUE"""),"Pader")</f>
        <v>Pader</v>
      </c>
      <c r="B4980" s="9" t="str">
        <f>IFERROR(__xludf.DUMMYFUNCTION("""COMPUTED_VALUE"""),"ug-312")</f>
        <v>ug-312</v>
      </c>
      <c r="C4980" s="9" t="str">
        <f>IFERROR(__xludf.DUMMYFUNCTION("GOOGLETRANSLATE($A4980,""en"",""de"")"),"Pader")</f>
        <v>Pader</v>
      </c>
      <c r="D4980" s="9" t="str">
        <f>IFERROR(__xludf.DUMMYFUNCTION("GOOGLETRANSLATE($A4980,""en"",""fr"")"),"Pader")</f>
        <v>Pader</v>
      </c>
      <c r="E4980" s="9" t="str">
        <f>IFERROR(__xludf.DUMMYFUNCTION("GOOGLETRANSLATE($A4980,""en"",""es"")"),"Pader")</f>
        <v>Pader</v>
      </c>
      <c r="F4980" s="9" t="str">
        <f>IFERROR(__xludf.DUMMYFUNCTION("GOOGLETRANSLATE($A4980,""en"",""it"")"),"Pader")</f>
        <v>Pader</v>
      </c>
      <c r="G4980" s="9" t="str">
        <f>IFERROR(__xludf.DUMMYFUNCTION("GOOGLETRANSLATE($A4980,""en"",""zh-cn"")"),"帕德尔")</f>
        <v>帕德尔</v>
      </c>
      <c r="H4980" s="9" t="str">
        <f>IFERROR(__xludf.DUMMYFUNCTION("GOOGLETRANSLATE($A4980,""en"",""ja"")"),"パダー")</f>
        <v>パダー</v>
      </c>
      <c r="I4980" s="9" t="str">
        <f>IFERROR(__xludf.DUMMYFUNCTION("GOOGLETRANSLATE($A4980,""en"",""ko"")"),"파더")</f>
        <v>파더</v>
      </c>
      <c r="J4980" s="9" t="str">
        <f>IFERROR(__xludf.DUMMYFUNCTION("GOOGLETRANSLATE($A4980,""en"",""pt-BR"")"),"Pader")</f>
        <v>Pader</v>
      </c>
    </row>
    <row r="4981">
      <c r="A4981" s="9" t="str">
        <f>IFERROR(__xludf.DUMMYFUNCTION("""COMPUTED_VALUE"""),"Masindi")</f>
        <v>Masindi</v>
      </c>
      <c r="B4981" s="9" t="str">
        <f>IFERROR(__xludf.DUMMYFUNCTION("""COMPUTED_VALUE"""),"ug-409")</f>
        <v>ug-409</v>
      </c>
      <c r="C4981" s="9" t="str">
        <f>IFERROR(__xludf.DUMMYFUNCTION("GOOGLETRANSLATE($A4981,""en"",""de"")"),"Masindi")</f>
        <v>Masindi</v>
      </c>
      <c r="D4981" s="9" t="str">
        <f>IFERROR(__xludf.DUMMYFUNCTION("GOOGLETRANSLATE($A4981,""en"",""fr"")"),"Masindi")</f>
        <v>Masindi</v>
      </c>
      <c r="E4981" s="9" t="str">
        <f>IFERROR(__xludf.DUMMYFUNCTION("GOOGLETRANSLATE($A4981,""en"",""es"")"),"Masindi")</f>
        <v>Masindi</v>
      </c>
      <c r="F4981" s="9" t="str">
        <f>IFERROR(__xludf.DUMMYFUNCTION("GOOGLETRANSLATE($A4981,""en"",""it"")"),"Masindi")</f>
        <v>Masindi</v>
      </c>
      <c r="G4981" s="9" t="str">
        <f>IFERROR(__xludf.DUMMYFUNCTION("GOOGLETRANSLATE($A4981,""en"",""zh-cn"")"),"马辛迪")</f>
        <v>马辛迪</v>
      </c>
      <c r="H4981" s="9" t="str">
        <f>IFERROR(__xludf.DUMMYFUNCTION("GOOGLETRANSLATE($A4981,""en"",""ja"")"),"マシンディ")</f>
        <v>マシンディ</v>
      </c>
      <c r="I4981" s="9" t="str">
        <f>IFERROR(__xludf.DUMMYFUNCTION("GOOGLETRANSLATE($A4981,""en"",""ko"")"),"마신디")</f>
        <v>마신디</v>
      </c>
      <c r="J4981" s="9" t="str">
        <f>IFERROR(__xludf.DUMMYFUNCTION("GOOGLETRANSLATE($A4981,""en"",""pt-BR"")"),"Masindi")</f>
        <v>Masindi</v>
      </c>
    </row>
    <row r="4982">
      <c r="A4982" s="9" t="str">
        <f>IFERROR(__xludf.DUMMYFUNCTION("""COMPUTED_VALUE"""),"Kasese")</f>
        <v>Kasese</v>
      </c>
      <c r="B4982" s="9" t="str">
        <f>IFERROR(__xludf.DUMMYFUNCTION("""COMPUTED_VALUE"""),"ug-406")</f>
        <v>ug-406</v>
      </c>
      <c r="C4982" s="9" t="str">
        <f>IFERROR(__xludf.DUMMYFUNCTION("GOOGLETRANSLATE($A4982,""en"",""de"")"),"Kasese")</f>
        <v>Kasese</v>
      </c>
      <c r="D4982" s="9" t="str">
        <f>IFERROR(__xludf.DUMMYFUNCTION("GOOGLETRANSLATE($A4982,""en"",""fr"")"),"Kasese")</f>
        <v>Kasese</v>
      </c>
      <c r="E4982" s="9" t="str">
        <f>IFERROR(__xludf.DUMMYFUNCTION("GOOGLETRANSLATE($A4982,""en"",""es"")"),"Kasese")</f>
        <v>Kasese</v>
      </c>
      <c r="F4982" s="9" t="str">
        <f>IFERROR(__xludf.DUMMYFUNCTION("GOOGLETRANSLATE($A4982,""en"",""it"")"),"Kasese")</f>
        <v>Kasese</v>
      </c>
      <c r="G4982" s="9" t="str">
        <f>IFERROR(__xludf.DUMMYFUNCTION("GOOGLETRANSLATE($A4982,""en"",""zh-cn"")"),"卡塞塞")</f>
        <v>卡塞塞</v>
      </c>
      <c r="H4982" s="9" t="str">
        <f>IFERROR(__xludf.DUMMYFUNCTION("GOOGLETRANSLATE($A4982,""en"",""ja"")"),"カセセ")</f>
        <v>カセセ</v>
      </c>
      <c r="I4982" s="9" t="str">
        <f>IFERROR(__xludf.DUMMYFUNCTION("GOOGLETRANSLATE($A4982,""en"",""ko"")"),"카세세")</f>
        <v>카세세</v>
      </c>
      <c r="J4982" s="9" t="str">
        <f>IFERROR(__xludf.DUMMYFUNCTION("GOOGLETRANSLATE($A4982,""en"",""pt-BR"")"),"Kasese")</f>
        <v>Kasese</v>
      </c>
    </row>
    <row r="4983">
      <c r="A4983" s="9" t="str">
        <f>IFERROR(__xludf.DUMMYFUNCTION("""COMPUTED_VALUE"""),"Northern (UG)")</f>
        <v>Northern (UG)</v>
      </c>
      <c r="B4983" s="9" t="str">
        <f>IFERROR(__xludf.DUMMYFUNCTION("""COMPUTED_VALUE"""),"ug-n")</f>
        <v>ug-n</v>
      </c>
      <c r="C4983" s="9" t="str">
        <f>IFERROR(__xludf.DUMMYFUNCTION("GOOGLETRANSLATE($A4983,""en"",""de"")"),"Nord (UG)")</f>
        <v>Nord (UG)</v>
      </c>
      <c r="D4983" s="9" t="str">
        <f>IFERROR(__xludf.DUMMYFUNCTION("GOOGLETRANSLATE($A4983,""en"",""fr"")"),"Nord (UG)")</f>
        <v>Nord (UG)</v>
      </c>
      <c r="E4983" s="9" t="str">
        <f>IFERROR(__xludf.DUMMYFUNCTION("GOOGLETRANSLATE($A4983,""en"",""es"")"),"Norte (UG)")</f>
        <v>Norte (UG)</v>
      </c>
      <c r="F4983" s="9" t="str">
        <f>IFERROR(__xludf.DUMMYFUNCTION("GOOGLETRANSLATE($A4983,""en"",""it"")"),"Nord (UG)")</f>
        <v>Nord (UG)</v>
      </c>
      <c r="G4983" s="9" t="str">
        <f>IFERROR(__xludf.DUMMYFUNCTION("GOOGLETRANSLATE($A4983,""en"",""zh-cn"")"),"北方 (UG)")</f>
        <v>北方 (UG)</v>
      </c>
      <c r="H4983" s="9" t="str">
        <f>IFERROR(__xludf.DUMMYFUNCTION("GOOGLETRANSLATE($A4983,""en"",""ja"")"),"北部 (UG)")</f>
        <v>北部 (UG)</v>
      </c>
      <c r="I4983" s="9" t="str">
        <f>IFERROR(__xludf.DUMMYFUNCTION("GOOGLETRANSLATE($A4983,""en"",""ko"")"),"북부(UG)")</f>
        <v>북부(UG)</v>
      </c>
      <c r="J4983" s="9" t="str">
        <f>IFERROR(__xludf.DUMMYFUNCTION("GOOGLETRANSLATE($A4983,""en"",""pt-BR"")"),"Norte (UG)")</f>
        <v>Norte (UG)</v>
      </c>
    </row>
    <row r="4984">
      <c r="A4984" s="9" t="str">
        <f>IFERROR(__xludf.DUMMYFUNCTION("""COMPUTED_VALUE"""),"Oyam")</f>
        <v>Oyam</v>
      </c>
      <c r="B4984" s="9" t="str">
        <f>IFERROR(__xludf.DUMMYFUNCTION("""COMPUTED_VALUE"""),"ug-321")</f>
        <v>ug-321</v>
      </c>
      <c r="C4984" s="9" t="str">
        <f>IFERROR(__xludf.DUMMYFUNCTION("GOOGLETRANSLATE($A4984,""en"",""de"")"),"Oyam")</f>
        <v>Oyam</v>
      </c>
      <c r="D4984" s="9" t="str">
        <f>IFERROR(__xludf.DUMMYFUNCTION("GOOGLETRANSLATE($A4984,""en"",""fr"")"),"Oyam")</f>
        <v>Oyam</v>
      </c>
      <c r="E4984" s="9" t="str">
        <f>IFERROR(__xludf.DUMMYFUNCTION("GOOGLETRANSLATE($A4984,""en"",""es"")"),"oyam")</f>
        <v>oyam</v>
      </c>
      <c r="F4984" s="9" t="str">
        <f>IFERROR(__xludf.DUMMYFUNCTION("GOOGLETRANSLATE($A4984,""en"",""it"")"),"Oyam")</f>
        <v>Oyam</v>
      </c>
      <c r="G4984" s="9" t="str">
        <f>IFERROR(__xludf.DUMMYFUNCTION("GOOGLETRANSLATE($A4984,""en"",""zh-cn"")"),"奥扬")</f>
        <v>奥扬</v>
      </c>
      <c r="H4984" s="9" t="str">
        <f>IFERROR(__xludf.DUMMYFUNCTION("GOOGLETRANSLATE($A4984,""en"",""ja"")"),"オヤム")</f>
        <v>オヤム</v>
      </c>
      <c r="I4984" s="9" t="str">
        <f>IFERROR(__xludf.DUMMYFUNCTION("GOOGLETRANSLATE($A4984,""en"",""ko"")"),"오얌")</f>
        <v>오얌</v>
      </c>
      <c r="J4984" s="9" t="str">
        <f>IFERROR(__xludf.DUMMYFUNCTION("GOOGLETRANSLATE($A4984,""en"",""pt-BR"")"),"Oyam")</f>
        <v>Oyam</v>
      </c>
    </row>
    <row r="4985">
      <c r="A4985" s="9" t="str">
        <f>IFERROR(__xludf.DUMMYFUNCTION("""COMPUTED_VALUE"""),"Amolatar")</f>
        <v>Amolatar</v>
      </c>
      <c r="B4985" s="9" t="str">
        <f>IFERROR(__xludf.DUMMYFUNCTION("""COMPUTED_VALUE"""),"ug-314")</f>
        <v>ug-314</v>
      </c>
      <c r="C4985" s="9" t="str">
        <f>IFERROR(__xludf.DUMMYFUNCTION("GOOGLETRANSLATE($A4985,""en"",""de"")"),"Amolatar")</f>
        <v>Amolatar</v>
      </c>
      <c r="D4985" s="9" t="str">
        <f>IFERROR(__xludf.DUMMYFUNCTION("GOOGLETRANSLATE($A4985,""en"",""fr"")"),"Amolatar")</f>
        <v>Amolatar</v>
      </c>
      <c r="E4985" s="9" t="str">
        <f>IFERROR(__xludf.DUMMYFUNCTION("GOOGLETRANSLATE($A4985,""en"",""es"")"),"Amolatar")</f>
        <v>Amolatar</v>
      </c>
      <c r="F4985" s="9" t="str">
        <f>IFERROR(__xludf.DUMMYFUNCTION("GOOGLETRANSLATE($A4985,""en"",""it"")"),"Amolare")</f>
        <v>Amolare</v>
      </c>
      <c r="G4985" s="9" t="str">
        <f>IFERROR(__xludf.DUMMYFUNCTION("GOOGLETRANSLATE($A4985,""en"",""zh-cn"")"),"阿莫拉塔")</f>
        <v>阿莫拉塔</v>
      </c>
      <c r="H4985" s="9" t="str">
        <f>IFERROR(__xludf.DUMMYFUNCTION("GOOGLETRANSLATE($A4985,""en"",""ja"")"),"アモラータル")</f>
        <v>アモラータル</v>
      </c>
      <c r="I4985" s="9" t="str">
        <f>IFERROR(__xludf.DUMMYFUNCTION("GOOGLETRANSLATE($A4985,""en"",""ko"")"),"아몰라타르")</f>
        <v>아몰라타르</v>
      </c>
      <c r="J4985" s="9" t="str">
        <f>IFERROR(__xludf.DUMMYFUNCTION("GOOGLETRANSLATE($A4985,""en"",""pt-BR"")"),"Amolatar")</f>
        <v>Amolatar</v>
      </c>
    </row>
    <row r="4986">
      <c r="A4986" s="9" t="str">
        <f>IFERROR(__xludf.DUMMYFUNCTION("""COMPUTED_VALUE"""),"Arua")</f>
        <v>Arua</v>
      </c>
      <c r="B4986" s="9" t="str">
        <f>IFERROR(__xludf.DUMMYFUNCTION("""COMPUTED_VALUE"""),"ug-303")</f>
        <v>ug-303</v>
      </c>
      <c r="C4986" s="9" t="str">
        <f>IFERROR(__xludf.DUMMYFUNCTION("GOOGLETRANSLATE($A4986,""en"",""de"")"),"Arua")</f>
        <v>Arua</v>
      </c>
      <c r="D4986" s="9" t="str">
        <f>IFERROR(__xludf.DUMMYFUNCTION("GOOGLETRANSLATE($A4986,""en"",""fr"")"),"Arua")</f>
        <v>Arua</v>
      </c>
      <c r="E4986" s="9" t="str">
        <f>IFERROR(__xludf.DUMMYFUNCTION("GOOGLETRANSLATE($A4986,""en"",""es"")"),"arua")</f>
        <v>arua</v>
      </c>
      <c r="F4986" s="9" t="str">
        <f>IFERROR(__xludf.DUMMYFUNCTION("GOOGLETRANSLATE($A4986,""en"",""it"")"),"Arua")</f>
        <v>Arua</v>
      </c>
      <c r="G4986" s="9" t="str">
        <f>IFERROR(__xludf.DUMMYFUNCTION("GOOGLETRANSLATE($A4986,""en"",""zh-cn"")"),"阿鲁阿")</f>
        <v>阿鲁阿</v>
      </c>
      <c r="H4986" s="9" t="str">
        <f>IFERROR(__xludf.DUMMYFUNCTION("GOOGLETRANSLATE($A4986,""en"",""ja"")"),"アルア")</f>
        <v>アルア</v>
      </c>
      <c r="I4986" s="9" t="str">
        <f>IFERROR(__xludf.DUMMYFUNCTION("GOOGLETRANSLATE($A4986,""en"",""ko"")"),"아루아")</f>
        <v>아루아</v>
      </c>
      <c r="J4986" s="9" t="str">
        <f>IFERROR(__xludf.DUMMYFUNCTION("GOOGLETRANSLATE($A4986,""en"",""pt-BR"")"),"Aruá")</f>
        <v>Aruá</v>
      </c>
    </row>
    <row r="4987">
      <c r="A4987" s="9" t="str">
        <f>IFERROR(__xludf.DUMMYFUNCTION("""COMPUTED_VALUE"""),"Kanungu")</f>
        <v>Kanungu</v>
      </c>
      <c r="B4987" s="9" t="str">
        <f>IFERROR(__xludf.DUMMYFUNCTION("""COMPUTED_VALUE"""),"ug-414")</f>
        <v>ug-414</v>
      </c>
      <c r="C4987" s="9" t="str">
        <f>IFERROR(__xludf.DUMMYFUNCTION("GOOGLETRANSLATE($A4987,""en"",""de"")"),"Kanungu")</f>
        <v>Kanungu</v>
      </c>
      <c r="D4987" s="9" t="str">
        <f>IFERROR(__xludf.DUMMYFUNCTION("GOOGLETRANSLATE($A4987,""en"",""fr"")"),"Kanungu")</f>
        <v>Kanungu</v>
      </c>
      <c r="E4987" s="9" t="str">
        <f>IFERROR(__xludf.DUMMYFUNCTION("GOOGLETRANSLATE($A4987,""en"",""es"")"),"Kanungu")</f>
        <v>Kanungu</v>
      </c>
      <c r="F4987" s="9" t="str">
        <f>IFERROR(__xludf.DUMMYFUNCTION("GOOGLETRANSLATE($A4987,""en"",""it"")"),"Kanungu")</f>
        <v>Kanungu</v>
      </c>
      <c r="G4987" s="9" t="str">
        <f>IFERROR(__xludf.DUMMYFUNCTION("GOOGLETRANSLATE($A4987,""en"",""zh-cn"")"),"卡农古")</f>
        <v>卡农古</v>
      </c>
      <c r="H4987" s="9" t="str">
        <f>IFERROR(__xludf.DUMMYFUNCTION("GOOGLETRANSLATE($A4987,""en"",""ja"")"),"カヌング")</f>
        <v>カヌング</v>
      </c>
      <c r="I4987" s="9" t="str">
        <f>IFERROR(__xludf.DUMMYFUNCTION("GOOGLETRANSLATE($A4987,""en"",""ko"")"),"카눈구")</f>
        <v>카눈구</v>
      </c>
      <c r="J4987" s="9" t="str">
        <f>IFERROR(__xludf.DUMMYFUNCTION("GOOGLETRANSLATE($A4987,""en"",""pt-BR"")"),"Kanungu")</f>
        <v>Kanungu</v>
      </c>
    </row>
    <row r="4988">
      <c r="A4988" s="9" t="str">
        <f>IFERROR(__xludf.DUMMYFUNCTION("""COMPUTED_VALUE"""),"Mukono")</f>
        <v>Mukono</v>
      </c>
      <c r="B4988" s="9" t="str">
        <f>IFERROR(__xludf.DUMMYFUNCTION("""COMPUTED_VALUE"""),"ug-108")</f>
        <v>ug-108</v>
      </c>
      <c r="C4988" s="9" t="str">
        <f>IFERROR(__xludf.DUMMYFUNCTION("GOOGLETRANSLATE($A4988,""en"",""de"")"),"Mukono")</f>
        <v>Mukono</v>
      </c>
      <c r="D4988" s="9" t="str">
        <f>IFERROR(__xludf.DUMMYFUNCTION("GOOGLETRANSLATE($A4988,""en"",""fr"")"),"Moukono")</f>
        <v>Moukono</v>
      </c>
      <c r="E4988" s="9" t="str">
        <f>IFERROR(__xludf.DUMMYFUNCTION("GOOGLETRANSLATE($A4988,""en"",""es"")"),"Mukono")</f>
        <v>Mukono</v>
      </c>
      <c r="F4988" s="9" t="str">
        <f>IFERROR(__xludf.DUMMYFUNCTION("GOOGLETRANSLATE($A4988,""en"",""it"")"),"Mukono")</f>
        <v>Mukono</v>
      </c>
      <c r="G4988" s="9" t="str">
        <f>IFERROR(__xludf.DUMMYFUNCTION("GOOGLETRANSLATE($A4988,""en"",""zh-cn"")"),"穆科诺")</f>
        <v>穆科诺</v>
      </c>
      <c r="H4988" s="9" t="str">
        <f>IFERROR(__xludf.DUMMYFUNCTION("GOOGLETRANSLATE($A4988,""en"",""ja"")"),"ムコノ")</f>
        <v>ムコノ</v>
      </c>
      <c r="I4988" s="9" t="str">
        <f>IFERROR(__xludf.DUMMYFUNCTION("GOOGLETRANSLATE($A4988,""en"",""ko"")"),"무코노")</f>
        <v>무코노</v>
      </c>
      <c r="J4988" s="9" t="str">
        <f>IFERROR(__xludf.DUMMYFUNCTION("GOOGLETRANSLATE($A4988,""en"",""pt-BR"")"),"Mukono")</f>
        <v>Mukono</v>
      </c>
    </row>
    <row r="4989">
      <c r="A4989" s="9" t="str">
        <f>IFERROR(__xludf.DUMMYFUNCTION("""COMPUTED_VALUE"""),"Busia")</f>
        <v>Busia</v>
      </c>
      <c r="B4989" s="9" t="str">
        <f>IFERROR(__xludf.DUMMYFUNCTION("""COMPUTED_VALUE"""),"ug-202")</f>
        <v>ug-202</v>
      </c>
      <c r="C4989" s="9" t="str">
        <f>IFERROR(__xludf.DUMMYFUNCTION("GOOGLETRANSLATE($A4989,""en"",""de"")"),"Busia")</f>
        <v>Busia</v>
      </c>
      <c r="D4989" s="9" t="str">
        <f>IFERROR(__xludf.DUMMYFUNCTION("GOOGLETRANSLATE($A4989,""en"",""fr"")"),"Busia")</f>
        <v>Busia</v>
      </c>
      <c r="E4989" s="9" t="str">
        <f>IFERROR(__xludf.DUMMYFUNCTION("GOOGLETRANSLATE($A4989,""en"",""es"")"),"busia")</f>
        <v>busia</v>
      </c>
      <c r="F4989" s="9" t="str">
        <f>IFERROR(__xludf.DUMMYFUNCTION("GOOGLETRANSLATE($A4989,""en"",""it"")"),"Busia")</f>
        <v>Busia</v>
      </c>
      <c r="G4989" s="9" t="str">
        <f>IFERROR(__xludf.DUMMYFUNCTION("GOOGLETRANSLATE($A4989,""en"",""zh-cn"")"),"布西亚")</f>
        <v>布西亚</v>
      </c>
      <c r="H4989" s="9" t="str">
        <f>IFERROR(__xludf.DUMMYFUNCTION("GOOGLETRANSLATE($A4989,""en"",""ja"")"),"ブシア")</f>
        <v>ブシア</v>
      </c>
      <c r="I4989" s="9" t="str">
        <f>IFERROR(__xludf.DUMMYFUNCTION("GOOGLETRANSLATE($A4989,""en"",""ko"")"),"부시아")</f>
        <v>부시아</v>
      </c>
      <c r="J4989" s="9" t="str">
        <f>IFERROR(__xludf.DUMMYFUNCTION("GOOGLETRANSLATE($A4989,""en"",""pt-BR"")"),"Busia")</f>
        <v>Busia</v>
      </c>
    </row>
    <row r="4990">
      <c r="A4990" s="9" t="str">
        <f>IFERROR(__xludf.DUMMYFUNCTION("""COMPUTED_VALUE"""),"Kampala")</f>
        <v>Kampala</v>
      </c>
      <c r="B4990" s="9" t="str">
        <f>IFERROR(__xludf.DUMMYFUNCTION("""COMPUTED_VALUE"""),"ug-102")</f>
        <v>ug-102</v>
      </c>
      <c r="C4990" s="9" t="str">
        <f>IFERROR(__xludf.DUMMYFUNCTION("GOOGLETRANSLATE($A4990,""en"",""de"")"),"Kampala")</f>
        <v>Kampala</v>
      </c>
      <c r="D4990" s="9" t="str">
        <f>IFERROR(__xludf.DUMMYFUNCTION("GOOGLETRANSLATE($A4990,""en"",""fr"")"),"Kampala")</f>
        <v>Kampala</v>
      </c>
      <c r="E4990" s="9" t="str">
        <f>IFERROR(__xludf.DUMMYFUNCTION("GOOGLETRANSLATE($A4990,""en"",""es"")"),"Kampala")</f>
        <v>Kampala</v>
      </c>
      <c r="F4990" s="9" t="str">
        <f>IFERROR(__xludf.DUMMYFUNCTION("GOOGLETRANSLATE($A4990,""en"",""it"")"),"Kampala")</f>
        <v>Kampala</v>
      </c>
      <c r="G4990" s="9" t="str">
        <f>IFERROR(__xludf.DUMMYFUNCTION("GOOGLETRANSLATE($A4990,""en"",""zh-cn"")"),"坎帕拉")</f>
        <v>坎帕拉</v>
      </c>
      <c r="H4990" s="9" t="str">
        <f>IFERROR(__xludf.DUMMYFUNCTION("GOOGLETRANSLATE($A4990,""en"",""ja"")"),"カンパラ")</f>
        <v>カンパラ</v>
      </c>
      <c r="I4990" s="9" t="str">
        <f>IFERROR(__xludf.DUMMYFUNCTION("GOOGLETRANSLATE($A4990,""en"",""ko"")"),"캄팔라")</f>
        <v>캄팔라</v>
      </c>
      <c r="J4990" s="9" t="str">
        <f>IFERROR(__xludf.DUMMYFUNCTION("GOOGLETRANSLATE($A4990,""en"",""pt-BR"")"),"Campala")</f>
        <v>Campala</v>
      </c>
    </row>
    <row r="4991">
      <c r="A4991" s="9" t="str">
        <f>IFERROR(__xludf.DUMMYFUNCTION("""COMPUTED_VALUE"""),"Ibanda")</f>
        <v>Ibanda</v>
      </c>
      <c r="B4991" s="9" t="str">
        <f>IFERROR(__xludf.DUMMYFUNCTION("""COMPUTED_VALUE"""),"ug-416")</f>
        <v>ug-416</v>
      </c>
      <c r="C4991" s="9" t="str">
        <f>IFERROR(__xludf.DUMMYFUNCTION("GOOGLETRANSLATE($A4991,""en"",""de"")"),"Ibanda")</f>
        <v>Ibanda</v>
      </c>
      <c r="D4991" s="9" t="str">
        <f>IFERROR(__xludf.DUMMYFUNCTION("GOOGLETRANSLATE($A4991,""en"",""fr"")"),"Ibanda")</f>
        <v>Ibanda</v>
      </c>
      <c r="E4991" s="9" t="str">
        <f>IFERROR(__xludf.DUMMYFUNCTION("GOOGLETRANSLATE($A4991,""en"",""es"")"),"ibanda")</f>
        <v>ibanda</v>
      </c>
      <c r="F4991" s="9" t="str">
        <f>IFERROR(__xludf.DUMMYFUNCTION("GOOGLETRANSLATE($A4991,""en"",""it"")"),"Ibanda")</f>
        <v>Ibanda</v>
      </c>
      <c r="G4991" s="9" t="str">
        <f>IFERROR(__xludf.DUMMYFUNCTION("GOOGLETRANSLATE($A4991,""en"",""zh-cn"")"),"伊班达")</f>
        <v>伊班达</v>
      </c>
      <c r="H4991" s="9" t="str">
        <f>IFERROR(__xludf.DUMMYFUNCTION("GOOGLETRANSLATE($A4991,""en"",""ja"")"),"イバンダ")</f>
        <v>イバンダ</v>
      </c>
      <c r="I4991" s="9" t="str">
        <f>IFERROR(__xludf.DUMMYFUNCTION("GOOGLETRANSLATE($A4991,""en"",""ko"")"),"이반다")</f>
        <v>이반다</v>
      </c>
      <c r="J4991" s="9" t="str">
        <f>IFERROR(__xludf.DUMMYFUNCTION("GOOGLETRANSLATE($A4991,""en"",""pt-BR"")"),"Ibanda")</f>
        <v>Ibanda</v>
      </c>
    </row>
    <row r="4992">
      <c r="A4992" s="9" t="str">
        <f>IFERROR(__xludf.DUMMYFUNCTION("""COMPUTED_VALUE"""),"Masaka")</f>
        <v>Masaka</v>
      </c>
      <c r="B4992" s="9" t="str">
        <f>IFERROR(__xludf.DUMMYFUNCTION("""COMPUTED_VALUE"""),"ug-105")</f>
        <v>ug-105</v>
      </c>
      <c r="C4992" s="9" t="str">
        <f>IFERROR(__xludf.DUMMYFUNCTION("GOOGLETRANSLATE($A4992,""en"",""de"")"),"Masaka")</f>
        <v>Masaka</v>
      </c>
      <c r="D4992" s="9" t="str">
        <f>IFERROR(__xludf.DUMMYFUNCTION("GOOGLETRANSLATE($A4992,""en"",""fr"")"),"Masaka")</f>
        <v>Masaka</v>
      </c>
      <c r="E4992" s="9" t="str">
        <f>IFERROR(__xludf.DUMMYFUNCTION("GOOGLETRANSLATE($A4992,""en"",""es"")"),"Masaka")</f>
        <v>Masaka</v>
      </c>
      <c r="F4992" s="9" t="str">
        <f>IFERROR(__xludf.DUMMYFUNCTION("GOOGLETRANSLATE($A4992,""en"",""it"")"),"Masaka")</f>
        <v>Masaka</v>
      </c>
      <c r="G4992" s="9" t="str">
        <f>IFERROR(__xludf.DUMMYFUNCTION("GOOGLETRANSLATE($A4992,""en"",""zh-cn"")"),"正坂")</f>
        <v>正坂</v>
      </c>
      <c r="H4992" s="9" t="str">
        <f>IFERROR(__xludf.DUMMYFUNCTION("GOOGLETRANSLATE($A4992,""en"",""ja"")"),"マサカ")</f>
        <v>マサカ</v>
      </c>
      <c r="I4992" s="9" t="str">
        <f>IFERROR(__xludf.DUMMYFUNCTION("GOOGLETRANSLATE($A4992,""en"",""ko"")"),"마사카")</f>
        <v>마사카</v>
      </c>
      <c r="J4992" s="9" t="str">
        <f>IFERROR(__xludf.DUMMYFUNCTION("GOOGLETRANSLATE($A4992,""en"",""pt-BR"")"),"Masaka")</f>
        <v>Masaka</v>
      </c>
    </row>
    <row r="4993">
      <c r="A4993" s="9" t="str">
        <f>IFERROR(__xludf.DUMMYFUNCTION("""COMPUTED_VALUE"""),"Mubende")</f>
        <v>Mubende</v>
      </c>
      <c r="B4993" s="9" t="str">
        <f>IFERROR(__xludf.DUMMYFUNCTION("""COMPUTED_VALUE"""),"ug-107")</f>
        <v>ug-107</v>
      </c>
      <c r="C4993" s="9" t="str">
        <f>IFERROR(__xludf.DUMMYFUNCTION("GOOGLETRANSLATE($A4993,""en"",""de"")"),"Mubende")</f>
        <v>Mubende</v>
      </c>
      <c r="D4993" s="9" t="str">
        <f>IFERROR(__xludf.DUMMYFUNCTION("GOOGLETRANSLATE($A4993,""en"",""fr"")"),"Mubende")</f>
        <v>Mubende</v>
      </c>
      <c r="E4993" s="9" t="str">
        <f>IFERROR(__xludf.DUMMYFUNCTION("GOOGLETRANSLATE($A4993,""en"",""es"")"),"Mubende")</f>
        <v>Mubende</v>
      </c>
      <c r="F4993" s="9" t="str">
        <f>IFERROR(__xludf.DUMMYFUNCTION("GOOGLETRANSLATE($A4993,""en"",""it"")"),"Mubende")</f>
        <v>Mubende</v>
      </c>
      <c r="G4993" s="9" t="str">
        <f>IFERROR(__xludf.DUMMYFUNCTION("GOOGLETRANSLATE($A4993,""en"",""zh-cn"")"),"穆本德")</f>
        <v>穆本德</v>
      </c>
      <c r="H4993" s="9" t="str">
        <f>IFERROR(__xludf.DUMMYFUNCTION("GOOGLETRANSLATE($A4993,""en"",""ja"")"),"ムベンデ")</f>
        <v>ムベンデ</v>
      </c>
      <c r="I4993" s="9" t="str">
        <f>IFERROR(__xludf.DUMMYFUNCTION("GOOGLETRANSLATE($A4993,""en"",""ko"")"),"무벤데")</f>
        <v>무벤데</v>
      </c>
      <c r="J4993" s="9" t="str">
        <f>IFERROR(__xludf.DUMMYFUNCTION("GOOGLETRANSLATE($A4993,""en"",""pt-BR"")"),"Mubende")</f>
        <v>Mubende</v>
      </c>
    </row>
    <row r="4994">
      <c r="A4994" s="9" t="str">
        <f>IFERROR(__xludf.DUMMYFUNCTION("""COMPUTED_VALUE"""),"Ntungamo")</f>
        <v>Ntungamo</v>
      </c>
      <c r="B4994" s="9" t="str">
        <f>IFERROR(__xludf.DUMMYFUNCTION("""COMPUTED_VALUE"""),"ug-411")</f>
        <v>ug-411</v>
      </c>
      <c r="C4994" s="9" t="str">
        <f>IFERROR(__xludf.DUMMYFUNCTION("GOOGLETRANSLATE($A4994,""en"",""de"")"),"Ntungamo")</f>
        <v>Ntungamo</v>
      </c>
      <c r="D4994" s="9" t="str">
        <f>IFERROR(__xludf.DUMMYFUNCTION("GOOGLETRANSLATE($A4994,""en"",""fr"")"),"Ntungamo")</f>
        <v>Ntungamo</v>
      </c>
      <c r="E4994" s="9" t="str">
        <f>IFERROR(__xludf.DUMMYFUNCTION("GOOGLETRANSLATE($A4994,""en"",""es"")"),"Ntungamo")</f>
        <v>Ntungamo</v>
      </c>
      <c r="F4994" s="9" t="str">
        <f>IFERROR(__xludf.DUMMYFUNCTION("GOOGLETRANSLATE($A4994,""en"",""it"")"),"Ntungamo")</f>
        <v>Ntungamo</v>
      </c>
      <c r="G4994" s="9" t="str">
        <f>IFERROR(__xludf.DUMMYFUNCTION("GOOGLETRANSLATE($A4994,""en"",""zh-cn"")"),"恩通加莫")</f>
        <v>恩通加莫</v>
      </c>
      <c r="H4994" s="9" t="str">
        <f>IFERROR(__xludf.DUMMYFUNCTION("GOOGLETRANSLATE($A4994,""en"",""ja"")"),"ントゥンガモ")</f>
        <v>ントゥンガモ</v>
      </c>
      <c r="I4994" s="9" t="str">
        <f>IFERROR(__xludf.DUMMYFUNCTION("GOOGLETRANSLATE($A4994,""en"",""ko"")"),"은툰가모")</f>
        <v>은툰가모</v>
      </c>
      <c r="J4994" s="9" t="str">
        <f>IFERROR(__xludf.DUMMYFUNCTION("GOOGLETRANSLATE($A4994,""en"",""pt-BR"")"),"Ntungamo")</f>
        <v>Ntungamo</v>
      </c>
    </row>
    <row r="4995">
      <c r="A4995" s="9" t="str">
        <f>IFERROR(__xludf.DUMMYFUNCTION("""COMPUTED_VALUE"""),"Nebbi")</f>
        <v>Nebbi</v>
      </c>
      <c r="B4995" s="9" t="str">
        <f>IFERROR(__xludf.DUMMYFUNCTION("""COMPUTED_VALUE"""),"ug-310")</f>
        <v>ug-310</v>
      </c>
      <c r="C4995" s="9" t="str">
        <f>IFERROR(__xludf.DUMMYFUNCTION("GOOGLETRANSLATE($A4995,""en"",""de"")"),"Nebbi")</f>
        <v>Nebbi</v>
      </c>
      <c r="D4995" s="9" t="str">
        <f>IFERROR(__xludf.DUMMYFUNCTION("GOOGLETRANSLATE($A4995,""en"",""fr"")"),"Nebbi")</f>
        <v>Nebbi</v>
      </c>
      <c r="E4995" s="9" t="str">
        <f>IFERROR(__xludf.DUMMYFUNCTION("GOOGLETRANSLATE($A4995,""en"",""es"")"),"Nebbi")</f>
        <v>Nebbi</v>
      </c>
      <c r="F4995" s="9" t="str">
        <f>IFERROR(__xludf.DUMMYFUNCTION("GOOGLETRANSLATE($A4995,""en"",""it"")"),"Nebbi")</f>
        <v>Nebbi</v>
      </c>
      <c r="G4995" s="9" t="str">
        <f>IFERROR(__xludf.DUMMYFUNCTION("GOOGLETRANSLATE($A4995,""en"",""zh-cn"")"),"内比")</f>
        <v>内比</v>
      </c>
      <c r="H4995" s="9" t="str">
        <f>IFERROR(__xludf.DUMMYFUNCTION("GOOGLETRANSLATE($A4995,""en"",""ja"")"),"ネビ")</f>
        <v>ネビ</v>
      </c>
      <c r="I4995" s="9" t="str">
        <f>IFERROR(__xludf.DUMMYFUNCTION("GOOGLETRANSLATE($A4995,""en"",""ko"")"),"네비")</f>
        <v>네비</v>
      </c>
      <c r="J4995" s="9" t="str">
        <f>IFERROR(__xludf.DUMMYFUNCTION("GOOGLETRANSLATE($A4995,""en"",""pt-BR"")"),"Nebbi")</f>
        <v>Nebbi</v>
      </c>
    </row>
    <row r="4996">
      <c r="A4996" s="9" t="str">
        <f>IFERROR(__xludf.DUMMYFUNCTION("""COMPUTED_VALUE"""),"Pallisa")</f>
        <v>Pallisa</v>
      </c>
      <c r="B4996" s="9" t="str">
        <f>IFERROR(__xludf.DUMMYFUNCTION("""COMPUTED_VALUE"""),"ug-210")</f>
        <v>ug-210</v>
      </c>
      <c r="C4996" s="9" t="str">
        <f>IFERROR(__xludf.DUMMYFUNCTION("GOOGLETRANSLATE($A4996,""en"",""de"")"),"Pallisa")</f>
        <v>Pallisa</v>
      </c>
      <c r="D4996" s="9" t="str">
        <f>IFERROR(__xludf.DUMMYFUNCTION("GOOGLETRANSLATE($A4996,""en"",""fr"")"),"Palissa")</f>
        <v>Palissa</v>
      </c>
      <c r="E4996" s="9" t="str">
        <f>IFERROR(__xludf.DUMMYFUNCTION("GOOGLETRANSLATE($A4996,""en"",""es"")"),"pallisa")</f>
        <v>pallisa</v>
      </c>
      <c r="F4996" s="9" t="str">
        <f>IFERROR(__xludf.DUMMYFUNCTION("GOOGLETRANSLATE($A4996,""en"",""it"")"),"Pallisa")</f>
        <v>Pallisa</v>
      </c>
      <c r="G4996" s="9" t="str">
        <f>IFERROR(__xludf.DUMMYFUNCTION("GOOGLETRANSLATE($A4996,""en"",""zh-cn"")"),"帕利萨")</f>
        <v>帕利萨</v>
      </c>
      <c r="H4996" s="9" t="str">
        <f>IFERROR(__xludf.DUMMYFUNCTION("GOOGLETRANSLATE($A4996,""en"",""ja"")"),"パリサ")</f>
        <v>パリサ</v>
      </c>
      <c r="I4996" s="9" t="str">
        <f>IFERROR(__xludf.DUMMYFUNCTION("GOOGLETRANSLATE($A4996,""en"",""ko"")"),"팔리사")</f>
        <v>팔리사</v>
      </c>
      <c r="J4996" s="9" t="str">
        <f>IFERROR(__xludf.DUMMYFUNCTION("GOOGLETRANSLATE($A4996,""en"",""pt-BR"")"),"Pallisa")</f>
        <v>Pallisa</v>
      </c>
    </row>
    <row r="4997">
      <c r="A4997" s="9" t="str">
        <f>IFERROR(__xludf.DUMMYFUNCTION("""COMPUTED_VALUE"""),"Bukedea")</f>
        <v>Bukedea</v>
      </c>
      <c r="B4997" s="9" t="str">
        <f>IFERROR(__xludf.DUMMYFUNCTION("""COMPUTED_VALUE"""),"ug-224")</f>
        <v>ug-224</v>
      </c>
      <c r="C4997" s="9" t="str">
        <f>IFERROR(__xludf.DUMMYFUNCTION("GOOGLETRANSLATE($A4997,""en"",""de"")"),"Bukedea")</f>
        <v>Bukedea</v>
      </c>
      <c r="D4997" s="9" t="str">
        <f>IFERROR(__xludf.DUMMYFUNCTION("GOOGLETRANSLATE($A4997,""en"",""fr"")"),"Bukedea")</f>
        <v>Bukedea</v>
      </c>
      <c r="E4997" s="9" t="str">
        <f>IFERROR(__xludf.DUMMYFUNCTION("GOOGLETRANSLATE($A4997,""en"",""es"")"),"Bukedea")</f>
        <v>Bukedea</v>
      </c>
      <c r="F4997" s="9" t="str">
        <f>IFERROR(__xludf.DUMMYFUNCTION("GOOGLETRANSLATE($A4997,""en"",""it"")"),"Bukedea")</f>
        <v>Bukedea</v>
      </c>
      <c r="G4997" s="9" t="str">
        <f>IFERROR(__xludf.DUMMYFUNCTION("GOOGLETRANSLATE($A4997,""en"",""zh-cn"")"),"布克迪亚")</f>
        <v>布克迪亚</v>
      </c>
      <c r="H4997" s="9" t="str">
        <f>IFERROR(__xludf.DUMMYFUNCTION("GOOGLETRANSLATE($A4997,""en"",""ja"")"),"ブケデア")</f>
        <v>ブケデア</v>
      </c>
      <c r="I4997" s="9" t="str">
        <f>IFERROR(__xludf.DUMMYFUNCTION("GOOGLETRANSLATE($A4997,""en"",""ko"")"),"부케디아")</f>
        <v>부케디아</v>
      </c>
      <c r="J4997" s="9" t="str">
        <f>IFERROR(__xludf.DUMMYFUNCTION("GOOGLETRANSLATE($A4997,""en"",""pt-BR"")"),"Bukedea")</f>
        <v>Bukedea</v>
      </c>
    </row>
    <row r="4998">
      <c r="A4998" s="9" t="str">
        <f>IFERROR(__xludf.DUMMYFUNCTION("""COMPUTED_VALUE"""),"Abim")</f>
        <v>Abim</v>
      </c>
      <c r="B4998" s="9" t="str">
        <f>IFERROR(__xludf.DUMMYFUNCTION("""COMPUTED_VALUE"""),"ug-317")</f>
        <v>ug-317</v>
      </c>
      <c r="C4998" s="9" t="str">
        <f>IFERROR(__xludf.DUMMYFUNCTION("GOOGLETRANSLATE($A4998,""en"",""de"")"),"Abim")</f>
        <v>Abim</v>
      </c>
      <c r="D4998" s="9" t="str">
        <f>IFERROR(__xludf.DUMMYFUNCTION("GOOGLETRANSLATE($A4998,""en"",""fr"")"),"Abim")</f>
        <v>Abim</v>
      </c>
      <c r="E4998" s="9" t="str">
        <f>IFERROR(__xludf.DUMMYFUNCTION("GOOGLETRANSLATE($A4998,""en"",""es"")"),"Abim")</f>
        <v>Abim</v>
      </c>
      <c r="F4998" s="9" t="str">
        <f>IFERROR(__xludf.DUMMYFUNCTION("GOOGLETRANSLATE($A4998,""en"",""it"")"),"Abim")</f>
        <v>Abim</v>
      </c>
      <c r="G4998" s="9" t="str">
        <f>IFERROR(__xludf.DUMMYFUNCTION("GOOGLETRANSLATE($A4998,""en"",""zh-cn"")"),"亚比姆")</f>
        <v>亚比姆</v>
      </c>
      <c r="H4998" s="9" t="str">
        <f>IFERROR(__xludf.DUMMYFUNCTION("GOOGLETRANSLATE($A4998,""en"",""ja"")"),"アビム")</f>
        <v>アビム</v>
      </c>
      <c r="I4998" s="9" t="str">
        <f>IFERROR(__xludf.DUMMYFUNCTION("GOOGLETRANSLATE($A4998,""en"",""ko"")"),"아빔")</f>
        <v>아빔</v>
      </c>
      <c r="J4998" s="9" t="str">
        <f>IFERROR(__xludf.DUMMYFUNCTION("GOOGLETRANSLATE($A4998,""en"",""pt-BR"")"),"Abim")</f>
        <v>Abim</v>
      </c>
    </row>
    <row r="4999">
      <c r="A4999" s="9" t="str">
        <f>IFERROR(__xludf.DUMMYFUNCTION("""COMPUTED_VALUE"""),"Namutumba")</f>
        <v>Namutumba</v>
      </c>
      <c r="B4999" s="9" t="str">
        <f>IFERROR(__xludf.DUMMYFUNCTION("""COMPUTED_VALUE"""),"ug-222")</f>
        <v>ug-222</v>
      </c>
      <c r="C4999" s="9" t="str">
        <f>IFERROR(__xludf.DUMMYFUNCTION("GOOGLETRANSLATE($A4999,""en"",""de"")"),"Namutumba")</f>
        <v>Namutumba</v>
      </c>
      <c r="D4999" s="9" t="str">
        <f>IFERROR(__xludf.DUMMYFUNCTION("GOOGLETRANSLATE($A4999,""en"",""fr"")"),"Namutumba")</f>
        <v>Namutumba</v>
      </c>
      <c r="E4999" s="9" t="str">
        <f>IFERROR(__xludf.DUMMYFUNCTION("GOOGLETRANSLATE($A4999,""en"",""es"")"),"Namutumba")</f>
        <v>Namutumba</v>
      </c>
      <c r="F4999" s="9" t="str">
        <f>IFERROR(__xludf.DUMMYFUNCTION("GOOGLETRANSLATE($A4999,""en"",""it"")"),"Namutumba")</f>
        <v>Namutumba</v>
      </c>
      <c r="G4999" s="9" t="str">
        <f>IFERROR(__xludf.DUMMYFUNCTION("GOOGLETRANSLATE($A4999,""en"",""zh-cn"")"),"纳穆通巴")</f>
        <v>纳穆通巴</v>
      </c>
      <c r="H4999" s="9" t="str">
        <f>IFERROR(__xludf.DUMMYFUNCTION("GOOGLETRANSLATE($A4999,""en"",""ja"")"),"ナムトゥンバ")</f>
        <v>ナムトゥンバ</v>
      </c>
      <c r="I4999" s="9" t="str">
        <f>IFERROR(__xludf.DUMMYFUNCTION("GOOGLETRANSLATE($A4999,""en"",""ko"")"),"나무툼바")</f>
        <v>나무툼바</v>
      </c>
      <c r="J4999" s="9" t="str">
        <f>IFERROR(__xludf.DUMMYFUNCTION("GOOGLETRANSLATE($A4999,""en"",""pt-BR"")"),"Namutumba")</f>
        <v>Namutumba</v>
      </c>
    </row>
    <row r="5000">
      <c r="A5000" s="9" t="str">
        <f>IFERROR(__xludf.DUMMYFUNCTION("""COMPUTED_VALUE"""),"Lira")</f>
        <v>Lira</v>
      </c>
      <c r="B5000" s="9" t="str">
        <f>IFERROR(__xludf.DUMMYFUNCTION("""COMPUTED_VALUE"""),"ug-307")</f>
        <v>ug-307</v>
      </c>
      <c r="C5000" s="9" t="str">
        <f>IFERROR(__xludf.DUMMYFUNCTION("GOOGLETRANSLATE($A5000,""en"",""de"")"),"Lira")</f>
        <v>Lira</v>
      </c>
      <c r="D5000" s="9" t="str">
        <f>IFERROR(__xludf.DUMMYFUNCTION("GOOGLETRANSLATE($A5000,""en"",""fr"")"),"Lire")</f>
        <v>Lire</v>
      </c>
      <c r="E5000" s="9" t="str">
        <f>IFERROR(__xludf.DUMMYFUNCTION("GOOGLETRANSLATE($A5000,""en"",""es"")"),"Lira")</f>
        <v>Lira</v>
      </c>
      <c r="F5000" s="9" t="str">
        <f>IFERROR(__xludf.DUMMYFUNCTION("GOOGLETRANSLATE($A5000,""en"",""it"")"),"Lira")</f>
        <v>Lira</v>
      </c>
      <c r="G5000" s="9" t="str">
        <f>IFERROR(__xludf.DUMMYFUNCTION("GOOGLETRANSLATE($A5000,""en"",""zh-cn"")"),"里拉")</f>
        <v>里拉</v>
      </c>
      <c r="H5000" s="9" t="str">
        <f>IFERROR(__xludf.DUMMYFUNCTION("GOOGLETRANSLATE($A5000,""en"",""ja"")"),"リラ")</f>
        <v>リラ</v>
      </c>
      <c r="I5000" s="9" t="str">
        <f>IFERROR(__xludf.DUMMYFUNCTION("GOOGLETRANSLATE($A5000,""en"",""ko"")"),"리라")</f>
        <v>리라</v>
      </c>
      <c r="J5000" s="9" t="str">
        <f>IFERROR(__xludf.DUMMYFUNCTION("GOOGLETRANSLATE($A5000,""en"",""pt-BR"")"),"Lira")</f>
        <v>Lira</v>
      </c>
    </row>
    <row r="5001">
      <c r="A5001" s="9" t="str">
        <f>IFERROR(__xludf.DUMMYFUNCTION("""COMPUTED_VALUE"""),"Isingiro")</f>
        <v>Isingiro</v>
      </c>
      <c r="B5001" s="9" t="str">
        <f>IFERROR(__xludf.DUMMYFUNCTION("""COMPUTED_VALUE"""),"ug-417")</f>
        <v>ug-417</v>
      </c>
      <c r="C5001" s="9" t="str">
        <f>IFERROR(__xludf.DUMMYFUNCTION("GOOGLETRANSLATE($A5001,""en"",""de"")"),"Isingiro")</f>
        <v>Isingiro</v>
      </c>
      <c r="D5001" s="9" t="str">
        <f>IFERROR(__xludf.DUMMYFUNCTION("GOOGLETRANSLATE($A5001,""en"",""fr"")"),"Isingiro")</f>
        <v>Isingiro</v>
      </c>
      <c r="E5001" s="9" t="str">
        <f>IFERROR(__xludf.DUMMYFUNCTION("GOOGLETRANSLATE($A5001,""en"",""es"")"),"Isingiro")</f>
        <v>Isingiro</v>
      </c>
      <c r="F5001" s="9" t="str">
        <f>IFERROR(__xludf.DUMMYFUNCTION("GOOGLETRANSLATE($A5001,""en"",""it"")"),"Isingiro")</f>
        <v>Isingiro</v>
      </c>
      <c r="G5001" s="9" t="str">
        <f>IFERROR(__xludf.DUMMYFUNCTION("GOOGLETRANSLATE($A5001,""en"",""zh-cn"")"),"伊辛吉罗")</f>
        <v>伊辛吉罗</v>
      </c>
      <c r="H5001" s="9" t="str">
        <f>IFERROR(__xludf.DUMMYFUNCTION("GOOGLETRANSLATE($A5001,""en"",""ja"")"),"イシンジロ")</f>
        <v>イシンジロ</v>
      </c>
      <c r="I5001" s="9" t="str">
        <f>IFERROR(__xludf.DUMMYFUNCTION("GOOGLETRANSLATE($A5001,""en"",""ko"")"),"이신기로")</f>
        <v>이신기로</v>
      </c>
      <c r="J5001" s="9" t="str">
        <f>IFERROR(__xludf.DUMMYFUNCTION("GOOGLETRANSLATE($A5001,""en"",""pt-BR"")"),"Isingiro")</f>
        <v>Isingiro</v>
      </c>
    </row>
    <row r="5002">
      <c r="A5002" s="9" t="str">
        <f>IFERROR(__xludf.DUMMYFUNCTION("""COMPUTED_VALUE"""),"Kapchorwa")</f>
        <v>Kapchorwa</v>
      </c>
      <c r="B5002" s="9" t="str">
        <f>IFERROR(__xludf.DUMMYFUNCTION("""COMPUTED_VALUE"""),"ug-206")</f>
        <v>ug-206</v>
      </c>
      <c r="C5002" s="9" t="str">
        <f>IFERROR(__xludf.DUMMYFUNCTION("GOOGLETRANSLATE($A5002,""en"",""de"")"),"Kapchorwa")</f>
        <v>Kapchorwa</v>
      </c>
      <c r="D5002" s="9" t="str">
        <f>IFERROR(__xludf.DUMMYFUNCTION("GOOGLETRANSLATE($A5002,""en"",""fr"")"),"Kapchorwa")</f>
        <v>Kapchorwa</v>
      </c>
      <c r="E5002" s="9" t="str">
        <f>IFERROR(__xludf.DUMMYFUNCTION("GOOGLETRANSLATE($A5002,""en"",""es"")"),"Kapchorwa")</f>
        <v>Kapchorwa</v>
      </c>
      <c r="F5002" s="9" t="str">
        <f>IFERROR(__xludf.DUMMYFUNCTION("GOOGLETRANSLATE($A5002,""en"",""it"")"),"Kapchowa")</f>
        <v>Kapchowa</v>
      </c>
      <c r="G5002" s="9" t="str">
        <f>IFERROR(__xludf.DUMMYFUNCTION("GOOGLETRANSLATE($A5002,""en"",""zh-cn"")"),"卡普乔瓦")</f>
        <v>卡普乔瓦</v>
      </c>
      <c r="H5002" s="9" t="str">
        <f>IFERROR(__xludf.DUMMYFUNCTION("GOOGLETRANSLATE($A5002,""en"",""ja"")"),"カプチョルワ")</f>
        <v>カプチョルワ</v>
      </c>
      <c r="I5002" s="9" t="str">
        <f>IFERROR(__xludf.DUMMYFUNCTION("GOOGLETRANSLATE($A5002,""en"",""ko"")"),"캅초르와")</f>
        <v>캅초르와</v>
      </c>
      <c r="J5002" s="9" t="str">
        <f>IFERROR(__xludf.DUMMYFUNCTION("GOOGLETRANSLATE($A5002,""en"",""pt-BR"")"),"Kapchorwa")</f>
        <v>Kapchorwa</v>
      </c>
    </row>
    <row r="5003">
      <c r="A5003" s="9" t="str">
        <f>IFERROR(__xludf.DUMMYFUNCTION("""COMPUTED_VALUE"""),"Kalangala")</f>
        <v>Kalangala</v>
      </c>
      <c r="B5003" s="9" t="str">
        <f>IFERROR(__xludf.DUMMYFUNCTION("""COMPUTED_VALUE"""),"ug-101")</f>
        <v>ug-101</v>
      </c>
      <c r="C5003" s="9" t="str">
        <f>IFERROR(__xludf.DUMMYFUNCTION("GOOGLETRANSLATE($A5003,""en"",""de"")"),"Kalangala")</f>
        <v>Kalangala</v>
      </c>
      <c r="D5003" s="9" t="str">
        <f>IFERROR(__xludf.DUMMYFUNCTION("GOOGLETRANSLATE($A5003,""en"",""fr"")"),"Kalangala")</f>
        <v>Kalangala</v>
      </c>
      <c r="E5003" s="9" t="str">
        <f>IFERROR(__xludf.DUMMYFUNCTION("GOOGLETRANSLATE($A5003,""en"",""es"")"),"Kalangala")</f>
        <v>Kalangala</v>
      </c>
      <c r="F5003" s="9" t="str">
        <f>IFERROR(__xludf.DUMMYFUNCTION("GOOGLETRANSLATE($A5003,""en"",""it"")"),"Kalangala")</f>
        <v>Kalangala</v>
      </c>
      <c r="G5003" s="9" t="str">
        <f>IFERROR(__xludf.DUMMYFUNCTION("GOOGLETRANSLATE($A5003,""en"",""zh-cn"")"),"卡兰加拉")</f>
        <v>卡兰加拉</v>
      </c>
      <c r="H5003" s="9" t="str">
        <f>IFERROR(__xludf.DUMMYFUNCTION("GOOGLETRANSLATE($A5003,""en"",""ja"")"),"カランガラ")</f>
        <v>カランガラ</v>
      </c>
      <c r="I5003" s="9" t="str">
        <f>IFERROR(__xludf.DUMMYFUNCTION("GOOGLETRANSLATE($A5003,""en"",""ko"")"),"칼랑갈라")</f>
        <v>칼랑갈라</v>
      </c>
      <c r="J5003" s="9" t="str">
        <f>IFERROR(__xludf.DUMMYFUNCTION("GOOGLETRANSLATE($A5003,""en"",""pt-BR"")"),"Kalangala")</f>
        <v>Kalangala</v>
      </c>
    </row>
    <row r="5004">
      <c r="A5004" s="9" t="str">
        <f>IFERROR(__xludf.DUMMYFUNCTION("""COMPUTED_VALUE"""),"Kiboga")</f>
        <v>Kiboga</v>
      </c>
      <c r="B5004" s="9" t="str">
        <f>IFERROR(__xludf.DUMMYFUNCTION("""COMPUTED_VALUE"""),"ug-103")</f>
        <v>ug-103</v>
      </c>
      <c r="C5004" s="9" t="str">
        <f>IFERROR(__xludf.DUMMYFUNCTION("GOOGLETRANSLATE($A5004,""en"",""de"")"),"Kiboga")</f>
        <v>Kiboga</v>
      </c>
      <c r="D5004" s="9" t="str">
        <f>IFERROR(__xludf.DUMMYFUNCTION("GOOGLETRANSLATE($A5004,""en"",""fr"")"),"Kiboga")</f>
        <v>Kiboga</v>
      </c>
      <c r="E5004" s="9" t="str">
        <f>IFERROR(__xludf.DUMMYFUNCTION("GOOGLETRANSLATE($A5004,""en"",""es"")"),"Kiboga")</f>
        <v>Kiboga</v>
      </c>
      <c r="F5004" s="9" t="str">
        <f>IFERROR(__xludf.DUMMYFUNCTION("GOOGLETRANSLATE($A5004,""en"",""it"")"),"Kiboga")</f>
        <v>Kiboga</v>
      </c>
      <c r="G5004" s="9" t="str">
        <f>IFERROR(__xludf.DUMMYFUNCTION("GOOGLETRANSLATE($A5004,""en"",""zh-cn"")"),"基博加")</f>
        <v>基博加</v>
      </c>
      <c r="H5004" s="9" t="str">
        <f>IFERROR(__xludf.DUMMYFUNCTION("GOOGLETRANSLATE($A5004,""en"",""ja"")"),"キボガ")</f>
        <v>キボガ</v>
      </c>
      <c r="I5004" s="9" t="str">
        <f>IFERROR(__xludf.DUMMYFUNCTION("GOOGLETRANSLATE($A5004,""en"",""ko"")"),"키보가")</f>
        <v>키보가</v>
      </c>
      <c r="J5004" s="9" t="str">
        <f>IFERROR(__xludf.DUMMYFUNCTION("GOOGLETRANSLATE($A5004,""en"",""pt-BR"")"),"Kiboga")</f>
        <v>Kiboga</v>
      </c>
    </row>
    <row r="5005">
      <c r="A5005" s="9" t="str">
        <f>IFERROR(__xludf.DUMMYFUNCTION("""COMPUTED_VALUE"""),"Mbarara")</f>
        <v>Mbarara</v>
      </c>
      <c r="B5005" s="9" t="str">
        <f>IFERROR(__xludf.DUMMYFUNCTION("""COMPUTED_VALUE"""),"ug-410")</f>
        <v>ug-410</v>
      </c>
      <c r="C5005" s="9" t="str">
        <f>IFERROR(__xludf.DUMMYFUNCTION("GOOGLETRANSLATE($A5005,""en"",""de"")"),"Mbarara")</f>
        <v>Mbarara</v>
      </c>
      <c r="D5005" s="9" t="str">
        <f>IFERROR(__xludf.DUMMYFUNCTION("GOOGLETRANSLATE($A5005,""en"",""fr"")"),"Mbarara")</f>
        <v>Mbarara</v>
      </c>
      <c r="E5005" s="9" t="str">
        <f>IFERROR(__xludf.DUMMYFUNCTION("GOOGLETRANSLATE($A5005,""en"",""es"")"),"Mbarara")</f>
        <v>Mbarara</v>
      </c>
      <c r="F5005" s="9" t="str">
        <f>IFERROR(__xludf.DUMMYFUNCTION("GOOGLETRANSLATE($A5005,""en"",""it"")"),"Mbarara")</f>
        <v>Mbarara</v>
      </c>
      <c r="G5005" s="9" t="str">
        <f>IFERROR(__xludf.DUMMYFUNCTION("GOOGLETRANSLATE($A5005,""en"",""zh-cn"")"),"姆巴拉拉")</f>
        <v>姆巴拉拉</v>
      </c>
      <c r="H5005" s="9" t="str">
        <f>IFERROR(__xludf.DUMMYFUNCTION("GOOGLETRANSLATE($A5005,""en"",""ja"")"),"ムバララ")</f>
        <v>ムバララ</v>
      </c>
      <c r="I5005" s="9" t="str">
        <f>IFERROR(__xludf.DUMMYFUNCTION("GOOGLETRANSLATE($A5005,""en"",""ko"")"),"음바라라")</f>
        <v>음바라라</v>
      </c>
      <c r="J5005" s="9" t="str">
        <f>IFERROR(__xludf.DUMMYFUNCTION("GOOGLETRANSLATE($A5005,""en"",""pt-BR"")"),"Mbarara")</f>
        <v>Mbarara</v>
      </c>
    </row>
    <row r="5006">
      <c r="A5006" s="9" t="str">
        <f>IFERROR(__xludf.DUMMYFUNCTION("""COMPUTED_VALUE"""),"Kyenjojo")</f>
        <v>Kyenjojo</v>
      </c>
      <c r="B5006" s="9" t="str">
        <f>IFERROR(__xludf.DUMMYFUNCTION("""COMPUTED_VALUE"""),"ug-415")</f>
        <v>ug-415</v>
      </c>
      <c r="C5006" s="9" t="str">
        <f>IFERROR(__xludf.DUMMYFUNCTION("GOOGLETRANSLATE($A5006,""en"",""de"")"),"Kyenjojo")</f>
        <v>Kyenjojo</v>
      </c>
      <c r="D5006" s="9" t="str">
        <f>IFERROR(__xludf.DUMMYFUNCTION("GOOGLETRANSLATE($A5006,""en"",""fr"")"),"Kyenjojo")</f>
        <v>Kyenjojo</v>
      </c>
      <c r="E5006" s="9" t="str">
        <f>IFERROR(__xludf.DUMMYFUNCTION("GOOGLETRANSLATE($A5006,""en"",""es"")"),"Kyenjojo")</f>
        <v>Kyenjojo</v>
      </c>
      <c r="F5006" s="9" t="str">
        <f>IFERROR(__xludf.DUMMYFUNCTION("GOOGLETRANSLATE($A5006,""en"",""it"")"),"Kyenjojo")</f>
        <v>Kyenjojo</v>
      </c>
      <c r="G5006" s="9" t="str">
        <f>IFERROR(__xludf.DUMMYFUNCTION("GOOGLETRANSLATE($A5006,""en"",""zh-cn"")"),"庆城城")</f>
        <v>庆城城</v>
      </c>
      <c r="H5006" s="9" t="str">
        <f>IFERROR(__xludf.DUMMYFUNCTION("GOOGLETRANSLATE($A5006,""en"",""ja"")"),"キョンジョジョ")</f>
        <v>キョンジョジョ</v>
      </c>
      <c r="I5006" s="9" t="str">
        <f>IFERROR(__xludf.DUMMYFUNCTION("GOOGLETRANSLATE($A5006,""en"",""ko"")"),"켄조조")</f>
        <v>켄조조</v>
      </c>
      <c r="J5006" s="9" t="str">
        <f>IFERROR(__xludf.DUMMYFUNCTION("GOOGLETRANSLATE($A5006,""en"",""pt-BR"")"),"Kyenjojo")</f>
        <v>Kyenjojo</v>
      </c>
    </row>
    <row r="5007">
      <c r="A5007" s="9" t="str">
        <f>IFERROR(__xludf.DUMMYFUNCTION("""COMPUTED_VALUE"""),"Kabarole")</f>
        <v>Kabarole</v>
      </c>
      <c r="B5007" s="9" t="str">
        <f>IFERROR(__xludf.DUMMYFUNCTION("""COMPUTED_VALUE"""),"ug-405")</f>
        <v>ug-405</v>
      </c>
      <c r="C5007" s="9" t="str">
        <f>IFERROR(__xludf.DUMMYFUNCTION("GOOGLETRANSLATE($A5007,""en"",""de"")"),"Kabarole")</f>
        <v>Kabarole</v>
      </c>
      <c r="D5007" s="9" t="str">
        <f>IFERROR(__xludf.DUMMYFUNCTION("GOOGLETRANSLATE($A5007,""en"",""fr"")"),"Kabarole")</f>
        <v>Kabarole</v>
      </c>
      <c r="E5007" s="9" t="str">
        <f>IFERROR(__xludf.DUMMYFUNCTION("GOOGLETRANSLATE($A5007,""en"",""es"")"),"Kabarole")</f>
        <v>Kabarole</v>
      </c>
      <c r="F5007" s="9" t="str">
        <f>IFERROR(__xludf.DUMMYFUNCTION("GOOGLETRANSLATE($A5007,""en"",""it"")"),"Kabarole")</f>
        <v>Kabarole</v>
      </c>
      <c r="G5007" s="9" t="str">
        <f>IFERROR(__xludf.DUMMYFUNCTION("GOOGLETRANSLATE($A5007,""en"",""zh-cn"")"),"卡巴罗勒")</f>
        <v>卡巴罗勒</v>
      </c>
      <c r="H5007" s="9" t="str">
        <f>IFERROR(__xludf.DUMMYFUNCTION("GOOGLETRANSLATE($A5007,""en"",""ja"")"),"カバロール")</f>
        <v>カバロール</v>
      </c>
      <c r="I5007" s="9" t="str">
        <f>IFERROR(__xludf.DUMMYFUNCTION("GOOGLETRANSLATE($A5007,""en"",""ko"")"),"카바롤레")</f>
        <v>카바롤레</v>
      </c>
      <c r="J5007" s="9" t="str">
        <f>IFERROR(__xludf.DUMMYFUNCTION("GOOGLETRANSLATE($A5007,""en"",""pt-BR"")"),"Cabarol")</f>
        <v>Cabarol</v>
      </c>
    </row>
    <row r="5008">
      <c r="A5008" s="9" t="str">
        <f>IFERROR(__xludf.DUMMYFUNCTION("""COMPUTED_VALUE"""),"Soroti")</f>
        <v>Soroti</v>
      </c>
      <c r="B5008" s="9" t="str">
        <f>IFERROR(__xludf.DUMMYFUNCTION("""COMPUTED_VALUE"""),"ug-211")</f>
        <v>ug-211</v>
      </c>
      <c r="C5008" s="9" t="str">
        <f>IFERROR(__xludf.DUMMYFUNCTION("GOOGLETRANSLATE($A5008,""en"",""de"")"),"Soroti")</f>
        <v>Soroti</v>
      </c>
      <c r="D5008" s="9" t="str">
        <f>IFERROR(__xludf.DUMMYFUNCTION("GOOGLETRANSLATE($A5008,""en"",""fr"")"),"Soroti")</f>
        <v>Soroti</v>
      </c>
      <c r="E5008" s="9" t="str">
        <f>IFERROR(__xludf.DUMMYFUNCTION("GOOGLETRANSLATE($A5008,""en"",""es"")"),"sorotí")</f>
        <v>sorotí</v>
      </c>
      <c r="F5008" s="9" t="str">
        <f>IFERROR(__xludf.DUMMYFUNCTION("GOOGLETRANSLATE($A5008,""en"",""it"")"),"Soroti")</f>
        <v>Soroti</v>
      </c>
      <c r="G5008" s="9" t="str">
        <f>IFERROR(__xludf.DUMMYFUNCTION("GOOGLETRANSLATE($A5008,""en"",""zh-cn"")"),"索罗蒂")</f>
        <v>索罗蒂</v>
      </c>
      <c r="H5008" s="9" t="str">
        <f>IFERROR(__xludf.DUMMYFUNCTION("GOOGLETRANSLATE($A5008,""en"",""ja"")"),"ソロティ")</f>
        <v>ソロティ</v>
      </c>
      <c r="I5008" s="9" t="str">
        <f>IFERROR(__xludf.DUMMYFUNCTION("GOOGLETRANSLATE($A5008,""en"",""ko"")"),"소로티")</f>
        <v>소로티</v>
      </c>
      <c r="J5008" s="9" t="str">
        <f>IFERROR(__xludf.DUMMYFUNCTION("GOOGLETRANSLATE($A5008,""en"",""pt-BR"")"),"Soroti")</f>
        <v>Soroti</v>
      </c>
    </row>
    <row r="5009">
      <c r="A5009" s="9" t="str">
        <f>IFERROR(__xludf.DUMMYFUNCTION("""COMPUTED_VALUE"""),"Lyantonde")</f>
        <v>Lyantonde</v>
      </c>
      <c r="B5009" s="9" t="str">
        <f>IFERROR(__xludf.DUMMYFUNCTION("""COMPUTED_VALUE"""),"ug-116")</f>
        <v>ug-116</v>
      </c>
      <c r="C5009" s="9" t="str">
        <f>IFERROR(__xludf.DUMMYFUNCTION("GOOGLETRANSLATE($A5009,""en"",""de"")"),"Lyantonde")</f>
        <v>Lyantonde</v>
      </c>
      <c r="D5009" s="9" t="str">
        <f>IFERROR(__xludf.DUMMYFUNCTION("GOOGLETRANSLATE($A5009,""en"",""fr"")"),"Lyantonde")</f>
        <v>Lyantonde</v>
      </c>
      <c r="E5009" s="9" t="str">
        <f>IFERROR(__xludf.DUMMYFUNCTION("GOOGLETRANSLATE($A5009,""en"",""es"")"),"Lyantonde")</f>
        <v>Lyantonde</v>
      </c>
      <c r="F5009" s="9" t="str">
        <f>IFERROR(__xludf.DUMMYFUNCTION("GOOGLETRANSLATE($A5009,""en"",""it"")"),"Lyantonde")</f>
        <v>Lyantonde</v>
      </c>
      <c r="G5009" s="9" t="str">
        <f>IFERROR(__xludf.DUMMYFUNCTION("GOOGLETRANSLATE($A5009,""en"",""zh-cn"")"),"利安东德")</f>
        <v>利安东德</v>
      </c>
      <c r="H5009" s="9" t="str">
        <f>IFERROR(__xludf.DUMMYFUNCTION("GOOGLETRANSLATE($A5009,""en"",""ja"")"),"ライアントンデ")</f>
        <v>ライアントンデ</v>
      </c>
      <c r="I5009" s="9" t="str">
        <f>IFERROR(__xludf.DUMMYFUNCTION("GOOGLETRANSLATE($A5009,""en"",""ko"")"),"리안톤드")</f>
        <v>리안톤드</v>
      </c>
      <c r="J5009" s="9" t="str">
        <f>IFERROR(__xludf.DUMMYFUNCTION("GOOGLETRANSLATE($A5009,""en"",""pt-BR"")"),"Lyantonde")</f>
        <v>Lyantonde</v>
      </c>
    </row>
    <row r="5010">
      <c r="A5010" s="9" t="str">
        <f>IFERROR(__xludf.DUMMYFUNCTION("""COMPUTED_VALUE"""),"Butaleja")</f>
        <v>Butaleja</v>
      </c>
      <c r="B5010" s="9" t="str">
        <f>IFERROR(__xludf.DUMMYFUNCTION("""COMPUTED_VALUE"""),"ug-219")</f>
        <v>ug-219</v>
      </c>
      <c r="C5010" s="9" t="str">
        <f>IFERROR(__xludf.DUMMYFUNCTION("GOOGLETRANSLATE($A5010,""en"",""de"")"),"Butaleja")</f>
        <v>Butaleja</v>
      </c>
      <c r="D5010" s="9" t="str">
        <f>IFERROR(__xludf.DUMMYFUNCTION("GOOGLETRANSLATE($A5010,""en"",""fr"")"),"Butaleja")</f>
        <v>Butaleja</v>
      </c>
      <c r="E5010" s="9" t="str">
        <f>IFERROR(__xludf.DUMMYFUNCTION("GOOGLETRANSLATE($A5010,""en"",""es"")"),"Butaleja")</f>
        <v>Butaleja</v>
      </c>
      <c r="F5010" s="9" t="str">
        <f>IFERROR(__xludf.DUMMYFUNCTION("GOOGLETRANSLATE($A5010,""en"",""it"")"),"Butaleja")</f>
        <v>Butaleja</v>
      </c>
      <c r="G5010" s="9" t="str">
        <f>IFERROR(__xludf.DUMMYFUNCTION("GOOGLETRANSLATE($A5010,""en"",""zh-cn"")"),"布塔莱贾")</f>
        <v>布塔莱贾</v>
      </c>
      <c r="H5010" s="9" t="str">
        <f>IFERROR(__xludf.DUMMYFUNCTION("GOOGLETRANSLATE($A5010,""en"",""ja"")"),"ブタレハ")</f>
        <v>ブタレハ</v>
      </c>
      <c r="I5010" s="9" t="str">
        <f>IFERROR(__xludf.DUMMYFUNCTION("GOOGLETRANSLATE($A5010,""en"",""ko"")"),"부탈레자")</f>
        <v>부탈레자</v>
      </c>
      <c r="J5010" s="9" t="str">
        <f>IFERROR(__xludf.DUMMYFUNCTION("GOOGLETRANSLATE($A5010,""en"",""pt-BR"")"),"Butaleja")</f>
        <v>Butaleja</v>
      </c>
    </row>
    <row r="5011">
      <c r="A5011" s="9" t="str">
        <f>IFERROR(__xludf.DUMMYFUNCTION("""COMPUTED_VALUE"""),"Buliisa")</f>
        <v>Buliisa</v>
      </c>
      <c r="B5011" s="9" t="str">
        <f>IFERROR(__xludf.DUMMYFUNCTION("""COMPUTED_VALUE"""),"ug-419")</f>
        <v>ug-419</v>
      </c>
      <c r="C5011" s="9" t="str">
        <f>IFERROR(__xludf.DUMMYFUNCTION("GOOGLETRANSLATE($A5011,""en"",""de"")"),"Buliisa")</f>
        <v>Buliisa</v>
      </c>
      <c r="D5011" s="9" t="str">
        <f>IFERROR(__xludf.DUMMYFUNCTION("GOOGLETRANSLATE($A5011,""en"",""fr"")"),"Bouliisa")</f>
        <v>Bouliisa</v>
      </c>
      <c r="E5011" s="9" t="str">
        <f>IFERROR(__xludf.DUMMYFUNCTION("GOOGLETRANSLATE($A5011,""en"",""es"")"),"buliasa")</f>
        <v>buliasa</v>
      </c>
      <c r="F5011" s="9" t="str">
        <f>IFERROR(__xludf.DUMMYFUNCTION("GOOGLETRANSLATE($A5011,""en"",""it"")"),"Bulisa")</f>
        <v>Bulisa</v>
      </c>
      <c r="G5011" s="9" t="str">
        <f>IFERROR(__xludf.DUMMYFUNCTION("GOOGLETRANSLATE($A5011,""en"",""zh-cn"")"),"布利萨")</f>
        <v>布利萨</v>
      </c>
      <c r="H5011" s="9" t="str">
        <f>IFERROR(__xludf.DUMMYFUNCTION("GOOGLETRANSLATE($A5011,""en"",""ja"")"),"ブリイサ")</f>
        <v>ブリイサ</v>
      </c>
      <c r="I5011" s="9" t="str">
        <f>IFERROR(__xludf.DUMMYFUNCTION("GOOGLETRANSLATE($A5011,""en"",""ko"")"),"불리사")</f>
        <v>불리사</v>
      </c>
      <c r="J5011" s="9" t="str">
        <f>IFERROR(__xludf.DUMMYFUNCTION("GOOGLETRANSLATE($A5011,""en"",""pt-BR"")"),"Buliisa")</f>
        <v>Buliisa</v>
      </c>
    </row>
    <row r="5012">
      <c r="A5012" s="9" t="str">
        <f>IFERROR(__xludf.DUMMYFUNCTION("""COMPUTED_VALUE"""),"Bundibugyo")</f>
        <v>Bundibugyo</v>
      </c>
      <c r="B5012" s="9" t="str">
        <f>IFERROR(__xludf.DUMMYFUNCTION("""COMPUTED_VALUE"""),"ug-401")</f>
        <v>ug-401</v>
      </c>
      <c r="C5012" s="9" t="str">
        <f>IFERROR(__xludf.DUMMYFUNCTION("GOOGLETRANSLATE($A5012,""en"",""de"")"),"Bundibugyo")</f>
        <v>Bundibugyo</v>
      </c>
      <c r="D5012" s="9" t="str">
        <f>IFERROR(__xludf.DUMMYFUNCTION("GOOGLETRANSLATE($A5012,""en"",""fr"")"),"Bundibugyo")</f>
        <v>Bundibugyo</v>
      </c>
      <c r="E5012" s="9" t="str">
        <f>IFERROR(__xludf.DUMMYFUNCTION("GOOGLETRANSLATE($A5012,""en"",""es"")"),"Bundibugyo")</f>
        <v>Bundibugyo</v>
      </c>
      <c r="F5012" s="9" t="str">
        <f>IFERROR(__xludf.DUMMYFUNCTION("GOOGLETRANSLATE($A5012,""en"",""it"")"),"Bundibugyo")</f>
        <v>Bundibugyo</v>
      </c>
      <c r="G5012" s="9" t="str">
        <f>IFERROR(__xludf.DUMMYFUNCTION("GOOGLETRANSLATE($A5012,""en"",""zh-cn"")"),"本迪布焦")</f>
        <v>本迪布焦</v>
      </c>
      <c r="H5012" s="9" t="str">
        <f>IFERROR(__xludf.DUMMYFUNCTION("GOOGLETRANSLATE($A5012,""en"",""ja"")"),"ブンディ奉行")</f>
        <v>ブンディ奉行</v>
      </c>
      <c r="I5012" s="9" t="str">
        <f>IFERROR(__xludf.DUMMYFUNCTION("GOOGLETRANSLATE($A5012,""en"",""ko"")"),"분디부교")</f>
        <v>분디부교</v>
      </c>
      <c r="J5012" s="9" t="str">
        <f>IFERROR(__xludf.DUMMYFUNCTION("GOOGLETRANSLATE($A5012,""en"",""pt-BR"")"),"Bundibugyo")</f>
        <v>Bundibugyo</v>
      </c>
    </row>
    <row r="5013">
      <c r="A5013" s="9" t="str">
        <f>IFERROR(__xludf.DUMMYFUNCTION("""COMPUTED_VALUE"""),"Eastern (UG)")</f>
        <v>Eastern (UG)</v>
      </c>
      <c r="B5013" s="9" t="str">
        <f>IFERROR(__xludf.DUMMYFUNCTION("""COMPUTED_VALUE"""),"ug-e")</f>
        <v>ug-e</v>
      </c>
      <c r="C5013" s="9" t="str">
        <f>IFERROR(__xludf.DUMMYFUNCTION("GOOGLETRANSLATE($A5013,""en"",""de"")"),"Ost (UG)")</f>
        <v>Ost (UG)</v>
      </c>
      <c r="D5013" s="9" t="str">
        <f>IFERROR(__xludf.DUMMYFUNCTION("GOOGLETRANSLATE($A5013,""en"",""fr"")"),"Est (UG)")</f>
        <v>Est (UG)</v>
      </c>
      <c r="E5013" s="9" t="str">
        <f>IFERROR(__xludf.DUMMYFUNCTION("GOOGLETRANSLATE($A5013,""en"",""es"")"),"Este (UG)")</f>
        <v>Este (UG)</v>
      </c>
      <c r="F5013" s="9" t="str">
        <f>IFERROR(__xludf.DUMMYFUNCTION("GOOGLETRANSLATE($A5013,""en"",""it"")"),"Orientale (UG)")</f>
        <v>Orientale (UG)</v>
      </c>
      <c r="G5013" s="9" t="str">
        <f>IFERROR(__xludf.DUMMYFUNCTION("GOOGLETRANSLATE($A5013,""en"",""zh-cn"")"),"东部 (UG)")</f>
        <v>东部 (UG)</v>
      </c>
      <c r="H5013" s="9" t="str">
        <f>IFERROR(__xludf.DUMMYFUNCTION("GOOGLETRANSLATE($A5013,""en"",""ja"")"),"東部 (UG)")</f>
        <v>東部 (UG)</v>
      </c>
      <c r="I5013" s="9" t="str">
        <f>IFERROR(__xludf.DUMMYFUNCTION("GOOGLETRANSLATE($A5013,""en"",""ko"")"),"동부(UG)")</f>
        <v>동부(UG)</v>
      </c>
      <c r="J5013" s="9" t="str">
        <f>IFERROR(__xludf.DUMMYFUNCTION("GOOGLETRANSLATE($A5013,""en"",""pt-BR"")"),"Leste (UG)")</f>
        <v>Leste (UG)</v>
      </c>
    </row>
    <row r="5014">
      <c r="A5014" s="9" t="str">
        <f>IFERROR(__xludf.DUMMYFUNCTION("""COMPUTED_VALUE"""),"Maracha")</f>
        <v>Maracha</v>
      </c>
      <c r="B5014" s="9" t="str">
        <f>IFERROR(__xludf.DUMMYFUNCTION("""COMPUTED_VALUE"""),"ug-320")</f>
        <v>ug-320</v>
      </c>
      <c r="C5014" s="9" t="str">
        <f>IFERROR(__xludf.DUMMYFUNCTION("GOOGLETRANSLATE($A5014,""en"",""de"")"),"Maracha")</f>
        <v>Maracha</v>
      </c>
      <c r="D5014" s="9" t="str">
        <f>IFERROR(__xludf.DUMMYFUNCTION("GOOGLETRANSLATE($A5014,""en"",""fr"")"),"Maracha")</f>
        <v>Maracha</v>
      </c>
      <c r="E5014" s="9" t="str">
        <f>IFERROR(__xludf.DUMMYFUNCTION("GOOGLETRANSLATE($A5014,""en"",""es"")"),"Maracha")</f>
        <v>Maracha</v>
      </c>
      <c r="F5014" s="9" t="str">
        <f>IFERROR(__xludf.DUMMYFUNCTION("GOOGLETRANSLATE($A5014,""en"",""it"")"),"Maracha")</f>
        <v>Maracha</v>
      </c>
      <c r="G5014" s="9" t="str">
        <f>IFERROR(__xludf.DUMMYFUNCTION("GOOGLETRANSLATE($A5014,""en"",""zh-cn"")"),"马拉查")</f>
        <v>马拉查</v>
      </c>
      <c r="H5014" s="9" t="str">
        <f>IFERROR(__xludf.DUMMYFUNCTION("GOOGLETRANSLATE($A5014,""en"",""ja"")"),"マラハ")</f>
        <v>マラハ</v>
      </c>
      <c r="I5014" s="9" t="str">
        <f>IFERROR(__xludf.DUMMYFUNCTION("GOOGLETRANSLATE($A5014,""en"",""ko"")"),"마라차")</f>
        <v>마라차</v>
      </c>
      <c r="J5014" s="9" t="str">
        <f>IFERROR(__xludf.DUMMYFUNCTION("GOOGLETRANSLATE($A5014,""en"",""pt-BR"")"),"Marachá")</f>
        <v>Marachá</v>
      </c>
    </row>
    <row r="5015">
      <c r="A5015" s="9" t="str">
        <f>IFERROR(__xludf.DUMMYFUNCTION("""COMPUTED_VALUE"""),"Rakai")</f>
        <v>Rakai</v>
      </c>
      <c r="B5015" s="9" t="str">
        <f>IFERROR(__xludf.DUMMYFUNCTION("""COMPUTED_VALUE"""),"ug-110")</f>
        <v>ug-110</v>
      </c>
      <c r="C5015" s="9" t="str">
        <f>IFERROR(__xludf.DUMMYFUNCTION("GOOGLETRANSLATE($A5015,""en"",""de"")"),"Rakai")</f>
        <v>Rakai</v>
      </c>
      <c r="D5015" s="9" t="str">
        <f>IFERROR(__xludf.DUMMYFUNCTION("GOOGLETRANSLATE($A5015,""en"",""fr"")"),"Rakaï")</f>
        <v>Rakaï</v>
      </c>
      <c r="E5015" s="9" t="str">
        <f>IFERROR(__xludf.DUMMYFUNCTION("GOOGLETRANSLATE($A5015,""en"",""es"")"),"rakai")</f>
        <v>rakai</v>
      </c>
      <c r="F5015" s="9" t="str">
        <f>IFERROR(__xludf.DUMMYFUNCTION("GOOGLETRANSLATE($A5015,""en"",""it"")"),"Rakai")</f>
        <v>Rakai</v>
      </c>
      <c r="G5015" s="9" t="str">
        <f>IFERROR(__xludf.DUMMYFUNCTION("GOOGLETRANSLATE($A5015,""en"",""zh-cn"")"),"拉凯")</f>
        <v>拉凯</v>
      </c>
      <c r="H5015" s="9" t="str">
        <f>IFERROR(__xludf.DUMMYFUNCTION("GOOGLETRANSLATE($A5015,""en"",""ja"")"),"ラカイ")</f>
        <v>ラカイ</v>
      </c>
      <c r="I5015" s="9" t="str">
        <f>IFERROR(__xludf.DUMMYFUNCTION("GOOGLETRANSLATE($A5015,""en"",""ko"")"),"라카이")</f>
        <v>라카이</v>
      </c>
      <c r="J5015" s="9" t="str">
        <f>IFERROR(__xludf.DUMMYFUNCTION("GOOGLETRANSLATE($A5015,""en"",""pt-BR"")"),"Rakai")</f>
        <v>Rakai</v>
      </c>
    </row>
    <row r="5016">
      <c r="A5016" s="9" t="str">
        <f>IFERROR(__xludf.DUMMYFUNCTION("""COMPUTED_VALUE"""),"Moroto")</f>
        <v>Moroto</v>
      </c>
      <c r="B5016" s="9" t="str">
        <f>IFERROR(__xludf.DUMMYFUNCTION("""COMPUTED_VALUE"""),"ug-308")</f>
        <v>ug-308</v>
      </c>
      <c r="C5016" s="9" t="str">
        <f>IFERROR(__xludf.DUMMYFUNCTION("GOOGLETRANSLATE($A5016,""en"",""de"")"),"Moroto")</f>
        <v>Moroto</v>
      </c>
      <c r="D5016" s="9" t="str">
        <f>IFERROR(__xludf.DUMMYFUNCTION("GOOGLETRANSLATE($A5016,""en"",""fr"")"),"Moroto")</f>
        <v>Moroto</v>
      </c>
      <c r="E5016" s="9" t="str">
        <f>IFERROR(__xludf.DUMMYFUNCTION("GOOGLETRANSLATE($A5016,""en"",""es"")"),"Moroto")</f>
        <v>Moroto</v>
      </c>
      <c r="F5016" s="9" t="str">
        <f>IFERROR(__xludf.DUMMYFUNCTION("GOOGLETRANSLATE($A5016,""en"",""it"")"),"Moroto")</f>
        <v>Moroto</v>
      </c>
      <c r="G5016" s="9" t="str">
        <f>IFERROR(__xludf.DUMMYFUNCTION("GOOGLETRANSLATE($A5016,""en"",""zh-cn"")"),"莫罗托")</f>
        <v>莫罗托</v>
      </c>
      <c r="H5016" s="9" t="str">
        <f>IFERROR(__xludf.DUMMYFUNCTION("GOOGLETRANSLATE($A5016,""en"",""ja"")"),"諸戸")</f>
        <v>諸戸</v>
      </c>
      <c r="I5016" s="9" t="str">
        <f>IFERROR(__xludf.DUMMYFUNCTION("GOOGLETRANSLATE($A5016,""en"",""ko"")"),"모로토")</f>
        <v>모로토</v>
      </c>
      <c r="J5016" s="9" t="str">
        <f>IFERROR(__xludf.DUMMYFUNCTION("GOOGLETRANSLATE($A5016,""en"",""pt-BR"")"),"Moroto")</f>
        <v>Moroto</v>
      </c>
    </row>
    <row r="5017">
      <c r="A5017" s="9" t="str">
        <f>IFERROR(__xludf.DUMMYFUNCTION("""COMPUTED_VALUE"""),"Adjumani")</f>
        <v>Adjumani</v>
      </c>
      <c r="B5017" s="9" t="str">
        <f>IFERROR(__xludf.DUMMYFUNCTION("""COMPUTED_VALUE"""),"ug-301")</f>
        <v>ug-301</v>
      </c>
      <c r="C5017" s="9" t="str">
        <f>IFERROR(__xludf.DUMMYFUNCTION("GOOGLETRANSLATE($A5017,""en"",""de"")"),"Adjumani")</f>
        <v>Adjumani</v>
      </c>
      <c r="D5017" s="9" t="str">
        <f>IFERROR(__xludf.DUMMYFUNCTION("GOOGLETRANSLATE($A5017,""en"",""fr"")"),"Adjumani")</f>
        <v>Adjumani</v>
      </c>
      <c r="E5017" s="9" t="str">
        <f>IFERROR(__xludf.DUMMYFUNCTION("GOOGLETRANSLATE($A5017,""en"",""es"")"),"Adjumani")</f>
        <v>Adjumani</v>
      </c>
      <c r="F5017" s="9" t="str">
        <f>IFERROR(__xludf.DUMMYFUNCTION("GOOGLETRANSLATE($A5017,""en"",""it"")"),"Adjumani")</f>
        <v>Adjumani</v>
      </c>
      <c r="G5017" s="9" t="str">
        <f>IFERROR(__xludf.DUMMYFUNCTION("GOOGLETRANSLATE($A5017,""en"",""zh-cn"")"),"阿朱马尼")</f>
        <v>阿朱马尼</v>
      </c>
      <c r="H5017" s="9" t="str">
        <f>IFERROR(__xludf.DUMMYFUNCTION("GOOGLETRANSLATE($A5017,""en"",""ja"")"),"アジュマニ")</f>
        <v>アジュマニ</v>
      </c>
      <c r="I5017" s="9" t="str">
        <f>IFERROR(__xludf.DUMMYFUNCTION("GOOGLETRANSLATE($A5017,""en"",""ko"")"),"아주마니")</f>
        <v>아주마니</v>
      </c>
      <c r="J5017" s="9" t="str">
        <f>IFERROR(__xludf.DUMMYFUNCTION("GOOGLETRANSLATE($A5017,""en"",""pt-BR"")"),"Adjumani")</f>
        <v>Adjumani</v>
      </c>
    </row>
    <row r="5018">
      <c r="A5018" s="9" t="str">
        <f>IFERROR(__xludf.DUMMYFUNCTION("""COMPUTED_VALUE"""),"Yumbe")</f>
        <v>Yumbe</v>
      </c>
      <c r="B5018" s="9" t="str">
        <f>IFERROR(__xludf.DUMMYFUNCTION("""COMPUTED_VALUE"""),"ug-313")</f>
        <v>ug-313</v>
      </c>
      <c r="C5018" s="9" t="str">
        <f>IFERROR(__xludf.DUMMYFUNCTION("GOOGLETRANSLATE($A5018,""en"",""de"")"),"Yumbe")</f>
        <v>Yumbe</v>
      </c>
      <c r="D5018" s="9" t="str">
        <f>IFERROR(__xludf.DUMMYFUNCTION("GOOGLETRANSLATE($A5018,""en"",""fr"")"),"Yumbe")</f>
        <v>Yumbe</v>
      </c>
      <c r="E5018" s="9" t="str">
        <f>IFERROR(__xludf.DUMMYFUNCTION("GOOGLETRANSLATE($A5018,""en"",""es"")"),"yumbé")</f>
        <v>yumbé</v>
      </c>
      <c r="F5018" s="9" t="str">
        <f>IFERROR(__xludf.DUMMYFUNCTION("GOOGLETRANSLATE($A5018,""en"",""it"")"),"Yumbe")</f>
        <v>Yumbe</v>
      </c>
      <c r="G5018" s="9" t="str">
        <f>IFERROR(__xludf.DUMMYFUNCTION("GOOGLETRANSLATE($A5018,""en"",""zh-cn"")"),"永贝")</f>
        <v>永贝</v>
      </c>
      <c r="H5018" s="9" t="str">
        <f>IFERROR(__xludf.DUMMYFUNCTION("GOOGLETRANSLATE($A5018,""en"",""ja"")"),"ユンベ")</f>
        <v>ユンベ</v>
      </c>
      <c r="I5018" s="9" t="str">
        <f>IFERROR(__xludf.DUMMYFUNCTION("GOOGLETRANSLATE($A5018,""en"",""ko"")"),"냠베")</f>
        <v>냠베</v>
      </c>
      <c r="J5018" s="9" t="str">
        <f>IFERROR(__xludf.DUMMYFUNCTION("GOOGLETRANSLATE($A5018,""en"",""pt-BR"")"),"Yumbe")</f>
        <v>Yumbe</v>
      </c>
    </row>
    <row r="5019">
      <c r="A5019" s="9" t="str">
        <f>IFERROR(__xludf.DUMMYFUNCTION("""COMPUTED_VALUE"""),"Budaka")</f>
        <v>Budaka</v>
      </c>
      <c r="B5019" s="9" t="str">
        <f>IFERROR(__xludf.DUMMYFUNCTION("""COMPUTED_VALUE"""),"ug-217")</f>
        <v>ug-217</v>
      </c>
      <c r="C5019" s="9" t="str">
        <f>IFERROR(__xludf.DUMMYFUNCTION("GOOGLETRANSLATE($A5019,""en"",""de"")"),"Budaka")</f>
        <v>Budaka</v>
      </c>
      <c r="D5019" s="9" t="str">
        <f>IFERROR(__xludf.DUMMYFUNCTION("GOOGLETRANSLATE($A5019,""en"",""fr"")"),"Boudaka")</f>
        <v>Boudaka</v>
      </c>
      <c r="E5019" s="9" t="str">
        <f>IFERROR(__xludf.DUMMYFUNCTION("GOOGLETRANSLATE($A5019,""en"",""es"")"),"budaka")</f>
        <v>budaka</v>
      </c>
      <c r="F5019" s="9" t="str">
        <f>IFERROR(__xludf.DUMMYFUNCTION("GOOGLETRANSLATE($A5019,""en"",""it"")"),"Budaka")</f>
        <v>Budaka</v>
      </c>
      <c r="G5019" s="9" t="str">
        <f>IFERROR(__xludf.DUMMYFUNCTION("GOOGLETRANSLATE($A5019,""en"",""zh-cn"")"),"布达卡")</f>
        <v>布达卡</v>
      </c>
      <c r="H5019" s="9" t="str">
        <f>IFERROR(__xludf.DUMMYFUNCTION("GOOGLETRANSLATE($A5019,""en"",""ja"")"),"ブダカ")</f>
        <v>ブダカ</v>
      </c>
      <c r="I5019" s="9" t="str">
        <f>IFERROR(__xludf.DUMMYFUNCTION("GOOGLETRANSLATE($A5019,""en"",""ko"")"),"부다카")</f>
        <v>부다카</v>
      </c>
      <c r="J5019" s="9" t="str">
        <f>IFERROR(__xludf.DUMMYFUNCTION("GOOGLETRANSLATE($A5019,""en"",""pt-BR"")"),"Budaka")</f>
        <v>Budaka</v>
      </c>
    </row>
    <row r="5020">
      <c r="A5020" s="9" t="str">
        <f>IFERROR(__xludf.DUMMYFUNCTION("""COMPUTED_VALUE"""),"Kamwenge")</f>
        <v>Kamwenge</v>
      </c>
      <c r="B5020" s="9" t="str">
        <f>IFERROR(__xludf.DUMMYFUNCTION("""COMPUTED_VALUE"""),"ug-413")</f>
        <v>ug-413</v>
      </c>
      <c r="C5020" s="9" t="str">
        <f>IFERROR(__xludf.DUMMYFUNCTION("GOOGLETRANSLATE($A5020,""en"",""de"")"),"Kamwenge")</f>
        <v>Kamwenge</v>
      </c>
      <c r="D5020" s="9" t="str">
        <f>IFERROR(__xludf.DUMMYFUNCTION("GOOGLETRANSLATE($A5020,""en"",""fr"")"),"Kamwenge")</f>
        <v>Kamwenge</v>
      </c>
      <c r="E5020" s="9" t="str">
        <f>IFERROR(__xludf.DUMMYFUNCTION("GOOGLETRANSLATE($A5020,""en"",""es"")"),"Kamwenge")</f>
        <v>Kamwenge</v>
      </c>
      <c r="F5020" s="9" t="str">
        <f>IFERROR(__xludf.DUMMYFUNCTION("GOOGLETRANSLATE($A5020,""en"",""it"")"),"Kamwenge")</f>
        <v>Kamwenge</v>
      </c>
      <c r="G5020" s="9" t="str">
        <f>IFERROR(__xludf.DUMMYFUNCTION("GOOGLETRANSLATE($A5020,""en"",""zh-cn"")"),"卡姆文格")</f>
        <v>卡姆文格</v>
      </c>
      <c r="H5020" s="9" t="str">
        <f>IFERROR(__xludf.DUMMYFUNCTION("GOOGLETRANSLATE($A5020,""en"",""ja"")"),"カムウェンジ")</f>
        <v>カムウェンジ</v>
      </c>
      <c r="I5020" s="9" t="str">
        <f>IFERROR(__xludf.DUMMYFUNCTION("GOOGLETRANSLATE($A5020,""en"",""ko"")"),"캄웬게")</f>
        <v>캄웬게</v>
      </c>
      <c r="J5020" s="9" t="str">
        <f>IFERROR(__xludf.DUMMYFUNCTION("GOOGLETRANSLATE($A5020,""en"",""pt-BR"")"),"Kamwenge")</f>
        <v>Kamwenge</v>
      </c>
    </row>
    <row r="5021">
      <c r="A5021" s="9" t="str">
        <f>IFERROR(__xludf.DUMMYFUNCTION("""COMPUTED_VALUE"""),"Kibaale")</f>
        <v>Kibaale</v>
      </c>
      <c r="B5021" s="9" t="str">
        <f>IFERROR(__xludf.DUMMYFUNCTION("""COMPUTED_VALUE"""),"ug-407")</f>
        <v>ug-407</v>
      </c>
      <c r="C5021" s="9" t="str">
        <f>IFERROR(__xludf.DUMMYFUNCTION("GOOGLETRANSLATE($A5021,""en"",""de"")"),"Kibaale")</f>
        <v>Kibaale</v>
      </c>
      <c r="D5021" s="9" t="str">
        <f>IFERROR(__xludf.DUMMYFUNCTION("GOOGLETRANSLATE($A5021,""en"",""fr"")"),"Kibaale")</f>
        <v>Kibaale</v>
      </c>
      <c r="E5021" s="9" t="str">
        <f>IFERROR(__xludf.DUMMYFUNCTION("GOOGLETRANSLATE($A5021,""en"",""es"")"),"Kibaale")</f>
        <v>Kibaale</v>
      </c>
      <c r="F5021" s="9" t="str">
        <f>IFERROR(__xludf.DUMMYFUNCTION("GOOGLETRANSLATE($A5021,""en"",""it"")"),"Kibaale")</f>
        <v>Kibaale</v>
      </c>
      <c r="G5021" s="9" t="str">
        <f>IFERROR(__xludf.DUMMYFUNCTION("GOOGLETRANSLATE($A5021,""en"",""zh-cn"")"),"基巴莱")</f>
        <v>基巴莱</v>
      </c>
      <c r="H5021" s="9" t="str">
        <f>IFERROR(__xludf.DUMMYFUNCTION("GOOGLETRANSLATE($A5021,""en"",""ja"")"),"キバレ")</f>
        <v>キバレ</v>
      </c>
      <c r="I5021" s="9" t="str">
        <f>IFERROR(__xludf.DUMMYFUNCTION("GOOGLETRANSLATE($A5021,""en"",""ko"")"),"키바알레")</f>
        <v>키바알레</v>
      </c>
      <c r="J5021" s="9" t="str">
        <f>IFERROR(__xludf.DUMMYFUNCTION("GOOGLETRANSLATE($A5021,""en"",""pt-BR"")"),"Kibaale")</f>
        <v>Kibaale</v>
      </c>
    </row>
    <row r="5022">
      <c r="A5022" s="9" t="str">
        <f>IFERROR(__xludf.DUMMYFUNCTION("""COMPUTED_VALUE"""),"Central (UG)")</f>
        <v>Central (UG)</v>
      </c>
      <c r="B5022" s="9" t="str">
        <f>IFERROR(__xludf.DUMMYFUNCTION("""COMPUTED_VALUE"""),"ug-c")</f>
        <v>ug-c</v>
      </c>
      <c r="C5022" s="9" t="str">
        <f>IFERROR(__xludf.DUMMYFUNCTION("GOOGLETRANSLATE($A5022,""en"",""de"")"),"Zentral (UG)")</f>
        <v>Zentral (UG)</v>
      </c>
      <c r="D5022" s="9" t="str">
        <f>IFERROR(__xludf.DUMMYFUNCTION("GOOGLETRANSLATE($A5022,""en"",""fr"")"),"Centrale (UG)")</f>
        <v>Centrale (UG)</v>
      </c>
      <c r="E5022" s="9" t="str">
        <f>IFERROR(__xludf.DUMMYFUNCTION("GOOGLETRANSLATE($A5022,""en"",""es"")"),"Central (UG)")</f>
        <v>Central (UG)</v>
      </c>
      <c r="F5022" s="9" t="str">
        <f>IFERROR(__xludf.DUMMYFUNCTION("GOOGLETRANSLATE($A5022,""en"",""it"")"),"Centrale (UG)")</f>
        <v>Centrale (UG)</v>
      </c>
      <c r="G5022" s="9" t="str">
        <f>IFERROR(__xludf.DUMMYFUNCTION("GOOGLETRANSLATE($A5022,""en"",""zh-cn"")"),"中环 (UG)")</f>
        <v>中环 (UG)</v>
      </c>
      <c r="H5022" s="9" t="str">
        <f>IFERROR(__xludf.DUMMYFUNCTION("GOOGLETRANSLATE($A5022,""en"",""ja"")"),"中部 (UG)")</f>
        <v>中部 (UG)</v>
      </c>
      <c r="I5022" s="9" t="str">
        <f>IFERROR(__xludf.DUMMYFUNCTION("GOOGLETRANSLATE($A5022,""en"",""ko"")"),"센트럴(UG)")</f>
        <v>센트럴(UG)</v>
      </c>
      <c r="J5022" s="9" t="str">
        <f>IFERROR(__xludf.DUMMYFUNCTION("GOOGLETRANSLATE($A5022,""en"",""pt-BR"")"),"Central (UG)")</f>
        <v>Central (UG)</v>
      </c>
    </row>
    <row r="5023">
      <c r="A5023" s="9" t="str">
        <f>IFERROR(__xludf.DUMMYFUNCTION("""COMPUTED_VALUE"""),"Hoima")</f>
        <v>Hoima</v>
      </c>
      <c r="B5023" s="9" t="str">
        <f>IFERROR(__xludf.DUMMYFUNCTION("""COMPUTED_VALUE"""),"ug-403")</f>
        <v>ug-403</v>
      </c>
      <c r="C5023" s="9" t="str">
        <f>IFERROR(__xludf.DUMMYFUNCTION("GOOGLETRANSLATE($A5023,""en"",""de"")"),"Hoima")</f>
        <v>Hoima</v>
      </c>
      <c r="D5023" s="9" t="str">
        <f>IFERROR(__xludf.DUMMYFUNCTION("GOOGLETRANSLATE($A5023,""en"",""fr"")"),"Hoima")</f>
        <v>Hoima</v>
      </c>
      <c r="E5023" s="9" t="str">
        <f>IFERROR(__xludf.DUMMYFUNCTION("GOOGLETRANSLATE($A5023,""en"",""es"")"),"hoima")</f>
        <v>hoima</v>
      </c>
      <c r="F5023" s="9" t="str">
        <f>IFERROR(__xludf.DUMMYFUNCTION("GOOGLETRANSLATE($A5023,""en"",""it"")"),"Hoima")</f>
        <v>Hoima</v>
      </c>
      <c r="G5023" s="9" t="str">
        <f>IFERROR(__xludf.DUMMYFUNCTION("GOOGLETRANSLATE($A5023,""en"",""zh-cn"")"),"霍伊马")</f>
        <v>霍伊马</v>
      </c>
      <c r="H5023" s="9" t="str">
        <f>IFERROR(__xludf.DUMMYFUNCTION("GOOGLETRANSLATE($A5023,""en"",""ja"")"),"ホイマ")</f>
        <v>ホイマ</v>
      </c>
      <c r="I5023" s="9" t="str">
        <f>IFERROR(__xludf.DUMMYFUNCTION("GOOGLETRANSLATE($A5023,""en"",""ko"")"),"호이마")</f>
        <v>호이마</v>
      </c>
      <c r="J5023" s="9" t="str">
        <f>IFERROR(__xludf.DUMMYFUNCTION("GOOGLETRANSLATE($A5023,""en"",""pt-BR"")"),"Hoima")</f>
        <v>Hoima</v>
      </c>
    </row>
    <row r="5024">
      <c r="A5024" s="9" t="str">
        <f>IFERROR(__xludf.DUMMYFUNCTION("""COMPUTED_VALUE"""),"Kitgum")</f>
        <v>Kitgum</v>
      </c>
      <c r="B5024" s="9" t="str">
        <f>IFERROR(__xludf.DUMMYFUNCTION("""COMPUTED_VALUE"""),"ug-305")</f>
        <v>ug-305</v>
      </c>
      <c r="C5024" s="9" t="str">
        <f>IFERROR(__xludf.DUMMYFUNCTION("GOOGLETRANSLATE($A5024,""en"",""de"")"),"Kitgum")</f>
        <v>Kitgum</v>
      </c>
      <c r="D5024" s="9" t="str">
        <f>IFERROR(__xludf.DUMMYFUNCTION("GOOGLETRANSLATE($A5024,""en"",""fr"")"),"Kitgum")</f>
        <v>Kitgum</v>
      </c>
      <c r="E5024" s="9" t="str">
        <f>IFERROR(__xludf.DUMMYFUNCTION("GOOGLETRANSLATE($A5024,""en"",""es"")"),"Kitgum")</f>
        <v>Kitgum</v>
      </c>
      <c r="F5024" s="9" t="str">
        <f>IFERROR(__xludf.DUMMYFUNCTION("GOOGLETRANSLATE($A5024,""en"",""it"")"),"Kitgum")</f>
        <v>Kitgum</v>
      </c>
      <c r="G5024" s="9" t="str">
        <f>IFERROR(__xludf.DUMMYFUNCTION("GOOGLETRANSLATE($A5024,""en"",""zh-cn"")"),"基特古姆")</f>
        <v>基特古姆</v>
      </c>
      <c r="H5024" s="9" t="str">
        <f>IFERROR(__xludf.DUMMYFUNCTION("GOOGLETRANSLATE($A5024,""en"",""ja"")"),"キトガム")</f>
        <v>キトガム</v>
      </c>
      <c r="I5024" s="9" t="str">
        <f>IFERROR(__xludf.DUMMYFUNCTION("GOOGLETRANSLATE($A5024,""en"",""ko"")"),"키트검")</f>
        <v>키트검</v>
      </c>
      <c r="J5024" s="9" t="str">
        <f>IFERROR(__xludf.DUMMYFUNCTION("GOOGLETRANSLATE($A5024,""en"",""pt-BR"")"),"Kitgum")</f>
        <v>Kitgum</v>
      </c>
    </row>
    <row r="5025">
      <c r="A5025" s="9" t="str">
        <f>IFERROR(__xludf.DUMMYFUNCTION("""COMPUTED_VALUE"""),"Kumi")</f>
        <v>Kumi</v>
      </c>
      <c r="B5025" s="9" t="str">
        <f>IFERROR(__xludf.DUMMYFUNCTION("""COMPUTED_VALUE"""),"ug-208")</f>
        <v>ug-208</v>
      </c>
      <c r="C5025" s="9" t="str">
        <f>IFERROR(__xludf.DUMMYFUNCTION("GOOGLETRANSLATE($A5025,""en"",""de"")"),"Kumi")</f>
        <v>Kumi</v>
      </c>
      <c r="D5025" s="9" t="str">
        <f>IFERROR(__xludf.DUMMYFUNCTION("GOOGLETRANSLATE($A5025,""en"",""fr"")"),"Kumi")</f>
        <v>Kumi</v>
      </c>
      <c r="E5025" s="9" t="str">
        <f>IFERROR(__xludf.DUMMYFUNCTION("GOOGLETRANSLATE($A5025,""en"",""es"")"),"kumi")</f>
        <v>kumi</v>
      </c>
      <c r="F5025" s="9" t="str">
        <f>IFERROR(__xludf.DUMMYFUNCTION("GOOGLETRANSLATE($A5025,""en"",""it"")"),"Kumi")</f>
        <v>Kumi</v>
      </c>
      <c r="G5025" s="9" t="str">
        <f>IFERROR(__xludf.DUMMYFUNCTION("GOOGLETRANSLATE($A5025,""en"",""zh-cn"")"),"久美")</f>
        <v>久美</v>
      </c>
      <c r="H5025" s="9" t="str">
        <f>IFERROR(__xludf.DUMMYFUNCTION("GOOGLETRANSLATE($A5025,""en"",""ja"")"),"クミ")</f>
        <v>クミ</v>
      </c>
      <c r="I5025" s="9" t="str">
        <f>IFERROR(__xludf.DUMMYFUNCTION("GOOGLETRANSLATE($A5025,""en"",""ko"")"),"쿠미")</f>
        <v>쿠미</v>
      </c>
      <c r="J5025" s="9" t="str">
        <f>IFERROR(__xludf.DUMMYFUNCTION("GOOGLETRANSLATE($A5025,""en"",""pt-BR"")"),"Kumi")</f>
        <v>Kumi</v>
      </c>
    </row>
    <row r="5026">
      <c r="A5026" s="9" t="str">
        <f>IFERROR(__xludf.DUMMYFUNCTION("""COMPUTED_VALUE"""),"Nakasongola")</f>
        <v>Nakasongola</v>
      </c>
      <c r="B5026" s="9" t="str">
        <f>IFERROR(__xludf.DUMMYFUNCTION("""COMPUTED_VALUE"""),"ug-109")</f>
        <v>ug-109</v>
      </c>
      <c r="C5026" s="9" t="str">
        <f>IFERROR(__xludf.DUMMYFUNCTION("GOOGLETRANSLATE($A5026,""en"",""de"")"),"Nakasongola")</f>
        <v>Nakasongola</v>
      </c>
      <c r="D5026" s="9" t="str">
        <f>IFERROR(__xludf.DUMMYFUNCTION("GOOGLETRANSLATE($A5026,""en"",""fr"")"),"Nakasongola")</f>
        <v>Nakasongola</v>
      </c>
      <c r="E5026" s="9" t="str">
        <f>IFERROR(__xludf.DUMMYFUNCTION("GOOGLETRANSLATE($A5026,""en"",""es"")"),"Nakasongola")</f>
        <v>Nakasongola</v>
      </c>
      <c r="F5026" s="9" t="str">
        <f>IFERROR(__xludf.DUMMYFUNCTION("GOOGLETRANSLATE($A5026,""en"",""it"")"),"Nakasongola")</f>
        <v>Nakasongola</v>
      </c>
      <c r="G5026" s="9" t="str">
        <f>IFERROR(__xludf.DUMMYFUNCTION("GOOGLETRANSLATE($A5026,""en"",""zh-cn"")"),"纳卡松戈拉")</f>
        <v>纳卡松戈拉</v>
      </c>
      <c r="H5026" s="9" t="str">
        <f>IFERROR(__xludf.DUMMYFUNCTION("GOOGLETRANSLATE($A5026,""en"",""ja"")"),"ナカソンゴラ")</f>
        <v>ナカソンゴラ</v>
      </c>
      <c r="I5026" s="9" t="str">
        <f>IFERROR(__xludf.DUMMYFUNCTION("GOOGLETRANSLATE($A5026,""en"",""ko"")"),"나카손골라")</f>
        <v>나카손골라</v>
      </c>
      <c r="J5026" s="9" t="str">
        <f>IFERROR(__xludf.DUMMYFUNCTION("GOOGLETRANSLATE($A5026,""en"",""pt-BR"")"),"Nakasongola")</f>
        <v>Nakasongola</v>
      </c>
    </row>
    <row r="5027">
      <c r="A5027" s="9" t="str">
        <f>IFERROR(__xludf.DUMMYFUNCTION("""COMPUTED_VALUE"""),"Wakiso")</f>
        <v>Wakiso</v>
      </c>
      <c r="B5027" s="9" t="str">
        <f>IFERROR(__xludf.DUMMYFUNCTION("""COMPUTED_VALUE"""),"ug-113")</f>
        <v>ug-113</v>
      </c>
      <c r="C5027" s="9" t="str">
        <f>IFERROR(__xludf.DUMMYFUNCTION("GOOGLETRANSLATE($A5027,""en"",""de"")"),"Wakiso")</f>
        <v>Wakiso</v>
      </c>
      <c r="D5027" s="9" t="str">
        <f>IFERROR(__xludf.DUMMYFUNCTION("GOOGLETRANSLATE($A5027,""en"",""fr"")"),"Wakiso")</f>
        <v>Wakiso</v>
      </c>
      <c r="E5027" s="9" t="str">
        <f>IFERROR(__xludf.DUMMYFUNCTION("GOOGLETRANSLATE($A5027,""en"",""es"")"),"Wakiso")</f>
        <v>Wakiso</v>
      </c>
      <c r="F5027" s="9" t="str">
        <f>IFERROR(__xludf.DUMMYFUNCTION("GOOGLETRANSLATE($A5027,""en"",""it"")"),"Wakiso")</f>
        <v>Wakiso</v>
      </c>
      <c r="G5027" s="9" t="str">
        <f>IFERROR(__xludf.DUMMYFUNCTION("GOOGLETRANSLATE($A5027,""en"",""zh-cn"")"),"胁曾")</f>
        <v>胁曾</v>
      </c>
      <c r="H5027" s="9" t="str">
        <f>IFERROR(__xludf.DUMMYFUNCTION("GOOGLETRANSLATE($A5027,""en"",""ja"")"),"ワキソ")</f>
        <v>ワキソ</v>
      </c>
      <c r="I5027" s="9" t="str">
        <f>IFERROR(__xludf.DUMMYFUNCTION("GOOGLETRANSLATE($A5027,""en"",""ko"")"),"와키소")</f>
        <v>와키소</v>
      </c>
      <c r="J5027" s="9" t="str">
        <f>IFERROR(__xludf.DUMMYFUNCTION("GOOGLETRANSLATE($A5027,""en"",""pt-BR"")"),"Wakiso")</f>
        <v>Wakiso</v>
      </c>
    </row>
    <row r="5028">
      <c r="A5028" s="9" t="str">
        <f>IFERROR(__xludf.DUMMYFUNCTION("""COMPUTED_VALUE"""),"Kisoro")</f>
        <v>Kisoro</v>
      </c>
      <c r="B5028" s="9" t="str">
        <f>IFERROR(__xludf.DUMMYFUNCTION("""COMPUTED_VALUE"""),"ug-408")</f>
        <v>ug-408</v>
      </c>
      <c r="C5028" s="9" t="str">
        <f>IFERROR(__xludf.DUMMYFUNCTION("GOOGLETRANSLATE($A5028,""en"",""de"")"),"Kisoro")</f>
        <v>Kisoro</v>
      </c>
      <c r="D5028" s="9" t="str">
        <f>IFERROR(__xludf.DUMMYFUNCTION("GOOGLETRANSLATE($A5028,""en"",""fr"")"),"Kisoro")</f>
        <v>Kisoro</v>
      </c>
      <c r="E5028" s="9" t="str">
        <f>IFERROR(__xludf.DUMMYFUNCTION("GOOGLETRANSLATE($A5028,""en"",""es"")"),"Kisoro")</f>
        <v>Kisoro</v>
      </c>
      <c r="F5028" s="9" t="str">
        <f>IFERROR(__xludf.DUMMYFUNCTION("GOOGLETRANSLATE($A5028,""en"",""it"")"),"Kisoro")</f>
        <v>Kisoro</v>
      </c>
      <c r="G5028" s="9" t="str">
        <f>IFERROR(__xludf.DUMMYFUNCTION("GOOGLETRANSLATE($A5028,""en"",""zh-cn"")"),"基索罗")</f>
        <v>基索罗</v>
      </c>
      <c r="H5028" s="9" t="str">
        <f>IFERROR(__xludf.DUMMYFUNCTION("GOOGLETRANSLATE($A5028,""en"",""ja"")"),"キソロ")</f>
        <v>キソロ</v>
      </c>
      <c r="I5028" s="9" t="str">
        <f>IFERROR(__xludf.DUMMYFUNCTION("GOOGLETRANSLATE($A5028,""en"",""ko"")"),"키소로")</f>
        <v>키소로</v>
      </c>
      <c r="J5028" s="9" t="str">
        <f>IFERROR(__xludf.DUMMYFUNCTION("GOOGLETRANSLATE($A5028,""en"",""pt-BR"")"),"Kisoro")</f>
        <v>Kisoro</v>
      </c>
    </row>
    <row r="5029">
      <c r="A5029" s="9" t="str">
        <f>IFERROR(__xludf.DUMMYFUNCTION("""COMPUTED_VALUE"""),"Sembabule")</f>
        <v>Sembabule</v>
      </c>
      <c r="B5029" s="9" t="str">
        <f>IFERROR(__xludf.DUMMYFUNCTION("""COMPUTED_VALUE"""),"ug-111")</f>
        <v>ug-111</v>
      </c>
      <c r="C5029" s="9" t="str">
        <f>IFERROR(__xludf.DUMMYFUNCTION("GOOGLETRANSLATE($A5029,""en"",""de"")"),"Sembabule")</f>
        <v>Sembabule</v>
      </c>
      <c r="D5029" s="9" t="str">
        <f>IFERROR(__xludf.DUMMYFUNCTION("GOOGLETRANSLATE($A5029,""en"",""fr"")"),"Sembabule")</f>
        <v>Sembabule</v>
      </c>
      <c r="E5029" s="9" t="str">
        <f>IFERROR(__xludf.DUMMYFUNCTION("GOOGLETRANSLATE($A5029,""en"",""es"")"),"Sembabule")</f>
        <v>Sembabule</v>
      </c>
      <c r="F5029" s="9" t="str">
        <f>IFERROR(__xludf.DUMMYFUNCTION("GOOGLETRANSLATE($A5029,""en"",""it"")"),"Sembabulo")</f>
        <v>Sembabulo</v>
      </c>
      <c r="G5029" s="9" t="str">
        <f>IFERROR(__xludf.DUMMYFUNCTION("GOOGLETRANSLATE($A5029,""en"",""zh-cn"")"),"森巴布勒")</f>
        <v>森巴布勒</v>
      </c>
      <c r="H5029" s="9" t="str">
        <f>IFERROR(__xludf.DUMMYFUNCTION("GOOGLETRANSLATE($A5029,""en"",""ja"")"),"センバブレ")</f>
        <v>センバブレ</v>
      </c>
      <c r="I5029" s="9" t="str">
        <f>IFERROR(__xludf.DUMMYFUNCTION("GOOGLETRANSLATE($A5029,""en"",""ko"")"),"셈바불레")</f>
        <v>셈바불레</v>
      </c>
      <c r="J5029" s="9" t="str">
        <f>IFERROR(__xludf.DUMMYFUNCTION("GOOGLETRANSLATE($A5029,""en"",""pt-BR"")"),"Sembabule")</f>
        <v>Sembabule</v>
      </c>
    </row>
    <row r="5030">
      <c r="A5030" s="9" t="str">
        <f>IFERROR(__xludf.DUMMYFUNCTION("""COMPUTED_VALUE"""),"Gulu")</f>
        <v>Gulu</v>
      </c>
      <c r="B5030" s="9" t="str">
        <f>IFERROR(__xludf.DUMMYFUNCTION("""COMPUTED_VALUE"""),"ug-304")</f>
        <v>ug-304</v>
      </c>
      <c r="C5030" s="9" t="str">
        <f>IFERROR(__xludf.DUMMYFUNCTION("GOOGLETRANSLATE($A5030,""en"",""de"")"),"Gulu")</f>
        <v>Gulu</v>
      </c>
      <c r="D5030" s="9" t="str">
        <f>IFERROR(__xludf.DUMMYFUNCTION("GOOGLETRANSLATE($A5030,""en"",""fr"")"),"Gulu")</f>
        <v>Gulu</v>
      </c>
      <c r="E5030" s="9" t="str">
        <f>IFERROR(__xludf.DUMMYFUNCTION("GOOGLETRANSLATE($A5030,""en"",""es"")"),"Gulu")</f>
        <v>Gulu</v>
      </c>
      <c r="F5030" s="9" t="str">
        <f>IFERROR(__xludf.DUMMYFUNCTION("GOOGLETRANSLATE($A5030,""en"",""it"")"),"Gulu")</f>
        <v>Gulu</v>
      </c>
      <c r="G5030" s="9" t="str">
        <f>IFERROR(__xludf.DUMMYFUNCTION("GOOGLETRANSLATE($A5030,""en"",""zh-cn"")"),"咕噜")</f>
        <v>咕噜</v>
      </c>
      <c r="H5030" s="9" t="str">
        <f>IFERROR(__xludf.DUMMYFUNCTION("GOOGLETRANSLATE($A5030,""en"",""ja"")"),"グル")</f>
        <v>グル</v>
      </c>
      <c r="I5030" s="9" t="str">
        <f>IFERROR(__xludf.DUMMYFUNCTION("GOOGLETRANSLATE($A5030,""en"",""ko"")"),"굴루")</f>
        <v>굴루</v>
      </c>
      <c r="J5030" s="9" t="str">
        <f>IFERROR(__xludf.DUMMYFUNCTION("GOOGLETRANSLATE($A5030,""en"",""pt-BR"")"),"Gulu")</f>
        <v>Gulu</v>
      </c>
    </row>
    <row r="5031">
      <c r="A5031" s="9" t="str">
        <f>IFERROR(__xludf.DUMMYFUNCTION("""COMPUTED_VALUE"""),"Tororo")</f>
        <v>Tororo</v>
      </c>
      <c r="B5031" s="9" t="str">
        <f>IFERROR(__xludf.DUMMYFUNCTION("""COMPUTED_VALUE"""),"ug-212")</f>
        <v>ug-212</v>
      </c>
      <c r="C5031" s="9" t="str">
        <f>IFERROR(__xludf.DUMMYFUNCTION("GOOGLETRANSLATE($A5031,""en"",""de"")"),"Tororo")</f>
        <v>Tororo</v>
      </c>
      <c r="D5031" s="9" t="str">
        <f>IFERROR(__xludf.DUMMYFUNCTION("GOOGLETRANSLATE($A5031,""en"",""fr"")"),"Tororo")</f>
        <v>Tororo</v>
      </c>
      <c r="E5031" s="9" t="str">
        <f>IFERROR(__xludf.DUMMYFUNCTION("GOOGLETRANSLATE($A5031,""en"",""es"")"),"tororó")</f>
        <v>tororó</v>
      </c>
      <c r="F5031" s="9" t="str">
        <f>IFERROR(__xludf.DUMMYFUNCTION("GOOGLETRANSLATE($A5031,""en"",""it"")"),"Tororo")</f>
        <v>Tororo</v>
      </c>
      <c r="G5031" s="9" t="str">
        <f>IFERROR(__xludf.DUMMYFUNCTION("GOOGLETRANSLATE($A5031,""en"",""zh-cn"")"),"托罗罗")</f>
        <v>托罗罗</v>
      </c>
      <c r="H5031" s="9" t="str">
        <f>IFERROR(__xludf.DUMMYFUNCTION("GOOGLETRANSLATE($A5031,""en"",""ja"")"),"とろろ")</f>
        <v>とろろ</v>
      </c>
      <c r="I5031" s="9" t="str">
        <f>IFERROR(__xludf.DUMMYFUNCTION("GOOGLETRANSLATE($A5031,""en"",""ko"")"),"토로로")</f>
        <v>토로로</v>
      </c>
      <c r="J5031" s="9" t="str">
        <f>IFERROR(__xludf.DUMMYFUNCTION("GOOGLETRANSLATE($A5031,""en"",""pt-BR"")"),"Tororo")</f>
        <v>Tororo</v>
      </c>
    </row>
    <row r="5032">
      <c r="A5032" s="9" t="str">
        <f>IFERROR(__xludf.DUMMYFUNCTION("""COMPUTED_VALUE"""),"Kaliro")</f>
        <v>Kaliro</v>
      </c>
      <c r="B5032" s="9" t="str">
        <f>IFERROR(__xludf.DUMMYFUNCTION("""COMPUTED_VALUE"""),"ug-220")</f>
        <v>ug-220</v>
      </c>
      <c r="C5032" s="9" t="str">
        <f>IFERROR(__xludf.DUMMYFUNCTION("GOOGLETRANSLATE($A5032,""en"",""de"")"),"Kaliro")</f>
        <v>Kaliro</v>
      </c>
      <c r="D5032" s="9" t="str">
        <f>IFERROR(__xludf.DUMMYFUNCTION("GOOGLETRANSLATE($A5032,""en"",""fr"")"),"Kaliro")</f>
        <v>Kaliro</v>
      </c>
      <c r="E5032" s="9" t="str">
        <f>IFERROR(__xludf.DUMMYFUNCTION("GOOGLETRANSLATE($A5032,""en"",""es"")"),"Kaliro")</f>
        <v>Kaliro</v>
      </c>
      <c r="F5032" s="9" t="str">
        <f>IFERROR(__xludf.DUMMYFUNCTION("GOOGLETRANSLATE($A5032,""en"",""it"")"),"Kaliro")</f>
        <v>Kaliro</v>
      </c>
      <c r="G5032" s="9" t="str">
        <f>IFERROR(__xludf.DUMMYFUNCTION("GOOGLETRANSLATE($A5032,""en"",""zh-cn"")"),"卡利罗")</f>
        <v>卡利罗</v>
      </c>
      <c r="H5032" s="9" t="str">
        <f>IFERROR(__xludf.DUMMYFUNCTION("GOOGLETRANSLATE($A5032,""en"",""ja"")"),"カリロ")</f>
        <v>カリロ</v>
      </c>
      <c r="I5032" s="9" t="str">
        <f>IFERROR(__xludf.DUMMYFUNCTION("GOOGLETRANSLATE($A5032,""en"",""ko"")"),"칼리로")</f>
        <v>칼리로</v>
      </c>
      <c r="J5032" s="9" t="str">
        <f>IFERROR(__xludf.DUMMYFUNCTION("GOOGLETRANSLATE($A5032,""en"",""pt-BR"")"),"Kaliro")</f>
        <v>Kaliro</v>
      </c>
    </row>
    <row r="5033">
      <c r="A5033" s="9" t="str">
        <f>IFERROR(__xludf.DUMMYFUNCTION("""COMPUTED_VALUE"""),"Kamuli")</f>
        <v>Kamuli</v>
      </c>
      <c r="B5033" s="9" t="str">
        <f>IFERROR(__xludf.DUMMYFUNCTION("""COMPUTED_VALUE"""),"ug-205")</f>
        <v>ug-205</v>
      </c>
      <c r="C5033" s="9" t="str">
        <f>IFERROR(__xludf.DUMMYFUNCTION("GOOGLETRANSLATE($A5033,""en"",""de"")"),"Kamuli")</f>
        <v>Kamuli</v>
      </c>
      <c r="D5033" s="9" t="str">
        <f>IFERROR(__xludf.DUMMYFUNCTION("GOOGLETRANSLATE($A5033,""en"",""fr"")"),"Kamuli")</f>
        <v>Kamuli</v>
      </c>
      <c r="E5033" s="9" t="str">
        <f>IFERROR(__xludf.DUMMYFUNCTION("GOOGLETRANSLATE($A5033,""en"",""es"")"),"Kamuli")</f>
        <v>Kamuli</v>
      </c>
      <c r="F5033" s="9" t="str">
        <f>IFERROR(__xludf.DUMMYFUNCTION("GOOGLETRANSLATE($A5033,""en"",""it"")"),"Kamuli")</f>
        <v>Kamuli</v>
      </c>
      <c r="G5033" s="9" t="str">
        <f>IFERROR(__xludf.DUMMYFUNCTION("GOOGLETRANSLATE($A5033,""en"",""zh-cn"")"),"卡穆利")</f>
        <v>卡穆利</v>
      </c>
      <c r="H5033" s="9" t="str">
        <f>IFERROR(__xludf.DUMMYFUNCTION("GOOGLETRANSLATE($A5033,""en"",""ja"")"),"カムリ")</f>
        <v>カムリ</v>
      </c>
      <c r="I5033" s="9" t="str">
        <f>IFERROR(__xludf.DUMMYFUNCTION("GOOGLETRANSLATE($A5033,""en"",""ko"")"),"카물리")</f>
        <v>카물리</v>
      </c>
      <c r="J5033" s="9" t="str">
        <f>IFERROR(__xludf.DUMMYFUNCTION("GOOGLETRANSLATE($A5033,""en"",""pt-BR"")"),"Kamuli")</f>
        <v>Kamuli</v>
      </c>
    </row>
    <row r="5034">
      <c r="A5034" s="9" t="str">
        <f>IFERROR(__xludf.DUMMYFUNCTION("""COMPUTED_VALUE"""),"Apac")</f>
        <v>Apac</v>
      </c>
      <c r="B5034" s="9" t="str">
        <f>IFERROR(__xludf.DUMMYFUNCTION("""COMPUTED_VALUE"""),"ug-302")</f>
        <v>ug-302</v>
      </c>
      <c r="C5034" s="9" t="str">
        <f>IFERROR(__xludf.DUMMYFUNCTION("GOOGLETRANSLATE($A5034,""en"",""de"")"),"Apac")</f>
        <v>Apac</v>
      </c>
      <c r="D5034" s="9" t="str">
        <f>IFERROR(__xludf.DUMMYFUNCTION("GOOGLETRANSLATE($A5034,""en"",""fr"")"),"APAC")</f>
        <v>APAC</v>
      </c>
      <c r="E5034" s="9" t="str">
        <f>IFERROR(__xludf.DUMMYFUNCTION("GOOGLETRANSLATE($A5034,""en"",""es"")"),"Apac")</f>
        <v>Apac</v>
      </c>
      <c r="F5034" s="9" t="str">
        <f>IFERROR(__xludf.DUMMYFUNCTION("GOOGLETRANSLATE($A5034,""en"",""it"")"),"Apac")</f>
        <v>Apac</v>
      </c>
      <c r="G5034" s="9" t="str">
        <f>IFERROR(__xludf.DUMMYFUNCTION("GOOGLETRANSLATE($A5034,""en"",""zh-cn"")"),"亚太地区")</f>
        <v>亚太地区</v>
      </c>
      <c r="H5034" s="9" t="str">
        <f>IFERROR(__xludf.DUMMYFUNCTION("GOOGLETRANSLATE($A5034,""en"",""ja"")"),"アジア太平洋")</f>
        <v>アジア太平洋</v>
      </c>
      <c r="I5034" s="9" t="str">
        <f>IFERROR(__xludf.DUMMYFUNCTION("GOOGLETRANSLATE($A5034,""en"",""ko"")"),"아팩")</f>
        <v>아팩</v>
      </c>
      <c r="J5034" s="9" t="str">
        <f>IFERROR(__xludf.DUMMYFUNCTION("GOOGLETRANSLATE($A5034,""en"",""pt-BR"")"),"Apac")</f>
        <v>Apac</v>
      </c>
    </row>
    <row r="5035">
      <c r="A5035" s="9" t="str">
        <f>IFERROR(__xludf.DUMMYFUNCTION("""COMPUTED_VALUE"""),"Koboko")</f>
        <v>Koboko</v>
      </c>
      <c r="B5035" s="9" t="str">
        <f>IFERROR(__xludf.DUMMYFUNCTION("""COMPUTED_VALUE"""),"ug-316")</f>
        <v>ug-316</v>
      </c>
      <c r="C5035" s="9" t="str">
        <f>IFERROR(__xludf.DUMMYFUNCTION("GOOGLETRANSLATE($A5035,""en"",""de"")"),"Koboko")</f>
        <v>Koboko</v>
      </c>
      <c r="D5035" s="9" t="str">
        <f>IFERROR(__xludf.DUMMYFUNCTION("GOOGLETRANSLATE($A5035,""en"",""fr"")"),"Koboko")</f>
        <v>Koboko</v>
      </c>
      <c r="E5035" s="9" t="str">
        <f>IFERROR(__xludf.DUMMYFUNCTION("GOOGLETRANSLATE($A5035,""en"",""es"")"),"Koboko")</f>
        <v>Koboko</v>
      </c>
      <c r="F5035" s="9" t="str">
        <f>IFERROR(__xludf.DUMMYFUNCTION("GOOGLETRANSLATE($A5035,""en"",""it"")"),"Koboko")</f>
        <v>Koboko</v>
      </c>
      <c r="G5035" s="9" t="str">
        <f>IFERROR(__xludf.DUMMYFUNCTION("GOOGLETRANSLATE($A5035,""en"",""zh-cn"")"),"科博科")</f>
        <v>科博科</v>
      </c>
      <c r="H5035" s="9" t="str">
        <f>IFERROR(__xludf.DUMMYFUNCTION("GOOGLETRANSLATE($A5035,""en"",""ja"")"),"こぼこ")</f>
        <v>こぼこ</v>
      </c>
      <c r="I5035" s="9" t="str">
        <f>IFERROR(__xludf.DUMMYFUNCTION("GOOGLETRANSLATE($A5035,""en"",""ko"")"),"코보코")</f>
        <v>코보코</v>
      </c>
      <c r="J5035" s="9" t="str">
        <f>IFERROR(__xludf.DUMMYFUNCTION("GOOGLETRANSLATE($A5035,""en"",""pt-BR"")"),"Koboko")</f>
        <v>Koboko</v>
      </c>
    </row>
    <row r="5036">
      <c r="A5036" s="9" t="str">
        <f>IFERROR(__xludf.DUMMYFUNCTION("""COMPUTED_VALUE"""),"Kotido")</f>
        <v>Kotido</v>
      </c>
      <c r="B5036" s="9" t="str">
        <f>IFERROR(__xludf.DUMMYFUNCTION("""COMPUTED_VALUE"""),"ug-306")</f>
        <v>ug-306</v>
      </c>
      <c r="C5036" s="9" t="str">
        <f>IFERROR(__xludf.DUMMYFUNCTION("GOOGLETRANSLATE($A5036,""en"",""de"")"),"Kotido")</f>
        <v>Kotido</v>
      </c>
      <c r="D5036" s="9" t="str">
        <f>IFERROR(__xludf.DUMMYFUNCTION("GOOGLETRANSLATE($A5036,""en"",""fr"")"),"Kotido")</f>
        <v>Kotido</v>
      </c>
      <c r="E5036" s="9" t="str">
        <f>IFERROR(__xludf.DUMMYFUNCTION("GOOGLETRANSLATE($A5036,""en"",""es"")"),"Kotido")</f>
        <v>Kotido</v>
      </c>
      <c r="F5036" s="9" t="str">
        <f>IFERROR(__xludf.DUMMYFUNCTION("GOOGLETRANSLATE($A5036,""en"",""it"")"),"Kotido")</f>
        <v>Kotido</v>
      </c>
      <c r="G5036" s="9" t="str">
        <f>IFERROR(__xludf.DUMMYFUNCTION("GOOGLETRANSLATE($A5036,""en"",""zh-cn"")"),"科蒂多")</f>
        <v>科蒂多</v>
      </c>
      <c r="H5036" s="9" t="str">
        <f>IFERROR(__xludf.DUMMYFUNCTION("GOOGLETRANSLATE($A5036,""en"",""ja"")"),"コティド")</f>
        <v>コティド</v>
      </c>
      <c r="I5036" s="9" t="str">
        <f>IFERROR(__xludf.DUMMYFUNCTION("GOOGLETRANSLATE($A5036,""en"",""ko"")"),"코티도")</f>
        <v>코티도</v>
      </c>
      <c r="J5036" s="9" t="str">
        <f>IFERROR(__xludf.DUMMYFUNCTION("GOOGLETRANSLATE($A5036,""en"",""pt-BR"")"),"Kotido")</f>
        <v>Kotido</v>
      </c>
    </row>
    <row r="5037">
      <c r="A5037" s="9" t="str">
        <f>IFERROR(__xludf.DUMMYFUNCTION("""COMPUTED_VALUE"""),"Bushenyi")</f>
        <v>Bushenyi</v>
      </c>
      <c r="B5037" s="9" t="str">
        <f>IFERROR(__xludf.DUMMYFUNCTION("""COMPUTED_VALUE"""),"ug-402")</f>
        <v>ug-402</v>
      </c>
      <c r="C5037" s="9" t="str">
        <f>IFERROR(__xludf.DUMMYFUNCTION("GOOGLETRANSLATE($A5037,""en"",""de"")"),"Bushenyi")</f>
        <v>Bushenyi</v>
      </c>
      <c r="D5037" s="9" t="str">
        <f>IFERROR(__xludf.DUMMYFUNCTION("GOOGLETRANSLATE($A5037,""en"",""fr"")"),"Bushenyi")</f>
        <v>Bushenyi</v>
      </c>
      <c r="E5037" s="9" t="str">
        <f>IFERROR(__xludf.DUMMYFUNCTION("GOOGLETRANSLATE($A5037,""en"",""es"")"),"bushenyi")</f>
        <v>bushenyi</v>
      </c>
      <c r="F5037" s="9" t="str">
        <f>IFERROR(__xludf.DUMMYFUNCTION("GOOGLETRANSLATE($A5037,""en"",""it"")"),"Busheni")</f>
        <v>Busheni</v>
      </c>
      <c r="G5037" s="9" t="str">
        <f>IFERROR(__xludf.DUMMYFUNCTION("GOOGLETRANSLATE($A5037,""en"",""zh-cn"")"),"布什尼")</f>
        <v>布什尼</v>
      </c>
      <c r="H5037" s="9" t="str">
        <f>IFERROR(__xludf.DUMMYFUNCTION("GOOGLETRANSLATE($A5037,""en"",""ja"")"),"ブシェニ")</f>
        <v>ブシェニ</v>
      </c>
      <c r="I5037" s="9" t="str">
        <f>IFERROR(__xludf.DUMMYFUNCTION("GOOGLETRANSLATE($A5037,""en"",""ko"")"),"부쉐니")</f>
        <v>부쉐니</v>
      </c>
      <c r="J5037" s="9" t="str">
        <f>IFERROR(__xludf.DUMMYFUNCTION("GOOGLETRANSLATE($A5037,""en"",""pt-BR"")"),"Bushenyi")</f>
        <v>Bushenyi</v>
      </c>
    </row>
    <row r="5038">
      <c r="A5038" s="9" t="str">
        <f>IFERROR(__xludf.DUMMYFUNCTION("""COMPUTED_VALUE"""),"Luwero")</f>
        <v>Luwero</v>
      </c>
      <c r="B5038" s="9" t="str">
        <f>IFERROR(__xludf.DUMMYFUNCTION("""COMPUTED_VALUE"""),"ug-104")</f>
        <v>ug-104</v>
      </c>
      <c r="C5038" s="9" t="str">
        <f>IFERROR(__xludf.DUMMYFUNCTION("GOOGLETRANSLATE($A5038,""en"",""de"")"),"Luwero")</f>
        <v>Luwero</v>
      </c>
      <c r="D5038" s="9" t="str">
        <f>IFERROR(__xludf.DUMMYFUNCTION("GOOGLETRANSLATE($A5038,""en"",""fr"")"),"Luwero")</f>
        <v>Luwero</v>
      </c>
      <c r="E5038" s="9" t="str">
        <f>IFERROR(__xludf.DUMMYFUNCTION("GOOGLETRANSLATE($A5038,""en"",""es"")"),"Luwero")</f>
        <v>Luwero</v>
      </c>
      <c r="F5038" s="9" t="str">
        <f>IFERROR(__xludf.DUMMYFUNCTION("GOOGLETRANSLATE($A5038,""en"",""it"")"),"Luwero")</f>
        <v>Luwero</v>
      </c>
      <c r="G5038" s="9" t="str">
        <f>IFERROR(__xludf.DUMMYFUNCTION("GOOGLETRANSLATE($A5038,""en"",""zh-cn"")"),"卢韦罗")</f>
        <v>卢韦罗</v>
      </c>
      <c r="H5038" s="9" t="str">
        <f>IFERROR(__xludf.DUMMYFUNCTION("GOOGLETRANSLATE($A5038,""en"",""ja"")"),"ルウェロ")</f>
        <v>ルウェロ</v>
      </c>
      <c r="I5038" s="9" t="str">
        <f>IFERROR(__xludf.DUMMYFUNCTION("GOOGLETRANSLATE($A5038,""en"",""ko"")"),"루베로")</f>
        <v>루베로</v>
      </c>
      <c r="J5038" s="9" t="str">
        <f>IFERROR(__xludf.DUMMYFUNCTION("GOOGLETRANSLATE($A5038,""en"",""pt-BR"")"),"Luwero")</f>
        <v>Luwero</v>
      </c>
    </row>
    <row r="5039">
      <c r="A5039" s="9" t="str">
        <f>IFERROR(__xludf.DUMMYFUNCTION("""COMPUTED_VALUE"""),"Mayuge")</f>
        <v>Mayuge</v>
      </c>
      <c r="B5039" s="9" t="str">
        <f>IFERROR(__xludf.DUMMYFUNCTION("""COMPUTED_VALUE"""),"ug-214")</f>
        <v>ug-214</v>
      </c>
      <c r="C5039" s="9" t="str">
        <f>IFERROR(__xludf.DUMMYFUNCTION("GOOGLETRANSLATE($A5039,""en"",""de"")"),"Mayuge")</f>
        <v>Mayuge</v>
      </c>
      <c r="D5039" s="9" t="str">
        <f>IFERROR(__xludf.DUMMYFUNCTION("GOOGLETRANSLATE($A5039,""en"",""fr"")"),"Mayuge")</f>
        <v>Mayuge</v>
      </c>
      <c r="E5039" s="9" t="str">
        <f>IFERROR(__xludf.DUMMYFUNCTION("GOOGLETRANSLATE($A5039,""en"",""es"")"),"mayuge")</f>
        <v>mayuge</v>
      </c>
      <c r="F5039" s="9" t="str">
        <f>IFERROR(__xludf.DUMMYFUNCTION("GOOGLETRANSLATE($A5039,""en"",""it"")"),"Mayuge")</f>
        <v>Mayuge</v>
      </c>
      <c r="G5039" s="9" t="str">
        <f>IFERROR(__xludf.DUMMYFUNCTION("GOOGLETRANSLATE($A5039,""en"",""zh-cn"")"),"马玉格")</f>
        <v>马玉格</v>
      </c>
      <c r="H5039" s="9" t="str">
        <f>IFERROR(__xludf.DUMMYFUNCTION("GOOGLETRANSLATE($A5039,""en"",""ja"")"),"マユゲ")</f>
        <v>マユゲ</v>
      </c>
      <c r="I5039" s="9" t="str">
        <f>IFERROR(__xludf.DUMMYFUNCTION("GOOGLETRANSLATE($A5039,""en"",""ko"")"),"마유게")</f>
        <v>마유게</v>
      </c>
      <c r="J5039" s="9" t="str">
        <f>IFERROR(__xludf.DUMMYFUNCTION("GOOGLETRANSLATE($A5039,""en"",""pt-BR"")"),"Mayuge")</f>
        <v>Mayuge</v>
      </c>
    </row>
    <row r="5040">
      <c r="A5040" s="9" t="str">
        <f>IFERROR(__xludf.DUMMYFUNCTION("""COMPUTED_VALUE"""),"Jinja")</f>
        <v>Jinja</v>
      </c>
      <c r="B5040" s="9" t="str">
        <f>IFERROR(__xludf.DUMMYFUNCTION("""COMPUTED_VALUE"""),"ug-204")</f>
        <v>ug-204</v>
      </c>
      <c r="C5040" s="9" t="str">
        <f>IFERROR(__xludf.DUMMYFUNCTION("GOOGLETRANSLATE($A5040,""en"",""de"")"),"Jinja")</f>
        <v>Jinja</v>
      </c>
      <c r="D5040" s="9" t="str">
        <f>IFERROR(__xludf.DUMMYFUNCTION("GOOGLETRANSLATE($A5040,""en"",""fr"")"),"Jinja")</f>
        <v>Jinja</v>
      </c>
      <c r="E5040" s="9" t="str">
        <f>IFERROR(__xludf.DUMMYFUNCTION("GOOGLETRANSLATE($A5040,""en"",""es"")"),"Jinja")</f>
        <v>Jinja</v>
      </c>
      <c r="F5040" s="9" t="str">
        <f>IFERROR(__xludf.DUMMYFUNCTION("GOOGLETRANSLATE($A5040,""en"",""it"")"),"Jinja")</f>
        <v>Jinja</v>
      </c>
      <c r="G5040" s="9" t="str">
        <f>IFERROR(__xludf.DUMMYFUNCTION("GOOGLETRANSLATE($A5040,""en"",""zh-cn"")"),"金贾")</f>
        <v>金贾</v>
      </c>
      <c r="H5040" s="9" t="str">
        <f>IFERROR(__xludf.DUMMYFUNCTION("GOOGLETRANSLATE($A5040,""en"",""ja"")"),"神社")</f>
        <v>神社</v>
      </c>
      <c r="I5040" s="9" t="str">
        <f>IFERROR(__xludf.DUMMYFUNCTION("GOOGLETRANSLATE($A5040,""en"",""ko"")"),"진자")</f>
        <v>진자</v>
      </c>
      <c r="J5040" s="9" t="str">
        <f>IFERROR(__xludf.DUMMYFUNCTION("GOOGLETRANSLATE($A5040,""en"",""pt-BR"")"),"Jinja")</f>
        <v>Jinja</v>
      </c>
    </row>
    <row r="5041">
      <c r="A5041" s="9" t="str">
        <f>IFERROR(__xludf.DUMMYFUNCTION("""COMPUTED_VALUE"""),"L'vivs'ka Oblast'")</f>
        <v>L'vivs'ka Oblast'</v>
      </c>
      <c r="B5041" s="9" t="str">
        <f>IFERROR(__xludf.DUMMYFUNCTION("""COMPUTED_VALUE"""),"ua-46")</f>
        <v>ua-46</v>
      </c>
      <c r="C5041" s="9" t="str">
        <f>IFERROR(__xludf.DUMMYFUNCTION("GOOGLETRANSLATE($A5041,""en"",""de"")"),"Oblast Lemberg")</f>
        <v>Oblast Lemberg</v>
      </c>
      <c r="D5041" s="9" t="str">
        <f>IFERROR(__xludf.DUMMYFUNCTION("GOOGLETRANSLATE($A5041,""en"",""fr"")"),"L'vivs'ka Oblast'")</f>
        <v>L'vivs'ka Oblast'</v>
      </c>
      <c r="E5041" s="9" t="str">
        <f>IFERROR(__xludf.DUMMYFUNCTION("GOOGLETRANSLATE($A5041,""en"",""es"")"),"Óblast de Leópolis")</f>
        <v>Óblast de Leópolis</v>
      </c>
      <c r="F5041" s="9" t="str">
        <f>IFERROR(__xludf.DUMMYFUNCTION("GOOGLETRANSLATE($A5041,""en"",""it"")"),"L'vivs'ka Oblast'")</f>
        <v>L'vivs'ka Oblast'</v>
      </c>
      <c r="G5041" s="9" t="str">
        <f>IFERROR(__xludf.DUMMYFUNCTION("GOOGLETRANSLATE($A5041,""en"",""zh-cn"")"),"利沃夫卡州")</f>
        <v>利沃夫卡州</v>
      </c>
      <c r="H5041" s="9" t="str">
        <f>IFERROR(__xludf.DUMMYFUNCTION("GOOGLETRANSLATE($A5041,""en"",""ja"")"),"「リヴィウカ州」")</f>
        <v>「リヴィウカ州」</v>
      </c>
      <c r="I5041" s="9" t="str">
        <f>IFERROR(__xludf.DUMMYFUNCTION("GOOGLETRANSLATE($A5041,""en"",""ko"")"),"L'vivs'ka Oblast'")</f>
        <v>L'vivs'ka Oblast'</v>
      </c>
      <c r="J5041" s="9" t="str">
        <f>IFERROR(__xludf.DUMMYFUNCTION("GOOGLETRANSLATE($A5041,""en"",""pt-BR"")"),"Oblast de L'vivska'")</f>
        <v>Oblast de L'vivska'</v>
      </c>
    </row>
    <row r="5042">
      <c r="A5042" s="9" t="str">
        <f>IFERROR(__xludf.DUMMYFUNCTION("""COMPUTED_VALUE"""),"Sevastopol'")</f>
        <v>Sevastopol'</v>
      </c>
      <c r="B5042" s="9" t="str">
        <f>IFERROR(__xludf.DUMMYFUNCTION("""COMPUTED_VALUE"""),"ua-40")</f>
        <v>ua-40</v>
      </c>
      <c r="C5042" s="9" t="str">
        <f>IFERROR(__xludf.DUMMYFUNCTION("GOOGLETRANSLATE($A5042,""en"",""de"")"),"Sewastopol'")</f>
        <v>Sewastopol'</v>
      </c>
      <c r="D5042" s="9" t="str">
        <f>IFERROR(__xludf.DUMMYFUNCTION("GOOGLETRANSLATE($A5042,""en"",""fr"")"),"Sébastopol'")</f>
        <v>Sébastopol'</v>
      </c>
      <c r="E5042" s="9" t="str">
        <f>IFERROR(__xludf.DUMMYFUNCTION("GOOGLETRANSLATE($A5042,""en"",""es"")"),"Sebastopol")</f>
        <v>Sebastopol</v>
      </c>
      <c r="F5042" s="9" t="str">
        <f>IFERROR(__xludf.DUMMYFUNCTION("GOOGLETRANSLATE($A5042,""en"",""it"")"),"Sebastopoli'")</f>
        <v>Sebastopoli'</v>
      </c>
      <c r="G5042" s="9" t="str">
        <f>IFERROR(__xludf.DUMMYFUNCTION("GOOGLETRANSLATE($A5042,""en"",""zh-cn"")"),"塞瓦斯托波尔")</f>
        <v>塞瓦斯托波尔</v>
      </c>
      <c r="H5042" s="9" t="str">
        <f>IFERROR(__xludf.DUMMYFUNCTION("GOOGLETRANSLATE($A5042,""en"",""ja"")"),"セヴァストポリ")</f>
        <v>セヴァストポリ</v>
      </c>
      <c r="I5042" s="9" t="str">
        <f>IFERROR(__xludf.DUMMYFUNCTION("GOOGLETRANSLATE($A5042,""en"",""ko"")"),"세바스토폴'")</f>
        <v>세바스토폴'</v>
      </c>
      <c r="J5042" s="9" t="str">
        <f>IFERROR(__xludf.DUMMYFUNCTION("GOOGLETRANSLATE($A5042,""en"",""pt-BR"")"),"Sebastopol'")</f>
        <v>Sebastopol'</v>
      </c>
    </row>
    <row r="5043">
      <c r="A5043" s="9" t="str">
        <f>IFERROR(__xludf.DUMMYFUNCTION("""COMPUTED_VALUE"""),"Odes'ka Oblast'")</f>
        <v>Odes'ka Oblast'</v>
      </c>
      <c r="B5043" s="9" t="str">
        <f>IFERROR(__xludf.DUMMYFUNCTION("""COMPUTED_VALUE"""),"ua-51")</f>
        <v>ua-51</v>
      </c>
      <c r="C5043" s="9" t="str">
        <f>IFERROR(__xludf.DUMMYFUNCTION("GOOGLETRANSLATE($A5043,""en"",""de"")"),"Oblast Odessa")</f>
        <v>Oblast Odessa</v>
      </c>
      <c r="D5043" s="9" t="str">
        <f>IFERROR(__xludf.DUMMYFUNCTION("GOOGLETRANSLATE($A5043,""en"",""fr"")"),"Oblast d'Odes'ka")</f>
        <v>Oblast d'Odes'ka</v>
      </c>
      <c r="E5043" s="9" t="str">
        <f>IFERROR(__xludf.DUMMYFUNCTION("GOOGLETRANSLATE($A5043,""en"",""es"")"),"Óblast de Odesa")</f>
        <v>Óblast de Odesa</v>
      </c>
      <c r="F5043" s="9" t="str">
        <f>IFERROR(__xludf.DUMMYFUNCTION("GOOGLETRANSLATE($A5043,""en"",""it"")"),"Odes'ka Oblast'")</f>
        <v>Odes'ka Oblast'</v>
      </c>
      <c r="G5043" s="9" t="str">
        <f>IFERROR(__xludf.DUMMYFUNCTION("GOOGLETRANSLATE($A5043,""en"",""zh-cn"")"),"敖德斯卡州")</f>
        <v>敖德斯卡州</v>
      </c>
      <c r="H5043" s="9" t="str">
        <f>IFERROR(__xludf.DUMMYFUNCTION("GOOGLETRANSLATE($A5043,""en"",""ja"")"),"オデスカ州」")</f>
        <v>オデスカ州」</v>
      </c>
      <c r="I5043" s="9" t="str">
        <f>IFERROR(__xludf.DUMMYFUNCTION("GOOGLETRANSLATE($A5043,""en"",""ko"")"),"오데스카 오블래스트")</f>
        <v>오데스카 오블래스트</v>
      </c>
      <c r="J5043" s="9" t="str">
        <f>IFERROR(__xludf.DUMMYFUNCTION("GOOGLETRANSLATE($A5043,""en"",""pt-BR"")"),"Odes'ka Oblast'")</f>
        <v>Odes'ka Oblast'</v>
      </c>
    </row>
    <row r="5044">
      <c r="A5044" s="9" t="str">
        <f>IFERROR(__xludf.DUMMYFUNCTION("""COMPUTED_VALUE"""),"Zaporiz'ka Oblast'")</f>
        <v>Zaporiz'ka Oblast'</v>
      </c>
      <c r="B5044" s="9" t="str">
        <f>IFERROR(__xludf.DUMMYFUNCTION("""COMPUTED_VALUE"""),"ua-23")</f>
        <v>ua-23</v>
      </c>
      <c r="C5044" s="9" t="str">
        <f>IFERROR(__xludf.DUMMYFUNCTION("GOOGLETRANSLATE($A5044,""en"",""de"")"),"Oblast Saporischschja")</f>
        <v>Oblast Saporischschja</v>
      </c>
      <c r="D5044" s="9" t="str">
        <f>IFERROR(__xludf.DUMMYFUNCTION("GOOGLETRANSLATE($A5044,""en"",""fr"")"),"Oblast de Zaporizka")</f>
        <v>Oblast de Zaporizka</v>
      </c>
      <c r="E5044" s="9" t="str">
        <f>IFERROR(__xludf.DUMMYFUNCTION("GOOGLETRANSLATE($A5044,""en"",""es"")"),"Óblast de Zaporizhia")</f>
        <v>Óblast de Zaporizhia</v>
      </c>
      <c r="F5044" s="9" t="str">
        <f>IFERROR(__xludf.DUMMYFUNCTION("GOOGLETRANSLATE($A5044,""en"",""it"")"),"Zaporiz'ka Oblast'")</f>
        <v>Zaporiz'ka Oblast'</v>
      </c>
      <c r="G5044" s="9" t="str">
        <f>IFERROR(__xludf.DUMMYFUNCTION("GOOGLETRANSLATE($A5044,""en"",""zh-cn"")"),"扎波里兹卡州")</f>
        <v>扎波里兹卡州</v>
      </c>
      <c r="H5044" s="9" t="str">
        <f>IFERROR(__xludf.DUMMYFUNCTION("GOOGLETRANSLATE($A5044,""en"",""ja"")"),"ザポリースカ州")</f>
        <v>ザポリースカ州</v>
      </c>
      <c r="I5044" s="9" t="str">
        <f>IFERROR(__xludf.DUMMYFUNCTION("GOOGLETRANSLATE($A5044,""en"",""ko"")"),"자포리즈카 오블라스트'")</f>
        <v>자포리즈카 오블라스트'</v>
      </c>
      <c r="J5044" s="9" t="str">
        <f>IFERROR(__xludf.DUMMYFUNCTION("GOOGLETRANSLATE($A5044,""en"",""pt-BR"")"),"Oblast de Zaporizhka'")</f>
        <v>Oblast de Zaporizhka'</v>
      </c>
    </row>
    <row r="5045">
      <c r="A5045" s="9" t="str">
        <f>IFERROR(__xludf.DUMMYFUNCTION("""COMPUTED_VALUE"""),"Kharkivs'ka Oblast'")</f>
        <v>Kharkivs'ka Oblast'</v>
      </c>
      <c r="B5045" s="9" t="str">
        <f>IFERROR(__xludf.DUMMYFUNCTION("""COMPUTED_VALUE"""),"ua-63")</f>
        <v>ua-63</v>
      </c>
      <c r="C5045" s="9" t="str">
        <f>IFERROR(__xludf.DUMMYFUNCTION("GOOGLETRANSLATE($A5045,""en"",""de"")"),"Oblast Charkiw")</f>
        <v>Oblast Charkiw</v>
      </c>
      <c r="D5045" s="9" t="str">
        <f>IFERROR(__xludf.DUMMYFUNCTION("GOOGLETRANSLATE($A5045,""en"",""fr"")"),"Oblast de Kharkivs'ka")</f>
        <v>Oblast de Kharkivs'ka</v>
      </c>
      <c r="E5045" s="9" t="str">
        <f>IFERROR(__xludf.DUMMYFUNCTION("GOOGLETRANSLATE($A5045,""en"",""es"")"),"Óblast de Járkov")</f>
        <v>Óblast de Járkov</v>
      </c>
      <c r="F5045" s="9" t="str">
        <f>IFERROR(__xludf.DUMMYFUNCTION("GOOGLETRANSLATE($A5045,""en"",""it"")"),"Kharkivs'ka Oblast'")</f>
        <v>Kharkivs'ka Oblast'</v>
      </c>
      <c r="G5045" s="9" t="str">
        <f>IFERROR(__xludf.DUMMYFUNCTION("GOOGLETRANSLATE($A5045,""en"",""zh-cn"")"),"哈尔科夫州")</f>
        <v>哈尔科夫州</v>
      </c>
      <c r="H5045" s="9" t="str">
        <f>IFERROR(__xludf.DUMMYFUNCTION("GOOGLETRANSLATE($A5045,""en"",""ja"")"),"ハリコフカ州")</f>
        <v>ハリコフカ州</v>
      </c>
      <c r="I5045" s="9" t="str">
        <f>IFERROR(__xludf.DUMMYFUNCTION("GOOGLETRANSLATE($A5045,""en"",""ko"")"),"카르키프스카 오블라스트'")</f>
        <v>카르키프스카 오블라스트'</v>
      </c>
      <c r="J5045" s="9" t="str">
        <f>IFERROR(__xludf.DUMMYFUNCTION("GOOGLETRANSLATE($A5045,""en"",""pt-BR"")"),"Oblast de Carcóvia'")</f>
        <v>Oblast de Carcóvia'</v>
      </c>
    </row>
    <row r="5046">
      <c r="A5046" s="9" t="str">
        <f>IFERROR(__xludf.DUMMYFUNCTION("""COMPUTED_VALUE"""),"Vinnyts'ka Oblast'")</f>
        <v>Vinnyts'ka Oblast'</v>
      </c>
      <c r="B5046" s="9" t="str">
        <f>IFERROR(__xludf.DUMMYFUNCTION("""COMPUTED_VALUE"""),"ua-05")</f>
        <v>ua-05</v>
      </c>
      <c r="C5046" s="9" t="str">
        <f>IFERROR(__xludf.DUMMYFUNCTION("GOOGLETRANSLATE($A5046,""en"",""de"")"),"Oblast Winnyzja")</f>
        <v>Oblast Winnyzja</v>
      </c>
      <c r="D5046" s="9" t="str">
        <f>IFERROR(__xludf.DUMMYFUNCTION("GOOGLETRANSLATE($A5046,""en"",""fr"")"),"Oblast de Vinnitsa")</f>
        <v>Oblast de Vinnitsa</v>
      </c>
      <c r="E5046" s="9" t="str">
        <f>IFERROR(__xludf.DUMMYFUNCTION("GOOGLETRANSLATE($A5046,""en"",""es"")"),"Óblast de Vinnytsia")</f>
        <v>Óblast de Vinnytsia</v>
      </c>
      <c r="F5046" s="9" t="str">
        <f>IFERROR(__xludf.DUMMYFUNCTION("GOOGLETRANSLATE($A5046,""en"",""it"")"),"Vinnyts'ka Oblast'")</f>
        <v>Vinnyts'ka Oblast'</v>
      </c>
      <c r="G5046" s="9" t="str">
        <f>IFERROR(__xludf.DUMMYFUNCTION("GOOGLETRANSLATE($A5046,""en"",""zh-cn"")"),"文尼察州")</f>
        <v>文尼察州</v>
      </c>
      <c r="H5046" s="9" t="str">
        <f>IFERROR(__xludf.DUMMYFUNCTION("GOOGLETRANSLATE($A5046,""en"",""ja"")"),"ヴィヌィツカ州")</f>
        <v>ヴィヌィツカ州</v>
      </c>
      <c r="I5046" s="9" t="str">
        <f>IFERROR(__xludf.DUMMYFUNCTION("GOOGLETRANSLATE($A5046,""en"",""ko"")"),"Vinnyts'ka Oblast'")</f>
        <v>Vinnyts'ka Oblast'</v>
      </c>
      <c r="J5046" s="9" t="str">
        <f>IFERROR(__xludf.DUMMYFUNCTION("GOOGLETRANSLATE($A5046,""en"",""pt-BR"")"),"Oblast de Vinnitsa'")</f>
        <v>Oblast de Vinnitsa'</v>
      </c>
    </row>
    <row r="5047">
      <c r="A5047" s="9" t="str">
        <f>IFERROR(__xludf.DUMMYFUNCTION("""COMPUTED_VALUE"""),"Khmel'nyts'ka Oblast'")</f>
        <v>Khmel'nyts'ka Oblast'</v>
      </c>
      <c r="B5047" s="9" t="str">
        <f>IFERROR(__xludf.DUMMYFUNCTION("""COMPUTED_VALUE"""),"ua-68")</f>
        <v>ua-68</v>
      </c>
      <c r="C5047" s="9" t="str">
        <f>IFERROR(__xludf.DUMMYFUNCTION("GOOGLETRANSLATE($A5047,""en"",""de"")"),"Oblast Chmelnyzka")</f>
        <v>Oblast Chmelnyzka</v>
      </c>
      <c r="D5047" s="9" t="str">
        <f>IFERROR(__xludf.DUMMYFUNCTION("GOOGLETRANSLATE($A5047,""en"",""fr"")"),"Khmel'nyts'ka Oblast'")</f>
        <v>Khmel'nyts'ka Oblast'</v>
      </c>
      <c r="E5047" s="9" t="str">
        <f>IFERROR(__xludf.DUMMYFUNCTION("GOOGLETRANSLATE($A5047,""en"",""es"")"),"Óblast de Khmel'nyts'ka")</f>
        <v>Óblast de Khmel'nyts'ka</v>
      </c>
      <c r="F5047" s="9" t="str">
        <f>IFERROR(__xludf.DUMMYFUNCTION("GOOGLETRANSLATE($A5047,""en"",""it"")"),"Khmel'nyts'ka Oblast'")</f>
        <v>Khmel'nyts'ka Oblast'</v>
      </c>
      <c r="G5047" s="9" t="str">
        <f>IFERROR(__xludf.DUMMYFUNCTION("GOOGLETRANSLATE($A5047,""en"",""zh-cn"")"),"赫梅利尼茨卡州")</f>
        <v>赫梅利尼茨卡州</v>
      </c>
      <c r="H5047" s="9" t="str">
        <f>IFERROR(__xludf.DUMMYFUNCTION("GOOGLETRANSLATE($A5047,""en"",""ja"")"),"クメリニツカ州")</f>
        <v>クメリニツカ州</v>
      </c>
      <c r="I5047" s="9" t="str">
        <f>IFERROR(__xludf.DUMMYFUNCTION("GOOGLETRANSLATE($A5047,""en"",""ko"")"),"크멜니츠카 오블라스트'")</f>
        <v>크멜니츠카 오블라스트'</v>
      </c>
      <c r="J5047" s="9" t="str">
        <f>IFERROR(__xludf.DUMMYFUNCTION("GOOGLETRANSLATE($A5047,""en"",""pt-BR"")"),"Oblast de Khmel'nyts'ka'")</f>
        <v>Oblast de Khmel'nyts'ka'</v>
      </c>
    </row>
    <row r="5048">
      <c r="A5048" s="9" t="str">
        <f>IFERROR(__xludf.DUMMYFUNCTION("""COMPUTED_VALUE"""),"Khersons'ka Oblast'")</f>
        <v>Khersons'ka Oblast'</v>
      </c>
      <c r="B5048" s="9" t="str">
        <f>IFERROR(__xludf.DUMMYFUNCTION("""COMPUTED_VALUE"""),"ua-65")</f>
        <v>ua-65</v>
      </c>
      <c r="C5048" s="9" t="str">
        <f>IFERROR(__xludf.DUMMYFUNCTION("GOOGLETRANSLATE($A5048,""en"",""de"")"),"Oblast Cherson")</f>
        <v>Oblast Cherson</v>
      </c>
      <c r="D5048" s="9" t="str">
        <f>IFERROR(__xludf.DUMMYFUNCTION("GOOGLETRANSLATE($A5048,""en"",""fr"")"),"Oblast de Khersons'ka")</f>
        <v>Oblast de Khersons'ka</v>
      </c>
      <c r="E5048" s="9" t="str">
        <f>IFERROR(__xludf.DUMMYFUNCTION("GOOGLETRANSLATE($A5048,""en"",""es"")"),"Óblast de Jersón")</f>
        <v>Óblast de Jersón</v>
      </c>
      <c r="F5048" s="9" t="str">
        <f>IFERROR(__xludf.DUMMYFUNCTION("GOOGLETRANSLATE($A5048,""en"",""it"")"),"Chersons'ka Oblast'")</f>
        <v>Chersons'ka Oblast'</v>
      </c>
      <c r="G5048" s="9" t="str">
        <f>IFERROR(__xludf.DUMMYFUNCTION("GOOGLETRANSLATE($A5048,""en"",""zh-cn"")"),"赫尔松斯卡州")</f>
        <v>赫尔松斯卡州</v>
      </c>
      <c r="H5048" s="9" t="str">
        <f>IFERROR(__xludf.DUMMYFUNCTION("GOOGLETRANSLATE($A5048,""en"",""ja"")"),"ヘルソンスカ州")</f>
        <v>ヘルソンスカ州</v>
      </c>
      <c r="I5048" s="9" t="str">
        <f>IFERROR(__xludf.DUMMYFUNCTION("GOOGLETRANSLATE($A5048,""en"",""ko"")"),"헤르손스카 오블래스트")</f>
        <v>헤르손스카 오블래스트</v>
      </c>
      <c r="J5048" s="9" t="str">
        <f>IFERROR(__xludf.DUMMYFUNCTION("GOOGLETRANSLATE($A5048,""en"",""pt-BR"")"),"Oblast de Khersons'")</f>
        <v>Oblast de Khersons'</v>
      </c>
    </row>
    <row r="5049">
      <c r="A5049" s="9" t="str">
        <f>IFERROR(__xludf.DUMMYFUNCTION("""COMPUTED_VALUE"""),"Dnipropetrovs'ka Oblast'")</f>
        <v>Dnipropetrovs'ka Oblast'</v>
      </c>
      <c r="B5049" s="9" t="str">
        <f>IFERROR(__xludf.DUMMYFUNCTION("""COMPUTED_VALUE"""),"ua-12")</f>
        <v>ua-12</v>
      </c>
      <c r="C5049" s="9" t="str">
        <f>IFERROR(__xludf.DUMMYFUNCTION("GOOGLETRANSLATE($A5049,""en"",""de"")"),"Oblast Dnipropetrowsk")</f>
        <v>Oblast Dnipropetrowsk</v>
      </c>
      <c r="D5049" s="9" t="str">
        <f>IFERROR(__xludf.DUMMYFUNCTION("GOOGLETRANSLATE($A5049,""en"",""fr"")"),"Oblast de Dnipropetrovsk")</f>
        <v>Oblast de Dnipropetrovsk</v>
      </c>
      <c r="E5049" s="9" t="str">
        <f>IFERROR(__xludf.DUMMYFUNCTION("GOOGLETRANSLATE($A5049,""en"",""es"")"),"Óblast de Dnipropetrovsk")</f>
        <v>Óblast de Dnipropetrovsk</v>
      </c>
      <c r="F5049" s="9" t="str">
        <f>IFERROR(__xludf.DUMMYFUNCTION("GOOGLETRANSLATE($A5049,""en"",""it"")"),"Dnipropetrovs'ka Oblast'")</f>
        <v>Dnipropetrovs'ka Oblast'</v>
      </c>
      <c r="G5049" s="9" t="str">
        <f>IFERROR(__xludf.DUMMYFUNCTION("GOOGLETRANSLATE($A5049,""en"",""zh-cn"")"),"第聂伯罗彼得罗夫斯克州")</f>
        <v>第聂伯罗彼得罗夫斯克州</v>
      </c>
      <c r="H5049" s="9" t="str">
        <f>IFERROR(__xludf.DUMMYFUNCTION("GOOGLETRANSLATE($A5049,""en"",""ja"")"),"ドニプロペトロフス州")</f>
        <v>ドニプロペトロフス州</v>
      </c>
      <c r="I5049" s="9" t="str">
        <f>IFERROR(__xludf.DUMMYFUNCTION("GOOGLETRANSLATE($A5049,""en"",""ko"")"),"드니프로페트로프스카 오블래스트")</f>
        <v>드니프로페트로프스카 오블래스트</v>
      </c>
      <c r="J5049" s="9" t="str">
        <f>IFERROR(__xludf.DUMMYFUNCTION("GOOGLETRANSLATE($A5049,""en"",""pt-BR"")"),"Oblast de Dnipropetrovska'")</f>
        <v>Oblast de Dnipropetrovska'</v>
      </c>
    </row>
    <row r="5050">
      <c r="A5050" s="9" t="str">
        <f>IFERROR(__xludf.DUMMYFUNCTION("""COMPUTED_VALUE"""),"Kirovohrads'ka Oblast'")</f>
        <v>Kirovohrads'ka Oblast'</v>
      </c>
      <c r="B5050" s="9" t="str">
        <f>IFERROR(__xludf.DUMMYFUNCTION("""COMPUTED_VALUE"""),"ua-35")</f>
        <v>ua-35</v>
      </c>
      <c r="C5050" s="9" t="str">
        <f>IFERROR(__xludf.DUMMYFUNCTION("GOOGLETRANSLATE($A5050,""en"",""de"")"),"Oblast Kirowohrad")</f>
        <v>Oblast Kirowohrad</v>
      </c>
      <c r="D5050" s="9" t="str">
        <f>IFERROR(__xludf.DUMMYFUNCTION("GOOGLETRANSLATE($A5050,""en"",""fr"")"),"Oblast de Kirovohrads'ka")</f>
        <v>Oblast de Kirovohrads'ka</v>
      </c>
      <c r="E5050" s="9" t="str">
        <f>IFERROR(__xludf.DUMMYFUNCTION("GOOGLETRANSLATE($A5050,""en"",""es"")"),"Óblast de Kirovohrads'ka")</f>
        <v>Óblast de Kirovohrads'ka</v>
      </c>
      <c r="F5050" s="9" t="str">
        <f>IFERROR(__xludf.DUMMYFUNCTION("GOOGLETRANSLATE($A5050,""en"",""it"")"),"Kirovohrads'ka Oblast'")</f>
        <v>Kirovohrads'ka Oblast'</v>
      </c>
      <c r="G5050" s="9" t="str">
        <f>IFERROR(__xludf.DUMMYFUNCTION("GOOGLETRANSLATE($A5050,""en"",""zh-cn"")"),"基洛沃拉兹卡州")</f>
        <v>基洛沃拉兹卡州</v>
      </c>
      <c r="H5050" s="9" t="str">
        <f>IFERROR(__xludf.DUMMYFUNCTION("GOOGLETRANSLATE($A5050,""en"",""ja"")"),"キロヴォフラツカ州")</f>
        <v>キロヴォフラツカ州</v>
      </c>
      <c r="I5050" s="9" t="str">
        <f>IFERROR(__xludf.DUMMYFUNCTION("GOOGLETRANSLATE($A5050,""en"",""ko"")"),"Kirovohrads'ka Oblast'")</f>
        <v>Kirovohrads'ka Oblast'</v>
      </c>
      <c r="J5050" s="9" t="str">
        <f>IFERROR(__xludf.DUMMYFUNCTION("GOOGLETRANSLATE($A5050,""en"",""pt-BR"")"),"Oblast de Kirovohradska'")</f>
        <v>Oblast de Kirovohradska'</v>
      </c>
    </row>
    <row r="5051">
      <c r="A5051" s="9" t="str">
        <f>IFERROR(__xludf.DUMMYFUNCTION("""COMPUTED_VALUE"""),"Mykolaïvs'ka Oblast'")</f>
        <v>Mykolaïvs'ka Oblast'</v>
      </c>
      <c r="B5051" s="9" t="str">
        <f>IFERROR(__xludf.DUMMYFUNCTION("""COMPUTED_VALUE"""),"ua-48")</f>
        <v>ua-48</v>
      </c>
      <c r="C5051" s="9" t="str">
        <f>IFERROR(__xludf.DUMMYFUNCTION("GOOGLETRANSLATE($A5051,""en"",""de"")"),"Oblast Mykolajiw")</f>
        <v>Oblast Mykolajiw</v>
      </c>
      <c r="D5051" s="9" t="str">
        <f>IFERROR(__xludf.DUMMYFUNCTION("GOOGLETRANSLATE($A5051,""en"",""fr"")"),"Oblast de Mykolaïv")</f>
        <v>Oblast de Mykolaïv</v>
      </c>
      <c r="E5051" s="9" t="str">
        <f>IFERROR(__xludf.DUMMYFUNCTION("GOOGLETRANSLATE($A5051,""en"",""es"")"),"Óblast de Mykolaiv")</f>
        <v>Óblast de Mykolaiv</v>
      </c>
      <c r="F5051" s="9" t="str">
        <f>IFERROR(__xludf.DUMMYFUNCTION("GOOGLETRANSLATE($A5051,""en"",""it"")"),"Mykolaïvs'ka Oblast'")</f>
        <v>Mykolaïvs'ka Oblast'</v>
      </c>
      <c r="G5051" s="9" t="str">
        <f>IFERROR(__xludf.DUMMYFUNCTION("GOOGLETRANSLATE($A5051,""en"",""zh-cn"")"),"尼古拉伊夫斯卡州")</f>
        <v>尼古拉伊夫斯卡州</v>
      </c>
      <c r="H5051" s="9" t="str">
        <f>IFERROR(__xludf.DUMMYFUNCTION("GOOGLETRANSLATE($A5051,""en"",""ja"")"),"ムイコライフカ州")</f>
        <v>ムイコライフカ州</v>
      </c>
      <c r="I5051" s="9" t="str">
        <f>IFERROR(__xludf.DUMMYFUNCTION("GOOGLETRANSLATE($A5051,""en"",""ko"")"),"Mykolaïvs'ka Oblast'")</f>
        <v>Mykolaïvs'ka Oblast'</v>
      </c>
      <c r="J5051" s="9" t="str">
        <f>IFERROR(__xludf.DUMMYFUNCTION("GOOGLETRANSLATE($A5051,""en"",""pt-BR"")"),"Oblast de Mykolaïvska'")</f>
        <v>Oblast de Mykolaïvska'</v>
      </c>
    </row>
    <row r="5052">
      <c r="A5052" s="9" t="str">
        <f>IFERROR(__xludf.DUMMYFUNCTION("""COMPUTED_VALUE"""),"Sums'ka Oblast'")</f>
        <v>Sums'ka Oblast'</v>
      </c>
      <c r="B5052" s="9" t="str">
        <f>IFERROR(__xludf.DUMMYFUNCTION("""COMPUTED_VALUE"""),"ua-59")</f>
        <v>ua-59</v>
      </c>
      <c r="C5052" s="9" t="str">
        <f>IFERROR(__xludf.DUMMYFUNCTION("GOOGLETRANSLATE($A5052,""en"",""de"")"),"Sums'ka Oblast'")</f>
        <v>Sums'ka Oblast'</v>
      </c>
      <c r="D5052" s="9" t="str">
        <f>IFERROR(__xludf.DUMMYFUNCTION("GOOGLETRANSLATE($A5052,""en"",""fr"")"),"Région de Sums'ka")</f>
        <v>Région de Sums'ka</v>
      </c>
      <c r="E5052" s="9" t="str">
        <f>IFERROR(__xludf.DUMMYFUNCTION("GOOGLETRANSLATE($A5052,""en"",""es"")"),"Óblast de Sumska")</f>
        <v>Óblast de Sumska</v>
      </c>
      <c r="F5052" s="9" t="str">
        <f>IFERROR(__xludf.DUMMYFUNCTION("GOOGLETRANSLATE($A5052,""en"",""it"")"),"Sums'ka Oblast'")</f>
        <v>Sums'ka Oblast'</v>
      </c>
      <c r="G5052" s="9" t="str">
        <f>IFERROR(__xludf.DUMMYFUNCTION("GOOGLETRANSLATE($A5052,""en"",""zh-cn"")"),"苏姆斯卡州")</f>
        <v>苏姆斯卡州</v>
      </c>
      <c r="H5052" s="9" t="str">
        <f>IFERROR(__xludf.DUMMYFUNCTION("GOOGLETRANSLATE($A5052,""en"",""ja"")"),"スムスカ州")</f>
        <v>スムスカ州</v>
      </c>
      <c r="I5052" s="9" t="str">
        <f>IFERROR(__xludf.DUMMYFUNCTION("GOOGLETRANSLATE($A5052,""en"",""ko"")"),"숨스카 오블라스트'")</f>
        <v>숨스카 오블라스트'</v>
      </c>
      <c r="J5052" s="9" t="str">
        <f>IFERROR(__xludf.DUMMYFUNCTION("GOOGLETRANSLATE($A5052,""en"",""pt-BR"")"),"Oblast de Sums'ka'")</f>
        <v>Oblast de Sums'ka'</v>
      </c>
    </row>
    <row r="5053">
      <c r="A5053" s="9" t="str">
        <f>IFERROR(__xludf.DUMMYFUNCTION("""COMPUTED_VALUE"""),"Avtonomna Respublika Krym")</f>
        <v>Avtonomna Respublika Krym</v>
      </c>
      <c r="B5053" s="9" t="str">
        <f>IFERROR(__xludf.DUMMYFUNCTION("""COMPUTED_VALUE"""),"ua-43")</f>
        <v>ua-43</v>
      </c>
      <c r="C5053" s="9" t="str">
        <f>IFERROR(__xludf.DUMMYFUNCTION("GOOGLETRANSLATE($A5053,""en"",""de"")"),"Avtonomna Respublika Krym")</f>
        <v>Avtonomna Respublika Krym</v>
      </c>
      <c r="D5053" s="9" t="str">
        <f>IFERROR(__xludf.DUMMYFUNCTION("GOOGLETRANSLATE($A5053,""en"",""fr"")"),"Avtonomna Respublika Krym")</f>
        <v>Avtonomna Respublika Krym</v>
      </c>
      <c r="E5053" s="9" t="str">
        <f>IFERROR(__xludf.DUMMYFUNCTION("GOOGLETRANSLATE($A5053,""en"",""es"")"),"Avtonomna República de Krym")</f>
        <v>Avtonomna República de Krym</v>
      </c>
      <c r="F5053" s="9" t="str">
        <f>IFERROR(__xludf.DUMMYFUNCTION("GOOGLETRANSLATE($A5053,""en"",""it"")"),"Avtonomna Respublika Krym")</f>
        <v>Avtonomna Respublika Krym</v>
      </c>
      <c r="G5053" s="9" t="str">
        <f>IFERROR(__xludf.DUMMYFUNCTION("GOOGLETRANSLATE($A5053,""en"",""zh-cn"")"),"共和国联盟")</f>
        <v>共和国联盟</v>
      </c>
      <c r="H5053" s="9" t="str">
        <f>IFERROR(__xludf.DUMMYFUNCTION("GOOGLETRANSLATE($A5053,""en"",""ja"")"),"アフトノムナ共和国 クリム")</f>
        <v>アフトノムナ共和国 クリム</v>
      </c>
      <c r="I5053" s="9" t="str">
        <f>IFERROR(__xludf.DUMMYFUNCTION("GOOGLETRANSLATE($A5053,""en"",""ko"")"),"아브토놈나 레스푸블리카 크림")</f>
        <v>아브토놈나 레스푸블리카 크림</v>
      </c>
      <c r="J5053" s="9" t="str">
        <f>IFERROR(__xludf.DUMMYFUNCTION("GOOGLETRANSLATE($A5053,""en"",""pt-BR"")"),"Avtonomna Respublika Krym")</f>
        <v>Avtonomna Respublika Krym</v>
      </c>
    </row>
    <row r="5054">
      <c r="A5054" s="9" t="str">
        <f>IFERROR(__xludf.DUMMYFUNCTION("""COMPUTED_VALUE"""),"Kyïv")</f>
        <v>Kyïv</v>
      </c>
      <c r="B5054" s="9" t="str">
        <f>IFERROR(__xludf.DUMMYFUNCTION("""COMPUTED_VALUE"""),"ua-30")</f>
        <v>ua-30</v>
      </c>
      <c r="C5054" s="9" t="str">
        <f>IFERROR(__xludf.DUMMYFUNCTION("GOOGLETRANSLATE($A5054,""en"",""de"")"),"Kiew")</f>
        <v>Kiew</v>
      </c>
      <c r="D5054" s="9" t="str">
        <f>IFERROR(__xludf.DUMMYFUNCTION("GOOGLETRANSLATE($A5054,""en"",""fr"")"),"Kiev")</f>
        <v>Kiev</v>
      </c>
      <c r="E5054" s="9" t="str">
        <f>IFERROR(__xludf.DUMMYFUNCTION("GOOGLETRANSLATE($A5054,""en"",""es"")"),"Kiev")</f>
        <v>Kiev</v>
      </c>
      <c r="F5054" s="9" t="str">
        <f>IFERROR(__xludf.DUMMYFUNCTION("GOOGLETRANSLATE($A5054,""en"",""it"")"),"Kiev")</f>
        <v>Kiev</v>
      </c>
      <c r="G5054" s="9" t="str">
        <f>IFERROR(__xludf.DUMMYFUNCTION("GOOGLETRANSLATE($A5054,""en"",""zh-cn"")"),"基辅")</f>
        <v>基辅</v>
      </c>
      <c r="H5054" s="9" t="str">
        <f>IFERROR(__xludf.DUMMYFUNCTION("GOOGLETRANSLATE($A5054,""en"",""ja"")"),"キエフ")</f>
        <v>キエフ</v>
      </c>
      <c r="I5054" s="9" t="str">
        <f>IFERROR(__xludf.DUMMYFUNCTION("GOOGLETRANSLATE($A5054,""en"",""ko"")"),"키이우")</f>
        <v>키이우</v>
      </c>
      <c r="J5054" s="9" t="str">
        <f>IFERROR(__xludf.DUMMYFUNCTION("GOOGLETRANSLATE($A5054,""en"",""pt-BR"")"),"Kiev")</f>
        <v>Kiev</v>
      </c>
    </row>
    <row r="5055">
      <c r="A5055" s="9" t="str">
        <f>IFERROR(__xludf.DUMMYFUNCTION("""COMPUTED_VALUE"""),"Chernihivs'ka Oblast'")</f>
        <v>Chernihivs'ka Oblast'</v>
      </c>
      <c r="B5055" s="9" t="str">
        <f>IFERROR(__xludf.DUMMYFUNCTION("""COMPUTED_VALUE"""),"ua-74")</f>
        <v>ua-74</v>
      </c>
      <c r="C5055" s="9" t="str">
        <f>IFERROR(__xludf.DUMMYFUNCTION("GOOGLETRANSLATE($A5055,""en"",""de"")"),"Oblast Tschernihiw")</f>
        <v>Oblast Tschernihiw</v>
      </c>
      <c r="D5055" s="9" t="str">
        <f>IFERROR(__xludf.DUMMYFUNCTION("GOOGLETRANSLATE($A5055,""en"",""fr"")"),"Oblast de Tchernihiv")</f>
        <v>Oblast de Tchernihiv</v>
      </c>
      <c r="E5055" s="9" t="str">
        <f>IFERROR(__xludf.DUMMYFUNCTION("GOOGLETRANSLATE($A5055,""en"",""es"")"),"Óblast de Chernihiv")</f>
        <v>Óblast de Chernihiv</v>
      </c>
      <c r="F5055" s="9" t="str">
        <f>IFERROR(__xludf.DUMMYFUNCTION("GOOGLETRANSLATE($A5055,""en"",""it"")"),"Chernihivs'ka Oblast'")</f>
        <v>Chernihivs'ka Oblast'</v>
      </c>
      <c r="G5055" s="9" t="str">
        <f>IFERROR(__xludf.DUMMYFUNCTION("GOOGLETRANSLATE($A5055,""en"",""zh-cn"")"),"切尔尼戈夫州")</f>
        <v>切尔尼戈夫州</v>
      </c>
      <c r="H5055" s="9" t="str">
        <f>IFERROR(__xludf.DUMMYFUNCTION("GOOGLETRANSLATE($A5055,""en"",""ja"")"),"チェルニーヒウカ州")</f>
        <v>チェルニーヒウカ州</v>
      </c>
      <c r="I5055" s="9" t="str">
        <f>IFERROR(__xludf.DUMMYFUNCTION("GOOGLETRANSLATE($A5055,""en"",""ko"")"),"Chernihivs'ka Oblast'")</f>
        <v>Chernihivs'ka Oblast'</v>
      </c>
      <c r="J5055" s="9" t="str">
        <f>IFERROR(__xludf.DUMMYFUNCTION("GOOGLETRANSLATE($A5055,""en"",""pt-BR"")"),"Oblast de Chernihivska'")</f>
        <v>Oblast de Chernihivska'</v>
      </c>
    </row>
    <row r="5056">
      <c r="A5056" s="9" t="str">
        <f>IFERROR(__xludf.DUMMYFUNCTION("""COMPUTED_VALUE"""),"Ivano-Frankivs'ka Oblast'")</f>
        <v>Ivano-Frankivs'ka Oblast'</v>
      </c>
      <c r="B5056" s="9" t="str">
        <f>IFERROR(__xludf.DUMMYFUNCTION("""COMPUTED_VALUE"""),"ua-26")</f>
        <v>ua-26</v>
      </c>
      <c r="C5056" s="9" t="str">
        <f>IFERROR(__xludf.DUMMYFUNCTION("GOOGLETRANSLATE($A5056,""en"",""de"")"),"Oblast Iwano-Frankiw")</f>
        <v>Oblast Iwano-Frankiw</v>
      </c>
      <c r="D5056" s="9" t="str">
        <f>IFERROR(__xludf.DUMMYFUNCTION("GOOGLETRANSLATE($A5056,""en"",""fr"")"),"Oblast d'Ivano-Frankivska")</f>
        <v>Oblast d'Ivano-Frankivska</v>
      </c>
      <c r="E5056" s="9" t="str">
        <f>IFERROR(__xludf.DUMMYFUNCTION("GOOGLETRANSLATE($A5056,""en"",""es"")"),"Óblast de Ivano-Frankivska")</f>
        <v>Óblast de Ivano-Frankivska</v>
      </c>
      <c r="F5056" s="9" t="str">
        <f>IFERROR(__xludf.DUMMYFUNCTION("GOOGLETRANSLATE($A5056,""en"",""it"")"),"Ivano-Frankivs'ka Oblast'")</f>
        <v>Ivano-Frankivs'ka Oblast'</v>
      </c>
      <c r="G5056" s="9" t="str">
        <f>IFERROR(__xludf.DUMMYFUNCTION("GOOGLETRANSLATE($A5056,""en"",""zh-cn"")"),"伊万诺-弗兰科夫斯卡州")</f>
        <v>伊万诺-弗兰科夫斯卡州</v>
      </c>
      <c r="H5056" s="9" t="str">
        <f>IFERROR(__xludf.DUMMYFUNCTION("GOOGLETRANSLATE($A5056,""en"",""ja"")"),"イヴァーノ・フランキウシュカ州")</f>
        <v>イヴァーノ・フランキウシュカ州</v>
      </c>
      <c r="I5056" s="9" t="str">
        <f>IFERROR(__xludf.DUMMYFUNCTION("GOOGLETRANSLATE($A5056,""en"",""ko"")"),"Ivano-Frankivs'ka Oblast'")</f>
        <v>Ivano-Frankivs'ka Oblast'</v>
      </c>
      <c r="J5056" s="9" t="str">
        <f>IFERROR(__xludf.DUMMYFUNCTION("GOOGLETRANSLATE($A5056,""en"",""pt-BR"")"),"Oblast de Ivano-Frankivs'ka'")</f>
        <v>Oblast de Ivano-Frankivs'ka'</v>
      </c>
    </row>
    <row r="5057">
      <c r="A5057" s="9" t="str">
        <f>IFERROR(__xludf.DUMMYFUNCTION("""COMPUTED_VALUE"""),"Volyns'ka Oblast'")</f>
        <v>Volyns'ka Oblast'</v>
      </c>
      <c r="B5057" s="9" t="str">
        <f>IFERROR(__xludf.DUMMYFUNCTION("""COMPUTED_VALUE"""),"ua-07")</f>
        <v>ua-07</v>
      </c>
      <c r="C5057" s="9" t="str">
        <f>IFERROR(__xludf.DUMMYFUNCTION("GOOGLETRANSLATE($A5057,""en"",""de"")"),"Oblast Wolhynien")</f>
        <v>Oblast Wolhynien</v>
      </c>
      <c r="D5057" s="9" t="str">
        <f>IFERROR(__xludf.DUMMYFUNCTION("GOOGLETRANSLATE($A5057,""en"",""fr"")"),"Oblast de Volhynie")</f>
        <v>Oblast de Volhynie</v>
      </c>
      <c r="E5057" s="9" t="str">
        <f>IFERROR(__xludf.DUMMYFUNCTION("GOOGLETRANSLATE($A5057,""en"",""es"")"),"Óblast de Volinská")</f>
        <v>Óblast de Volinská</v>
      </c>
      <c r="F5057" s="9" t="str">
        <f>IFERROR(__xludf.DUMMYFUNCTION("GOOGLETRANSLATE($A5057,""en"",""it"")"),"Volyns'ka Oblast'")</f>
        <v>Volyns'ka Oblast'</v>
      </c>
      <c r="G5057" s="9" t="str">
        <f>IFERROR(__xludf.DUMMYFUNCTION("GOOGLETRANSLATE($A5057,""en"",""zh-cn"")"),"沃林斯卡州")</f>
        <v>沃林斯卡州</v>
      </c>
      <c r="H5057" s="9" t="str">
        <f>IFERROR(__xludf.DUMMYFUNCTION("GOOGLETRANSLATE($A5057,""en"",""ja"")"),"ヴォリンスカ州」")</f>
        <v>ヴォリンスカ州」</v>
      </c>
      <c r="I5057" s="9" t="str">
        <f>IFERROR(__xludf.DUMMYFUNCTION("GOOGLETRANSLATE($A5057,""en"",""ko"")"),"볼린스카 오블라스트'")</f>
        <v>볼린스카 오블라스트'</v>
      </c>
      <c r="J5057" s="9" t="str">
        <f>IFERROR(__xludf.DUMMYFUNCTION("GOOGLETRANSLATE($A5057,""en"",""pt-BR"")"),"Oblast de Volynska'")</f>
        <v>Oblast de Volynska'</v>
      </c>
    </row>
    <row r="5058">
      <c r="A5058" s="9" t="str">
        <f>IFERROR(__xludf.DUMMYFUNCTION("""COMPUTED_VALUE"""),"Rivnens'ka Oblast'")</f>
        <v>Rivnens'ka Oblast'</v>
      </c>
      <c r="B5058" s="9" t="str">
        <f>IFERROR(__xludf.DUMMYFUNCTION("""COMPUTED_VALUE"""),"ua-56")</f>
        <v>ua-56</v>
      </c>
      <c r="C5058" s="9" t="str">
        <f>IFERROR(__xludf.DUMMYFUNCTION("GOOGLETRANSLATE($A5058,""en"",""de"")"),"Oblast Riwnen")</f>
        <v>Oblast Riwnen</v>
      </c>
      <c r="D5058" s="9" t="str">
        <f>IFERROR(__xludf.DUMMYFUNCTION("GOOGLETRANSLATE($A5058,""en"",""fr"")"),"Oblast de Rivnens'ka")</f>
        <v>Oblast de Rivnens'ka</v>
      </c>
      <c r="E5058" s="9" t="str">
        <f>IFERROR(__xludf.DUMMYFUNCTION("GOOGLETRANSLATE($A5058,""en"",""es"")"),"Óblast de Rivnens'ka")</f>
        <v>Óblast de Rivnens'ka</v>
      </c>
      <c r="F5058" s="9" t="str">
        <f>IFERROR(__xludf.DUMMYFUNCTION("GOOGLETRANSLATE($A5058,""en"",""it"")"),"Rivnens'ka Oblast'")</f>
        <v>Rivnens'ka Oblast'</v>
      </c>
      <c r="G5058" s="9" t="str">
        <f>IFERROR(__xludf.DUMMYFUNCTION("GOOGLETRANSLATE($A5058,""en"",""zh-cn"")"),"里夫嫩斯卡州")</f>
        <v>里夫嫩斯卡州</v>
      </c>
      <c r="H5058" s="9" t="str">
        <f>IFERROR(__xludf.DUMMYFUNCTION("GOOGLETRANSLATE($A5058,""en"",""ja"")"),"リヴネンスカ州")</f>
        <v>リヴネンスカ州</v>
      </c>
      <c r="I5058" s="9" t="str">
        <f>IFERROR(__xludf.DUMMYFUNCTION("GOOGLETRANSLATE($A5058,""en"",""ko"")"),"Rivnens'ka Oblast'")</f>
        <v>Rivnens'ka Oblast'</v>
      </c>
      <c r="J5058" s="9" t="str">
        <f>IFERROR(__xludf.DUMMYFUNCTION("GOOGLETRANSLATE($A5058,""en"",""pt-BR"")"),"Oblast de Rivnenska'")</f>
        <v>Oblast de Rivnenska'</v>
      </c>
    </row>
    <row r="5059">
      <c r="A5059" s="9" t="str">
        <f>IFERROR(__xludf.DUMMYFUNCTION("""COMPUTED_VALUE"""),"Ternopil's'ka Oblast'")</f>
        <v>Ternopil's'ka Oblast'</v>
      </c>
      <c r="B5059" s="9" t="str">
        <f>IFERROR(__xludf.DUMMYFUNCTION("""COMPUTED_VALUE"""),"ua-61")</f>
        <v>ua-61</v>
      </c>
      <c r="C5059" s="9" t="str">
        <f>IFERROR(__xludf.DUMMYFUNCTION("GOOGLETRANSLATE($A5059,""en"",""de"")"),"Oblast Ternopil")</f>
        <v>Oblast Ternopil</v>
      </c>
      <c r="D5059" s="9" t="str">
        <f>IFERROR(__xludf.DUMMYFUNCTION("GOOGLETRANSLATE($A5059,""en"",""fr"")"),"Région de Ternopil")</f>
        <v>Région de Ternopil</v>
      </c>
      <c r="E5059" s="9" t="str">
        <f>IFERROR(__xludf.DUMMYFUNCTION("GOOGLETRANSLATE($A5059,""en"",""es"")"),"Óblast de Ternópil")</f>
        <v>Óblast de Ternópil</v>
      </c>
      <c r="F5059" s="9" t="str">
        <f>IFERROR(__xludf.DUMMYFUNCTION("GOOGLETRANSLATE($A5059,""en"",""it"")"),"Ternopil's'ka Oblast'")</f>
        <v>Ternopil's'ka Oblast'</v>
      </c>
      <c r="G5059" s="9" t="str">
        <f>IFERROR(__xludf.DUMMYFUNCTION("GOOGLETRANSLATE($A5059,""en"",""zh-cn"")"),"捷尔诺波尔'卡州'")</f>
        <v>捷尔诺波尔'卡州'</v>
      </c>
      <c r="H5059" s="9" t="str">
        <f>IFERROR(__xludf.DUMMYFUNCTION("GOOGLETRANSLATE($A5059,""en"",""ja"")"),"テルノーピリの「カ州」")</f>
        <v>テルノーピリの「カ州」</v>
      </c>
      <c r="I5059" s="9" t="str">
        <f>IFERROR(__xludf.DUMMYFUNCTION("GOOGLETRANSLATE($A5059,""en"",""ko"")"),"Ternopil's'ka Oblast'")</f>
        <v>Ternopil's'ka Oblast'</v>
      </c>
      <c r="J5059" s="9" t="str">
        <f>IFERROR(__xludf.DUMMYFUNCTION("GOOGLETRANSLATE($A5059,""en"",""pt-BR"")"),"Oblast de Ternopil'ka")</f>
        <v>Oblast de Ternopil'ka</v>
      </c>
    </row>
    <row r="5060">
      <c r="A5060" s="9" t="str">
        <f>IFERROR(__xludf.DUMMYFUNCTION("""COMPUTED_VALUE"""),"Poltavs'ka Oblast'")</f>
        <v>Poltavs'ka Oblast'</v>
      </c>
      <c r="B5060" s="9" t="str">
        <f>IFERROR(__xludf.DUMMYFUNCTION("""COMPUTED_VALUE"""),"ua-53")</f>
        <v>ua-53</v>
      </c>
      <c r="C5060" s="9" t="str">
        <f>IFERROR(__xludf.DUMMYFUNCTION("GOOGLETRANSLATE($A5060,""en"",""de"")"),"Oblast Poltawsk")</f>
        <v>Oblast Poltawsk</v>
      </c>
      <c r="D5060" s="9" t="str">
        <f>IFERROR(__xludf.DUMMYFUNCTION("GOOGLETRANSLATE($A5060,""en"",""fr"")"),"Oblast de Poltavs'ka")</f>
        <v>Oblast de Poltavs'ka</v>
      </c>
      <c r="E5060" s="9" t="str">
        <f>IFERROR(__xludf.DUMMYFUNCTION("GOOGLETRANSLATE($A5060,""en"",""es"")"),"Óblast de Poltava")</f>
        <v>Óblast de Poltava</v>
      </c>
      <c r="F5060" s="9" t="str">
        <f>IFERROR(__xludf.DUMMYFUNCTION("GOOGLETRANSLATE($A5060,""en"",""it"")"),"Poltavs'ka Oblast'")</f>
        <v>Poltavs'ka Oblast'</v>
      </c>
      <c r="G5060" s="9" t="str">
        <f>IFERROR(__xludf.DUMMYFUNCTION("GOOGLETRANSLATE($A5060,""en"",""zh-cn"")"),"波尔塔夫斯卡州")</f>
        <v>波尔塔夫斯卡州</v>
      </c>
      <c r="H5060" s="9" t="str">
        <f>IFERROR(__xludf.DUMMYFUNCTION("GOOGLETRANSLATE($A5060,""en"",""ja"")"),"ポルタフスカ州")</f>
        <v>ポルタフスカ州</v>
      </c>
      <c r="I5060" s="9" t="str">
        <f>IFERROR(__xludf.DUMMYFUNCTION("GOOGLETRANSLATE($A5060,""en"",""ko"")"),"폴타브스카 오블래스트")</f>
        <v>폴타브스카 오블래스트</v>
      </c>
      <c r="J5060" s="9" t="str">
        <f>IFERROR(__xludf.DUMMYFUNCTION("GOOGLETRANSLATE($A5060,""en"",""pt-BR"")"),"Oblast de Poltavska'")</f>
        <v>Oblast de Poltavska'</v>
      </c>
    </row>
    <row r="5061">
      <c r="A5061" s="9" t="str">
        <f>IFERROR(__xludf.DUMMYFUNCTION("""COMPUTED_VALUE"""),"Chernivets'ka Oblast'")</f>
        <v>Chernivets'ka Oblast'</v>
      </c>
      <c r="B5061" s="9" t="str">
        <f>IFERROR(__xludf.DUMMYFUNCTION("""COMPUTED_VALUE"""),"ua-77")</f>
        <v>ua-77</v>
      </c>
      <c r="C5061" s="9" t="str">
        <f>IFERROR(__xludf.DUMMYFUNCTION("GOOGLETRANSLATE($A5061,""en"",""de"")"),"Oblast Tscherniwez")</f>
        <v>Oblast Tscherniwez</v>
      </c>
      <c r="D5061" s="9" t="str">
        <f>IFERROR(__xludf.DUMMYFUNCTION("GOOGLETRANSLATE($A5061,""en"",""fr"")"),"Oblast de Tchernivets")</f>
        <v>Oblast de Tchernivets</v>
      </c>
      <c r="E5061" s="9" t="str">
        <f>IFERROR(__xludf.DUMMYFUNCTION("GOOGLETRANSLATE($A5061,""en"",""es"")"),"Óblast de Chernivets'ka")</f>
        <v>Óblast de Chernivets'ka</v>
      </c>
      <c r="F5061" s="9" t="str">
        <f>IFERROR(__xludf.DUMMYFUNCTION("GOOGLETRANSLATE($A5061,""en"",""it"")"),"Chernivets'ka Oblast'")</f>
        <v>Chernivets'ka Oblast'</v>
      </c>
      <c r="G5061" s="9" t="str">
        <f>IFERROR(__xludf.DUMMYFUNCTION("GOOGLETRANSLATE($A5061,""en"",""zh-cn"")"),"切尔尼维茨卡州")</f>
        <v>切尔尼维茨卡州</v>
      </c>
      <c r="H5061" s="9" t="str">
        <f>IFERROR(__xludf.DUMMYFUNCTION("GOOGLETRANSLATE($A5061,""en"",""ja"")"),"チェルニヴェツカ州")</f>
        <v>チェルニヴェツカ州</v>
      </c>
      <c r="I5061" s="9" t="str">
        <f>IFERROR(__xludf.DUMMYFUNCTION("GOOGLETRANSLATE($A5061,""en"",""ko"")"),"Chernivets'ka Oblast'")</f>
        <v>Chernivets'ka Oblast'</v>
      </c>
      <c r="J5061" s="9" t="str">
        <f>IFERROR(__xludf.DUMMYFUNCTION("GOOGLETRANSLATE($A5061,""en"",""pt-BR"")"),"Oblast de Chernivetska'")</f>
        <v>Oblast de Chernivetska'</v>
      </c>
    </row>
    <row r="5062">
      <c r="A5062" s="9" t="str">
        <f>IFERROR(__xludf.DUMMYFUNCTION("""COMPUTED_VALUE"""),"Zakarpats'ka Oblast'")</f>
        <v>Zakarpats'ka Oblast'</v>
      </c>
      <c r="B5062" s="9" t="str">
        <f>IFERROR(__xludf.DUMMYFUNCTION("""COMPUTED_VALUE"""),"ua-21")</f>
        <v>ua-21</v>
      </c>
      <c r="C5062" s="9" t="str">
        <f>IFERROR(__xludf.DUMMYFUNCTION("GOOGLETRANSLATE($A5062,""en"",""de"")"),"Oblast Transkarpatien")</f>
        <v>Oblast Transkarpatien</v>
      </c>
      <c r="D5062" s="9" t="str">
        <f>IFERROR(__xludf.DUMMYFUNCTION("GOOGLETRANSLATE($A5062,""en"",""fr"")"),"Oblast de Transcarpatie")</f>
        <v>Oblast de Transcarpatie</v>
      </c>
      <c r="E5062" s="9" t="str">
        <f>IFERROR(__xludf.DUMMYFUNCTION("GOOGLETRANSLATE($A5062,""en"",""es"")"),"Óblast de Zakarpat")</f>
        <v>Óblast de Zakarpat</v>
      </c>
      <c r="F5062" s="9" t="str">
        <f>IFERROR(__xludf.DUMMYFUNCTION("GOOGLETRANSLATE($A5062,""en"",""it"")"),"Zakarpats'ka Oblast'")</f>
        <v>Zakarpats'ka Oblast'</v>
      </c>
      <c r="G5062" s="9" t="str">
        <f>IFERROR(__xludf.DUMMYFUNCTION("GOOGLETRANSLATE($A5062,""en"",""zh-cn"")"),"外喀尔巴阡州")</f>
        <v>外喀尔巴阡州</v>
      </c>
      <c r="H5062" s="9" t="str">
        <f>IFERROR(__xludf.DUMMYFUNCTION("GOOGLETRANSLATE($A5062,""en"",""ja"")"),"ザカルパツカ州")</f>
        <v>ザカルパツカ州</v>
      </c>
      <c r="I5062" s="9" t="str">
        <f>IFERROR(__xludf.DUMMYFUNCTION("GOOGLETRANSLATE($A5062,""en"",""ko"")"),"자카르파츠'카 오블래스트'")</f>
        <v>자카르파츠'카 오블래스트'</v>
      </c>
      <c r="J5062" s="9" t="str">
        <f>IFERROR(__xludf.DUMMYFUNCTION("GOOGLETRANSLATE($A5062,""en"",""pt-BR"")"),"Oblast de Zacarpatska'")</f>
        <v>Oblast de Zacarpatska'</v>
      </c>
    </row>
    <row r="5063">
      <c r="A5063" s="9" t="str">
        <f>IFERROR(__xludf.DUMMYFUNCTION("""COMPUTED_VALUE"""),"Kyïvs'ka Oblast'")</f>
        <v>Kyïvs'ka Oblast'</v>
      </c>
      <c r="B5063" s="9" t="str">
        <f>IFERROR(__xludf.DUMMYFUNCTION("""COMPUTED_VALUE"""),"ua-32")</f>
        <v>ua-32</v>
      </c>
      <c r="C5063" s="9" t="str">
        <f>IFERROR(__xludf.DUMMYFUNCTION("GOOGLETRANSLATE($A5063,""en"",""de"")"),"Oblast Kiew")</f>
        <v>Oblast Kiew</v>
      </c>
      <c r="D5063" s="9" t="str">
        <f>IFERROR(__xludf.DUMMYFUNCTION("GOOGLETRANSLATE($A5063,""en"",""fr"")"),"Oblast de Kiev")</f>
        <v>Oblast de Kiev</v>
      </c>
      <c r="E5063" s="9" t="str">
        <f>IFERROR(__xludf.DUMMYFUNCTION("GOOGLETRANSLATE($A5063,""en"",""es"")"),"Óblast de Kiev")</f>
        <v>Óblast de Kiev</v>
      </c>
      <c r="F5063" s="9" t="str">
        <f>IFERROR(__xludf.DUMMYFUNCTION("GOOGLETRANSLATE($A5063,""en"",""it"")"),"Kyïvs'ka Oblast'")</f>
        <v>Kyïvs'ka Oblast'</v>
      </c>
      <c r="G5063" s="9" t="str">
        <f>IFERROR(__xludf.DUMMYFUNCTION("GOOGLETRANSLATE($A5063,""en"",""zh-cn"")"),"基辅州")</f>
        <v>基辅州</v>
      </c>
      <c r="H5063" s="9" t="str">
        <f>IFERROR(__xludf.DUMMYFUNCTION("GOOGLETRANSLATE($A5063,""en"",""ja"")"),"キエフカ州")</f>
        <v>キエフカ州</v>
      </c>
      <c r="I5063" s="9" t="str">
        <f>IFERROR(__xludf.DUMMYFUNCTION("GOOGLETRANSLATE($A5063,""en"",""ko"")"),"Kyivs'ka Oblast'")</f>
        <v>Kyivs'ka Oblast'</v>
      </c>
      <c r="J5063" s="9" t="str">
        <f>IFERROR(__xludf.DUMMYFUNCTION("GOOGLETRANSLATE($A5063,""en"",""pt-BR"")"),"Oblast de Kiev")</f>
        <v>Oblast de Kiev</v>
      </c>
    </row>
    <row r="5064">
      <c r="A5064" s="9" t="str">
        <f>IFERROR(__xludf.DUMMYFUNCTION("""COMPUTED_VALUE"""),"Donets'ka Oblast'")</f>
        <v>Donets'ka Oblast'</v>
      </c>
      <c r="B5064" s="9" t="str">
        <f>IFERROR(__xludf.DUMMYFUNCTION("""COMPUTED_VALUE"""),"ua-14")</f>
        <v>ua-14</v>
      </c>
      <c r="C5064" s="9" t="str">
        <f>IFERROR(__xludf.DUMMYFUNCTION("GOOGLETRANSLATE($A5064,""en"",""de"")"),"Oblast Donezk")</f>
        <v>Oblast Donezk</v>
      </c>
      <c r="D5064" s="9" t="str">
        <f>IFERROR(__xludf.DUMMYFUNCTION("GOOGLETRANSLATE($A5064,""en"",""fr"")"),"Oblast de Donets'ka")</f>
        <v>Oblast de Donets'ka</v>
      </c>
      <c r="E5064" s="9" t="str">
        <f>IFERROR(__xludf.DUMMYFUNCTION("GOOGLETRANSLATE($A5064,""en"",""es"")"),"Óblast de Donetsk")</f>
        <v>Óblast de Donetsk</v>
      </c>
      <c r="F5064" s="9" t="str">
        <f>IFERROR(__xludf.DUMMYFUNCTION("GOOGLETRANSLATE($A5064,""en"",""it"")"),"Donets'ka Oblast'")</f>
        <v>Donets'ka Oblast'</v>
      </c>
      <c r="G5064" s="9" t="str">
        <f>IFERROR(__xludf.DUMMYFUNCTION("GOOGLETRANSLATE($A5064,""en"",""zh-cn"")"),"顿涅茨克州")</f>
        <v>顿涅茨克州</v>
      </c>
      <c r="H5064" s="9" t="str">
        <f>IFERROR(__xludf.DUMMYFUNCTION("GOOGLETRANSLATE($A5064,""en"",""ja"")"),"ドネツカ州")</f>
        <v>ドネツカ州</v>
      </c>
      <c r="I5064" s="9" t="str">
        <f>IFERROR(__xludf.DUMMYFUNCTION("GOOGLETRANSLATE($A5064,""en"",""ko"")"),"도네츠카 오블래스트")</f>
        <v>도네츠카 오블래스트</v>
      </c>
      <c r="J5064" s="9" t="str">
        <f>IFERROR(__xludf.DUMMYFUNCTION("GOOGLETRANSLATE($A5064,""en"",""pt-BR"")"),"Oblast de Donets'ka")</f>
        <v>Oblast de Donets'ka</v>
      </c>
    </row>
    <row r="5065">
      <c r="A5065" s="9" t="str">
        <f>IFERROR(__xludf.DUMMYFUNCTION("""COMPUTED_VALUE"""),"Luhans'ka Oblast'")</f>
        <v>Luhans'ka Oblast'</v>
      </c>
      <c r="B5065" s="9" t="str">
        <f>IFERROR(__xludf.DUMMYFUNCTION("""COMPUTED_VALUE"""),"ua-09")</f>
        <v>ua-09</v>
      </c>
      <c r="C5065" s="9" t="str">
        <f>IFERROR(__xludf.DUMMYFUNCTION("GOOGLETRANSLATE($A5065,""en"",""de"")"),"Oblast Luhansk")</f>
        <v>Oblast Luhansk</v>
      </c>
      <c r="D5065" s="9" t="str">
        <f>IFERROR(__xludf.DUMMYFUNCTION("GOOGLETRANSLATE($A5065,""en"",""fr"")"),"Oblast de Louhans'ka")</f>
        <v>Oblast de Louhans'ka</v>
      </c>
      <c r="E5065" s="9" t="str">
        <f>IFERROR(__xludf.DUMMYFUNCTION("GOOGLETRANSLATE($A5065,""en"",""es"")"),"Óblast de Lugansk")</f>
        <v>Óblast de Lugansk</v>
      </c>
      <c r="F5065" s="9" t="str">
        <f>IFERROR(__xludf.DUMMYFUNCTION("GOOGLETRANSLATE($A5065,""en"",""it"")"),"Luhans'ka Oblast'")</f>
        <v>Luhans'ka Oblast'</v>
      </c>
      <c r="G5065" s="9" t="str">
        <f>IFERROR(__xludf.DUMMYFUNCTION("GOOGLETRANSLATE($A5065,""en"",""zh-cn"")"),"卢甘斯卡州")</f>
        <v>卢甘斯卡州</v>
      </c>
      <c r="H5065" s="9" t="str">
        <f>IFERROR(__xludf.DUMMYFUNCTION("GOOGLETRANSLATE($A5065,""en"",""ja"")"),"「ルハンカ州」")</f>
        <v>「ルハンカ州」</v>
      </c>
      <c r="I5065" s="9" t="str">
        <f>IFERROR(__xludf.DUMMYFUNCTION("GOOGLETRANSLATE($A5065,""en"",""ko"")"),"루한스카 오블라스트'")</f>
        <v>루한스카 오블라스트'</v>
      </c>
      <c r="J5065" s="9" t="str">
        <f>IFERROR(__xludf.DUMMYFUNCTION("GOOGLETRANSLATE($A5065,""en"",""pt-BR"")"),"Oblast de Luhans'ka'")</f>
        <v>Oblast de Luhans'ka'</v>
      </c>
    </row>
    <row r="5066">
      <c r="A5066" s="9" t="str">
        <f>IFERROR(__xludf.DUMMYFUNCTION("""COMPUTED_VALUE"""),"Zhytomyrs'ka Oblast'")</f>
        <v>Zhytomyrs'ka Oblast'</v>
      </c>
      <c r="B5066" s="9" t="str">
        <f>IFERROR(__xludf.DUMMYFUNCTION("""COMPUTED_VALUE"""),"ua-18")</f>
        <v>ua-18</v>
      </c>
      <c r="C5066" s="9" t="str">
        <f>IFERROR(__xludf.DUMMYFUNCTION("GOOGLETRANSLATE($A5066,""en"",""de"")"),"Oblast Schytomyr")</f>
        <v>Oblast Schytomyr</v>
      </c>
      <c r="D5066" s="9" t="str">
        <f>IFERROR(__xludf.DUMMYFUNCTION("GOOGLETRANSLATE($A5066,""en"",""fr"")"),"Oblast de Jytomyrs'ka")</f>
        <v>Oblast de Jytomyrs'ka</v>
      </c>
      <c r="E5066" s="9" t="str">
        <f>IFERROR(__xludf.DUMMYFUNCTION("GOOGLETRANSLATE($A5066,""en"",""es"")"),"Óblast de Zhytomyrs'ka")</f>
        <v>Óblast de Zhytomyrs'ka</v>
      </c>
      <c r="F5066" s="9" t="str">
        <f>IFERROR(__xludf.DUMMYFUNCTION("GOOGLETRANSLATE($A5066,""en"",""it"")"),"Zhytomyrs'ka Oblast'")</f>
        <v>Zhytomyrs'ka Oblast'</v>
      </c>
      <c r="G5066" s="9" t="str">
        <f>IFERROR(__xludf.DUMMYFUNCTION("GOOGLETRANSLATE($A5066,""en"",""zh-cn"")"),"日托米尔斯卡州")</f>
        <v>日托米尔斯卡州</v>
      </c>
      <c r="H5066" s="9" t="str">
        <f>IFERROR(__xludf.DUMMYFUNCTION("GOOGLETRANSLATE($A5066,""en"",""ja"")"),"ジトームィルスカ州")</f>
        <v>ジトームィルスカ州</v>
      </c>
      <c r="I5066" s="9" t="str">
        <f>IFERROR(__xludf.DUMMYFUNCTION("GOOGLETRANSLATE($A5066,""en"",""ko"")"),"Zhytomyr'ka Oblast'")</f>
        <v>Zhytomyr'ka Oblast'</v>
      </c>
      <c r="J5066" s="9" t="str">
        <f>IFERROR(__xludf.DUMMYFUNCTION("GOOGLETRANSLATE($A5066,""en"",""pt-BR"")"),"Oblast de Zhytomyrs'")</f>
        <v>Oblast de Zhytomyrs'</v>
      </c>
    </row>
    <row r="5067">
      <c r="A5067" s="9" t="str">
        <f>IFERROR(__xludf.DUMMYFUNCTION("""COMPUTED_VALUE"""),"Cherkas'ka Oblast'")</f>
        <v>Cherkas'ka Oblast'</v>
      </c>
      <c r="B5067" s="9" t="str">
        <f>IFERROR(__xludf.DUMMYFUNCTION("""COMPUTED_VALUE"""),"ua-71")</f>
        <v>ua-71</v>
      </c>
      <c r="C5067" s="9" t="str">
        <f>IFERROR(__xludf.DUMMYFUNCTION("GOOGLETRANSLATE($A5067,""en"",""de"")"),"Oblast Tscherkassy")</f>
        <v>Oblast Tscherkassy</v>
      </c>
      <c r="D5067" s="9" t="str">
        <f>IFERROR(__xludf.DUMMYFUNCTION("GOOGLETRANSLATE($A5067,""en"",""fr"")"),"Oblast de Tcherkaska")</f>
        <v>Oblast de Tcherkaska</v>
      </c>
      <c r="E5067" s="9" t="str">
        <f>IFERROR(__xludf.DUMMYFUNCTION("GOOGLETRANSLATE($A5067,""en"",""es"")"),"Óblast de Cherkas'ka")</f>
        <v>Óblast de Cherkas'ka</v>
      </c>
      <c r="F5067" s="9" t="str">
        <f>IFERROR(__xludf.DUMMYFUNCTION("GOOGLETRANSLATE($A5067,""en"",""it"")"),"Cherkas'ka Oblast'")</f>
        <v>Cherkas'ka Oblast'</v>
      </c>
      <c r="G5067" s="9" t="str">
        <f>IFERROR(__xludf.DUMMYFUNCTION("GOOGLETRANSLATE($A5067,""en"",""zh-cn"")"),"切尔卡斯卡州")</f>
        <v>切尔卡斯卡州</v>
      </c>
      <c r="H5067" s="9" t="str">
        <f>IFERROR(__xludf.DUMMYFUNCTION("GOOGLETRANSLATE($A5067,""en"",""ja"")"),"チェルカーシュカ州")</f>
        <v>チェルカーシュカ州</v>
      </c>
      <c r="I5067" s="9" t="str">
        <f>IFERROR(__xludf.DUMMYFUNCTION("GOOGLETRANSLATE($A5067,""en"",""ko"")"),"체르카스'카 오블래스트'")</f>
        <v>체르카스'카 오블래스트'</v>
      </c>
      <c r="J5067" s="9" t="str">
        <f>IFERROR(__xludf.DUMMYFUNCTION("GOOGLETRANSLATE($A5067,""en"",""pt-BR"")"),"Oblast de Cherkas'ka'")</f>
        <v>Oblast de Cherkas'ka'</v>
      </c>
    </row>
    <row r="5068">
      <c r="A5068" s="9" t="str">
        <f>IFERROR(__xludf.DUMMYFUNCTION("""COMPUTED_VALUE"""),"Dubayy [Dubai]")</f>
        <v>Dubayy [Dubai]</v>
      </c>
      <c r="B5068" s="9" t="str">
        <f>IFERROR(__xludf.DUMMYFUNCTION("""COMPUTED_VALUE"""),"ae-du")</f>
        <v>ae-du</v>
      </c>
      <c r="C5068" s="9" t="str">
        <f>IFERROR(__xludf.DUMMYFUNCTION("GOOGLETRANSLATE($A5068,""en"",""de"")"),"Dubai [Dubai]")</f>
        <v>Dubai [Dubai]</v>
      </c>
      <c r="D5068" s="9" t="str">
        <f>IFERROR(__xludf.DUMMYFUNCTION("GOOGLETRANSLATE($A5068,""en"",""fr"")"),"Dubaï [Dubaï]")</f>
        <v>Dubaï [Dubaï]</v>
      </c>
      <c r="E5068" s="9" t="str">
        <f>IFERROR(__xludf.DUMMYFUNCTION("GOOGLETRANSLATE($A5068,""en"",""es"")"),"Dubai [Dubai]")</f>
        <v>Dubai [Dubai]</v>
      </c>
      <c r="F5068" s="9" t="str">
        <f>IFERROR(__xludf.DUMMYFUNCTION("GOOGLETRANSLATE($A5068,""en"",""it"")"),"Dubai [Dubai]")</f>
        <v>Dubai [Dubai]</v>
      </c>
      <c r="G5068" s="9" t="str">
        <f>IFERROR(__xludf.DUMMYFUNCTION("GOOGLETRANSLATE($A5068,""en"",""zh-cn"")"),"杜巴伊 [迪拜]")</f>
        <v>杜巴伊 [迪拜]</v>
      </c>
      <c r="H5068" s="9" t="str">
        <f>IFERROR(__xludf.DUMMYFUNCTION("GOOGLETRANSLATE($A5068,""en"",""ja"")"),"ドゥバイ[ドバイ]")</f>
        <v>ドゥバイ[ドバイ]</v>
      </c>
      <c r="I5068" s="9" t="str">
        <f>IFERROR(__xludf.DUMMYFUNCTION("GOOGLETRANSLATE($A5068,""en"",""ko"")"),"두바이 [두바이]")</f>
        <v>두바이 [두바이]</v>
      </c>
      <c r="J5068" s="9" t="str">
        <f>IFERROR(__xludf.DUMMYFUNCTION("GOOGLETRANSLATE($A5068,""en"",""pt-BR"")"),"Dubai [Dubai]")</f>
        <v>Dubai [Dubai]</v>
      </c>
    </row>
    <row r="5069">
      <c r="A5069" s="9" t="str">
        <f>IFERROR(__xludf.DUMMYFUNCTION("""COMPUTED_VALUE"""),"Umm al Qaywayn")</f>
        <v>Umm al Qaywayn</v>
      </c>
      <c r="B5069" s="9" t="str">
        <f>IFERROR(__xludf.DUMMYFUNCTION("""COMPUTED_VALUE"""),"ae-uq")</f>
        <v>ae-uq</v>
      </c>
      <c r="C5069" s="9" t="str">
        <f>IFERROR(__xludf.DUMMYFUNCTION("GOOGLETRANSLATE($A5069,""en"",""de"")"),"Umm al Qaywayn")</f>
        <v>Umm al Qaywayn</v>
      </c>
      <c r="D5069" s="9" t="str">
        <f>IFERROR(__xludf.DUMMYFUNCTION("GOOGLETRANSLATE($A5069,""en"",""fr"")"),"Umm al Qaywayn")</f>
        <v>Umm al Qaywayn</v>
      </c>
      <c r="E5069" s="9" t="str">
        <f>IFERROR(__xludf.DUMMYFUNCTION("GOOGLETRANSLATE($A5069,""en"",""es"")"),"Umm al Qaywayn")</f>
        <v>Umm al Qaywayn</v>
      </c>
      <c r="F5069" s="9" t="str">
        <f>IFERROR(__xludf.DUMMYFUNCTION("GOOGLETRANSLATE($A5069,""en"",""it"")"),"Umm al Qaywayn")</f>
        <v>Umm al Qaywayn</v>
      </c>
      <c r="G5069" s="9" t="str">
        <f>IFERROR(__xludf.DUMMYFUNCTION("GOOGLETRANSLATE($A5069,""en"",""zh-cn"")"),"乌姆盖韦恩")</f>
        <v>乌姆盖韦恩</v>
      </c>
      <c r="H5069" s="9" t="str">
        <f>IFERROR(__xludf.DUMMYFUNCTION("GOOGLETRANSLATE($A5069,""en"",""ja"")"),"ウム・アル・ケイウェイン")</f>
        <v>ウム・アル・ケイウェイン</v>
      </c>
      <c r="I5069" s="9" t="str">
        <f>IFERROR(__xludf.DUMMYFUNCTION("GOOGLETRANSLATE($A5069,""en"",""ko"")"),"음 알 카이웨인")</f>
        <v>음 알 카이웨인</v>
      </c>
      <c r="J5069" s="9" t="str">
        <f>IFERROR(__xludf.DUMMYFUNCTION("GOOGLETRANSLATE($A5069,""en"",""pt-BR"")"),"Umm al Qaywayn")</f>
        <v>Umm al Qaywayn</v>
      </c>
    </row>
    <row r="5070">
      <c r="A5070" s="9" t="str">
        <f>IFERROR(__xludf.DUMMYFUNCTION("""COMPUTED_VALUE"""),"'Ajmān")</f>
        <v>'Ajmān</v>
      </c>
      <c r="B5070" s="9" t="str">
        <f>IFERROR(__xludf.DUMMYFUNCTION("""COMPUTED_VALUE"""),"ae-aj")</f>
        <v>ae-aj</v>
      </c>
      <c r="C5070" s="9" t="str">
        <f>IFERROR(__xludf.DUMMYFUNCTION("GOOGLETRANSLATE($A5070,""en"",""de"")"),"'Ajmān")</f>
        <v>'Ajmān</v>
      </c>
      <c r="D5070" s="9" t="str">
        <f>IFERROR(__xludf.DUMMYFUNCTION("GOOGLETRANSLATE($A5070,""en"",""fr"")"),"'Ajman")</f>
        <v>'Ajman</v>
      </c>
      <c r="E5070" s="9" t="str">
        <f>IFERROR(__xludf.DUMMYFUNCTION("GOOGLETRANSLATE($A5070,""en"",""es"")"),"'Ajmán")</f>
        <v>'Ajmán</v>
      </c>
      <c r="F5070" s="9" t="str">
        <f>IFERROR(__xludf.DUMMYFUNCTION("GOOGLETRANSLATE($A5070,""en"",""it"")"),"'Ajman")</f>
        <v>'Ajman</v>
      </c>
      <c r="G5070" s="9" t="str">
        <f>IFERROR(__xludf.DUMMYFUNCTION("GOOGLETRANSLATE($A5070,""en"",""zh-cn"")"),"阿吉曼")</f>
        <v>阿吉曼</v>
      </c>
      <c r="H5070" s="9" t="str">
        <f>IFERROR(__xludf.DUMMYFUNCTION("GOOGLETRANSLATE($A5070,""en"",""ja"")"),"アジュマーン")</f>
        <v>アジュマーン</v>
      </c>
      <c r="I5070" s="9" t="str">
        <f>IFERROR(__xludf.DUMMYFUNCTION("GOOGLETRANSLATE($A5070,""en"",""ko"")"),"'아지만")</f>
        <v>'아지만</v>
      </c>
      <c r="J5070" s="9" t="str">
        <f>IFERROR(__xludf.DUMMYFUNCTION("GOOGLETRANSLATE($A5070,""en"",""pt-BR"")"),"'Ajman")</f>
        <v>'Ajman</v>
      </c>
    </row>
    <row r="5071">
      <c r="A5071" s="9" t="str">
        <f>IFERROR(__xludf.DUMMYFUNCTION("""COMPUTED_VALUE"""),"Ash Shāriqah [Sharjah]")</f>
        <v>Ash Shāriqah [Sharjah]</v>
      </c>
      <c r="B5071" s="9" t="str">
        <f>IFERROR(__xludf.DUMMYFUNCTION("""COMPUTED_VALUE"""),"ae-sh")</f>
        <v>ae-sh</v>
      </c>
      <c r="C5071" s="9" t="str">
        <f>IFERROR(__xludf.DUMMYFUNCTION("GOOGLETRANSLATE($A5071,""en"",""de"")"),"Ash Shāriqah [Sharjah]")</f>
        <v>Ash Shāriqah [Sharjah]</v>
      </c>
      <c r="D5071" s="9" t="str">
        <f>IFERROR(__xludf.DUMMYFUNCTION("GOOGLETRANSLATE($A5071,""en"",""fr"")"),"Ash Shariqah [Sharjah]")</f>
        <v>Ash Shariqah [Sharjah]</v>
      </c>
      <c r="E5071" s="9" t="str">
        <f>IFERROR(__xludf.DUMMYFUNCTION("GOOGLETRANSLATE($A5071,""en"",""es"")"),"Ash Shariqah [Sharjah]")</f>
        <v>Ash Shariqah [Sharjah]</v>
      </c>
      <c r="F5071" s="9" t="str">
        <f>IFERROR(__xludf.DUMMYFUNCTION("GOOGLETRANSLATE($A5071,""en"",""it"")"),"Ash Shariqah [Sharjah]")</f>
        <v>Ash Shariqah [Sharjah]</v>
      </c>
      <c r="G5071" s="9" t="str">
        <f>IFERROR(__xludf.DUMMYFUNCTION("GOOGLETRANSLATE($A5071,""en"",""zh-cn"")"),"Ash Shariqah [沙迦]")</f>
        <v>Ash Shariqah [沙迦]</v>
      </c>
      <c r="H5071" s="9" t="str">
        <f>IFERROR(__xludf.DUMMYFUNCTION("GOOGLETRANSLATE($A5071,""en"",""ja"")"),"アッシュ・シャリカ [シャルジャ]")</f>
        <v>アッシュ・シャリカ [シャルジャ]</v>
      </c>
      <c r="I5071" s="9" t="str">
        <f>IFERROR(__xludf.DUMMYFUNCTION("GOOGLETRANSLATE($A5071,""en"",""ko"")"),"애쉬 샤리카 [Sharjah]")</f>
        <v>애쉬 샤리카 [Sharjah]</v>
      </c>
      <c r="J5071" s="9" t="str">
        <f>IFERROR(__xludf.DUMMYFUNCTION("GOOGLETRANSLATE($A5071,""en"",""pt-BR"")"),"Ash Shāriqah [Sharjah]")</f>
        <v>Ash Shāriqah [Sharjah]</v>
      </c>
    </row>
    <row r="5072">
      <c r="A5072" s="9" t="str">
        <f>IFERROR(__xludf.DUMMYFUNCTION("""COMPUTED_VALUE"""),"Ra’s al Khaymah")</f>
        <v>Ra’s al Khaymah</v>
      </c>
      <c r="B5072" s="9" t="str">
        <f>IFERROR(__xludf.DUMMYFUNCTION("""COMPUTED_VALUE"""),"ae-rk")</f>
        <v>ae-rk</v>
      </c>
      <c r="C5072" s="9" t="str">
        <f>IFERROR(__xludf.DUMMYFUNCTION("GOOGLETRANSLATE($A5072,""en"",""de"")"),"Ra's al Khaymah")</f>
        <v>Ra's al Khaymah</v>
      </c>
      <c r="D5072" s="9" t="str">
        <f>IFERROR(__xludf.DUMMYFUNCTION("GOOGLETRANSLATE($A5072,""en"",""fr"")"),"Ra's al Khaymah")</f>
        <v>Ra's al Khaymah</v>
      </c>
      <c r="E5072" s="9" t="str">
        <f>IFERROR(__xludf.DUMMYFUNCTION("GOOGLETRANSLATE($A5072,""en"",""es"")"),"Ra's al Khaymah")</f>
        <v>Ra's al Khaymah</v>
      </c>
      <c r="F5072" s="9" t="str">
        <f>IFERROR(__xludf.DUMMYFUNCTION("GOOGLETRANSLATE($A5072,""en"",""it"")"),"Ra's al Khaymah")</f>
        <v>Ra's al Khaymah</v>
      </c>
      <c r="G5072" s="9" t="str">
        <f>IFERROR(__xludf.DUMMYFUNCTION("GOOGLETRANSLATE($A5072,""en"",""zh-cn"")"),"拉斯海迈")</f>
        <v>拉斯海迈</v>
      </c>
      <c r="H5072" s="9" t="str">
        <f>IFERROR(__xludf.DUMMYFUNCTION("GOOGLETRANSLATE($A5072,""en"",""ja"")"),"ラーズ・アル・ハイマ")</f>
        <v>ラーズ・アル・ハイマ</v>
      </c>
      <c r="I5072" s="9" t="str">
        <f>IFERROR(__xludf.DUMMYFUNCTION("GOOGLETRANSLATE($A5072,""en"",""ko"")"),"라스 알 카이마")</f>
        <v>라스 알 카이마</v>
      </c>
      <c r="J5072" s="9" t="str">
        <f>IFERROR(__xludf.DUMMYFUNCTION("GOOGLETRANSLATE($A5072,""en"",""pt-BR"")"),"Ra's al Khaymah")</f>
        <v>Ra's al Khaymah</v>
      </c>
    </row>
    <row r="5073">
      <c r="A5073" s="9" t="str">
        <f>IFERROR(__xludf.DUMMYFUNCTION("""COMPUTED_VALUE"""),"Abū Z̧aby [Abu Dhabi]")</f>
        <v>Abū Z̧aby [Abu Dhabi]</v>
      </c>
      <c r="B5073" s="9" t="str">
        <f>IFERROR(__xludf.DUMMYFUNCTION("""COMPUTED_VALUE"""),"ae-az")</f>
        <v>ae-az</v>
      </c>
      <c r="C5073" s="9" t="str">
        <f>IFERROR(__xludf.DUMMYFUNCTION("GOOGLETRANSLATE($A5073,""en"",""de"")"),"Abū Z̧aby [Abu Dhabi]")</f>
        <v>Abū Z̧aby [Abu Dhabi]</v>
      </c>
      <c r="D5073" s="9" t="str">
        <f>IFERROR(__xludf.DUMMYFUNCTION("GOOGLETRANSLATE($A5073,""en"",""fr"")"),"Abu Zaby [Abu Dhabi]")</f>
        <v>Abu Zaby [Abu Dhabi]</v>
      </c>
      <c r="E5073" s="9" t="str">
        <f>IFERROR(__xludf.DUMMYFUNCTION("GOOGLETRANSLATE($A5073,""en"",""es"")"),"Abū Z̧aby [Abu Dabi]")</f>
        <v>Abū Z̧aby [Abu Dabi]</v>
      </c>
      <c r="F5073" s="9" t="str">
        <f>IFERROR(__xludf.DUMMYFUNCTION("GOOGLETRANSLATE($A5073,""en"",""it"")"),"Abu Z̧aby [Abu Dhabi]")</f>
        <v>Abu Z̧aby [Abu Dhabi]</v>
      </c>
      <c r="G5073" s="9" t="str">
        <f>IFERROR(__xludf.DUMMYFUNCTION("GOOGLETRANSLATE($A5073,""en"",""zh-cn"")"),"Abu Z̧aby [阿布扎比]")</f>
        <v>Abu Z̧aby [阿布扎比]</v>
      </c>
      <c r="H5073" s="9" t="str">
        <f>IFERROR(__xludf.DUMMYFUNCTION("GOOGLETRANSLATE($A5073,""en"",""ja"")"),"アブ ズアビー [アブダビ]")</f>
        <v>アブ ズアビー [アブダビ]</v>
      </c>
      <c r="I5073" s="9" t="str">
        <f>IFERROR(__xludf.DUMMYFUNCTION("GOOGLETRANSLATE($A5073,""en"",""ko"")"),"아부 즈아비 [아부다비]")</f>
        <v>아부 즈아비 [아부다비]</v>
      </c>
      <c r="J5073" s="9" t="str">
        <f>IFERROR(__xludf.DUMMYFUNCTION("GOOGLETRANSLATE($A5073,""en"",""pt-BR"")"),"Abū Z̧aby [Abu Dhabi]")</f>
        <v>Abū Z̧aby [Abu Dhabi]</v>
      </c>
    </row>
    <row r="5074">
      <c r="A5074" s="9" t="str">
        <f>IFERROR(__xludf.DUMMYFUNCTION("""COMPUTED_VALUE"""),"Al Fujayrah")</f>
        <v>Al Fujayrah</v>
      </c>
      <c r="B5074" s="9" t="str">
        <f>IFERROR(__xludf.DUMMYFUNCTION("""COMPUTED_VALUE"""),"ae-fu")</f>
        <v>ae-fu</v>
      </c>
      <c r="C5074" s="9" t="str">
        <f>IFERROR(__xludf.DUMMYFUNCTION("GOOGLETRANSLATE($A5074,""en"",""de"")"),"Al Fujayrah")</f>
        <v>Al Fujayrah</v>
      </c>
      <c r="D5074" s="9" t="str">
        <f>IFERROR(__xludf.DUMMYFUNCTION("GOOGLETRANSLATE($A5074,""en"",""fr"")"),"Fujaïrah")</f>
        <v>Fujaïrah</v>
      </c>
      <c r="E5074" s="9" t="str">
        <f>IFERROR(__xludf.DUMMYFUNCTION("GOOGLETRANSLATE($A5074,""en"",""es"")"),"Fujairah")</f>
        <v>Fujairah</v>
      </c>
      <c r="F5074" s="9" t="str">
        <f>IFERROR(__xludf.DUMMYFUNCTION("GOOGLETRANSLATE($A5074,""en"",""it"")"),"Al Fujayrah")</f>
        <v>Al Fujayrah</v>
      </c>
      <c r="G5074" s="9" t="str">
        <f>IFERROR(__xludf.DUMMYFUNCTION("GOOGLETRANSLATE($A5074,""en"",""zh-cn"")"),"富查伊拉")</f>
        <v>富查伊拉</v>
      </c>
      <c r="H5074" s="9" t="str">
        <f>IFERROR(__xludf.DUMMYFUNCTION("GOOGLETRANSLATE($A5074,""en"",""ja"")"),"アル フジャイラ")</f>
        <v>アル フジャイラ</v>
      </c>
      <c r="I5074" s="9" t="str">
        <f>IFERROR(__xludf.DUMMYFUNCTION("GOOGLETRANSLATE($A5074,""en"",""ko"")"),"알 푸자이라")</f>
        <v>알 푸자이라</v>
      </c>
      <c r="J5074" s="9" t="str">
        <f>IFERROR(__xludf.DUMMYFUNCTION("GOOGLETRANSLATE($A5074,""en"",""pt-BR"")"),"Al Fujayrah")</f>
        <v>Al Fujayrah</v>
      </c>
    </row>
    <row r="5075">
      <c r="A5075" s="9" t="str">
        <f>IFERROR(__xludf.DUMMYFUNCTION("""COMPUTED_VALUE"""),"Rukwa")</f>
        <v>Rukwa</v>
      </c>
      <c r="B5075" s="9" t="str">
        <f>IFERROR(__xludf.DUMMYFUNCTION("""COMPUTED_VALUE"""),"tz-20")</f>
        <v>tz-20</v>
      </c>
      <c r="C5075" s="9" t="str">
        <f>IFERROR(__xludf.DUMMYFUNCTION("GOOGLETRANSLATE($A5075,""en"",""de"")"),"Rukwa")</f>
        <v>Rukwa</v>
      </c>
      <c r="D5075" s="9" t="str">
        <f>IFERROR(__xludf.DUMMYFUNCTION("GOOGLETRANSLATE($A5075,""en"",""fr"")"),"Rukwa")</f>
        <v>Rukwa</v>
      </c>
      <c r="E5075" s="9" t="str">
        <f>IFERROR(__xludf.DUMMYFUNCTION("GOOGLETRANSLATE($A5075,""en"",""es"")"),"Rukwa")</f>
        <v>Rukwa</v>
      </c>
      <c r="F5075" s="9" t="str">
        <f>IFERROR(__xludf.DUMMYFUNCTION("GOOGLETRANSLATE($A5075,""en"",""it"")"),"Rukwa")</f>
        <v>Rukwa</v>
      </c>
      <c r="G5075" s="9" t="str">
        <f>IFERROR(__xludf.DUMMYFUNCTION("GOOGLETRANSLATE($A5075,""en"",""zh-cn"")"),"鲁夸")</f>
        <v>鲁夸</v>
      </c>
      <c r="H5075" s="9" t="str">
        <f>IFERROR(__xludf.DUMMYFUNCTION("GOOGLETRANSLATE($A5075,""en"",""ja"")"),"ルクワ")</f>
        <v>ルクワ</v>
      </c>
      <c r="I5075" s="9" t="str">
        <f>IFERROR(__xludf.DUMMYFUNCTION("GOOGLETRANSLATE($A5075,""en"",""ko"")"),"루콰")</f>
        <v>루콰</v>
      </c>
      <c r="J5075" s="9" t="str">
        <f>IFERROR(__xludf.DUMMYFUNCTION("GOOGLETRANSLATE($A5075,""en"",""pt-BR"")"),"Rukwa")</f>
        <v>Rukwa</v>
      </c>
    </row>
    <row r="5076">
      <c r="A5076" s="9" t="str">
        <f>IFERROR(__xludf.DUMMYFUNCTION("""COMPUTED_VALUE"""),"Kilimanjaro")</f>
        <v>Kilimanjaro</v>
      </c>
      <c r="B5076" s="9" t="str">
        <f>IFERROR(__xludf.DUMMYFUNCTION("""COMPUTED_VALUE"""),"tz-09")</f>
        <v>tz-09</v>
      </c>
      <c r="C5076" s="9" t="str">
        <f>IFERROR(__xludf.DUMMYFUNCTION("GOOGLETRANSLATE($A5076,""en"",""de"")"),"Kilimandscharo")</f>
        <v>Kilimandscharo</v>
      </c>
      <c r="D5076" s="9" t="str">
        <f>IFERROR(__xludf.DUMMYFUNCTION("GOOGLETRANSLATE($A5076,""en"",""fr"")"),"Kilimandjaro")</f>
        <v>Kilimandjaro</v>
      </c>
      <c r="E5076" s="9" t="str">
        <f>IFERROR(__xludf.DUMMYFUNCTION("GOOGLETRANSLATE($A5076,""en"",""es"")"),"Kilimanjaro")</f>
        <v>Kilimanjaro</v>
      </c>
      <c r="F5076" s="9" t="str">
        <f>IFERROR(__xludf.DUMMYFUNCTION("GOOGLETRANSLATE($A5076,""en"",""it"")"),"Kilimangiaro")</f>
        <v>Kilimangiaro</v>
      </c>
      <c r="G5076" s="9" t="str">
        <f>IFERROR(__xludf.DUMMYFUNCTION("GOOGLETRANSLATE($A5076,""en"",""zh-cn"")"),"乞力马扎罗山")</f>
        <v>乞力马扎罗山</v>
      </c>
      <c r="H5076" s="9" t="str">
        <f>IFERROR(__xludf.DUMMYFUNCTION("GOOGLETRANSLATE($A5076,""en"",""ja"")"),"キリマンジャロ")</f>
        <v>キリマンジャロ</v>
      </c>
      <c r="I5076" s="9" t="str">
        <f>IFERROR(__xludf.DUMMYFUNCTION("GOOGLETRANSLATE($A5076,""en"",""ko"")"),"킬리만자로")</f>
        <v>킬리만자로</v>
      </c>
      <c r="J5076" s="9" t="str">
        <f>IFERROR(__xludf.DUMMYFUNCTION("GOOGLETRANSLATE($A5076,""en"",""pt-BR"")"),"Kilimanjaro")</f>
        <v>Kilimanjaro</v>
      </c>
    </row>
    <row r="5077">
      <c r="A5077" s="9" t="str">
        <f>IFERROR(__xludf.DUMMYFUNCTION("""COMPUTED_VALUE"""),"Morogoro")</f>
        <v>Morogoro</v>
      </c>
      <c r="B5077" s="9" t="str">
        <f>IFERROR(__xludf.DUMMYFUNCTION("""COMPUTED_VALUE"""),"tz-16")</f>
        <v>tz-16</v>
      </c>
      <c r="C5077" s="9" t="str">
        <f>IFERROR(__xludf.DUMMYFUNCTION("GOOGLETRANSLATE($A5077,""en"",""de"")"),"Morogoro")</f>
        <v>Morogoro</v>
      </c>
      <c r="D5077" s="9" t="str">
        <f>IFERROR(__xludf.DUMMYFUNCTION("GOOGLETRANSLATE($A5077,""en"",""fr"")"),"Morogoro")</f>
        <v>Morogoro</v>
      </c>
      <c r="E5077" s="9" t="str">
        <f>IFERROR(__xludf.DUMMYFUNCTION("GOOGLETRANSLATE($A5077,""en"",""es"")"),"Morogoro")</f>
        <v>Morogoro</v>
      </c>
      <c r="F5077" s="9" t="str">
        <f>IFERROR(__xludf.DUMMYFUNCTION("GOOGLETRANSLATE($A5077,""en"",""it"")"),"Morogoro")</f>
        <v>Morogoro</v>
      </c>
      <c r="G5077" s="9" t="str">
        <f>IFERROR(__xludf.DUMMYFUNCTION("GOOGLETRANSLATE($A5077,""en"",""zh-cn"")"),"莫罗戈罗")</f>
        <v>莫罗戈罗</v>
      </c>
      <c r="H5077" s="9" t="str">
        <f>IFERROR(__xludf.DUMMYFUNCTION("GOOGLETRANSLATE($A5077,""en"",""ja"")"),"モロゴロ")</f>
        <v>モロゴロ</v>
      </c>
      <c r="I5077" s="9" t="str">
        <f>IFERROR(__xludf.DUMMYFUNCTION("GOOGLETRANSLATE($A5077,""en"",""ko"")"),"모로고로")</f>
        <v>모로고로</v>
      </c>
      <c r="J5077" s="9" t="str">
        <f>IFERROR(__xludf.DUMMYFUNCTION("GOOGLETRANSLATE($A5077,""en"",""pt-BR"")"),"Morogoro")</f>
        <v>Morogoro</v>
      </c>
    </row>
    <row r="5078">
      <c r="A5078" s="9" t="str">
        <f>IFERROR(__xludf.DUMMYFUNCTION("""COMPUTED_VALUE"""),"Lindi")</f>
        <v>Lindi</v>
      </c>
      <c r="B5078" s="9" t="str">
        <f>IFERROR(__xludf.DUMMYFUNCTION("""COMPUTED_VALUE"""),"tz-12")</f>
        <v>tz-12</v>
      </c>
      <c r="C5078" s="9" t="str">
        <f>IFERROR(__xludf.DUMMYFUNCTION("GOOGLETRANSLATE($A5078,""en"",""de"")"),"Lindi")</f>
        <v>Lindi</v>
      </c>
      <c r="D5078" s="9" t="str">
        <f>IFERROR(__xludf.DUMMYFUNCTION("GOOGLETRANSLATE($A5078,""en"",""fr"")"),"Lindi")</f>
        <v>Lindi</v>
      </c>
      <c r="E5078" s="9" t="str">
        <f>IFERROR(__xludf.DUMMYFUNCTION("GOOGLETRANSLATE($A5078,""en"",""es"")"),"lindi")</f>
        <v>lindi</v>
      </c>
      <c r="F5078" s="9" t="str">
        <f>IFERROR(__xludf.DUMMYFUNCTION("GOOGLETRANSLATE($A5078,""en"",""it"")"),"Lindi")</f>
        <v>Lindi</v>
      </c>
      <c r="G5078" s="9" t="str">
        <f>IFERROR(__xludf.DUMMYFUNCTION("GOOGLETRANSLATE($A5078,""en"",""zh-cn"")"),"林迪")</f>
        <v>林迪</v>
      </c>
      <c r="H5078" s="9" t="str">
        <f>IFERROR(__xludf.DUMMYFUNCTION("GOOGLETRANSLATE($A5078,""en"",""ja"")"),"リンディ")</f>
        <v>リンディ</v>
      </c>
      <c r="I5078" s="9" t="str">
        <f>IFERROR(__xludf.DUMMYFUNCTION("GOOGLETRANSLATE($A5078,""en"",""ko"")"),"린디")</f>
        <v>린디</v>
      </c>
      <c r="J5078" s="9" t="str">
        <f>IFERROR(__xludf.DUMMYFUNCTION("GOOGLETRANSLATE($A5078,""en"",""pt-BR"")"),"Lindi")</f>
        <v>Lindi</v>
      </c>
    </row>
    <row r="5079">
      <c r="A5079" s="9" t="str">
        <f>IFERROR(__xludf.DUMMYFUNCTION("""COMPUTED_VALUE"""),"Tanga")</f>
        <v>Tanga</v>
      </c>
      <c r="B5079" s="9" t="str">
        <f>IFERROR(__xludf.DUMMYFUNCTION("""COMPUTED_VALUE"""),"tz-25")</f>
        <v>tz-25</v>
      </c>
      <c r="C5079" s="9" t="str">
        <f>IFERROR(__xludf.DUMMYFUNCTION("GOOGLETRANSLATE($A5079,""en"",""de"")"),"Tanga")</f>
        <v>Tanga</v>
      </c>
      <c r="D5079" s="9" t="str">
        <f>IFERROR(__xludf.DUMMYFUNCTION("GOOGLETRANSLATE($A5079,""en"",""fr"")"),"Tanga")</f>
        <v>Tanga</v>
      </c>
      <c r="E5079" s="9" t="str">
        <f>IFERROR(__xludf.DUMMYFUNCTION("GOOGLETRANSLATE($A5079,""en"",""es"")"),"Tanga")</f>
        <v>Tanga</v>
      </c>
      <c r="F5079" s="9" t="str">
        <f>IFERROR(__xludf.DUMMYFUNCTION("GOOGLETRANSLATE($A5079,""en"",""it"")"),"Tanga")</f>
        <v>Tanga</v>
      </c>
      <c r="G5079" s="9" t="str">
        <f>IFERROR(__xludf.DUMMYFUNCTION("GOOGLETRANSLATE($A5079,""en"",""zh-cn"")"),"坦噶")</f>
        <v>坦噶</v>
      </c>
      <c r="H5079" s="9" t="str">
        <f>IFERROR(__xludf.DUMMYFUNCTION("GOOGLETRANSLATE($A5079,""en"",""ja"")"),"タンガ")</f>
        <v>タンガ</v>
      </c>
      <c r="I5079" s="9" t="str">
        <f>IFERROR(__xludf.DUMMYFUNCTION("GOOGLETRANSLATE($A5079,""en"",""ko"")"),"탕가")</f>
        <v>탕가</v>
      </c>
      <c r="J5079" s="9" t="str">
        <f>IFERROR(__xludf.DUMMYFUNCTION("GOOGLETRANSLATE($A5079,""en"",""pt-BR"")"),"Tanga")</f>
        <v>Tanga</v>
      </c>
    </row>
    <row r="5080">
      <c r="A5080" s="9" t="str">
        <f>IFERROR(__xludf.DUMMYFUNCTION("""COMPUTED_VALUE"""),"Kusini Pemba")</f>
        <v>Kusini Pemba</v>
      </c>
      <c r="B5080" s="9" t="str">
        <f>IFERROR(__xludf.DUMMYFUNCTION("""COMPUTED_VALUE"""),"tz-10")</f>
        <v>tz-10</v>
      </c>
      <c r="C5080" s="9" t="str">
        <f>IFERROR(__xludf.DUMMYFUNCTION("GOOGLETRANSLATE($A5080,""en"",""de"")"),"Kusini Pemba")</f>
        <v>Kusini Pemba</v>
      </c>
      <c r="D5080" s="9" t="str">
        <f>IFERROR(__xludf.DUMMYFUNCTION("GOOGLETRANSLATE($A5080,""en"",""fr"")"),"Kusini Pemba")</f>
        <v>Kusini Pemba</v>
      </c>
      <c r="E5080" s="9" t="str">
        <f>IFERROR(__xludf.DUMMYFUNCTION("GOOGLETRANSLATE($A5080,""en"",""es"")"),"Kusini Pemba")</f>
        <v>Kusini Pemba</v>
      </c>
      <c r="F5080" s="9" t="str">
        <f>IFERROR(__xludf.DUMMYFUNCTION("GOOGLETRANSLATE($A5080,""en"",""it"")"),"Kusini Pemba")</f>
        <v>Kusini Pemba</v>
      </c>
      <c r="G5080" s="9" t="str">
        <f>IFERROR(__xludf.DUMMYFUNCTION("GOOGLETRANSLATE($A5080,""en"",""zh-cn"")"),"库西尼彭巴")</f>
        <v>库西尼彭巴</v>
      </c>
      <c r="H5080" s="9" t="str">
        <f>IFERROR(__xludf.DUMMYFUNCTION("GOOGLETRANSLATE($A5080,""en"",""ja"")"),"クシニ・ペンバ")</f>
        <v>クシニ・ペンバ</v>
      </c>
      <c r="I5080" s="9" t="str">
        <f>IFERROR(__xludf.DUMMYFUNCTION("GOOGLETRANSLATE($A5080,""en"",""ko"")"),"쿠시니 펨바")</f>
        <v>쿠시니 펨바</v>
      </c>
      <c r="J5080" s="9" t="str">
        <f>IFERROR(__xludf.DUMMYFUNCTION("GOOGLETRANSLATE($A5080,""en"",""pt-BR"")"),"Kusini Pemba")</f>
        <v>Kusini Pemba</v>
      </c>
    </row>
    <row r="5081">
      <c r="A5081" s="9" t="str">
        <f>IFERROR(__xludf.DUMMYFUNCTION("""COMPUTED_VALUE"""),"Dar es Salaam")</f>
        <v>Dar es Salaam</v>
      </c>
      <c r="B5081" s="9" t="str">
        <f>IFERROR(__xludf.DUMMYFUNCTION("""COMPUTED_VALUE"""),"tz-02")</f>
        <v>tz-02</v>
      </c>
      <c r="C5081" s="9" t="str">
        <f>IFERROR(__xludf.DUMMYFUNCTION("GOOGLETRANSLATE($A5081,""en"",""de"")"),"Daressalam")</f>
        <v>Daressalam</v>
      </c>
      <c r="D5081" s="9" t="str">
        <f>IFERROR(__xludf.DUMMYFUNCTION("GOOGLETRANSLATE($A5081,""en"",""fr"")"),"Dar es Salam")</f>
        <v>Dar es Salam</v>
      </c>
      <c r="E5081" s="9" t="str">
        <f>IFERROR(__xludf.DUMMYFUNCTION("GOOGLETRANSLATE($A5081,""en"",""es"")"),"Dar es-Salam")</f>
        <v>Dar es-Salam</v>
      </c>
      <c r="F5081" s="9" t="str">
        <f>IFERROR(__xludf.DUMMYFUNCTION("GOOGLETRANSLATE($A5081,""en"",""it"")"),"Dar es Salaam")</f>
        <v>Dar es Salaam</v>
      </c>
      <c r="G5081" s="9" t="str">
        <f>IFERROR(__xludf.DUMMYFUNCTION("GOOGLETRANSLATE($A5081,""en"",""zh-cn"")"),"达累斯萨拉姆")</f>
        <v>达累斯萨拉姆</v>
      </c>
      <c r="H5081" s="9" t="str">
        <f>IFERROR(__xludf.DUMMYFUNCTION("GOOGLETRANSLATE($A5081,""en"",""ja"")"),"ダルエスサラーム")</f>
        <v>ダルエスサラーム</v>
      </c>
      <c r="I5081" s="9" t="str">
        <f>IFERROR(__xludf.DUMMYFUNCTION("GOOGLETRANSLATE($A5081,""en"",""ko"")"),"다르에스살람")</f>
        <v>다르에스살람</v>
      </c>
      <c r="J5081" s="9" t="str">
        <f>IFERROR(__xludf.DUMMYFUNCTION("GOOGLETRANSLATE($A5081,""en"",""pt-BR"")"),"Dar es Salaam")</f>
        <v>Dar es Salaam</v>
      </c>
    </row>
    <row r="5082">
      <c r="A5082" s="9" t="str">
        <f>IFERROR(__xludf.DUMMYFUNCTION("""COMPUTED_VALUE"""),"Iringa")</f>
        <v>Iringa</v>
      </c>
      <c r="B5082" s="9" t="str">
        <f>IFERROR(__xludf.DUMMYFUNCTION("""COMPUTED_VALUE"""),"tz-04")</f>
        <v>tz-04</v>
      </c>
      <c r="C5082" s="9" t="str">
        <f>IFERROR(__xludf.DUMMYFUNCTION("GOOGLETRANSLATE($A5082,""en"",""de"")"),"Iringa")</f>
        <v>Iringa</v>
      </c>
      <c r="D5082" s="9" t="str">
        <f>IFERROR(__xludf.DUMMYFUNCTION("GOOGLETRANSLATE($A5082,""en"",""fr"")"),"Iringa")</f>
        <v>Iringa</v>
      </c>
      <c r="E5082" s="9" t="str">
        <f>IFERROR(__xludf.DUMMYFUNCTION("GOOGLETRANSLATE($A5082,""en"",""es"")"),"iringa")</f>
        <v>iringa</v>
      </c>
      <c r="F5082" s="9" t="str">
        <f>IFERROR(__xludf.DUMMYFUNCTION("GOOGLETRANSLATE($A5082,""en"",""it"")"),"Iringa")</f>
        <v>Iringa</v>
      </c>
      <c r="G5082" s="9" t="str">
        <f>IFERROR(__xludf.DUMMYFUNCTION("GOOGLETRANSLATE($A5082,""en"",""zh-cn"")"),"伊林加")</f>
        <v>伊林加</v>
      </c>
      <c r="H5082" s="9" t="str">
        <f>IFERROR(__xludf.DUMMYFUNCTION("GOOGLETRANSLATE($A5082,""en"",""ja"")"),"イリンガ")</f>
        <v>イリンガ</v>
      </c>
      <c r="I5082" s="9" t="str">
        <f>IFERROR(__xludf.DUMMYFUNCTION("GOOGLETRANSLATE($A5082,""en"",""ko"")"),"이링가")</f>
        <v>이링가</v>
      </c>
      <c r="J5082" s="9" t="str">
        <f>IFERROR(__xludf.DUMMYFUNCTION("GOOGLETRANSLATE($A5082,""en"",""pt-BR"")"),"Iringa")</f>
        <v>Iringa</v>
      </c>
    </row>
    <row r="5083">
      <c r="A5083" s="9" t="str">
        <f>IFERROR(__xludf.DUMMYFUNCTION("""COMPUTED_VALUE"""),"Mara")</f>
        <v>Mara</v>
      </c>
      <c r="B5083" s="9" t="str">
        <f>IFERROR(__xludf.DUMMYFUNCTION("""COMPUTED_VALUE"""),"tz-13")</f>
        <v>tz-13</v>
      </c>
      <c r="C5083" s="9" t="str">
        <f>IFERROR(__xludf.DUMMYFUNCTION("GOOGLETRANSLATE($A5083,""en"",""de"")"),"Mara")</f>
        <v>Mara</v>
      </c>
      <c r="D5083" s="9" t="str">
        <f>IFERROR(__xludf.DUMMYFUNCTION("GOOGLETRANSLATE($A5083,""en"",""fr"")"),"Mara")</f>
        <v>Mara</v>
      </c>
      <c r="E5083" s="9" t="str">
        <f>IFERROR(__xludf.DUMMYFUNCTION("GOOGLETRANSLATE($A5083,""en"",""es"")"),"mará")</f>
        <v>mará</v>
      </c>
      <c r="F5083" s="9" t="str">
        <f>IFERROR(__xludf.DUMMYFUNCTION("GOOGLETRANSLATE($A5083,""en"",""it"")"),"Mara")</f>
        <v>Mara</v>
      </c>
      <c r="G5083" s="9" t="str">
        <f>IFERROR(__xludf.DUMMYFUNCTION("GOOGLETRANSLATE($A5083,""en"",""zh-cn"")"),"玛拉")</f>
        <v>玛拉</v>
      </c>
      <c r="H5083" s="9" t="str">
        <f>IFERROR(__xludf.DUMMYFUNCTION("GOOGLETRANSLATE($A5083,""en"",""ja"")"),"マラ")</f>
        <v>マラ</v>
      </c>
      <c r="I5083" s="9" t="str">
        <f>IFERROR(__xludf.DUMMYFUNCTION("GOOGLETRANSLATE($A5083,""en"",""ko"")"),"마라")</f>
        <v>마라</v>
      </c>
      <c r="J5083" s="9" t="str">
        <f>IFERROR(__xludf.DUMMYFUNCTION("GOOGLETRANSLATE($A5083,""en"",""pt-BR"")"),"Mara")</f>
        <v>Mara</v>
      </c>
    </row>
    <row r="5084">
      <c r="A5084" s="9" t="str">
        <f>IFERROR(__xludf.DUMMYFUNCTION("""COMPUTED_VALUE"""),"Kaskazini Unguja")</f>
        <v>Kaskazini Unguja</v>
      </c>
      <c r="B5084" s="9" t="str">
        <f>IFERROR(__xludf.DUMMYFUNCTION("""COMPUTED_VALUE"""),"tz-07")</f>
        <v>tz-07</v>
      </c>
      <c r="C5084" s="9" t="str">
        <f>IFERROR(__xludf.DUMMYFUNCTION("GOOGLETRANSLATE($A5084,""en"",""de"")"),"Kaskazini Unguja")</f>
        <v>Kaskazini Unguja</v>
      </c>
      <c r="D5084" s="9" t="str">
        <f>IFERROR(__xludf.DUMMYFUNCTION("GOOGLETRANSLATE($A5084,""en"",""fr"")"),"Kaskazini Unguja")</f>
        <v>Kaskazini Unguja</v>
      </c>
      <c r="E5084" s="9" t="str">
        <f>IFERROR(__xludf.DUMMYFUNCTION("GOOGLETRANSLATE($A5084,""en"",""es"")"),"Kaskazini Unguja")</f>
        <v>Kaskazini Unguja</v>
      </c>
      <c r="F5084" s="9" t="str">
        <f>IFERROR(__xludf.DUMMYFUNCTION("GOOGLETRANSLATE($A5084,""en"",""it"")"),"Kaskazini Unguja")</f>
        <v>Kaskazini Unguja</v>
      </c>
      <c r="G5084" s="9" t="str">
        <f>IFERROR(__xludf.DUMMYFUNCTION("GOOGLETRANSLATE($A5084,""en"",""zh-cn"")"),"卡斯卡齐尼·安古贾")</f>
        <v>卡斯卡齐尼·安古贾</v>
      </c>
      <c r="H5084" s="9" t="str">
        <f>IFERROR(__xludf.DUMMYFUNCTION("GOOGLETRANSLATE($A5084,""en"",""ja"")"),"カスカジニ ウングジャ")</f>
        <v>カスカジニ ウングジャ</v>
      </c>
      <c r="I5084" s="9" t="str">
        <f>IFERROR(__xludf.DUMMYFUNCTION("GOOGLETRANSLATE($A5084,""en"",""ko"")"),"카스카지니 운구자")</f>
        <v>카스카지니 운구자</v>
      </c>
      <c r="J5084" s="9" t="str">
        <f>IFERROR(__xludf.DUMMYFUNCTION("GOOGLETRANSLATE($A5084,""en"",""pt-BR"")"),"Kaskazini Unguja")</f>
        <v>Kaskazini Unguja</v>
      </c>
    </row>
    <row r="5085">
      <c r="A5085" s="9" t="str">
        <f>IFERROR(__xludf.DUMMYFUNCTION("""COMPUTED_VALUE"""),"Pwani")</f>
        <v>Pwani</v>
      </c>
      <c r="B5085" s="9" t="str">
        <f>IFERROR(__xludf.DUMMYFUNCTION("""COMPUTED_VALUE"""),"tz-19")</f>
        <v>tz-19</v>
      </c>
      <c r="C5085" s="9" t="str">
        <f>IFERROR(__xludf.DUMMYFUNCTION("GOOGLETRANSLATE($A5085,""en"",""de"")"),"Pwani")</f>
        <v>Pwani</v>
      </c>
      <c r="D5085" s="9" t="str">
        <f>IFERROR(__xludf.DUMMYFUNCTION("GOOGLETRANSLATE($A5085,""en"",""fr"")"),"Pwani")</f>
        <v>Pwani</v>
      </c>
      <c r="E5085" s="9" t="str">
        <f>IFERROR(__xludf.DUMMYFUNCTION("GOOGLETRANSLATE($A5085,""en"",""es"")"),"Pwani")</f>
        <v>Pwani</v>
      </c>
      <c r="F5085" s="9" t="str">
        <f>IFERROR(__xludf.DUMMYFUNCTION("GOOGLETRANSLATE($A5085,""en"",""it"")"),"Pwani")</f>
        <v>Pwani</v>
      </c>
      <c r="G5085" s="9" t="str">
        <f>IFERROR(__xludf.DUMMYFUNCTION("GOOGLETRANSLATE($A5085,""en"",""zh-cn"")"),"普瓦尼")</f>
        <v>普瓦尼</v>
      </c>
      <c r="H5085" s="9" t="str">
        <f>IFERROR(__xludf.DUMMYFUNCTION("GOOGLETRANSLATE($A5085,""en"",""ja"")"),"プワニ")</f>
        <v>プワニ</v>
      </c>
      <c r="I5085" s="9" t="str">
        <f>IFERROR(__xludf.DUMMYFUNCTION("GOOGLETRANSLATE($A5085,""en"",""ko"")"),"프와니")</f>
        <v>프와니</v>
      </c>
      <c r="J5085" s="9" t="str">
        <f>IFERROR(__xludf.DUMMYFUNCTION("GOOGLETRANSLATE($A5085,""en"",""pt-BR"")"),"Pwani")</f>
        <v>Pwani</v>
      </c>
    </row>
    <row r="5086">
      <c r="A5086" s="9" t="str">
        <f>IFERROR(__xludf.DUMMYFUNCTION("""COMPUTED_VALUE"""),"Ruvuma")</f>
        <v>Ruvuma</v>
      </c>
      <c r="B5086" s="9" t="str">
        <f>IFERROR(__xludf.DUMMYFUNCTION("""COMPUTED_VALUE"""),"tz-21")</f>
        <v>tz-21</v>
      </c>
      <c r="C5086" s="9" t="str">
        <f>IFERROR(__xludf.DUMMYFUNCTION("GOOGLETRANSLATE($A5086,""en"",""de"")"),"Ruvuma")</f>
        <v>Ruvuma</v>
      </c>
      <c r="D5086" s="9" t="str">
        <f>IFERROR(__xludf.DUMMYFUNCTION("GOOGLETRANSLATE($A5086,""en"",""fr"")"),"Ruvuma")</f>
        <v>Ruvuma</v>
      </c>
      <c r="E5086" s="9" t="str">
        <f>IFERROR(__xludf.DUMMYFUNCTION("GOOGLETRANSLATE($A5086,""en"",""es"")"),"Ruvuma")</f>
        <v>Ruvuma</v>
      </c>
      <c r="F5086" s="9" t="str">
        <f>IFERROR(__xludf.DUMMYFUNCTION("GOOGLETRANSLATE($A5086,""en"",""it"")"),"Ruvuma")</f>
        <v>Ruvuma</v>
      </c>
      <c r="G5086" s="9" t="str">
        <f>IFERROR(__xludf.DUMMYFUNCTION("GOOGLETRANSLATE($A5086,""en"",""zh-cn"")"),"鲁武马")</f>
        <v>鲁武马</v>
      </c>
      <c r="H5086" s="9" t="str">
        <f>IFERROR(__xludf.DUMMYFUNCTION("GOOGLETRANSLATE($A5086,""en"",""ja"")"),"ルブマ")</f>
        <v>ルブマ</v>
      </c>
      <c r="I5086" s="9" t="str">
        <f>IFERROR(__xludf.DUMMYFUNCTION("GOOGLETRANSLATE($A5086,""en"",""ko"")"),"루부마")</f>
        <v>루부마</v>
      </c>
      <c r="J5086" s="9" t="str">
        <f>IFERROR(__xludf.DUMMYFUNCTION("GOOGLETRANSLATE($A5086,""en"",""pt-BR"")"),"Ruvuma")</f>
        <v>Ruvuma</v>
      </c>
    </row>
    <row r="5087">
      <c r="A5087" s="9" t="str">
        <f>IFERROR(__xludf.DUMMYFUNCTION("""COMPUTED_VALUE"""),"Dodoma")</f>
        <v>Dodoma</v>
      </c>
      <c r="B5087" s="9" t="str">
        <f>IFERROR(__xludf.DUMMYFUNCTION("""COMPUTED_VALUE"""),"tz-03")</f>
        <v>tz-03</v>
      </c>
      <c r="C5087" s="9" t="str">
        <f>IFERROR(__xludf.DUMMYFUNCTION("GOOGLETRANSLATE($A5087,""en"",""de"")"),"Dodoma")</f>
        <v>Dodoma</v>
      </c>
      <c r="D5087" s="9" t="str">
        <f>IFERROR(__xludf.DUMMYFUNCTION("GOOGLETRANSLATE($A5087,""en"",""fr"")"),"Dodoma")</f>
        <v>Dodoma</v>
      </c>
      <c r="E5087" s="9" t="str">
        <f>IFERROR(__xludf.DUMMYFUNCTION("GOOGLETRANSLATE($A5087,""en"",""es"")"),"Dodoma")</f>
        <v>Dodoma</v>
      </c>
      <c r="F5087" s="9" t="str">
        <f>IFERROR(__xludf.DUMMYFUNCTION("GOOGLETRANSLATE($A5087,""en"",""it"")"),"Dodoma")</f>
        <v>Dodoma</v>
      </c>
      <c r="G5087" s="9" t="str">
        <f>IFERROR(__xludf.DUMMYFUNCTION("GOOGLETRANSLATE($A5087,""en"",""zh-cn"")"),"多多马")</f>
        <v>多多马</v>
      </c>
      <c r="H5087" s="9" t="str">
        <f>IFERROR(__xludf.DUMMYFUNCTION("GOOGLETRANSLATE($A5087,""en"",""ja"")"),"ドドマ")</f>
        <v>ドドマ</v>
      </c>
      <c r="I5087" s="9" t="str">
        <f>IFERROR(__xludf.DUMMYFUNCTION("GOOGLETRANSLATE($A5087,""en"",""ko"")"),"도도마")</f>
        <v>도도마</v>
      </c>
      <c r="J5087" s="9" t="str">
        <f>IFERROR(__xludf.DUMMYFUNCTION("GOOGLETRANSLATE($A5087,""en"",""pt-BR"")"),"Dodoma")</f>
        <v>Dodoma</v>
      </c>
    </row>
    <row r="5088">
      <c r="A5088" s="9" t="str">
        <f>IFERROR(__xludf.DUMMYFUNCTION("""COMPUTED_VALUE"""),"Manyara")</f>
        <v>Manyara</v>
      </c>
      <c r="B5088" s="9" t="str">
        <f>IFERROR(__xludf.DUMMYFUNCTION("""COMPUTED_VALUE"""),"tz-26")</f>
        <v>tz-26</v>
      </c>
      <c r="C5088" s="9" t="str">
        <f>IFERROR(__xludf.DUMMYFUNCTION("GOOGLETRANSLATE($A5088,""en"",""de"")"),"Manyara")</f>
        <v>Manyara</v>
      </c>
      <c r="D5088" s="9" t="str">
        <f>IFERROR(__xludf.DUMMYFUNCTION("GOOGLETRANSLATE($A5088,""en"",""fr"")"),"Manyara")</f>
        <v>Manyara</v>
      </c>
      <c r="E5088" s="9" t="str">
        <f>IFERROR(__xludf.DUMMYFUNCTION("GOOGLETRANSLATE($A5088,""en"",""es"")"),"manara")</f>
        <v>manara</v>
      </c>
      <c r="F5088" s="9" t="str">
        <f>IFERROR(__xludf.DUMMYFUNCTION("GOOGLETRANSLATE($A5088,""en"",""it"")"),"Manyara")</f>
        <v>Manyara</v>
      </c>
      <c r="G5088" s="9" t="str">
        <f>IFERROR(__xludf.DUMMYFUNCTION("GOOGLETRANSLATE($A5088,""en"",""zh-cn"")"),"马尼亚拉")</f>
        <v>马尼亚拉</v>
      </c>
      <c r="H5088" s="9" t="str">
        <f>IFERROR(__xludf.DUMMYFUNCTION("GOOGLETRANSLATE($A5088,""en"",""ja"")"),"マニャラ")</f>
        <v>マニャラ</v>
      </c>
      <c r="I5088" s="9" t="str">
        <f>IFERROR(__xludf.DUMMYFUNCTION("GOOGLETRANSLATE($A5088,""en"",""ko"")"),"만야라")</f>
        <v>만야라</v>
      </c>
      <c r="J5088" s="9" t="str">
        <f>IFERROR(__xludf.DUMMYFUNCTION("GOOGLETRANSLATE($A5088,""en"",""pt-BR"")"),"Manyara")</f>
        <v>Manyara</v>
      </c>
    </row>
    <row r="5089">
      <c r="A5089" s="9" t="str">
        <f>IFERROR(__xludf.DUMMYFUNCTION("""COMPUTED_VALUE"""),"Mjini Magharibi")</f>
        <v>Mjini Magharibi</v>
      </c>
      <c r="B5089" s="9" t="str">
        <f>IFERROR(__xludf.DUMMYFUNCTION("""COMPUTED_VALUE"""),"tz-15")</f>
        <v>tz-15</v>
      </c>
      <c r="C5089" s="9" t="str">
        <f>IFERROR(__xludf.DUMMYFUNCTION("GOOGLETRANSLATE($A5089,""en"",""de"")"),"Mjini Magharibi")</f>
        <v>Mjini Magharibi</v>
      </c>
      <c r="D5089" s="9" t="str">
        <f>IFERROR(__xludf.DUMMYFUNCTION("GOOGLETRANSLATE($A5089,""en"",""fr"")"),"Mjini Magharibi")</f>
        <v>Mjini Magharibi</v>
      </c>
      <c r="E5089" s="9" t="str">
        <f>IFERROR(__xludf.DUMMYFUNCTION("GOOGLETRANSLATE($A5089,""en"",""es"")"),"Mjini Magharibi")</f>
        <v>Mjini Magharibi</v>
      </c>
      <c r="F5089" s="9" t="str">
        <f>IFERROR(__xludf.DUMMYFUNCTION("GOOGLETRANSLATE($A5089,""en"",""it"")"),"Mjini Magharibi")</f>
        <v>Mjini Magharibi</v>
      </c>
      <c r="G5089" s="9" t="str">
        <f>IFERROR(__xludf.DUMMYFUNCTION("GOOGLETRANSLATE($A5089,""en"",""zh-cn"")"),"姆吉尼·马加里比")</f>
        <v>姆吉尼·马加里比</v>
      </c>
      <c r="H5089" s="9" t="str">
        <f>IFERROR(__xludf.DUMMYFUNCTION("GOOGLETRANSLATE($A5089,""en"",""ja"")"),"ムジニ・マガリビ")</f>
        <v>ムジニ・マガリビ</v>
      </c>
      <c r="I5089" s="9" t="str">
        <f>IFERROR(__xludf.DUMMYFUNCTION("GOOGLETRANSLATE($A5089,""en"",""ko"")"),"음지니 마가리비")</f>
        <v>음지니 마가리비</v>
      </c>
      <c r="J5089" s="9" t="str">
        <f>IFERROR(__xludf.DUMMYFUNCTION("GOOGLETRANSLATE($A5089,""en"",""pt-BR"")"),"Mjini Magharibi")</f>
        <v>Mjini Magharibi</v>
      </c>
    </row>
    <row r="5090">
      <c r="A5090" s="9" t="str">
        <f>IFERROR(__xludf.DUMMYFUNCTION("""COMPUTED_VALUE"""),"Kusini Unguja")</f>
        <v>Kusini Unguja</v>
      </c>
      <c r="B5090" s="9" t="str">
        <f>IFERROR(__xludf.DUMMYFUNCTION("""COMPUTED_VALUE"""),"tz-11")</f>
        <v>tz-11</v>
      </c>
      <c r="C5090" s="9" t="str">
        <f>IFERROR(__xludf.DUMMYFUNCTION("GOOGLETRANSLATE($A5090,""en"",""de"")"),"Kusini Unguja")</f>
        <v>Kusini Unguja</v>
      </c>
      <c r="D5090" s="9" t="str">
        <f>IFERROR(__xludf.DUMMYFUNCTION("GOOGLETRANSLATE($A5090,""en"",""fr"")"),"Kusini Unguja")</f>
        <v>Kusini Unguja</v>
      </c>
      <c r="E5090" s="9" t="str">
        <f>IFERROR(__xludf.DUMMYFUNCTION("GOOGLETRANSLATE($A5090,""en"",""es"")"),"Kusini Unguja")</f>
        <v>Kusini Unguja</v>
      </c>
      <c r="F5090" s="9" t="str">
        <f>IFERROR(__xludf.DUMMYFUNCTION("GOOGLETRANSLATE($A5090,""en"",""it"")"),"Kusini Unguja")</f>
        <v>Kusini Unguja</v>
      </c>
      <c r="G5090" s="9" t="str">
        <f>IFERROR(__xludf.DUMMYFUNCTION("GOOGLETRANSLATE($A5090,""en"",""zh-cn"")"),"库西尼·安古贾")</f>
        <v>库西尼·安古贾</v>
      </c>
      <c r="H5090" s="9" t="str">
        <f>IFERROR(__xludf.DUMMYFUNCTION("GOOGLETRANSLATE($A5090,""en"",""ja"")"),"クシニ・ウングジャ")</f>
        <v>クシニ・ウングジャ</v>
      </c>
      <c r="I5090" s="9" t="str">
        <f>IFERROR(__xludf.DUMMYFUNCTION("GOOGLETRANSLATE($A5090,""en"",""ko"")"),"쿠시니 운구자")</f>
        <v>쿠시니 운구자</v>
      </c>
      <c r="J5090" s="9" t="str">
        <f>IFERROR(__xludf.DUMMYFUNCTION("GOOGLETRANSLATE($A5090,""en"",""pt-BR"")"),"Kusini Unguja")</f>
        <v>Kusini Unguja</v>
      </c>
    </row>
    <row r="5091">
      <c r="A5091" s="9" t="str">
        <f>IFERROR(__xludf.DUMMYFUNCTION("""COMPUTED_VALUE"""),"Kigoma")</f>
        <v>Kigoma</v>
      </c>
      <c r="B5091" s="9" t="str">
        <f>IFERROR(__xludf.DUMMYFUNCTION("""COMPUTED_VALUE"""),"tz-08")</f>
        <v>tz-08</v>
      </c>
      <c r="C5091" s="9" t="str">
        <f>IFERROR(__xludf.DUMMYFUNCTION("GOOGLETRANSLATE($A5091,""en"",""de"")"),"Kigoma")</f>
        <v>Kigoma</v>
      </c>
      <c r="D5091" s="9" t="str">
        <f>IFERROR(__xludf.DUMMYFUNCTION("GOOGLETRANSLATE($A5091,""en"",""fr"")"),"Kigoma")</f>
        <v>Kigoma</v>
      </c>
      <c r="E5091" s="9" t="str">
        <f>IFERROR(__xludf.DUMMYFUNCTION("GOOGLETRANSLATE($A5091,""en"",""es"")"),"Kigoma")</f>
        <v>Kigoma</v>
      </c>
      <c r="F5091" s="9" t="str">
        <f>IFERROR(__xludf.DUMMYFUNCTION("GOOGLETRANSLATE($A5091,""en"",""it"")"),"Kigoma")</f>
        <v>Kigoma</v>
      </c>
      <c r="G5091" s="9" t="str">
        <f>IFERROR(__xludf.DUMMYFUNCTION("GOOGLETRANSLATE($A5091,""en"",""zh-cn"")"),"基戈马")</f>
        <v>基戈马</v>
      </c>
      <c r="H5091" s="9" t="str">
        <f>IFERROR(__xludf.DUMMYFUNCTION("GOOGLETRANSLATE($A5091,""en"",""ja"")"),"キゴマ")</f>
        <v>キゴマ</v>
      </c>
      <c r="I5091" s="9" t="str">
        <f>IFERROR(__xludf.DUMMYFUNCTION("GOOGLETRANSLATE($A5091,""en"",""ko"")"),"키고마")</f>
        <v>키고마</v>
      </c>
      <c r="J5091" s="9" t="str">
        <f>IFERROR(__xludf.DUMMYFUNCTION("GOOGLETRANSLATE($A5091,""en"",""pt-BR"")"),"Quigoma")</f>
        <v>Quigoma</v>
      </c>
    </row>
    <row r="5092">
      <c r="A5092" s="9" t="str">
        <f>IFERROR(__xludf.DUMMYFUNCTION("""COMPUTED_VALUE"""),"Mwanza (TZ)")</f>
        <v>Mwanza (TZ)</v>
      </c>
      <c r="B5092" s="9" t="str">
        <f>IFERROR(__xludf.DUMMYFUNCTION("""COMPUTED_VALUE"""),"tz-18")</f>
        <v>tz-18</v>
      </c>
      <c r="C5092" s="9" t="str">
        <f>IFERROR(__xludf.DUMMYFUNCTION("GOOGLETRANSLATE($A5092,""en"",""de"")"),"Mwanza (TZ)")</f>
        <v>Mwanza (TZ)</v>
      </c>
      <c r="D5092" s="9" t="str">
        <f>IFERROR(__xludf.DUMMYFUNCTION("GOOGLETRANSLATE($A5092,""en"",""fr"")"),"Mwanza (TZ)")</f>
        <v>Mwanza (TZ)</v>
      </c>
      <c r="E5092" s="9" t="str">
        <f>IFERROR(__xludf.DUMMYFUNCTION("GOOGLETRANSLATE($A5092,""en"",""es"")"),"Mwanza (TZ)")</f>
        <v>Mwanza (TZ)</v>
      </c>
      <c r="F5092" s="9" t="str">
        <f>IFERROR(__xludf.DUMMYFUNCTION("GOOGLETRANSLATE($A5092,""en"",""it"")"),"Mwanza (TZ)")</f>
        <v>Mwanza (TZ)</v>
      </c>
      <c r="G5092" s="9" t="str">
        <f>IFERROR(__xludf.DUMMYFUNCTION("GOOGLETRANSLATE($A5092,""en"",""zh-cn"")"),"姆万扎 (TZ)")</f>
        <v>姆万扎 (TZ)</v>
      </c>
      <c r="H5092" s="9" t="str">
        <f>IFERROR(__xludf.DUMMYFUNCTION("GOOGLETRANSLATE($A5092,""en"",""ja"")"),"ムワンザ (TZ)")</f>
        <v>ムワンザ (TZ)</v>
      </c>
      <c r="I5092" s="9" t="str">
        <f>IFERROR(__xludf.DUMMYFUNCTION("GOOGLETRANSLATE($A5092,""en"",""ko"")"),"므완자(TZ)")</f>
        <v>므완자(TZ)</v>
      </c>
      <c r="J5092" s="9" t="str">
        <f>IFERROR(__xludf.DUMMYFUNCTION("GOOGLETRANSLATE($A5092,""en"",""pt-BR"")"),"Muanza (TZ)")</f>
        <v>Muanza (TZ)</v>
      </c>
    </row>
    <row r="5093">
      <c r="A5093" s="9" t="str">
        <f>IFERROR(__xludf.DUMMYFUNCTION("""COMPUTED_VALUE"""),"Mtwara")</f>
        <v>Mtwara</v>
      </c>
      <c r="B5093" s="9" t="str">
        <f>IFERROR(__xludf.DUMMYFUNCTION("""COMPUTED_VALUE"""),"tz-17")</f>
        <v>tz-17</v>
      </c>
      <c r="C5093" s="9" t="str">
        <f>IFERROR(__xludf.DUMMYFUNCTION("GOOGLETRANSLATE($A5093,""en"",""de"")"),"Mtwara")</f>
        <v>Mtwara</v>
      </c>
      <c r="D5093" s="9" t="str">
        <f>IFERROR(__xludf.DUMMYFUNCTION("GOOGLETRANSLATE($A5093,""en"",""fr"")"),"Mtwara")</f>
        <v>Mtwara</v>
      </c>
      <c r="E5093" s="9" t="str">
        <f>IFERROR(__xludf.DUMMYFUNCTION("GOOGLETRANSLATE($A5093,""en"",""es"")"),"Mtwara")</f>
        <v>Mtwara</v>
      </c>
      <c r="F5093" s="9" t="str">
        <f>IFERROR(__xludf.DUMMYFUNCTION("GOOGLETRANSLATE($A5093,""en"",""it"")"),"Mtwara")</f>
        <v>Mtwara</v>
      </c>
      <c r="G5093" s="9" t="str">
        <f>IFERROR(__xludf.DUMMYFUNCTION("GOOGLETRANSLATE($A5093,""en"",""zh-cn"")"),"姆特瓦拉")</f>
        <v>姆特瓦拉</v>
      </c>
      <c r="H5093" s="9" t="str">
        <f>IFERROR(__xludf.DUMMYFUNCTION("GOOGLETRANSLATE($A5093,""en"",""ja"")"),"ムトワラ")</f>
        <v>ムトワラ</v>
      </c>
      <c r="I5093" s="9" t="str">
        <f>IFERROR(__xludf.DUMMYFUNCTION("GOOGLETRANSLATE($A5093,""en"",""ko"")"),"무트와라")</f>
        <v>무트와라</v>
      </c>
      <c r="J5093" s="9" t="str">
        <f>IFERROR(__xludf.DUMMYFUNCTION("GOOGLETRANSLATE($A5093,""en"",""pt-BR"")"),"Mtwara")</f>
        <v>Mtwara</v>
      </c>
    </row>
    <row r="5094">
      <c r="A5094" s="9" t="str">
        <f>IFERROR(__xludf.DUMMYFUNCTION("""COMPUTED_VALUE"""),"Kaskazini Pemba")</f>
        <v>Kaskazini Pemba</v>
      </c>
      <c r="B5094" s="9" t="str">
        <f>IFERROR(__xludf.DUMMYFUNCTION("""COMPUTED_VALUE"""),"tz-06")</f>
        <v>tz-06</v>
      </c>
      <c r="C5094" s="9" t="str">
        <f>IFERROR(__xludf.DUMMYFUNCTION("GOOGLETRANSLATE($A5094,""en"",""de"")"),"Kaskazini Pemba")</f>
        <v>Kaskazini Pemba</v>
      </c>
      <c r="D5094" s="9" t="str">
        <f>IFERROR(__xludf.DUMMYFUNCTION("GOOGLETRANSLATE($A5094,""en"",""fr"")"),"Kaskazini Pemba")</f>
        <v>Kaskazini Pemba</v>
      </c>
      <c r="E5094" s="9" t="str">
        <f>IFERROR(__xludf.DUMMYFUNCTION("GOOGLETRANSLATE($A5094,""en"",""es"")"),"Kaskazini Pemba")</f>
        <v>Kaskazini Pemba</v>
      </c>
      <c r="F5094" s="9" t="str">
        <f>IFERROR(__xludf.DUMMYFUNCTION("GOOGLETRANSLATE($A5094,""en"",""it"")"),"Kaskazini Pemba")</f>
        <v>Kaskazini Pemba</v>
      </c>
      <c r="G5094" s="9" t="str">
        <f>IFERROR(__xludf.DUMMYFUNCTION("GOOGLETRANSLATE($A5094,""en"",""zh-cn"")"),"卡斯卡齐尼彭巴岛")</f>
        <v>卡斯卡齐尼彭巴岛</v>
      </c>
      <c r="H5094" s="9" t="str">
        <f>IFERROR(__xludf.DUMMYFUNCTION("GOOGLETRANSLATE($A5094,""en"",""ja"")"),"カスカジニ・ペンバ")</f>
        <v>カスカジニ・ペンバ</v>
      </c>
      <c r="I5094" s="9" t="str">
        <f>IFERROR(__xludf.DUMMYFUNCTION("GOOGLETRANSLATE($A5094,""en"",""ko"")"),"카스카지니 펨바")</f>
        <v>카스카지니 펨바</v>
      </c>
      <c r="J5094" s="9" t="str">
        <f>IFERROR(__xludf.DUMMYFUNCTION("GOOGLETRANSLATE($A5094,""en"",""pt-BR"")"),"Kaskazini Pemba")</f>
        <v>Kaskazini Pemba</v>
      </c>
    </row>
    <row r="5095">
      <c r="A5095" s="9" t="str">
        <f>IFERROR(__xludf.DUMMYFUNCTION("""COMPUTED_VALUE"""),"Tabora")</f>
        <v>Tabora</v>
      </c>
      <c r="B5095" s="9" t="str">
        <f>IFERROR(__xludf.DUMMYFUNCTION("""COMPUTED_VALUE"""),"tz-24")</f>
        <v>tz-24</v>
      </c>
      <c r="C5095" s="9" t="str">
        <f>IFERROR(__xludf.DUMMYFUNCTION("GOOGLETRANSLATE($A5095,""en"",""de"")"),"Tabora")</f>
        <v>Tabora</v>
      </c>
      <c r="D5095" s="9" t="str">
        <f>IFERROR(__xludf.DUMMYFUNCTION("GOOGLETRANSLATE($A5095,""en"",""fr"")"),"Tabora")</f>
        <v>Tabora</v>
      </c>
      <c r="E5095" s="9" t="str">
        <f>IFERROR(__xludf.DUMMYFUNCTION("GOOGLETRANSLATE($A5095,""en"",""es"")"),"Tábora")</f>
        <v>Tábora</v>
      </c>
      <c r="F5095" s="9" t="str">
        <f>IFERROR(__xludf.DUMMYFUNCTION("GOOGLETRANSLATE($A5095,""en"",""it"")"),"Tabora")</f>
        <v>Tabora</v>
      </c>
      <c r="G5095" s="9" t="str">
        <f>IFERROR(__xludf.DUMMYFUNCTION("GOOGLETRANSLATE($A5095,""en"",""zh-cn"")"),"塔博拉")</f>
        <v>塔博拉</v>
      </c>
      <c r="H5095" s="9" t="str">
        <f>IFERROR(__xludf.DUMMYFUNCTION("GOOGLETRANSLATE($A5095,""en"",""ja"")"),"タボラ")</f>
        <v>タボラ</v>
      </c>
      <c r="I5095" s="9" t="str">
        <f>IFERROR(__xludf.DUMMYFUNCTION("GOOGLETRANSLATE($A5095,""en"",""ko"")"),"타보라")</f>
        <v>타보라</v>
      </c>
      <c r="J5095" s="9" t="str">
        <f>IFERROR(__xludf.DUMMYFUNCTION("GOOGLETRANSLATE($A5095,""en"",""pt-BR"")"),"Tabora")</f>
        <v>Tabora</v>
      </c>
    </row>
    <row r="5096">
      <c r="A5096" s="9" t="str">
        <f>IFERROR(__xludf.DUMMYFUNCTION("""COMPUTED_VALUE"""),"Arusha")</f>
        <v>Arusha</v>
      </c>
      <c r="B5096" s="9" t="str">
        <f>IFERROR(__xludf.DUMMYFUNCTION("""COMPUTED_VALUE"""),"tz-01")</f>
        <v>tz-01</v>
      </c>
      <c r="C5096" s="9" t="str">
        <f>IFERROR(__xludf.DUMMYFUNCTION("GOOGLETRANSLATE($A5096,""en"",""de"")"),"Arusha")</f>
        <v>Arusha</v>
      </c>
      <c r="D5096" s="9" t="str">
        <f>IFERROR(__xludf.DUMMYFUNCTION("GOOGLETRANSLATE($A5096,""en"",""fr"")"),"Arusha")</f>
        <v>Arusha</v>
      </c>
      <c r="E5096" s="9" t="str">
        <f>IFERROR(__xludf.DUMMYFUNCTION("GOOGLETRANSLATE($A5096,""en"",""es"")"),"Arusha")</f>
        <v>Arusha</v>
      </c>
      <c r="F5096" s="9" t="str">
        <f>IFERROR(__xludf.DUMMYFUNCTION("GOOGLETRANSLATE($A5096,""en"",""it"")"),"Arusha")</f>
        <v>Arusha</v>
      </c>
      <c r="G5096" s="9" t="str">
        <f>IFERROR(__xludf.DUMMYFUNCTION("GOOGLETRANSLATE($A5096,""en"",""zh-cn"")"),"阿鲁沙")</f>
        <v>阿鲁沙</v>
      </c>
      <c r="H5096" s="9" t="str">
        <f>IFERROR(__xludf.DUMMYFUNCTION("GOOGLETRANSLATE($A5096,""en"",""ja"")"),"アルーシャ")</f>
        <v>アルーシャ</v>
      </c>
      <c r="I5096" s="9" t="str">
        <f>IFERROR(__xludf.DUMMYFUNCTION("GOOGLETRANSLATE($A5096,""en"",""ko"")"),"아루샤")</f>
        <v>아루샤</v>
      </c>
      <c r="J5096" s="9" t="str">
        <f>IFERROR(__xludf.DUMMYFUNCTION("GOOGLETRANSLATE($A5096,""en"",""pt-BR"")"),"Arusha")</f>
        <v>Arusha</v>
      </c>
    </row>
    <row r="5097">
      <c r="A5097" s="9" t="str">
        <f>IFERROR(__xludf.DUMMYFUNCTION("""COMPUTED_VALUE"""),"Kagera")</f>
        <v>Kagera</v>
      </c>
      <c r="B5097" s="9" t="str">
        <f>IFERROR(__xludf.DUMMYFUNCTION("""COMPUTED_VALUE"""),"tz-05")</f>
        <v>tz-05</v>
      </c>
      <c r="C5097" s="9" t="str">
        <f>IFERROR(__xludf.DUMMYFUNCTION("GOOGLETRANSLATE($A5097,""en"",""de"")"),"Kagera")</f>
        <v>Kagera</v>
      </c>
      <c r="D5097" s="9" t="str">
        <f>IFERROR(__xludf.DUMMYFUNCTION("GOOGLETRANSLATE($A5097,""en"",""fr"")"),"Kagera")</f>
        <v>Kagera</v>
      </c>
      <c r="E5097" s="9" t="str">
        <f>IFERROR(__xludf.DUMMYFUNCTION("GOOGLETRANSLATE($A5097,""en"",""es"")"),"kagera")</f>
        <v>kagera</v>
      </c>
      <c r="F5097" s="9" t="str">
        <f>IFERROR(__xludf.DUMMYFUNCTION("GOOGLETRANSLATE($A5097,""en"",""it"")"),"Kagera")</f>
        <v>Kagera</v>
      </c>
      <c r="G5097" s="9" t="str">
        <f>IFERROR(__xludf.DUMMYFUNCTION("GOOGLETRANSLATE($A5097,""en"",""zh-cn"")"),"卡盖拉")</f>
        <v>卡盖拉</v>
      </c>
      <c r="H5097" s="9" t="str">
        <f>IFERROR(__xludf.DUMMYFUNCTION("GOOGLETRANSLATE($A5097,""en"",""ja"")"),"カゲラ")</f>
        <v>カゲラ</v>
      </c>
      <c r="I5097" s="9" t="str">
        <f>IFERROR(__xludf.DUMMYFUNCTION("GOOGLETRANSLATE($A5097,""en"",""ko"")"),"카게라")</f>
        <v>카게라</v>
      </c>
      <c r="J5097" s="9" t="str">
        <f>IFERROR(__xludf.DUMMYFUNCTION("GOOGLETRANSLATE($A5097,""en"",""pt-BR"")"),"Kagera")</f>
        <v>Kagera</v>
      </c>
    </row>
    <row r="5098">
      <c r="A5098" s="9" t="str">
        <f>IFERROR(__xludf.DUMMYFUNCTION("""COMPUTED_VALUE"""),"Mbeya")</f>
        <v>Mbeya</v>
      </c>
      <c r="B5098" s="9" t="str">
        <f>IFERROR(__xludf.DUMMYFUNCTION("""COMPUTED_VALUE"""),"tz-14")</f>
        <v>tz-14</v>
      </c>
      <c r="C5098" s="9" t="str">
        <f>IFERROR(__xludf.DUMMYFUNCTION("GOOGLETRANSLATE($A5098,""en"",""de"")"),"Mbeya")</f>
        <v>Mbeya</v>
      </c>
      <c r="D5098" s="9" t="str">
        <f>IFERROR(__xludf.DUMMYFUNCTION("GOOGLETRANSLATE($A5098,""en"",""fr"")"),"Mbeya")</f>
        <v>Mbeya</v>
      </c>
      <c r="E5098" s="9" t="str">
        <f>IFERROR(__xludf.DUMMYFUNCTION("GOOGLETRANSLATE($A5098,""en"",""es"")"),"Mbeya")</f>
        <v>Mbeya</v>
      </c>
      <c r="F5098" s="9" t="str">
        <f>IFERROR(__xludf.DUMMYFUNCTION("GOOGLETRANSLATE($A5098,""en"",""it"")"),"Mbeya")</f>
        <v>Mbeya</v>
      </c>
      <c r="G5098" s="9" t="str">
        <f>IFERROR(__xludf.DUMMYFUNCTION("GOOGLETRANSLATE($A5098,""en"",""zh-cn"")"),"姆贝亚")</f>
        <v>姆贝亚</v>
      </c>
      <c r="H5098" s="9" t="str">
        <f>IFERROR(__xludf.DUMMYFUNCTION("GOOGLETRANSLATE($A5098,""en"",""ja"")"),"ムベヤ")</f>
        <v>ムベヤ</v>
      </c>
      <c r="I5098" s="9" t="str">
        <f>IFERROR(__xludf.DUMMYFUNCTION("GOOGLETRANSLATE($A5098,""en"",""ko"")"),"음베야")</f>
        <v>음베야</v>
      </c>
      <c r="J5098" s="9" t="str">
        <f>IFERROR(__xludf.DUMMYFUNCTION("GOOGLETRANSLATE($A5098,""en"",""pt-BR"")"),"Mbeya")</f>
        <v>Mbeya</v>
      </c>
    </row>
    <row r="5099">
      <c r="A5099" s="9" t="str">
        <f>IFERROR(__xludf.DUMMYFUNCTION("""COMPUTED_VALUE"""),"Shinyanga")</f>
        <v>Shinyanga</v>
      </c>
      <c r="B5099" s="9" t="str">
        <f>IFERROR(__xludf.DUMMYFUNCTION("""COMPUTED_VALUE"""),"tz-22")</f>
        <v>tz-22</v>
      </c>
      <c r="C5099" s="9" t="str">
        <f>IFERROR(__xludf.DUMMYFUNCTION("GOOGLETRANSLATE($A5099,""en"",""de"")"),"Shinyanga")</f>
        <v>Shinyanga</v>
      </c>
      <c r="D5099" s="9" t="str">
        <f>IFERROR(__xludf.DUMMYFUNCTION("GOOGLETRANSLATE($A5099,""en"",""fr"")"),"Shinyanga")</f>
        <v>Shinyanga</v>
      </c>
      <c r="E5099" s="9" t="str">
        <f>IFERROR(__xludf.DUMMYFUNCTION("GOOGLETRANSLATE($A5099,""en"",""es"")"),"Shinyanga")</f>
        <v>Shinyanga</v>
      </c>
      <c r="F5099" s="9" t="str">
        <f>IFERROR(__xludf.DUMMYFUNCTION("GOOGLETRANSLATE($A5099,""en"",""it"")"),"Shinyanga")</f>
        <v>Shinyanga</v>
      </c>
      <c r="G5099" s="9" t="str">
        <f>IFERROR(__xludf.DUMMYFUNCTION("GOOGLETRANSLATE($A5099,""en"",""zh-cn"")"),"欣扬加")</f>
        <v>欣扬加</v>
      </c>
      <c r="H5099" s="9" t="str">
        <f>IFERROR(__xludf.DUMMYFUNCTION("GOOGLETRANSLATE($A5099,""en"",""ja"")"),"シニャンガ")</f>
        <v>シニャンガ</v>
      </c>
      <c r="I5099" s="9" t="str">
        <f>IFERROR(__xludf.DUMMYFUNCTION("GOOGLETRANSLATE($A5099,""en"",""ko"")"),"신양가")</f>
        <v>신양가</v>
      </c>
      <c r="J5099" s="9" t="str">
        <f>IFERROR(__xludf.DUMMYFUNCTION("GOOGLETRANSLATE($A5099,""en"",""pt-BR"")"),"Shinyanga")</f>
        <v>Shinyanga</v>
      </c>
    </row>
    <row r="5100">
      <c r="A5100" s="9" t="str">
        <f>IFERROR(__xludf.DUMMYFUNCTION("""COMPUTED_VALUE"""),"Singida")</f>
        <v>Singida</v>
      </c>
      <c r="B5100" s="9" t="str">
        <f>IFERROR(__xludf.DUMMYFUNCTION("""COMPUTED_VALUE"""),"tz-23")</f>
        <v>tz-23</v>
      </c>
      <c r="C5100" s="9" t="str">
        <f>IFERROR(__xludf.DUMMYFUNCTION("GOOGLETRANSLATE($A5100,""en"",""de"")"),"Singida")</f>
        <v>Singida</v>
      </c>
      <c r="D5100" s="9" t="str">
        <f>IFERROR(__xludf.DUMMYFUNCTION("GOOGLETRANSLATE($A5100,""en"",""fr"")"),"Singida")</f>
        <v>Singida</v>
      </c>
      <c r="E5100" s="9" t="str">
        <f>IFERROR(__xludf.DUMMYFUNCTION("GOOGLETRANSLATE($A5100,""en"",""es"")"),"Singida")</f>
        <v>Singida</v>
      </c>
      <c r="F5100" s="9" t="str">
        <f>IFERROR(__xludf.DUMMYFUNCTION("GOOGLETRANSLATE($A5100,""en"",""it"")"),"Singida")</f>
        <v>Singida</v>
      </c>
      <c r="G5100" s="9" t="str">
        <f>IFERROR(__xludf.DUMMYFUNCTION("GOOGLETRANSLATE($A5100,""en"",""zh-cn"")"),"辛吉达")</f>
        <v>辛吉达</v>
      </c>
      <c r="H5100" s="9" t="str">
        <f>IFERROR(__xludf.DUMMYFUNCTION("GOOGLETRANSLATE($A5100,""en"",""ja"")"),"シンギダ")</f>
        <v>シンギダ</v>
      </c>
      <c r="I5100" s="9" t="str">
        <f>IFERROR(__xludf.DUMMYFUNCTION("GOOGLETRANSLATE($A5100,""en"",""ko"")"),"싱기다")</f>
        <v>싱기다</v>
      </c>
      <c r="J5100" s="9" t="str">
        <f>IFERROR(__xludf.DUMMYFUNCTION("GOOGLETRANSLATE($A5100,""en"",""pt-BR"")"),"Singida")</f>
        <v>Singida</v>
      </c>
    </row>
    <row r="5101">
      <c r="A5101" s="9" t="str">
        <f>IFERROR(__xludf.DUMMYFUNCTION("""COMPUTED_VALUE"""),"Baker Island")</f>
        <v>Baker Island</v>
      </c>
      <c r="B5101" s="9" t="str">
        <f>IFERROR(__xludf.DUMMYFUNCTION("""COMPUTED_VALUE"""),"um-81")</f>
        <v>um-81</v>
      </c>
      <c r="C5101" s="9" t="str">
        <f>IFERROR(__xludf.DUMMYFUNCTION("GOOGLETRANSLATE($A5101,""en"",""de"")"),"Bakerinsel")</f>
        <v>Bakerinsel</v>
      </c>
      <c r="D5101" s="9" t="str">
        <f>IFERROR(__xludf.DUMMYFUNCTION("GOOGLETRANSLATE($A5101,""en"",""fr"")"),"Île Boulanger")</f>
        <v>Île Boulanger</v>
      </c>
      <c r="E5101" s="9" t="str">
        <f>IFERROR(__xludf.DUMMYFUNCTION("GOOGLETRANSLATE($A5101,""en"",""es"")"),"Isla panadero")</f>
        <v>Isla panadero</v>
      </c>
      <c r="F5101" s="9" t="str">
        <f>IFERROR(__xludf.DUMMYFUNCTION("GOOGLETRANSLATE($A5101,""en"",""it"")"),"Isola Baker")</f>
        <v>Isola Baker</v>
      </c>
      <c r="G5101" s="9" t="str">
        <f>IFERROR(__xludf.DUMMYFUNCTION("GOOGLETRANSLATE($A5101,""en"",""zh-cn"")"),"贝克岛")</f>
        <v>贝克岛</v>
      </c>
      <c r="H5101" s="9" t="str">
        <f>IFERROR(__xludf.DUMMYFUNCTION("GOOGLETRANSLATE($A5101,""en"",""ja"")"),"ベイカー島")</f>
        <v>ベイカー島</v>
      </c>
      <c r="I5101" s="9" t="str">
        <f>IFERROR(__xludf.DUMMYFUNCTION("GOOGLETRANSLATE($A5101,""en"",""ko"")"),"베이커 아일랜드")</f>
        <v>베이커 아일랜드</v>
      </c>
      <c r="J5101" s="9" t="str">
        <f>IFERROR(__xludf.DUMMYFUNCTION("GOOGLETRANSLATE($A5101,""en"",""pt-BR"")"),"Ilha Baker")</f>
        <v>Ilha Baker</v>
      </c>
    </row>
    <row r="5102">
      <c r="A5102" s="9" t="str">
        <f>IFERROR(__xludf.DUMMYFUNCTION("""COMPUTED_VALUE"""),"Johnston Atoll")</f>
        <v>Johnston Atoll</v>
      </c>
      <c r="B5102" s="9" t="str">
        <f>IFERROR(__xludf.DUMMYFUNCTION("""COMPUTED_VALUE"""),"um-67")</f>
        <v>um-67</v>
      </c>
      <c r="C5102" s="9" t="str">
        <f>IFERROR(__xludf.DUMMYFUNCTION("GOOGLETRANSLATE($A5102,""en"",""de"")"),"Johnston-Atoll")</f>
        <v>Johnston-Atoll</v>
      </c>
      <c r="D5102" s="9" t="str">
        <f>IFERROR(__xludf.DUMMYFUNCTION("GOOGLETRANSLATE($A5102,""en"",""fr"")"),"Atoll Johnston")</f>
        <v>Atoll Johnston</v>
      </c>
      <c r="E5102" s="9" t="str">
        <f>IFERROR(__xludf.DUMMYFUNCTION("GOOGLETRANSLATE($A5102,""en"",""es"")"),"Atolón Johnston")</f>
        <v>Atolón Johnston</v>
      </c>
      <c r="F5102" s="9" t="str">
        <f>IFERROR(__xludf.DUMMYFUNCTION("GOOGLETRANSLATE($A5102,""en"",""it"")"),"Atollo di Johnston")</f>
        <v>Atollo di Johnston</v>
      </c>
      <c r="G5102" s="9" t="str">
        <f>IFERROR(__xludf.DUMMYFUNCTION("GOOGLETRANSLATE($A5102,""en"",""zh-cn"")"),"约翰斯顿环礁")</f>
        <v>约翰斯顿环礁</v>
      </c>
      <c r="H5102" s="9" t="str">
        <f>IFERROR(__xludf.DUMMYFUNCTION("GOOGLETRANSLATE($A5102,""en"",""ja"")"),"ジョンストン環礁")</f>
        <v>ジョンストン環礁</v>
      </c>
      <c r="I5102" s="9" t="str">
        <f>IFERROR(__xludf.DUMMYFUNCTION("GOOGLETRANSLATE($A5102,""en"",""ko"")"),"존스턴 환초")</f>
        <v>존스턴 환초</v>
      </c>
      <c r="J5102" s="9" t="str">
        <f>IFERROR(__xludf.DUMMYFUNCTION("GOOGLETRANSLATE($A5102,""en"",""pt-BR"")"),"Atol Johnston")</f>
        <v>Atol Johnston</v>
      </c>
    </row>
    <row r="5103">
      <c r="A5103" s="9" t="str">
        <f>IFERROR(__xludf.DUMMYFUNCTION("""COMPUTED_VALUE"""),"Howland Island")</f>
        <v>Howland Island</v>
      </c>
      <c r="B5103" s="9" t="str">
        <f>IFERROR(__xludf.DUMMYFUNCTION("""COMPUTED_VALUE"""),"um-84")</f>
        <v>um-84</v>
      </c>
      <c r="C5103" s="9" t="str">
        <f>IFERROR(__xludf.DUMMYFUNCTION("GOOGLETRANSLATE($A5103,""en"",""de"")"),"Howlandinsel")</f>
        <v>Howlandinsel</v>
      </c>
      <c r="D5103" s="9" t="str">
        <f>IFERROR(__xludf.DUMMYFUNCTION("GOOGLETRANSLATE($A5103,""en"",""fr"")"),"Île Howland")</f>
        <v>Île Howland</v>
      </c>
      <c r="E5103" s="9" t="str">
        <f>IFERROR(__xludf.DUMMYFUNCTION("GOOGLETRANSLATE($A5103,""en"",""es"")"),"Isla Howland")</f>
        <v>Isla Howland</v>
      </c>
      <c r="F5103" s="9" t="str">
        <f>IFERROR(__xludf.DUMMYFUNCTION("GOOGLETRANSLATE($A5103,""en"",""it"")"),"Isola Howland")</f>
        <v>Isola Howland</v>
      </c>
      <c r="G5103" s="9" t="str">
        <f>IFERROR(__xludf.DUMMYFUNCTION("GOOGLETRANSLATE($A5103,""en"",""zh-cn"")"),"豪兰岛")</f>
        <v>豪兰岛</v>
      </c>
      <c r="H5103" s="9" t="str">
        <f>IFERROR(__xludf.DUMMYFUNCTION("GOOGLETRANSLATE($A5103,""en"",""ja"")"),"ハウランド島")</f>
        <v>ハウランド島</v>
      </c>
      <c r="I5103" s="9" t="str">
        <f>IFERROR(__xludf.DUMMYFUNCTION("GOOGLETRANSLATE($A5103,""en"",""ko"")"),"하울랜드 섬")</f>
        <v>하울랜드 섬</v>
      </c>
      <c r="J5103" s="9" t="str">
        <f>IFERROR(__xludf.DUMMYFUNCTION("GOOGLETRANSLATE($A5103,""en"",""pt-BR"")"),"Ilha Howland")</f>
        <v>Ilha Howland</v>
      </c>
    </row>
    <row r="5104">
      <c r="A5104" s="9" t="str">
        <f>IFERROR(__xludf.DUMMYFUNCTION("""COMPUTED_VALUE"""),"Kingman Reef")</f>
        <v>Kingman Reef</v>
      </c>
      <c r="B5104" s="9" t="str">
        <f>IFERROR(__xludf.DUMMYFUNCTION("""COMPUTED_VALUE"""),"um-89")</f>
        <v>um-89</v>
      </c>
      <c r="C5104" s="9" t="str">
        <f>IFERROR(__xludf.DUMMYFUNCTION("GOOGLETRANSLATE($A5104,""en"",""de"")"),"Kingman-Riff")</f>
        <v>Kingman-Riff</v>
      </c>
      <c r="D5104" s="9" t="str">
        <f>IFERROR(__xludf.DUMMYFUNCTION("GOOGLETRANSLATE($A5104,""en"",""fr"")"),"Récif Kingman")</f>
        <v>Récif Kingman</v>
      </c>
      <c r="E5104" s="9" t="str">
        <f>IFERROR(__xludf.DUMMYFUNCTION("GOOGLETRANSLATE($A5104,""en"",""es"")"),"Arrecife Kingman")</f>
        <v>Arrecife Kingman</v>
      </c>
      <c r="F5104" s="9" t="str">
        <f>IFERROR(__xludf.DUMMYFUNCTION("GOOGLETRANSLATE($A5104,""en"",""it"")"),"Kingman Reef")</f>
        <v>Kingman Reef</v>
      </c>
      <c r="G5104" s="9" t="str">
        <f>IFERROR(__xludf.DUMMYFUNCTION("GOOGLETRANSLATE($A5104,""en"",""zh-cn"")"),"金曼礁")</f>
        <v>金曼礁</v>
      </c>
      <c r="H5104" s="9" t="str">
        <f>IFERROR(__xludf.DUMMYFUNCTION("GOOGLETRANSLATE($A5104,""en"",""ja"")"),"キングマン リーフ")</f>
        <v>キングマン リーフ</v>
      </c>
      <c r="I5104" s="9" t="str">
        <f>IFERROR(__xludf.DUMMYFUNCTION("GOOGLETRANSLATE($A5104,""en"",""ko"")"),"킹맨 리프")</f>
        <v>킹맨 리프</v>
      </c>
      <c r="J5104" s="9" t="str">
        <f>IFERROR(__xludf.DUMMYFUNCTION("GOOGLETRANSLATE($A5104,""en"",""pt-BR"")"),"Recife Kingman")</f>
        <v>Recife Kingman</v>
      </c>
    </row>
    <row r="5105">
      <c r="A5105" s="9" t="str">
        <f>IFERROR(__xludf.DUMMYFUNCTION("""COMPUTED_VALUE"""),"Midway Islands")</f>
        <v>Midway Islands</v>
      </c>
      <c r="B5105" s="9" t="str">
        <f>IFERROR(__xludf.DUMMYFUNCTION("""COMPUTED_VALUE"""),"um-71")</f>
        <v>um-71</v>
      </c>
      <c r="C5105" s="9" t="str">
        <f>IFERROR(__xludf.DUMMYFUNCTION("GOOGLETRANSLATE($A5105,""en"",""de"")"),"Midway-Inseln")</f>
        <v>Midway-Inseln</v>
      </c>
      <c r="D5105" s="9" t="str">
        <f>IFERROR(__xludf.DUMMYFUNCTION("GOOGLETRANSLATE($A5105,""en"",""fr"")"),"Îles Midway")</f>
        <v>Îles Midway</v>
      </c>
      <c r="E5105" s="9" t="str">
        <f>IFERROR(__xludf.DUMMYFUNCTION("GOOGLETRANSLATE($A5105,""en"",""es"")"),"Islas Midway")</f>
        <v>Islas Midway</v>
      </c>
      <c r="F5105" s="9" t="str">
        <f>IFERROR(__xludf.DUMMYFUNCTION("GOOGLETRANSLATE($A5105,""en"",""it"")"),"Isole Intermedie")</f>
        <v>Isole Intermedie</v>
      </c>
      <c r="G5105" s="9" t="str">
        <f>IFERROR(__xludf.DUMMYFUNCTION("GOOGLETRANSLATE($A5105,""en"",""zh-cn"")"),"中途岛")</f>
        <v>中途岛</v>
      </c>
      <c r="H5105" s="9" t="str">
        <f>IFERROR(__xludf.DUMMYFUNCTION("GOOGLETRANSLATE($A5105,""en"",""ja"")"),"ミッドウェー諸島")</f>
        <v>ミッドウェー諸島</v>
      </c>
      <c r="I5105" s="9" t="str">
        <f>IFERROR(__xludf.DUMMYFUNCTION("GOOGLETRANSLATE($A5105,""en"",""ko"")"),"미드웨이 제도")</f>
        <v>미드웨이 제도</v>
      </c>
      <c r="J5105" s="9" t="str">
        <f>IFERROR(__xludf.DUMMYFUNCTION("GOOGLETRANSLATE($A5105,""en"",""pt-BR"")"),"Ilhas Médias")</f>
        <v>Ilhas Médias</v>
      </c>
    </row>
    <row r="5106">
      <c r="A5106" s="9" t="str">
        <f>IFERROR(__xludf.DUMMYFUNCTION("""COMPUTED_VALUE"""),"Navassa Island")</f>
        <v>Navassa Island</v>
      </c>
      <c r="B5106" s="9" t="str">
        <f>IFERROR(__xludf.DUMMYFUNCTION("""COMPUTED_VALUE"""),"um-76")</f>
        <v>um-76</v>
      </c>
      <c r="C5106" s="9" t="str">
        <f>IFERROR(__xludf.DUMMYFUNCTION("GOOGLETRANSLATE($A5106,""en"",""de"")"),"Navassa-Insel")</f>
        <v>Navassa-Insel</v>
      </c>
      <c r="D5106" s="9" t="str">
        <f>IFERROR(__xludf.DUMMYFUNCTION("GOOGLETRANSLATE($A5106,""en"",""fr"")"),"Île Navasse")</f>
        <v>Île Navasse</v>
      </c>
      <c r="E5106" s="9" t="str">
        <f>IFERROR(__xludf.DUMMYFUNCTION("GOOGLETRANSLATE($A5106,""en"",""es"")"),"Isla Navasa")</f>
        <v>Isla Navasa</v>
      </c>
      <c r="F5106" s="9" t="str">
        <f>IFERROR(__xludf.DUMMYFUNCTION("GOOGLETRANSLATE($A5106,""en"",""it"")"),"Isola di Navassa")</f>
        <v>Isola di Navassa</v>
      </c>
      <c r="G5106" s="9" t="str">
        <f>IFERROR(__xludf.DUMMYFUNCTION("GOOGLETRANSLATE($A5106,""en"",""zh-cn"")"),"纳瓦萨岛")</f>
        <v>纳瓦萨岛</v>
      </c>
      <c r="H5106" s="9" t="str">
        <f>IFERROR(__xludf.DUMMYFUNCTION("GOOGLETRANSLATE($A5106,""en"",""ja"")"),"ナヴァッサ島")</f>
        <v>ナヴァッサ島</v>
      </c>
      <c r="I5106" s="9" t="str">
        <f>IFERROR(__xludf.DUMMYFUNCTION("GOOGLETRANSLATE($A5106,""en"",""ko"")"),"나바사섬")</f>
        <v>나바사섬</v>
      </c>
      <c r="J5106" s="9" t="str">
        <f>IFERROR(__xludf.DUMMYFUNCTION("GOOGLETRANSLATE($A5106,""en"",""pt-BR"")"),"Ilha Navassa")</f>
        <v>Ilha Navassa</v>
      </c>
    </row>
    <row r="5107">
      <c r="A5107" s="9" t="str">
        <f>IFERROR(__xludf.DUMMYFUNCTION("""COMPUTED_VALUE"""),"Wake Island")</f>
        <v>Wake Island</v>
      </c>
      <c r="B5107" s="9" t="str">
        <f>IFERROR(__xludf.DUMMYFUNCTION("""COMPUTED_VALUE"""),"um-79")</f>
        <v>um-79</v>
      </c>
      <c r="C5107" s="9" t="str">
        <f>IFERROR(__xludf.DUMMYFUNCTION("GOOGLETRANSLATE($A5107,""en"",""de"")"),"Wake-Insel")</f>
        <v>Wake-Insel</v>
      </c>
      <c r="D5107" s="9" t="str">
        <f>IFERROR(__xludf.DUMMYFUNCTION("GOOGLETRANSLATE($A5107,""en"",""fr"")"),"Île de Wake")</f>
        <v>Île de Wake</v>
      </c>
      <c r="E5107" s="9" t="str">
        <f>IFERROR(__xludf.DUMMYFUNCTION("GOOGLETRANSLATE($A5107,""en"",""es"")"),"Isla Wake")</f>
        <v>Isla Wake</v>
      </c>
      <c r="F5107" s="9" t="str">
        <f>IFERROR(__xludf.DUMMYFUNCTION("GOOGLETRANSLATE($A5107,""en"",""it"")"),"Isola di Wake")</f>
        <v>Isola di Wake</v>
      </c>
      <c r="G5107" s="9" t="str">
        <f>IFERROR(__xludf.DUMMYFUNCTION("GOOGLETRANSLATE($A5107,""en"",""zh-cn"")"),"威克岛")</f>
        <v>威克岛</v>
      </c>
      <c r="H5107" s="9" t="str">
        <f>IFERROR(__xludf.DUMMYFUNCTION("GOOGLETRANSLATE($A5107,""en"",""ja"")"),"ウェーク島")</f>
        <v>ウェーク島</v>
      </c>
      <c r="I5107" s="9" t="str">
        <f>IFERROR(__xludf.DUMMYFUNCTION("GOOGLETRANSLATE($A5107,""en"",""ko"")"),"웨이크 아일랜드")</f>
        <v>웨이크 아일랜드</v>
      </c>
      <c r="J5107" s="9" t="str">
        <f>IFERROR(__xludf.DUMMYFUNCTION("GOOGLETRANSLATE($A5107,""en"",""pt-BR"")"),"Ilha Wake")</f>
        <v>Ilha Wake</v>
      </c>
    </row>
    <row r="5108">
      <c r="A5108" s="9" t="str">
        <f>IFERROR(__xludf.DUMMYFUNCTION("""COMPUTED_VALUE"""),"Palmyra Atoll")</f>
        <v>Palmyra Atoll</v>
      </c>
      <c r="B5108" s="9" t="str">
        <f>IFERROR(__xludf.DUMMYFUNCTION("""COMPUTED_VALUE"""),"um-95")</f>
        <v>um-95</v>
      </c>
      <c r="C5108" s="9" t="str">
        <f>IFERROR(__xludf.DUMMYFUNCTION("GOOGLETRANSLATE($A5108,""en"",""de"")"),"Palmyra-Atoll")</f>
        <v>Palmyra-Atoll</v>
      </c>
      <c r="D5108" s="9" t="str">
        <f>IFERROR(__xludf.DUMMYFUNCTION("GOOGLETRANSLATE($A5108,""en"",""fr"")"),"Atoll de Palmyre")</f>
        <v>Atoll de Palmyre</v>
      </c>
      <c r="E5108" s="9" t="str">
        <f>IFERROR(__xludf.DUMMYFUNCTION("GOOGLETRANSLATE($A5108,""en"",""es"")"),"Atolón de Palmira")</f>
        <v>Atolón de Palmira</v>
      </c>
      <c r="F5108" s="9" t="str">
        <f>IFERROR(__xludf.DUMMYFUNCTION("GOOGLETRANSLATE($A5108,""en"",""it"")"),"Atollo di Palmira")</f>
        <v>Atollo di Palmira</v>
      </c>
      <c r="G5108" s="9" t="str">
        <f>IFERROR(__xludf.DUMMYFUNCTION("GOOGLETRANSLATE($A5108,""en"",""zh-cn"")"),"巴尔米拉环礁")</f>
        <v>巴尔米拉环礁</v>
      </c>
      <c r="H5108" s="9" t="str">
        <f>IFERROR(__xludf.DUMMYFUNCTION("GOOGLETRANSLATE($A5108,""en"",""ja"")"),"パルミラ環礁")</f>
        <v>パルミラ環礁</v>
      </c>
      <c r="I5108" s="9" t="str">
        <f>IFERROR(__xludf.DUMMYFUNCTION("GOOGLETRANSLATE($A5108,""en"",""ko"")"),"팔미라 환초")</f>
        <v>팔미라 환초</v>
      </c>
      <c r="J5108" s="9" t="str">
        <f>IFERROR(__xludf.DUMMYFUNCTION("GOOGLETRANSLATE($A5108,""en"",""pt-BR"")"),"Atol de Palmira")</f>
        <v>Atol de Palmira</v>
      </c>
    </row>
    <row r="5109">
      <c r="A5109" s="9" t="str">
        <f>IFERROR(__xludf.DUMMYFUNCTION("""COMPUTED_VALUE"""),"Jarvis Island")</f>
        <v>Jarvis Island</v>
      </c>
      <c r="B5109" s="9" t="str">
        <f>IFERROR(__xludf.DUMMYFUNCTION("""COMPUTED_VALUE"""),"um-86")</f>
        <v>um-86</v>
      </c>
      <c r="C5109" s="9" t="str">
        <f>IFERROR(__xludf.DUMMYFUNCTION("GOOGLETRANSLATE($A5109,""en"",""de"")"),"Jarvis-Insel")</f>
        <v>Jarvis-Insel</v>
      </c>
      <c r="D5109" s="9" t="str">
        <f>IFERROR(__xludf.DUMMYFUNCTION("GOOGLETRANSLATE($A5109,""en"",""fr"")"),"Île Jarvis")</f>
        <v>Île Jarvis</v>
      </c>
      <c r="E5109" s="9" t="str">
        <f>IFERROR(__xludf.DUMMYFUNCTION("GOOGLETRANSLATE($A5109,""en"",""es"")"),"Isla Jarvis")</f>
        <v>Isla Jarvis</v>
      </c>
      <c r="F5109" s="9" t="str">
        <f>IFERROR(__xludf.DUMMYFUNCTION("GOOGLETRANSLATE($A5109,""en"",""it"")"),"Isola Jarvis")</f>
        <v>Isola Jarvis</v>
      </c>
      <c r="G5109" s="9" t="str">
        <f>IFERROR(__xludf.DUMMYFUNCTION("GOOGLETRANSLATE($A5109,""en"",""zh-cn"")"),"贾维斯岛")</f>
        <v>贾维斯岛</v>
      </c>
      <c r="H5109" s="9" t="str">
        <f>IFERROR(__xludf.DUMMYFUNCTION("GOOGLETRANSLATE($A5109,""en"",""ja"")"),"ジャービス島")</f>
        <v>ジャービス島</v>
      </c>
      <c r="I5109" s="9" t="str">
        <f>IFERROR(__xludf.DUMMYFUNCTION("GOOGLETRANSLATE($A5109,""en"",""ko"")"),"자비스 섬")</f>
        <v>자비스 섬</v>
      </c>
      <c r="J5109" s="9" t="str">
        <f>IFERROR(__xludf.DUMMYFUNCTION("GOOGLETRANSLATE($A5109,""en"",""pt-BR"")"),"Ilha Jarvis")</f>
        <v>Ilha Jarvis</v>
      </c>
    </row>
    <row r="5110">
      <c r="A5110" s="9" t="str">
        <f>IFERROR(__xludf.DUMMYFUNCTION("""COMPUTED_VALUE"""),"Cerro Largo")</f>
        <v>Cerro Largo</v>
      </c>
      <c r="B5110" s="9" t="str">
        <f>IFERROR(__xludf.DUMMYFUNCTION("""COMPUTED_VALUE"""),"uy-cl")</f>
        <v>uy-cl</v>
      </c>
      <c r="C5110" s="9" t="str">
        <f>IFERROR(__xludf.DUMMYFUNCTION("GOOGLETRANSLATE($A5110,""en"",""de"")"),"Cerro Largo")</f>
        <v>Cerro Largo</v>
      </c>
      <c r="D5110" s="9" t="str">
        <f>IFERROR(__xludf.DUMMYFUNCTION("GOOGLETRANSLATE($A5110,""en"",""fr"")"),"Cerro Largo")</f>
        <v>Cerro Largo</v>
      </c>
      <c r="E5110" s="9" t="str">
        <f>IFERROR(__xludf.DUMMYFUNCTION("GOOGLETRANSLATE($A5110,""en"",""es"")"),"Cerro Largo")</f>
        <v>Cerro Largo</v>
      </c>
      <c r="F5110" s="9" t="str">
        <f>IFERROR(__xludf.DUMMYFUNCTION("GOOGLETRANSLATE($A5110,""en"",""it"")"),"Cerro Largo")</f>
        <v>Cerro Largo</v>
      </c>
      <c r="G5110" s="9" t="str">
        <f>IFERROR(__xludf.DUMMYFUNCTION("GOOGLETRANSLATE($A5110,""en"",""zh-cn"")"),"拉戈山")</f>
        <v>拉戈山</v>
      </c>
      <c r="H5110" s="9" t="str">
        <f>IFERROR(__xludf.DUMMYFUNCTION("GOOGLETRANSLATE($A5110,""en"",""ja"")"),"セロ・ラルゴ")</f>
        <v>セロ・ラルゴ</v>
      </c>
      <c r="I5110" s="9" t="str">
        <f>IFERROR(__xludf.DUMMYFUNCTION("GOOGLETRANSLATE($A5110,""en"",""ko"")"),"세로 라르고")</f>
        <v>세로 라르고</v>
      </c>
      <c r="J5110" s="9" t="str">
        <f>IFERROR(__xludf.DUMMYFUNCTION("GOOGLETRANSLATE($A5110,""en"",""pt-BR"")"),"Cerro Largo")</f>
        <v>Cerro Largo</v>
      </c>
    </row>
    <row r="5111">
      <c r="A5111" s="9" t="str">
        <f>IFERROR(__xludf.DUMMYFUNCTION("""COMPUTED_VALUE"""),"Paysandú")</f>
        <v>Paysandú</v>
      </c>
      <c r="B5111" s="9" t="str">
        <f>IFERROR(__xludf.DUMMYFUNCTION("""COMPUTED_VALUE"""),"uy-pa")</f>
        <v>uy-pa</v>
      </c>
      <c r="C5111" s="9" t="str">
        <f>IFERROR(__xludf.DUMMYFUNCTION("GOOGLETRANSLATE($A5111,""en"",""de"")"),"Paysandú")</f>
        <v>Paysandú</v>
      </c>
      <c r="D5111" s="9" t="str">
        <f>IFERROR(__xludf.DUMMYFUNCTION("GOOGLETRANSLATE($A5111,""en"",""fr"")"),"Paysandú")</f>
        <v>Paysandú</v>
      </c>
      <c r="E5111" s="9" t="str">
        <f>IFERROR(__xludf.DUMMYFUNCTION("GOOGLETRANSLATE($A5111,""en"",""es"")"),"Paysandú")</f>
        <v>Paysandú</v>
      </c>
      <c r="F5111" s="9" t="str">
        <f>IFERROR(__xludf.DUMMYFUNCTION("GOOGLETRANSLATE($A5111,""en"",""it"")"),"Paysandù")</f>
        <v>Paysandù</v>
      </c>
      <c r="G5111" s="9" t="str">
        <f>IFERROR(__xludf.DUMMYFUNCTION("GOOGLETRANSLATE($A5111,""en"",""zh-cn"")"),"派桑杜")</f>
        <v>派桑杜</v>
      </c>
      <c r="H5111" s="9" t="str">
        <f>IFERROR(__xludf.DUMMYFUNCTION("GOOGLETRANSLATE($A5111,""en"",""ja"")"),"パイサンドゥ")</f>
        <v>パイサンドゥ</v>
      </c>
      <c r="I5111" s="9" t="str">
        <f>IFERROR(__xludf.DUMMYFUNCTION("GOOGLETRANSLATE($A5111,""en"",""ko"")"),"페이산두")</f>
        <v>페이산두</v>
      </c>
      <c r="J5111" s="9" t="str">
        <f>IFERROR(__xludf.DUMMYFUNCTION("GOOGLETRANSLATE($A5111,""en"",""pt-BR"")"),"Paysandú")</f>
        <v>Paysandú</v>
      </c>
    </row>
    <row r="5112">
      <c r="A5112" s="9" t="str">
        <f>IFERROR(__xludf.DUMMYFUNCTION("""COMPUTED_VALUE"""),"Tacuarembó")</f>
        <v>Tacuarembó</v>
      </c>
      <c r="B5112" s="9" t="str">
        <f>IFERROR(__xludf.DUMMYFUNCTION("""COMPUTED_VALUE"""),"uy-ta")</f>
        <v>uy-ta</v>
      </c>
      <c r="C5112" s="9" t="str">
        <f>IFERROR(__xludf.DUMMYFUNCTION("GOOGLETRANSLATE($A5112,""en"",""de"")"),"Tacuarembó")</f>
        <v>Tacuarembó</v>
      </c>
      <c r="D5112" s="9" t="str">
        <f>IFERROR(__xludf.DUMMYFUNCTION("GOOGLETRANSLATE($A5112,""en"",""fr"")"),"Tacuarembó")</f>
        <v>Tacuarembó</v>
      </c>
      <c r="E5112" s="9" t="str">
        <f>IFERROR(__xludf.DUMMYFUNCTION("GOOGLETRANSLATE($A5112,""en"",""es"")"),"Tacuarembó")</f>
        <v>Tacuarembó</v>
      </c>
      <c r="F5112" s="9" t="str">
        <f>IFERROR(__xludf.DUMMYFUNCTION("GOOGLETRANSLATE($A5112,""en"",""it"")"),"Tacuarembó")</f>
        <v>Tacuarembó</v>
      </c>
      <c r="G5112" s="9" t="str">
        <f>IFERROR(__xludf.DUMMYFUNCTION("GOOGLETRANSLATE($A5112,""en"",""zh-cn"")"),"塔库阿伦博")</f>
        <v>塔库阿伦博</v>
      </c>
      <c r="H5112" s="9" t="str">
        <f>IFERROR(__xludf.DUMMYFUNCTION("GOOGLETRANSLATE($A5112,""en"",""ja"")"),"タクアレンボ")</f>
        <v>タクアレンボ</v>
      </c>
      <c r="I5112" s="9" t="str">
        <f>IFERROR(__xludf.DUMMYFUNCTION("GOOGLETRANSLATE($A5112,""en"",""ko"")"),"타쿠아렘보")</f>
        <v>타쿠아렘보</v>
      </c>
      <c r="J5112" s="9" t="str">
        <f>IFERROR(__xludf.DUMMYFUNCTION("GOOGLETRANSLATE($A5112,""en"",""pt-BR"")"),"Tacuarembó")</f>
        <v>Tacuarembó</v>
      </c>
    </row>
    <row r="5113">
      <c r="A5113" s="9" t="str">
        <f>IFERROR(__xludf.DUMMYFUNCTION("""COMPUTED_VALUE"""),"Treinta y Tres")</f>
        <v>Treinta y Tres</v>
      </c>
      <c r="B5113" s="9" t="str">
        <f>IFERROR(__xludf.DUMMYFUNCTION("""COMPUTED_VALUE"""),"uy-tt")</f>
        <v>uy-tt</v>
      </c>
      <c r="C5113" s="9" t="str">
        <f>IFERROR(__xludf.DUMMYFUNCTION("GOOGLETRANSLATE($A5113,""en"",""de"")"),"Treinta y Tres")</f>
        <v>Treinta y Tres</v>
      </c>
      <c r="D5113" s="9" t="str">
        <f>IFERROR(__xludf.DUMMYFUNCTION("GOOGLETRANSLATE($A5113,""en"",""fr"")"),"Treinta et Tres")</f>
        <v>Treinta et Tres</v>
      </c>
      <c r="E5113" s="9" t="str">
        <f>IFERROR(__xludf.DUMMYFUNCTION("GOOGLETRANSLATE($A5113,""en"",""es"")"),"Treinta y Tres")</f>
        <v>Treinta y Tres</v>
      </c>
      <c r="F5113" s="9" t="str">
        <f>IFERROR(__xludf.DUMMYFUNCTION("GOOGLETRANSLATE($A5113,""en"",""it"")"),"Treinta y Tres")</f>
        <v>Treinta y Tres</v>
      </c>
      <c r="G5113" s="9" t="str">
        <f>IFERROR(__xludf.DUMMYFUNCTION("GOOGLETRANSLATE($A5113,""en"",""zh-cn"")"),"特雷塔与特雷斯")</f>
        <v>特雷塔与特雷斯</v>
      </c>
      <c r="H5113" s="9" t="str">
        <f>IFERROR(__xludf.DUMMYFUNCTION("GOOGLETRANSLATE($A5113,""en"",""ja"")"),"トリンタ・イ・トレス")</f>
        <v>トリンタ・イ・トレス</v>
      </c>
      <c r="I5113" s="9" t="str">
        <f>IFERROR(__xludf.DUMMYFUNCTION("GOOGLETRANSLATE($A5113,""en"",""ko"")"),"Treinta y Tres")</f>
        <v>Treinta y Tres</v>
      </c>
      <c r="J5113" s="9" t="str">
        <f>IFERROR(__xludf.DUMMYFUNCTION("GOOGLETRANSLATE($A5113,""en"",""pt-BR"")"),"Treinta e Tres")</f>
        <v>Treinta e Tres</v>
      </c>
    </row>
    <row r="5114">
      <c r="A5114" s="9" t="str">
        <f>IFERROR(__xludf.DUMMYFUNCTION("""COMPUTED_VALUE"""),"Río Negro (UY)")</f>
        <v>Río Negro (UY)</v>
      </c>
      <c r="B5114" s="9" t="str">
        <f>IFERROR(__xludf.DUMMYFUNCTION("""COMPUTED_VALUE"""),"uy-rn")</f>
        <v>uy-rn</v>
      </c>
      <c r="C5114" s="9" t="str">
        <f>IFERROR(__xludf.DUMMYFUNCTION("GOOGLETRANSLATE($A5114,""en"",""de"")"),"Río Negro (UY)")</f>
        <v>Río Negro (UY)</v>
      </c>
      <c r="D5114" s="9" t="str">
        <f>IFERROR(__xludf.DUMMYFUNCTION("GOOGLETRANSLATE($A5114,""en"",""fr"")"),"Río Negro (UY)")</f>
        <v>Río Negro (UY)</v>
      </c>
      <c r="E5114" s="9" t="str">
        <f>IFERROR(__xludf.DUMMYFUNCTION("GOOGLETRANSLATE($A5114,""en"",""es"")"),"Río Negro (UY)")</f>
        <v>Río Negro (UY)</v>
      </c>
      <c r="F5114" s="9" t="str">
        <f>IFERROR(__xludf.DUMMYFUNCTION("GOOGLETRANSLATE($A5114,""en"",""it"")"),"Rio Negro (UY)")</f>
        <v>Rio Negro (UY)</v>
      </c>
      <c r="G5114" s="9" t="str">
        <f>IFERROR(__xludf.DUMMYFUNCTION("GOOGLETRANSLATE($A5114,""en"",""zh-cn"")"),"里奥内格罗 (UY)")</f>
        <v>里奥内格罗 (UY)</v>
      </c>
      <c r="H5114" s="9" t="str">
        <f>IFERROR(__xludf.DUMMYFUNCTION("GOOGLETRANSLATE($A5114,""en"",""ja"")"),"リオネグロ（UY）")</f>
        <v>リオネグロ（UY）</v>
      </c>
      <c r="I5114" s="9" t="str">
        <f>IFERROR(__xludf.DUMMYFUNCTION("GOOGLETRANSLATE($A5114,""en"",""ko"")"),"리오 네그로(UY)")</f>
        <v>리오 네그로(UY)</v>
      </c>
      <c r="J5114" s="9" t="str">
        <f>IFERROR(__xludf.DUMMYFUNCTION("GOOGLETRANSLATE($A5114,""en"",""pt-BR"")"),"Rio Negro (UY)")</f>
        <v>Rio Negro (UY)</v>
      </c>
    </row>
    <row r="5115">
      <c r="A5115" s="9" t="str">
        <f>IFERROR(__xludf.DUMMYFUNCTION("""COMPUTED_VALUE"""),"Montevideo")</f>
        <v>Montevideo</v>
      </c>
      <c r="B5115" s="9" t="str">
        <f>IFERROR(__xludf.DUMMYFUNCTION("""COMPUTED_VALUE"""),"uy-mo")</f>
        <v>uy-mo</v>
      </c>
      <c r="C5115" s="9" t="str">
        <f>IFERROR(__xludf.DUMMYFUNCTION("GOOGLETRANSLATE($A5115,""en"",""de"")"),"Montevideo")</f>
        <v>Montevideo</v>
      </c>
      <c r="D5115" s="9" t="str">
        <f>IFERROR(__xludf.DUMMYFUNCTION("GOOGLETRANSLATE($A5115,""en"",""fr"")"),"Montevidéo")</f>
        <v>Montevidéo</v>
      </c>
      <c r="E5115" s="9" t="str">
        <f>IFERROR(__xludf.DUMMYFUNCTION("GOOGLETRANSLATE($A5115,""en"",""es"")"),"montevideo")</f>
        <v>montevideo</v>
      </c>
      <c r="F5115" s="9" t="str">
        <f>IFERROR(__xludf.DUMMYFUNCTION("GOOGLETRANSLATE($A5115,""en"",""it"")"),"Montevideo")</f>
        <v>Montevideo</v>
      </c>
      <c r="G5115" s="9" t="str">
        <f>IFERROR(__xludf.DUMMYFUNCTION("GOOGLETRANSLATE($A5115,""en"",""zh-cn"")"),"蒙得维的亚")</f>
        <v>蒙得维的亚</v>
      </c>
      <c r="H5115" s="9" t="str">
        <f>IFERROR(__xludf.DUMMYFUNCTION("GOOGLETRANSLATE($A5115,""en"",""ja"")"),"モンテビデオ")</f>
        <v>モンテビデオ</v>
      </c>
      <c r="I5115" s="9" t="str">
        <f>IFERROR(__xludf.DUMMYFUNCTION("GOOGLETRANSLATE($A5115,""en"",""ko"")"),"몬테비데오")</f>
        <v>몬테비데오</v>
      </c>
      <c r="J5115" s="9" t="str">
        <f>IFERROR(__xludf.DUMMYFUNCTION("GOOGLETRANSLATE($A5115,""en"",""pt-BR"")"),"Montevidéu")</f>
        <v>Montevidéu</v>
      </c>
    </row>
    <row r="5116">
      <c r="A5116" s="9" t="str">
        <f>IFERROR(__xludf.DUMMYFUNCTION("""COMPUTED_VALUE"""),"Colonia")</f>
        <v>Colonia</v>
      </c>
      <c r="B5116" s="9" t="str">
        <f>IFERROR(__xludf.DUMMYFUNCTION("""COMPUTED_VALUE"""),"uy-co")</f>
        <v>uy-co</v>
      </c>
      <c r="C5116" s="9" t="str">
        <f>IFERROR(__xludf.DUMMYFUNCTION("GOOGLETRANSLATE($A5116,""en"",""de"")"),"Colonia")</f>
        <v>Colonia</v>
      </c>
      <c r="D5116" s="9" t="str">
        <f>IFERROR(__xludf.DUMMYFUNCTION("GOOGLETRANSLATE($A5116,""en"",""fr"")"),"Colonie")</f>
        <v>Colonie</v>
      </c>
      <c r="E5116" s="9" t="str">
        <f>IFERROR(__xludf.DUMMYFUNCTION("GOOGLETRANSLATE($A5116,""en"",""es"")"),"colonia")</f>
        <v>colonia</v>
      </c>
      <c r="F5116" s="9" t="str">
        <f>IFERROR(__xludf.DUMMYFUNCTION("GOOGLETRANSLATE($A5116,""en"",""it"")"),"Colonia")</f>
        <v>Colonia</v>
      </c>
      <c r="G5116" s="9" t="str">
        <f>IFERROR(__xludf.DUMMYFUNCTION("GOOGLETRANSLATE($A5116,""en"",""zh-cn"")"),"科洛尼亚")</f>
        <v>科洛尼亚</v>
      </c>
      <c r="H5116" s="9" t="str">
        <f>IFERROR(__xludf.DUMMYFUNCTION("GOOGLETRANSLATE($A5116,""en"",""ja"")"),"コロニア")</f>
        <v>コロニア</v>
      </c>
      <c r="I5116" s="9" t="str">
        <f>IFERROR(__xludf.DUMMYFUNCTION("GOOGLETRANSLATE($A5116,""en"",""ko"")"),"콜로니아")</f>
        <v>콜로니아</v>
      </c>
      <c r="J5116" s="9" t="str">
        <f>IFERROR(__xludf.DUMMYFUNCTION("GOOGLETRANSLATE($A5116,""en"",""pt-BR"")"),"Colônia")</f>
        <v>Colônia</v>
      </c>
    </row>
    <row r="5117">
      <c r="A5117" s="9" t="str">
        <f>IFERROR(__xludf.DUMMYFUNCTION("""COMPUTED_VALUE"""),"Lavalleja")</f>
        <v>Lavalleja</v>
      </c>
      <c r="B5117" s="9" t="str">
        <f>IFERROR(__xludf.DUMMYFUNCTION("""COMPUTED_VALUE"""),"uy-la")</f>
        <v>uy-la</v>
      </c>
      <c r="C5117" s="9" t="str">
        <f>IFERROR(__xludf.DUMMYFUNCTION("GOOGLETRANSLATE($A5117,""en"",""de"")"),"Lavalleja")</f>
        <v>Lavalleja</v>
      </c>
      <c r="D5117" s="9" t="str">
        <f>IFERROR(__xludf.DUMMYFUNCTION("GOOGLETRANSLATE($A5117,""en"",""fr"")"),"Lavallée")</f>
        <v>Lavallée</v>
      </c>
      <c r="E5117" s="9" t="str">
        <f>IFERROR(__xludf.DUMMYFUNCTION("GOOGLETRANSLATE($A5117,""en"",""es"")"),"Lavalleja")</f>
        <v>Lavalleja</v>
      </c>
      <c r="F5117" s="9" t="str">
        <f>IFERROR(__xludf.DUMMYFUNCTION("GOOGLETRANSLATE($A5117,""en"",""it"")"),"Lavalleja")</f>
        <v>Lavalleja</v>
      </c>
      <c r="G5117" s="9" t="str">
        <f>IFERROR(__xludf.DUMMYFUNCTION("GOOGLETRANSLATE($A5117,""en"",""zh-cn"")"),"拉瓦列哈")</f>
        <v>拉瓦列哈</v>
      </c>
      <c r="H5117" s="9" t="str">
        <f>IFERROR(__xludf.DUMMYFUNCTION("GOOGLETRANSLATE($A5117,""en"",""ja"")"),"ラバレハ")</f>
        <v>ラバレハ</v>
      </c>
      <c r="I5117" s="9" t="str">
        <f>IFERROR(__xludf.DUMMYFUNCTION("GOOGLETRANSLATE($A5117,""en"",""ko"")"),"라바예하")</f>
        <v>라바예하</v>
      </c>
      <c r="J5117" s="9" t="str">
        <f>IFERROR(__xludf.DUMMYFUNCTION("GOOGLETRANSLATE($A5117,""en"",""pt-BR"")"),"Lavalleja")</f>
        <v>Lavalleja</v>
      </c>
    </row>
    <row r="5118">
      <c r="A5118" s="9" t="str">
        <f>IFERROR(__xludf.DUMMYFUNCTION("""COMPUTED_VALUE"""),"Durazno")</f>
        <v>Durazno</v>
      </c>
      <c r="B5118" s="9" t="str">
        <f>IFERROR(__xludf.DUMMYFUNCTION("""COMPUTED_VALUE"""),"uy-du")</f>
        <v>uy-du</v>
      </c>
      <c r="C5118" s="9" t="str">
        <f>IFERROR(__xludf.DUMMYFUNCTION("GOOGLETRANSLATE($A5118,""en"",""de"")"),"Durazno")</f>
        <v>Durazno</v>
      </c>
      <c r="D5118" s="9" t="str">
        <f>IFERROR(__xludf.DUMMYFUNCTION("GOOGLETRANSLATE($A5118,""en"",""fr"")"),"Durazno")</f>
        <v>Durazno</v>
      </c>
      <c r="E5118" s="9" t="str">
        <f>IFERROR(__xludf.DUMMYFUNCTION("GOOGLETRANSLATE($A5118,""en"",""es"")"),"durazno")</f>
        <v>durazno</v>
      </c>
      <c r="F5118" s="9" t="str">
        <f>IFERROR(__xludf.DUMMYFUNCTION("GOOGLETRANSLATE($A5118,""en"",""it"")"),"Durazno")</f>
        <v>Durazno</v>
      </c>
      <c r="G5118" s="9" t="str">
        <f>IFERROR(__xludf.DUMMYFUNCTION("GOOGLETRANSLATE($A5118,""en"",""zh-cn"")"),"杜拉兹诺")</f>
        <v>杜拉兹诺</v>
      </c>
      <c r="H5118" s="9" t="str">
        <f>IFERROR(__xludf.DUMMYFUNCTION("GOOGLETRANSLATE($A5118,""en"",""ja"")"),"ドゥラスノ")</f>
        <v>ドゥラスノ</v>
      </c>
      <c r="I5118" s="9" t="str">
        <f>IFERROR(__xludf.DUMMYFUNCTION("GOOGLETRANSLATE($A5118,""en"",""ko"")"),"두라즈노")</f>
        <v>두라즈노</v>
      </c>
      <c r="J5118" s="9" t="str">
        <f>IFERROR(__xludf.DUMMYFUNCTION("GOOGLETRANSLATE($A5118,""en"",""pt-BR"")"),"Durazno")</f>
        <v>Durazno</v>
      </c>
    </row>
    <row r="5119">
      <c r="A5119" s="9" t="str">
        <f>IFERROR(__xludf.DUMMYFUNCTION("""COMPUTED_VALUE"""),"Canelones")</f>
        <v>Canelones</v>
      </c>
      <c r="B5119" s="9" t="str">
        <f>IFERROR(__xludf.DUMMYFUNCTION("""COMPUTED_VALUE"""),"uy-ca")</f>
        <v>uy-ca</v>
      </c>
      <c r="C5119" s="9" t="str">
        <f>IFERROR(__xludf.DUMMYFUNCTION("GOOGLETRANSLATE($A5119,""en"",""de"")"),"Canelones")</f>
        <v>Canelones</v>
      </c>
      <c r="D5119" s="9" t="str">
        <f>IFERROR(__xludf.DUMMYFUNCTION("GOOGLETRANSLATE($A5119,""en"",""fr"")"),"Canelones")</f>
        <v>Canelones</v>
      </c>
      <c r="E5119" s="9" t="str">
        <f>IFERROR(__xludf.DUMMYFUNCTION("GOOGLETRANSLATE($A5119,""en"",""es"")"),"Canelones")</f>
        <v>Canelones</v>
      </c>
      <c r="F5119" s="9" t="str">
        <f>IFERROR(__xludf.DUMMYFUNCTION("GOOGLETRANSLATE($A5119,""en"",""it"")"),"Canelones")</f>
        <v>Canelones</v>
      </c>
      <c r="G5119" s="9" t="str">
        <f>IFERROR(__xludf.DUMMYFUNCTION("GOOGLETRANSLATE($A5119,""en"",""zh-cn"")"),"卡内洛内斯")</f>
        <v>卡内洛内斯</v>
      </c>
      <c r="H5119" s="9" t="str">
        <f>IFERROR(__xludf.DUMMYFUNCTION("GOOGLETRANSLATE($A5119,""en"",""ja"")"),"カネロネス")</f>
        <v>カネロネス</v>
      </c>
      <c r="I5119" s="9" t="str">
        <f>IFERROR(__xludf.DUMMYFUNCTION("GOOGLETRANSLATE($A5119,""en"",""ko"")"),"카넬로네")</f>
        <v>카넬로네</v>
      </c>
      <c r="J5119" s="9" t="str">
        <f>IFERROR(__xludf.DUMMYFUNCTION("GOOGLETRANSLATE($A5119,""en"",""pt-BR"")"),"Canelones")</f>
        <v>Canelones</v>
      </c>
    </row>
    <row r="5120">
      <c r="A5120" s="9" t="str">
        <f>IFERROR(__xludf.DUMMYFUNCTION("""COMPUTED_VALUE"""),"Rocha")</f>
        <v>Rocha</v>
      </c>
      <c r="B5120" s="9" t="str">
        <f>IFERROR(__xludf.DUMMYFUNCTION("""COMPUTED_VALUE"""),"uy-ro")</f>
        <v>uy-ro</v>
      </c>
      <c r="C5120" s="9" t="str">
        <f>IFERROR(__xludf.DUMMYFUNCTION("GOOGLETRANSLATE($A5120,""en"",""de"")"),"Rocha")</f>
        <v>Rocha</v>
      </c>
      <c r="D5120" s="9" t="str">
        <f>IFERROR(__xludf.DUMMYFUNCTION("GOOGLETRANSLATE($A5120,""en"",""fr"")"),"Rocha")</f>
        <v>Rocha</v>
      </c>
      <c r="E5120" s="9" t="str">
        <f>IFERROR(__xludf.DUMMYFUNCTION("GOOGLETRANSLATE($A5120,""en"",""es"")"),"Rocha")</f>
        <v>Rocha</v>
      </c>
      <c r="F5120" s="9" t="str">
        <f>IFERROR(__xludf.DUMMYFUNCTION("GOOGLETRANSLATE($A5120,""en"",""it"")"),"Rocha")</f>
        <v>Rocha</v>
      </c>
      <c r="G5120" s="9" t="str">
        <f>IFERROR(__xludf.DUMMYFUNCTION("GOOGLETRANSLATE($A5120,""en"",""zh-cn"")"),"罗查")</f>
        <v>罗查</v>
      </c>
      <c r="H5120" s="9" t="str">
        <f>IFERROR(__xludf.DUMMYFUNCTION("GOOGLETRANSLATE($A5120,""en"",""ja"")"),"ロシャ")</f>
        <v>ロシャ</v>
      </c>
      <c r="I5120" s="9" t="str">
        <f>IFERROR(__xludf.DUMMYFUNCTION("GOOGLETRANSLATE($A5120,""en"",""ko"")"),"로샤")</f>
        <v>로샤</v>
      </c>
      <c r="J5120" s="9" t="str">
        <f>IFERROR(__xludf.DUMMYFUNCTION("GOOGLETRANSLATE($A5120,""en"",""pt-BR"")"),"Rocha")</f>
        <v>Rocha</v>
      </c>
    </row>
    <row r="5121">
      <c r="A5121" s="9" t="str">
        <f>IFERROR(__xludf.DUMMYFUNCTION("""COMPUTED_VALUE"""),"Rivera")</f>
        <v>Rivera</v>
      </c>
      <c r="B5121" s="9" t="str">
        <f>IFERROR(__xludf.DUMMYFUNCTION("""COMPUTED_VALUE"""),"uy-rv")</f>
        <v>uy-rv</v>
      </c>
      <c r="C5121" s="9" t="str">
        <f>IFERROR(__xludf.DUMMYFUNCTION("GOOGLETRANSLATE($A5121,""en"",""de"")"),"Rivera")</f>
        <v>Rivera</v>
      </c>
      <c r="D5121" s="9" t="str">
        <f>IFERROR(__xludf.DUMMYFUNCTION("GOOGLETRANSLATE($A5121,""en"",""fr"")"),"Rivera")</f>
        <v>Rivera</v>
      </c>
      <c r="E5121" s="9" t="str">
        <f>IFERROR(__xludf.DUMMYFUNCTION("GOOGLETRANSLATE($A5121,""en"",""es"")"),"rivera")</f>
        <v>rivera</v>
      </c>
      <c r="F5121" s="9" t="str">
        <f>IFERROR(__xludf.DUMMYFUNCTION("GOOGLETRANSLATE($A5121,""en"",""it"")"),"Rivera")</f>
        <v>Rivera</v>
      </c>
      <c r="G5121" s="9" t="str">
        <f>IFERROR(__xludf.DUMMYFUNCTION("GOOGLETRANSLATE($A5121,""en"",""zh-cn"")"),"里维拉")</f>
        <v>里维拉</v>
      </c>
      <c r="H5121" s="9" t="str">
        <f>IFERROR(__xludf.DUMMYFUNCTION("GOOGLETRANSLATE($A5121,""en"",""ja"")"),"リベラ")</f>
        <v>リベラ</v>
      </c>
      <c r="I5121" s="9" t="str">
        <f>IFERROR(__xludf.DUMMYFUNCTION("GOOGLETRANSLATE($A5121,""en"",""ko"")"),"리베라")</f>
        <v>리베라</v>
      </c>
      <c r="J5121" s="9" t="str">
        <f>IFERROR(__xludf.DUMMYFUNCTION("GOOGLETRANSLATE($A5121,""en"",""pt-BR"")"),"Rivera")</f>
        <v>Rivera</v>
      </c>
    </row>
    <row r="5122">
      <c r="A5122" s="9" t="str">
        <f>IFERROR(__xludf.DUMMYFUNCTION("""COMPUTED_VALUE"""),"Artigas")</f>
        <v>Artigas</v>
      </c>
      <c r="B5122" s="9" t="str">
        <f>IFERROR(__xludf.DUMMYFUNCTION("""COMPUTED_VALUE"""),"uy-ar")</f>
        <v>uy-ar</v>
      </c>
      <c r="C5122" s="9" t="str">
        <f>IFERROR(__xludf.DUMMYFUNCTION("GOOGLETRANSLATE($A5122,""en"",""de"")"),"Artigas")</f>
        <v>Artigas</v>
      </c>
      <c r="D5122" s="9" t="str">
        <f>IFERROR(__xludf.DUMMYFUNCTION("GOOGLETRANSLATE($A5122,""en"",""fr"")"),"Artigas")</f>
        <v>Artigas</v>
      </c>
      <c r="E5122" s="9" t="str">
        <f>IFERROR(__xludf.DUMMYFUNCTION("GOOGLETRANSLATE($A5122,""en"",""es"")"),"artigas")</f>
        <v>artigas</v>
      </c>
      <c r="F5122" s="9" t="str">
        <f>IFERROR(__xludf.DUMMYFUNCTION("GOOGLETRANSLATE($A5122,""en"",""it"")"),"Artigas")</f>
        <v>Artigas</v>
      </c>
      <c r="G5122" s="9" t="str">
        <f>IFERROR(__xludf.DUMMYFUNCTION("GOOGLETRANSLATE($A5122,""en"",""zh-cn"")"),"阿蒂加斯")</f>
        <v>阿蒂加斯</v>
      </c>
      <c r="H5122" s="9" t="str">
        <f>IFERROR(__xludf.DUMMYFUNCTION("GOOGLETRANSLATE($A5122,""en"",""ja"")"),"アルティガス")</f>
        <v>アルティガス</v>
      </c>
      <c r="I5122" s="9" t="str">
        <f>IFERROR(__xludf.DUMMYFUNCTION("GOOGLETRANSLATE($A5122,""en"",""ko"")"),"아르티가스")</f>
        <v>아르티가스</v>
      </c>
      <c r="J5122" s="9" t="str">
        <f>IFERROR(__xludf.DUMMYFUNCTION("GOOGLETRANSLATE($A5122,""en"",""pt-BR"")"),"Artigas")</f>
        <v>Artigas</v>
      </c>
    </row>
    <row r="5123">
      <c r="A5123" s="9" t="str">
        <f>IFERROR(__xludf.DUMMYFUNCTION("""COMPUTED_VALUE"""),"San José (UY)")</f>
        <v>San José (UY)</v>
      </c>
      <c r="B5123" s="9" t="str">
        <f>IFERROR(__xludf.DUMMYFUNCTION("""COMPUTED_VALUE"""),"uy-sj")</f>
        <v>uy-sj</v>
      </c>
      <c r="C5123" s="9" t="str">
        <f>IFERROR(__xludf.DUMMYFUNCTION("GOOGLETRANSLATE($A5123,""en"",""de"")"),"San José (UY)")</f>
        <v>San José (UY)</v>
      </c>
      <c r="D5123" s="9" t="str">
        <f>IFERROR(__xludf.DUMMYFUNCTION("GOOGLETRANSLATE($A5123,""en"",""fr"")"),"San José (UY)")</f>
        <v>San José (UY)</v>
      </c>
      <c r="E5123" s="9" t="str">
        <f>IFERROR(__xludf.DUMMYFUNCTION("GOOGLETRANSLATE($A5123,""en"",""es"")"),"San José (UY)")</f>
        <v>San José (UY)</v>
      </c>
      <c r="F5123" s="9" t="str">
        <f>IFERROR(__xludf.DUMMYFUNCTION("GOOGLETRANSLATE($A5123,""en"",""it"")"),"San José (UY)")</f>
        <v>San José (UY)</v>
      </c>
      <c r="G5123" s="9" t="str">
        <f>IFERROR(__xludf.DUMMYFUNCTION("GOOGLETRANSLATE($A5123,""en"",""zh-cn"")"),"圣何塞 (UY)")</f>
        <v>圣何塞 (UY)</v>
      </c>
      <c r="H5123" s="9" t="str">
        <f>IFERROR(__xludf.DUMMYFUNCTION("GOOGLETRANSLATE($A5123,""en"",""ja"")"),"サンホセ（UY）")</f>
        <v>サンホセ（UY）</v>
      </c>
      <c r="I5123" s="9" t="str">
        <f>IFERROR(__xludf.DUMMYFUNCTION("GOOGLETRANSLATE($A5123,""en"",""ko"")"),"산호세(UY)")</f>
        <v>산호세(UY)</v>
      </c>
      <c r="J5123" s="9" t="str">
        <f>IFERROR(__xludf.DUMMYFUNCTION("GOOGLETRANSLATE($A5123,""en"",""pt-BR"")"),"São José (UY)")</f>
        <v>São José (UY)</v>
      </c>
    </row>
    <row r="5124">
      <c r="A5124" s="9" t="str">
        <f>IFERROR(__xludf.DUMMYFUNCTION("""COMPUTED_VALUE"""),"Maldonado")</f>
        <v>Maldonado</v>
      </c>
      <c r="B5124" s="9" t="str">
        <f>IFERROR(__xludf.DUMMYFUNCTION("""COMPUTED_VALUE"""),"uy-ma")</f>
        <v>uy-ma</v>
      </c>
      <c r="C5124" s="9" t="str">
        <f>IFERROR(__xludf.DUMMYFUNCTION("GOOGLETRANSLATE($A5124,""en"",""de"")"),"Maldonado")</f>
        <v>Maldonado</v>
      </c>
      <c r="D5124" s="9" t="str">
        <f>IFERROR(__xludf.DUMMYFUNCTION("GOOGLETRANSLATE($A5124,""en"",""fr"")"),"Maldonado")</f>
        <v>Maldonado</v>
      </c>
      <c r="E5124" s="9" t="str">
        <f>IFERROR(__xludf.DUMMYFUNCTION("GOOGLETRANSLATE($A5124,""en"",""es"")"),"Maldonado")</f>
        <v>Maldonado</v>
      </c>
      <c r="F5124" s="9" t="str">
        <f>IFERROR(__xludf.DUMMYFUNCTION("GOOGLETRANSLATE($A5124,""en"",""it"")"),"Maldonado")</f>
        <v>Maldonado</v>
      </c>
      <c r="G5124" s="9" t="str">
        <f>IFERROR(__xludf.DUMMYFUNCTION("GOOGLETRANSLATE($A5124,""en"",""zh-cn"")"),"马尔多纳多")</f>
        <v>马尔多纳多</v>
      </c>
      <c r="H5124" s="9" t="str">
        <f>IFERROR(__xludf.DUMMYFUNCTION("GOOGLETRANSLATE($A5124,""en"",""ja"")"),"マルドナド")</f>
        <v>マルドナド</v>
      </c>
      <c r="I5124" s="9" t="str">
        <f>IFERROR(__xludf.DUMMYFUNCTION("GOOGLETRANSLATE($A5124,""en"",""ko"")"),"말도나도")</f>
        <v>말도나도</v>
      </c>
      <c r="J5124" s="9" t="str">
        <f>IFERROR(__xludf.DUMMYFUNCTION("GOOGLETRANSLATE($A5124,""en"",""pt-BR"")"),"Maldonado")</f>
        <v>Maldonado</v>
      </c>
    </row>
    <row r="5125">
      <c r="A5125" s="9" t="str">
        <f>IFERROR(__xludf.DUMMYFUNCTION("""COMPUTED_VALUE"""),"Flores")</f>
        <v>Flores</v>
      </c>
      <c r="B5125" s="9" t="str">
        <f>IFERROR(__xludf.DUMMYFUNCTION("""COMPUTED_VALUE"""),"uy-fs")</f>
        <v>uy-fs</v>
      </c>
      <c r="C5125" s="9" t="str">
        <f>IFERROR(__xludf.DUMMYFUNCTION("GOOGLETRANSLATE($A5125,""en"",""de"")"),"Flores")</f>
        <v>Flores</v>
      </c>
      <c r="D5125" s="9" t="str">
        <f>IFERROR(__xludf.DUMMYFUNCTION("GOOGLETRANSLATE($A5125,""en"",""fr"")"),"Florès")</f>
        <v>Florès</v>
      </c>
      <c r="E5125" s="9" t="str">
        <f>IFERROR(__xludf.DUMMYFUNCTION("GOOGLETRANSLATE($A5125,""en"",""es"")"),"Flores")</f>
        <v>Flores</v>
      </c>
      <c r="F5125" s="9" t="str">
        <f>IFERROR(__xludf.DUMMYFUNCTION("GOOGLETRANSLATE($A5125,""en"",""it"")"),"Flores")</f>
        <v>Flores</v>
      </c>
      <c r="G5125" s="9" t="str">
        <f>IFERROR(__xludf.DUMMYFUNCTION("GOOGLETRANSLATE($A5125,""en"",""zh-cn"")"),"弗洛雷斯")</f>
        <v>弗洛雷斯</v>
      </c>
      <c r="H5125" s="9" t="str">
        <f>IFERROR(__xludf.DUMMYFUNCTION("GOOGLETRANSLATE($A5125,""en"",""ja"")"),"フローレス島")</f>
        <v>フローレス島</v>
      </c>
      <c r="I5125" s="9" t="str">
        <f>IFERROR(__xludf.DUMMYFUNCTION("GOOGLETRANSLATE($A5125,""en"",""ko"")"),"플로레스")</f>
        <v>플로레스</v>
      </c>
      <c r="J5125" s="9" t="str">
        <f>IFERROR(__xludf.DUMMYFUNCTION("GOOGLETRANSLATE($A5125,""en"",""pt-BR"")"),"Flores")</f>
        <v>Flores</v>
      </c>
    </row>
    <row r="5126">
      <c r="A5126" s="9" t="str">
        <f>IFERROR(__xludf.DUMMYFUNCTION("""COMPUTED_VALUE"""),"Florida (UY)")</f>
        <v>Florida (UY)</v>
      </c>
      <c r="B5126" s="9" t="str">
        <f>IFERROR(__xludf.DUMMYFUNCTION("""COMPUTED_VALUE"""),"uy-fd")</f>
        <v>uy-fd</v>
      </c>
      <c r="C5126" s="9" t="str">
        <f>IFERROR(__xludf.DUMMYFUNCTION("GOOGLETRANSLATE($A5126,""en"",""de"")"),"Florida (UY)")</f>
        <v>Florida (UY)</v>
      </c>
      <c r="D5126" s="9" t="str">
        <f>IFERROR(__xludf.DUMMYFUNCTION("GOOGLETRANSLATE($A5126,""en"",""fr"")"),"Floride (UY)")</f>
        <v>Floride (UY)</v>
      </c>
      <c r="E5126" s="9" t="str">
        <f>IFERROR(__xludf.DUMMYFUNCTION("GOOGLETRANSLATE($A5126,""en"",""es"")"),"Florida (UY)")</f>
        <v>Florida (UY)</v>
      </c>
      <c r="F5126" s="9" t="str">
        <f>IFERROR(__xludf.DUMMYFUNCTION("GOOGLETRANSLATE($A5126,""en"",""it"")"),"Florida (UY)")</f>
        <v>Florida (UY)</v>
      </c>
      <c r="G5126" s="9" t="str">
        <f>IFERROR(__xludf.DUMMYFUNCTION("GOOGLETRANSLATE($A5126,""en"",""zh-cn"")"),"佛罗里达 (UY)")</f>
        <v>佛罗里达 (UY)</v>
      </c>
      <c r="H5126" s="9" t="str">
        <f>IFERROR(__xludf.DUMMYFUNCTION("GOOGLETRANSLATE($A5126,""en"",""ja"")"),"フロリダ (UY)")</f>
        <v>フロリダ (UY)</v>
      </c>
      <c r="I5126" s="9" t="str">
        <f>IFERROR(__xludf.DUMMYFUNCTION("GOOGLETRANSLATE($A5126,""en"",""ko"")"),"플로리다(UY)")</f>
        <v>플로리다(UY)</v>
      </c>
      <c r="J5126" s="9" t="str">
        <f>IFERROR(__xludf.DUMMYFUNCTION("GOOGLETRANSLATE($A5126,""en"",""pt-BR"")"),"Flórida (UY)")</f>
        <v>Flórida (UY)</v>
      </c>
    </row>
    <row r="5127">
      <c r="A5127" s="9" t="str">
        <f>IFERROR(__xludf.DUMMYFUNCTION("""COMPUTED_VALUE"""),"Salto")</f>
        <v>Salto</v>
      </c>
      <c r="B5127" s="9" t="str">
        <f>IFERROR(__xludf.DUMMYFUNCTION("""COMPUTED_VALUE"""),"uy-sa")</f>
        <v>uy-sa</v>
      </c>
      <c r="C5127" s="9" t="str">
        <f>IFERROR(__xludf.DUMMYFUNCTION("GOOGLETRANSLATE($A5127,""en"",""de"")"),"Salto")</f>
        <v>Salto</v>
      </c>
      <c r="D5127" s="9" t="str">
        <f>IFERROR(__xludf.DUMMYFUNCTION("GOOGLETRANSLATE($A5127,""en"",""fr"")"),"Salto")</f>
        <v>Salto</v>
      </c>
      <c r="E5127" s="9" t="str">
        <f>IFERROR(__xludf.DUMMYFUNCTION("GOOGLETRANSLATE($A5127,""en"",""es"")"),"salto")</f>
        <v>salto</v>
      </c>
      <c r="F5127" s="9" t="str">
        <f>IFERROR(__xludf.DUMMYFUNCTION("GOOGLETRANSLATE($A5127,""en"",""it"")"),"Salto")</f>
        <v>Salto</v>
      </c>
      <c r="G5127" s="9" t="str">
        <f>IFERROR(__xludf.DUMMYFUNCTION("GOOGLETRANSLATE($A5127,""en"",""zh-cn"")"),"萨尔托")</f>
        <v>萨尔托</v>
      </c>
      <c r="H5127" s="9" t="str">
        <f>IFERROR(__xludf.DUMMYFUNCTION("GOOGLETRANSLATE($A5127,""en"",""ja"")"),"サルト")</f>
        <v>サルト</v>
      </c>
      <c r="I5127" s="9" t="str">
        <f>IFERROR(__xludf.DUMMYFUNCTION("GOOGLETRANSLATE($A5127,""en"",""ko"")"),"살토")</f>
        <v>살토</v>
      </c>
      <c r="J5127" s="9" t="str">
        <f>IFERROR(__xludf.DUMMYFUNCTION("GOOGLETRANSLATE($A5127,""en"",""pt-BR"")"),"Salto")</f>
        <v>Salto</v>
      </c>
    </row>
    <row r="5128">
      <c r="A5128" s="9" t="str">
        <f>IFERROR(__xludf.DUMMYFUNCTION("""COMPUTED_VALUE"""),"Soriano")</f>
        <v>Soriano</v>
      </c>
      <c r="B5128" s="9" t="str">
        <f>IFERROR(__xludf.DUMMYFUNCTION("""COMPUTED_VALUE"""),"uy-so")</f>
        <v>uy-so</v>
      </c>
      <c r="C5128" s="9" t="str">
        <f>IFERROR(__xludf.DUMMYFUNCTION("GOOGLETRANSLATE($A5128,""en"",""de"")"),"Soriano")</f>
        <v>Soriano</v>
      </c>
      <c r="D5128" s="9" t="str">
        <f>IFERROR(__xludf.DUMMYFUNCTION("GOOGLETRANSLATE($A5128,""en"",""fr"")"),"Soriano")</f>
        <v>Soriano</v>
      </c>
      <c r="E5128" s="9" t="str">
        <f>IFERROR(__xludf.DUMMYFUNCTION("GOOGLETRANSLATE($A5128,""en"",""es"")"),"Soriano")</f>
        <v>Soriano</v>
      </c>
      <c r="F5128" s="9" t="str">
        <f>IFERROR(__xludf.DUMMYFUNCTION("GOOGLETRANSLATE($A5128,""en"",""it"")"),"Soriano")</f>
        <v>Soriano</v>
      </c>
      <c r="G5128" s="9" t="str">
        <f>IFERROR(__xludf.DUMMYFUNCTION("GOOGLETRANSLATE($A5128,""en"",""zh-cn"")"),"索里亚诺")</f>
        <v>索里亚诺</v>
      </c>
      <c r="H5128" s="9" t="str">
        <f>IFERROR(__xludf.DUMMYFUNCTION("GOOGLETRANSLATE($A5128,""en"",""ja"")"),"ソリアーノ")</f>
        <v>ソリアーノ</v>
      </c>
      <c r="I5128" s="9" t="str">
        <f>IFERROR(__xludf.DUMMYFUNCTION("GOOGLETRANSLATE($A5128,""en"",""ko"")"),"소리아노")</f>
        <v>소리아노</v>
      </c>
      <c r="J5128" s="9" t="str">
        <f>IFERROR(__xludf.DUMMYFUNCTION("GOOGLETRANSLATE($A5128,""en"",""pt-BR"")"),"Soriano")</f>
        <v>Soriano</v>
      </c>
    </row>
    <row r="5129">
      <c r="A5129" s="9" t="str">
        <f>IFERROR(__xludf.DUMMYFUNCTION("""COMPUTED_VALUE"""),"Buxoro")</f>
        <v>Buxoro</v>
      </c>
      <c r="B5129" s="9" t="str">
        <f>IFERROR(__xludf.DUMMYFUNCTION("""COMPUTED_VALUE"""),"uz-bu")</f>
        <v>uz-bu</v>
      </c>
      <c r="C5129" s="9" t="str">
        <f>IFERROR(__xludf.DUMMYFUNCTION("GOOGLETRANSLATE($A5129,""en"",""de"")"),"Buxoro")</f>
        <v>Buxoro</v>
      </c>
      <c r="D5129" s="9" t="str">
        <f>IFERROR(__xludf.DUMMYFUNCTION("GOOGLETRANSLATE($A5129,""en"",""fr"")"),"Bouxoro")</f>
        <v>Bouxoro</v>
      </c>
      <c r="E5129" s="9" t="str">
        <f>IFERROR(__xludf.DUMMYFUNCTION("GOOGLETRANSLATE($A5129,""en"",""es"")"),"buxoro")</f>
        <v>buxoro</v>
      </c>
      <c r="F5129" s="9" t="str">
        <f>IFERROR(__xludf.DUMMYFUNCTION("GOOGLETRANSLATE($A5129,""en"",""it"")"),"Buxoro")</f>
        <v>Buxoro</v>
      </c>
      <c r="G5129" s="9" t="str">
        <f>IFERROR(__xludf.DUMMYFUNCTION("GOOGLETRANSLATE($A5129,""en"",""zh-cn"")"),"布克索罗")</f>
        <v>布克索罗</v>
      </c>
      <c r="H5129" s="9" t="str">
        <f>IFERROR(__xludf.DUMMYFUNCTION("GOOGLETRANSLATE($A5129,""en"",""ja"")"),"ブソロ")</f>
        <v>ブソロ</v>
      </c>
      <c r="I5129" s="9" t="str">
        <f>IFERROR(__xludf.DUMMYFUNCTION("GOOGLETRANSLATE($A5129,""en"",""ko"")"),"북소로")</f>
        <v>북소로</v>
      </c>
      <c r="J5129" s="9" t="str">
        <f>IFERROR(__xludf.DUMMYFUNCTION("GOOGLETRANSLATE($A5129,""en"",""pt-BR"")"),"Buxoró")</f>
        <v>Buxoró</v>
      </c>
    </row>
    <row r="5130">
      <c r="A5130" s="9" t="str">
        <f>IFERROR(__xludf.DUMMYFUNCTION("""COMPUTED_VALUE"""),"Jizzax")</f>
        <v>Jizzax</v>
      </c>
      <c r="B5130" s="9" t="str">
        <f>IFERROR(__xludf.DUMMYFUNCTION("""COMPUTED_VALUE"""),"uz-ji")</f>
        <v>uz-ji</v>
      </c>
      <c r="C5130" s="9" t="str">
        <f>IFERROR(__xludf.DUMMYFUNCTION("GOOGLETRANSLATE($A5130,""en"",""de"")"),"Sperma")</f>
        <v>Sperma</v>
      </c>
      <c r="D5130" s="9" t="str">
        <f>IFERROR(__xludf.DUMMYFUNCTION("GOOGLETRANSLATE($A5130,""en"",""fr"")"),"Jizzax")</f>
        <v>Jizzax</v>
      </c>
      <c r="E5130" s="9" t="str">
        <f>IFERROR(__xludf.DUMMYFUNCTION("GOOGLETRANSLATE($A5130,""en"",""es"")"),"Jizzax")</f>
        <v>Jizzax</v>
      </c>
      <c r="F5130" s="9" t="str">
        <f>IFERROR(__xludf.DUMMYFUNCTION("GOOGLETRANSLATE($A5130,""en"",""it"")"),"Jizzax")</f>
        <v>Jizzax</v>
      </c>
      <c r="G5130" s="9" t="str">
        <f>IFERROR(__xludf.DUMMYFUNCTION("GOOGLETRANSLATE($A5130,""en"",""zh-cn"")"),"杰扎克斯")</f>
        <v>杰扎克斯</v>
      </c>
      <c r="H5130" s="9" t="str">
        <f>IFERROR(__xludf.DUMMYFUNCTION("GOOGLETRANSLATE($A5130,""en"",""ja"")"),"ジザックス")</f>
        <v>ジザックス</v>
      </c>
      <c r="I5130" s="9" t="str">
        <f>IFERROR(__xludf.DUMMYFUNCTION("GOOGLETRANSLATE($A5130,""en"",""ko"")"),"지작스")</f>
        <v>지작스</v>
      </c>
      <c r="J5130" s="9" t="str">
        <f>IFERROR(__xludf.DUMMYFUNCTION("GOOGLETRANSLATE($A5130,""en"",""pt-BR"")"),"Jizax")</f>
        <v>Jizax</v>
      </c>
    </row>
    <row r="5131">
      <c r="A5131" s="9" t="str">
        <f>IFERROR(__xludf.DUMMYFUNCTION("""COMPUTED_VALUE"""),"Farg‘ona")</f>
        <v>Farg‘ona</v>
      </c>
      <c r="B5131" s="9" t="str">
        <f>IFERROR(__xludf.DUMMYFUNCTION("""COMPUTED_VALUE"""),"uz-fa")</f>
        <v>uz-fa</v>
      </c>
      <c r="C5131" s="9" t="str">
        <f>IFERROR(__xludf.DUMMYFUNCTION("GOOGLETRANSLATE($A5131,""en"",""de"")"),"Farg‘ona")</f>
        <v>Farg‘ona</v>
      </c>
      <c r="D5131" s="9" t="str">
        <f>IFERROR(__xludf.DUMMYFUNCTION("GOOGLETRANSLATE($A5131,""en"",""fr"")"),"Farg'ona")</f>
        <v>Farg'ona</v>
      </c>
      <c r="E5131" s="9" t="str">
        <f>IFERROR(__xludf.DUMMYFUNCTION("GOOGLETRANSLATE($A5131,""en"",""es"")"),"fargona")</f>
        <v>fargona</v>
      </c>
      <c r="F5131" s="9" t="str">
        <f>IFERROR(__xludf.DUMMYFUNCTION("GOOGLETRANSLATE($A5131,""en"",""it"")"),"Farg'ona")</f>
        <v>Farg'ona</v>
      </c>
      <c r="G5131" s="9" t="str">
        <f>IFERROR(__xludf.DUMMYFUNCTION("GOOGLETRANSLATE($A5131,""en"",""zh-cn"")"),"法尔戈纳")</f>
        <v>法尔戈纳</v>
      </c>
      <c r="H5131" s="9" t="str">
        <f>IFERROR(__xludf.DUMMYFUNCTION("GOOGLETRANSLATE($A5131,""en"",""ja"")"),"ファルゴナ")</f>
        <v>ファルゴナ</v>
      </c>
      <c r="I5131" s="9" t="str">
        <f>IFERROR(__xludf.DUMMYFUNCTION("GOOGLETRANSLATE($A5131,""en"",""ko"")"),"파르고나")</f>
        <v>파르고나</v>
      </c>
      <c r="J5131" s="9" t="str">
        <f>IFERROR(__xludf.DUMMYFUNCTION("GOOGLETRANSLATE($A5131,""en"",""pt-BR"")"),"Farg'ona")</f>
        <v>Farg'ona</v>
      </c>
    </row>
    <row r="5132">
      <c r="A5132" s="9" t="str">
        <f>IFERROR(__xludf.DUMMYFUNCTION("""COMPUTED_VALUE"""),"Navoiy")</f>
        <v>Navoiy</v>
      </c>
      <c r="B5132" s="9" t="str">
        <f>IFERROR(__xludf.DUMMYFUNCTION("""COMPUTED_VALUE"""),"uz-nw")</f>
        <v>uz-nw</v>
      </c>
      <c r="C5132" s="9" t="str">
        <f>IFERROR(__xludf.DUMMYFUNCTION("GOOGLETRANSLATE($A5132,""en"",""de"")"),"Navoiy")</f>
        <v>Navoiy</v>
      </c>
      <c r="D5132" s="9" t="str">
        <f>IFERROR(__xludf.DUMMYFUNCTION("GOOGLETRANSLATE($A5132,""en"",""fr"")"),"Navoï")</f>
        <v>Navoï</v>
      </c>
      <c r="E5132" s="9" t="str">
        <f>IFERROR(__xludf.DUMMYFUNCTION("GOOGLETRANSLATE($A5132,""en"",""es"")"),"Navoi")</f>
        <v>Navoi</v>
      </c>
      <c r="F5132" s="9" t="str">
        <f>IFERROR(__xludf.DUMMYFUNCTION("GOOGLETRANSLATE($A5132,""en"",""it"")"),"Navoiy")</f>
        <v>Navoiy</v>
      </c>
      <c r="G5132" s="9" t="str">
        <f>IFERROR(__xludf.DUMMYFUNCTION("GOOGLETRANSLATE($A5132,""en"",""zh-cn"")"),"纳沃伊")</f>
        <v>纳沃伊</v>
      </c>
      <c r="H5132" s="9" t="str">
        <f>IFERROR(__xludf.DUMMYFUNCTION("GOOGLETRANSLATE($A5132,""en"",""ja"")"),"ナボイ")</f>
        <v>ナボイ</v>
      </c>
      <c r="I5132" s="9" t="str">
        <f>IFERROR(__xludf.DUMMYFUNCTION("GOOGLETRANSLATE($A5132,""en"",""ko"")"),"나보이")</f>
        <v>나보이</v>
      </c>
      <c r="J5132" s="9" t="str">
        <f>IFERROR(__xludf.DUMMYFUNCTION("GOOGLETRANSLATE($A5132,""en"",""pt-BR"")"),"Marinha")</f>
        <v>Marinha</v>
      </c>
    </row>
    <row r="5133">
      <c r="A5133" s="9" t="str">
        <f>IFERROR(__xludf.DUMMYFUNCTION("""COMPUTED_VALUE"""),"Sirdaryo")</f>
        <v>Sirdaryo</v>
      </c>
      <c r="B5133" s="9" t="str">
        <f>IFERROR(__xludf.DUMMYFUNCTION("""COMPUTED_VALUE"""),"uz-si")</f>
        <v>uz-si</v>
      </c>
      <c r="C5133" s="9" t="str">
        <f>IFERROR(__xludf.DUMMYFUNCTION("GOOGLETRANSLATE($A5133,""en"",""de"")"),"Sirdaryo")</f>
        <v>Sirdaryo</v>
      </c>
      <c r="D5133" s="9" t="str">
        <f>IFERROR(__xludf.DUMMYFUNCTION("GOOGLETRANSLATE($A5133,""en"",""fr"")"),"Sirdaryo")</f>
        <v>Sirdaryo</v>
      </c>
      <c r="E5133" s="9" t="str">
        <f>IFERROR(__xludf.DUMMYFUNCTION("GOOGLETRANSLATE($A5133,""en"",""es"")"),"sirdario")</f>
        <v>sirdario</v>
      </c>
      <c r="F5133" s="9" t="str">
        <f>IFERROR(__xludf.DUMMYFUNCTION("GOOGLETRANSLATE($A5133,""en"",""it"")"),"Sirdaryo")</f>
        <v>Sirdaryo</v>
      </c>
      <c r="G5133" s="9" t="str">
        <f>IFERROR(__xludf.DUMMYFUNCTION("GOOGLETRANSLATE($A5133,""en"",""zh-cn"")"),"西尔达廖")</f>
        <v>西尔达廖</v>
      </c>
      <c r="H5133" s="9" t="str">
        <f>IFERROR(__xludf.DUMMYFUNCTION("GOOGLETRANSLATE($A5133,""en"",""ja"")"),"シルダリョ")</f>
        <v>シルダリョ</v>
      </c>
      <c r="I5133" s="9" t="str">
        <f>IFERROR(__xludf.DUMMYFUNCTION("GOOGLETRANSLATE($A5133,""en"",""ko"")"),"시르다료")</f>
        <v>시르다료</v>
      </c>
      <c r="J5133" s="9" t="str">
        <f>IFERROR(__xludf.DUMMYFUNCTION("GOOGLETRANSLATE($A5133,""en"",""pt-BR"")"),"Sirdaryo")</f>
        <v>Sirdaryo</v>
      </c>
    </row>
    <row r="5134">
      <c r="A5134" s="9" t="str">
        <f>IFERROR(__xludf.DUMMYFUNCTION("""COMPUTED_VALUE"""),"Toshkent (Region)")</f>
        <v>Toshkent (Region)</v>
      </c>
      <c r="B5134" s="9" t="str">
        <f>IFERROR(__xludf.DUMMYFUNCTION("""COMPUTED_VALUE"""),"uz-to")</f>
        <v>uz-to</v>
      </c>
      <c r="C5134" s="9" t="str">
        <f>IFERROR(__xludf.DUMMYFUNCTION("GOOGLETRANSLATE($A5134,""en"",""de"")"),"Toschkent (Region)")</f>
        <v>Toschkent (Region)</v>
      </c>
      <c r="D5134" s="9" t="str">
        <f>IFERROR(__xludf.DUMMYFUNCTION("GOOGLETRANSLATE($A5134,""en"",""fr"")"),"Tochkent (Région)")</f>
        <v>Tochkent (Région)</v>
      </c>
      <c r="E5134" s="9" t="str">
        <f>IFERROR(__xludf.DUMMYFUNCTION("GOOGLETRANSLATE($A5134,""en"",""es"")"),"Toshkent (Región)")</f>
        <v>Toshkent (Región)</v>
      </c>
      <c r="F5134" s="9" t="str">
        <f>IFERROR(__xludf.DUMMYFUNCTION("GOOGLETRANSLATE($A5134,""en"",""it"")"),"Toshkent (Regione)")</f>
        <v>Toshkent (Regione)</v>
      </c>
      <c r="G5134" s="9" t="str">
        <f>IFERROR(__xludf.DUMMYFUNCTION("GOOGLETRANSLATE($A5134,""en"",""zh-cn"")"),"托什干（地区）")</f>
        <v>托什干（地区）</v>
      </c>
      <c r="H5134" s="9" t="str">
        <f>IFERROR(__xludf.DUMMYFUNCTION("GOOGLETRANSLATE($A5134,""en"",""ja"")"),"トシケント (地域)")</f>
        <v>トシケント (地域)</v>
      </c>
      <c r="I5134" s="9" t="str">
        <f>IFERROR(__xludf.DUMMYFUNCTION("GOOGLETRANSLATE($A5134,""en"",""ko"")"),"토슈켄트(지역)")</f>
        <v>토슈켄트(지역)</v>
      </c>
      <c r="J5134" s="9" t="str">
        <f>IFERROR(__xludf.DUMMYFUNCTION("GOOGLETRANSLATE($A5134,""en"",""pt-BR"")"),"Toshkent (Região)")</f>
        <v>Toshkent (Região)</v>
      </c>
    </row>
    <row r="5135">
      <c r="A5135" s="9" t="str">
        <f>IFERROR(__xludf.DUMMYFUNCTION("""COMPUTED_VALUE"""),"Qashqadaryo")</f>
        <v>Qashqadaryo</v>
      </c>
      <c r="B5135" s="9" t="str">
        <f>IFERROR(__xludf.DUMMYFUNCTION("""COMPUTED_VALUE"""),"uz-qa")</f>
        <v>uz-qa</v>
      </c>
      <c r="C5135" s="9" t="str">
        <f>IFERROR(__xludf.DUMMYFUNCTION("GOOGLETRANSLATE($A5135,""en"",""de"")"),"Qashqadaryo")</f>
        <v>Qashqadaryo</v>
      </c>
      <c r="D5135" s="9" t="str">
        <f>IFERROR(__xludf.DUMMYFUNCTION("GOOGLETRANSLATE($A5135,""en"",""fr"")"),"Qachqadaryo")</f>
        <v>Qachqadaryo</v>
      </c>
      <c r="E5135" s="9" t="str">
        <f>IFERROR(__xludf.DUMMYFUNCTION("GOOGLETRANSLATE($A5135,""en"",""es"")"),"Qashqadaryo")</f>
        <v>Qashqadaryo</v>
      </c>
      <c r="F5135" s="9" t="str">
        <f>IFERROR(__xludf.DUMMYFUNCTION("GOOGLETRANSLATE($A5135,""en"",""it"")"),"Qashqadaryo")</f>
        <v>Qashqadaryo</v>
      </c>
      <c r="G5135" s="9" t="str">
        <f>IFERROR(__xludf.DUMMYFUNCTION("GOOGLETRANSLATE($A5135,""en"",""zh-cn"")"),"卡什卡达约")</f>
        <v>卡什卡达约</v>
      </c>
      <c r="H5135" s="9" t="str">
        <f>IFERROR(__xludf.DUMMYFUNCTION("GOOGLETRANSLATE($A5135,""en"",""ja"")"),"カシュカダリョ")</f>
        <v>カシュカダリョ</v>
      </c>
      <c r="I5135" s="9" t="str">
        <f>IFERROR(__xludf.DUMMYFUNCTION("GOOGLETRANSLATE($A5135,""en"",""ko"")"),"카쉬카다리오")</f>
        <v>카쉬카다리오</v>
      </c>
      <c r="J5135" s="9" t="str">
        <f>IFERROR(__xludf.DUMMYFUNCTION("GOOGLETRANSLATE($A5135,""en"",""pt-BR"")"),"Qashqadaryo")</f>
        <v>Qashqadaryo</v>
      </c>
    </row>
    <row r="5136">
      <c r="A5136" s="9" t="str">
        <f>IFERROR(__xludf.DUMMYFUNCTION("""COMPUTED_VALUE"""),"Namangan")</f>
        <v>Namangan</v>
      </c>
      <c r="B5136" s="9" t="str">
        <f>IFERROR(__xludf.DUMMYFUNCTION("""COMPUTED_VALUE"""),"uz-ng")</f>
        <v>uz-ng</v>
      </c>
      <c r="C5136" s="9" t="str">
        <f>IFERROR(__xludf.DUMMYFUNCTION("GOOGLETRANSLATE($A5136,""en"",""de"")"),"Namangan")</f>
        <v>Namangan</v>
      </c>
      <c r="D5136" s="9" t="str">
        <f>IFERROR(__xludf.DUMMYFUNCTION("GOOGLETRANSLATE($A5136,""en"",""fr"")"),"Namangan")</f>
        <v>Namangan</v>
      </c>
      <c r="E5136" s="9" t="str">
        <f>IFERROR(__xludf.DUMMYFUNCTION("GOOGLETRANSLATE($A5136,""en"",""es"")"),"Namangán")</f>
        <v>Namangán</v>
      </c>
      <c r="F5136" s="9" t="str">
        <f>IFERROR(__xludf.DUMMYFUNCTION("GOOGLETRANSLATE($A5136,""en"",""it"")"),"Namangan")</f>
        <v>Namangan</v>
      </c>
      <c r="G5136" s="9" t="str">
        <f>IFERROR(__xludf.DUMMYFUNCTION("GOOGLETRANSLATE($A5136,""en"",""zh-cn"")"),"纳曼干")</f>
        <v>纳曼干</v>
      </c>
      <c r="H5136" s="9" t="str">
        <f>IFERROR(__xludf.DUMMYFUNCTION("GOOGLETRANSLATE($A5136,""en"",""ja"")"),"ナマンガン")</f>
        <v>ナマンガン</v>
      </c>
      <c r="I5136" s="9" t="str">
        <f>IFERROR(__xludf.DUMMYFUNCTION("GOOGLETRANSLATE($A5136,""en"",""ko"")"),"나만간")</f>
        <v>나만간</v>
      </c>
      <c r="J5136" s="9" t="str">
        <f>IFERROR(__xludf.DUMMYFUNCTION("GOOGLETRANSLATE($A5136,""en"",""pt-BR"")"),"Namangan")</f>
        <v>Namangan</v>
      </c>
    </row>
    <row r="5137">
      <c r="A5137" s="9" t="str">
        <f>IFERROR(__xludf.DUMMYFUNCTION("""COMPUTED_VALUE"""),"Samarqand")</f>
        <v>Samarqand</v>
      </c>
      <c r="B5137" s="9" t="str">
        <f>IFERROR(__xludf.DUMMYFUNCTION("""COMPUTED_VALUE"""),"uz-sa")</f>
        <v>uz-sa</v>
      </c>
      <c r="C5137" s="9" t="str">
        <f>IFERROR(__xludf.DUMMYFUNCTION("GOOGLETRANSLATE($A5137,""en"",""de"")"),"Samarkand")</f>
        <v>Samarkand</v>
      </c>
      <c r="D5137" s="9" t="str">
        <f>IFERROR(__xludf.DUMMYFUNCTION("GOOGLETRANSLATE($A5137,""en"",""fr"")"),"Samarcande")</f>
        <v>Samarcande</v>
      </c>
      <c r="E5137" s="9" t="str">
        <f>IFERROR(__xludf.DUMMYFUNCTION("GOOGLETRANSLATE($A5137,""en"",""es"")"),"Samarcanda")</f>
        <v>Samarcanda</v>
      </c>
      <c r="F5137" s="9" t="str">
        <f>IFERROR(__xludf.DUMMYFUNCTION("GOOGLETRANSLATE($A5137,""en"",""it"")"),"Samarcanda")</f>
        <v>Samarcanda</v>
      </c>
      <c r="G5137" s="9" t="str">
        <f>IFERROR(__xludf.DUMMYFUNCTION("GOOGLETRANSLATE($A5137,""en"",""zh-cn"")"),"撒马尔罕")</f>
        <v>撒马尔罕</v>
      </c>
      <c r="H5137" s="9" t="str">
        <f>IFERROR(__xludf.DUMMYFUNCTION("GOOGLETRANSLATE($A5137,""en"",""ja"")"),"サマルカンド")</f>
        <v>サマルカンド</v>
      </c>
      <c r="I5137" s="9" t="str">
        <f>IFERROR(__xludf.DUMMYFUNCTION("GOOGLETRANSLATE($A5137,""en"",""ko"")"),"사마르칸트")</f>
        <v>사마르칸트</v>
      </c>
      <c r="J5137" s="9" t="str">
        <f>IFERROR(__xludf.DUMMYFUNCTION("GOOGLETRANSLATE($A5137,""en"",""pt-BR"")"),"Samarcanda")</f>
        <v>Samarcanda</v>
      </c>
    </row>
    <row r="5138">
      <c r="A5138" s="9" t="str">
        <f>IFERROR(__xludf.DUMMYFUNCTION("""COMPUTED_VALUE"""),"Surxondaryo")</f>
        <v>Surxondaryo</v>
      </c>
      <c r="B5138" s="9" t="str">
        <f>IFERROR(__xludf.DUMMYFUNCTION("""COMPUTED_VALUE"""),"uz-su")</f>
        <v>uz-su</v>
      </c>
      <c r="C5138" s="9" t="str">
        <f>IFERROR(__xludf.DUMMYFUNCTION("GOOGLETRANSLATE($A5138,""en"",""de"")"),"Surxondaryo")</f>
        <v>Surxondaryo</v>
      </c>
      <c r="D5138" s="9" t="str">
        <f>IFERROR(__xludf.DUMMYFUNCTION("GOOGLETRANSLATE($A5138,""en"",""fr"")"),"Surxondaryo")</f>
        <v>Surxondaryo</v>
      </c>
      <c r="E5138" s="9" t="str">
        <f>IFERROR(__xludf.DUMMYFUNCTION("GOOGLETRANSLATE($A5138,""en"",""es"")"),"Surxondaryo")</f>
        <v>Surxondaryo</v>
      </c>
      <c r="F5138" s="9" t="str">
        <f>IFERROR(__xludf.DUMMYFUNCTION("GOOGLETRANSLATE($A5138,""en"",""it"")"),"Surxondario")</f>
        <v>Surxondario</v>
      </c>
      <c r="G5138" s="9" t="str">
        <f>IFERROR(__xludf.DUMMYFUNCTION("GOOGLETRANSLATE($A5138,""en"",""zh-cn"")"),"苏克森达约")</f>
        <v>苏克森达约</v>
      </c>
      <c r="H5138" s="9" t="str">
        <f>IFERROR(__xludf.DUMMYFUNCTION("GOOGLETRANSLATE($A5138,""en"",""ja"")"),"スルソンダリョ")</f>
        <v>スルソンダリョ</v>
      </c>
      <c r="I5138" s="9" t="str">
        <f>IFERROR(__xludf.DUMMYFUNCTION("GOOGLETRANSLATE($A5138,""en"",""ko"")"),"수르손다료")</f>
        <v>수르손다료</v>
      </c>
      <c r="J5138" s="9" t="str">
        <f>IFERROR(__xludf.DUMMYFUNCTION("GOOGLETRANSLATE($A5138,""en"",""pt-BR"")"),"Surxondario")</f>
        <v>Surxondario</v>
      </c>
    </row>
    <row r="5139">
      <c r="A5139" s="9" t="str">
        <f>IFERROR(__xludf.DUMMYFUNCTION("""COMPUTED_VALUE"""),"Toshkent (City)")</f>
        <v>Toshkent (City)</v>
      </c>
      <c r="B5139" s="9" t="str">
        <f>IFERROR(__xludf.DUMMYFUNCTION("""COMPUTED_VALUE"""),"uz-tk")</f>
        <v>uz-tk</v>
      </c>
      <c r="C5139" s="9" t="str">
        <f>IFERROR(__xludf.DUMMYFUNCTION("GOOGLETRANSLATE($A5139,""en"",""de"")"),"Toschkent (Stadt)")</f>
        <v>Toschkent (Stadt)</v>
      </c>
      <c r="D5139" s="9" t="str">
        <f>IFERROR(__xludf.DUMMYFUNCTION("GOOGLETRANSLATE($A5139,""en"",""fr"")"),"Tochkent (Ville)")</f>
        <v>Tochkent (Ville)</v>
      </c>
      <c r="E5139" s="9" t="str">
        <f>IFERROR(__xludf.DUMMYFUNCTION("GOOGLETRANSLATE($A5139,""en"",""es"")"),"Toshkent (Ciudad)")</f>
        <v>Toshkent (Ciudad)</v>
      </c>
      <c r="F5139" s="9" t="str">
        <f>IFERROR(__xludf.DUMMYFUNCTION("GOOGLETRANSLATE($A5139,""en"",""it"")"),"Toshkent (Città)")</f>
        <v>Toshkent (Città)</v>
      </c>
      <c r="G5139" s="9" t="str">
        <f>IFERROR(__xludf.DUMMYFUNCTION("GOOGLETRANSLATE($A5139,""en"",""zh-cn"")"),"托什干 (市)")</f>
        <v>托什干 (市)</v>
      </c>
      <c r="H5139" s="9" t="str">
        <f>IFERROR(__xludf.DUMMYFUNCTION("GOOGLETRANSLATE($A5139,""en"",""ja"")"),"トシケント (都市)")</f>
        <v>トシケント (都市)</v>
      </c>
      <c r="I5139" s="9" t="str">
        <f>IFERROR(__xludf.DUMMYFUNCTION("GOOGLETRANSLATE($A5139,""en"",""ko"")"),"토슈켄트(도시)")</f>
        <v>토슈켄트(도시)</v>
      </c>
      <c r="J5139" s="9" t="str">
        <f>IFERROR(__xludf.DUMMYFUNCTION("GOOGLETRANSLATE($A5139,""en"",""pt-BR"")"),"Toshkent (Cidade)")</f>
        <v>Toshkent (Cidade)</v>
      </c>
    </row>
    <row r="5140">
      <c r="A5140" s="9" t="str">
        <f>IFERROR(__xludf.DUMMYFUNCTION("""COMPUTED_VALUE"""),"Xorazm")</f>
        <v>Xorazm</v>
      </c>
      <c r="B5140" s="9" t="str">
        <f>IFERROR(__xludf.DUMMYFUNCTION("""COMPUTED_VALUE"""),"uz-xo")</f>
        <v>uz-xo</v>
      </c>
      <c r="C5140" s="9" t="str">
        <f>IFERROR(__xludf.DUMMYFUNCTION("GOOGLETRANSLATE($A5140,""en"",""de"")"),"Xorazm")</f>
        <v>Xorazm</v>
      </c>
      <c r="D5140" s="9" t="str">
        <f>IFERROR(__xludf.DUMMYFUNCTION("GOOGLETRANSLATE($A5140,""en"",""fr"")"),"Xorazm")</f>
        <v>Xorazm</v>
      </c>
      <c r="E5140" s="9" t="str">
        <f>IFERROR(__xludf.DUMMYFUNCTION("GOOGLETRANSLATE($A5140,""en"",""es"")"),"Xorazm")</f>
        <v>Xorazm</v>
      </c>
      <c r="F5140" s="9" t="str">
        <f>IFERROR(__xludf.DUMMYFUNCTION("GOOGLETRANSLATE($A5140,""en"",""it"")"),"Xorazm")</f>
        <v>Xorazm</v>
      </c>
      <c r="G5140" s="9" t="str">
        <f>IFERROR(__xludf.DUMMYFUNCTION("GOOGLETRANSLATE($A5140,""en"",""zh-cn"")"),"索拉兹姆")</f>
        <v>索拉兹姆</v>
      </c>
      <c r="H5140" s="9" t="str">
        <f>IFERROR(__xludf.DUMMYFUNCTION("GOOGLETRANSLATE($A5140,""en"",""ja"")"),"ゾラズム")</f>
        <v>ゾラズム</v>
      </c>
      <c r="I5140" s="9" t="str">
        <f>IFERROR(__xludf.DUMMYFUNCTION("GOOGLETRANSLATE($A5140,""en"",""ko"")"),"조라즘")</f>
        <v>조라즘</v>
      </c>
      <c r="J5140" s="9" t="str">
        <f>IFERROR(__xludf.DUMMYFUNCTION("GOOGLETRANSLATE($A5140,""en"",""pt-BR"")"),"Xorazm")</f>
        <v>Xorazm</v>
      </c>
    </row>
    <row r="5141">
      <c r="A5141" s="9" t="str">
        <f>IFERROR(__xludf.DUMMYFUNCTION("""COMPUTED_VALUE"""),"Andijon")</f>
        <v>Andijon</v>
      </c>
      <c r="B5141" s="9" t="str">
        <f>IFERROR(__xludf.DUMMYFUNCTION("""COMPUTED_VALUE"""),"uz-an")</f>
        <v>uz-an</v>
      </c>
      <c r="C5141" s="9" t="str">
        <f>IFERROR(__xludf.DUMMYFUNCTION("GOOGLETRANSLATE($A5141,""en"",""de"")"),"Andijon")</f>
        <v>Andijon</v>
      </c>
      <c r="D5141" s="9" t="str">
        <f>IFERROR(__xludf.DUMMYFUNCTION("GOOGLETRANSLATE($A5141,""en"",""fr"")"),"Andijan")</f>
        <v>Andijan</v>
      </c>
      <c r="E5141" s="9" t="str">
        <f>IFERROR(__xludf.DUMMYFUNCTION("GOOGLETRANSLATE($A5141,""en"",""es"")"),"Andijón")</f>
        <v>Andijón</v>
      </c>
      <c r="F5141" s="9" t="str">
        <f>IFERROR(__xludf.DUMMYFUNCTION("GOOGLETRANSLATE($A5141,""en"",""it"")"),"Andijon")</f>
        <v>Andijon</v>
      </c>
      <c r="G5141" s="9" t="str">
        <f>IFERROR(__xludf.DUMMYFUNCTION("GOOGLETRANSLATE($A5141,""en"",""zh-cn"")"),"安集延")</f>
        <v>安集延</v>
      </c>
      <c r="H5141" s="9" t="str">
        <f>IFERROR(__xludf.DUMMYFUNCTION("GOOGLETRANSLATE($A5141,""en"",""ja"")"),"アンディジョン")</f>
        <v>アンディジョン</v>
      </c>
      <c r="I5141" s="9" t="str">
        <f>IFERROR(__xludf.DUMMYFUNCTION("GOOGLETRANSLATE($A5141,""en"",""ko"")"),"안디존")</f>
        <v>안디존</v>
      </c>
      <c r="J5141" s="9" t="str">
        <f>IFERROR(__xludf.DUMMYFUNCTION("GOOGLETRANSLATE($A5141,""en"",""pt-BR"")"),"Andijon")</f>
        <v>Andijon</v>
      </c>
    </row>
    <row r="5142">
      <c r="A5142" s="9" t="str">
        <f>IFERROR(__xludf.DUMMYFUNCTION("""COMPUTED_VALUE"""),"Qoraqalpog‘iston Respublikasi")</f>
        <v>Qoraqalpog‘iston Respublikasi</v>
      </c>
      <c r="B5142" s="9" t="str">
        <f>IFERROR(__xludf.DUMMYFUNCTION("""COMPUTED_VALUE"""),"uz-qr")</f>
        <v>uz-qr</v>
      </c>
      <c r="C5142" s="9" t="str">
        <f>IFERROR(__xludf.DUMMYFUNCTION("GOOGLETRANSLATE($A5142,""en"",""de"")"),"Qoraqalpog‘iston Respublikasi")</f>
        <v>Qoraqalpog‘iston Respublikasi</v>
      </c>
      <c r="D5142" s="9" t="str">
        <f>IFERROR(__xludf.DUMMYFUNCTION("GOOGLETRANSLATE($A5142,""en"",""fr"")"),"Qoraqalpog'iston Respublikasi")</f>
        <v>Qoraqalpog'iston Respublikasi</v>
      </c>
      <c r="E5142" s="9" t="str">
        <f>IFERROR(__xludf.DUMMYFUNCTION("GOOGLETRANSLATE($A5142,""en"",""es"")"),"Respublikasi de Qoraqalpog‘iston")</f>
        <v>Respublikasi de Qoraqalpog‘iston</v>
      </c>
      <c r="F5142" s="9" t="str">
        <f>IFERROR(__xludf.DUMMYFUNCTION("GOOGLETRANSLATE($A5142,""en"",""it"")"),"Qoraqalpog‘iston Respublikasi")</f>
        <v>Qoraqalpog‘iston Respublikasi</v>
      </c>
      <c r="G5142" s="9" t="str">
        <f>IFERROR(__xludf.DUMMYFUNCTION("GOOGLETRANSLATE($A5142,""en"",""zh-cn"")"),"共和国")</f>
        <v>共和国</v>
      </c>
      <c r="H5142" s="9" t="str">
        <f>IFERROR(__xludf.DUMMYFUNCTION("GOOGLETRANSLATE($A5142,""en"",""ja"")"),"クオラカルポギストン レスパブリカシ")</f>
        <v>クオラカルポギストン レスパブリカシ</v>
      </c>
      <c r="I5142" s="9" t="str">
        <f>IFERROR(__xludf.DUMMYFUNCTION("GOOGLETRANSLATE($A5142,""en"",""ko"")"),"Qoraqalpog'iston Respublikasi")</f>
        <v>Qoraqalpog'iston Respublikasi</v>
      </c>
      <c r="J5142" s="9" t="str">
        <f>IFERROR(__xludf.DUMMYFUNCTION("GOOGLETRANSLATE($A5142,""en"",""pt-BR"")"),"Qoraqalpog'iston República")</f>
        <v>Qoraqalpog'iston República</v>
      </c>
    </row>
    <row r="5143">
      <c r="A5143" s="9" t="str">
        <f>IFERROR(__xludf.DUMMYFUNCTION("""COMPUTED_VALUE"""),"Torba")</f>
        <v>Torba</v>
      </c>
      <c r="B5143" s="9" t="str">
        <f>IFERROR(__xludf.DUMMYFUNCTION("""COMPUTED_VALUE"""),"vu-tob")</f>
        <v>vu-tob</v>
      </c>
      <c r="C5143" s="9" t="str">
        <f>IFERROR(__xludf.DUMMYFUNCTION("GOOGLETRANSLATE($A5143,""en"",""de"")"),"Torba")</f>
        <v>Torba</v>
      </c>
      <c r="D5143" s="9" t="str">
        <f>IFERROR(__xludf.DUMMYFUNCTION("GOOGLETRANSLATE($A5143,""en"",""fr"")"),"Torba")</f>
        <v>Torba</v>
      </c>
      <c r="E5143" s="9" t="str">
        <f>IFERROR(__xludf.DUMMYFUNCTION("GOOGLETRANSLATE($A5143,""en"",""es"")"),"torba")</f>
        <v>torba</v>
      </c>
      <c r="F5143" s="9" t="str">
        <f>IFERROR(__xludf.DUMMYFUNCTION("GOOGLETRANSLATE($A5143,""en"",""it"")"),"Torba")</f>
        <v>Torba</v>
      </c>
      <c r="G5143" s="9" t="str">
        <f>IFERROR(__xludf.DUMMYFUNCTION("GOOGLETRANSLATE($A5143,""en"",""zh-cn"")"),"托尔巴")</f>
        <v>托尔巴</v>
      </c>
      <c r="H5143" s="9" t="str">
        <f>IFERROR(__xludf.DUMMYFUNCTION("GOOGLETRANSLATE($A5143,""en"",""ja"")"),"トルバ")</f>
        <v>トルバ</v>
      </c>
      <c r="I5143" s="9" t="str">
        <f>IFERROR(__xludf.DUMMYFUNCTION("GOOGLETRANSLATE($A5143,""en"",""ko"")"),"토르바")</f>
        <v>토르바</v>
      </c>
      <c r="J5143" s="9" t="str">
        <f>IFERROR(__xludf.DUMMYFUNCTION("GOOGLETRANSLATE($A5143,""en"",""pt-BR"")"),"Torba")</f>
        <v>Torba</v>
      </c>
    </row>
    <row r="5144">
      <c r="A5144" s="9" t="str">
        <f>IFERROR(__xludf.DUMMYFUNCTION("""COMPUTED_VALUE"""),"Sanma")</f>
        <v>Sanma</v>
      </c>
      <c r="B5144" s="9" t="str">
        <f>IFERROR(__xludf.DUMMYFUNCTION("""COMPUTED_VALUE"""),"vu-sam")</f>
        <v>vu-sam</v>
      </c>
      <c r="C5144" s="9" t="str">
        <f>IFERROR(__xludf.DUMMYFUNCTION("GOOGLETRANSLATE($A5144,""en"",""de"")"),"Sanma")</f>
        <v>Sanma</v>
      </c>
      <c r="D5144" s="9" t="str">
        <f>IFERROR(__xludf.DUMMYFUNCTION("GOOGLETRANSLATE($A5144,""en"",""fr"")"),"Sanma")</f>
        <v>Sanma</v>
      </c>
      <c r="E5144" s="9" t="str">
        <f>IFERROR(__xludf.DUMMYFUNCTION("GOOGLETRANSLATE($A5144,""en"",""es"")"),"sanma")</f>
        <v>sanma</v>
      </c>
      <c r="F5144" s="9" t="str">
        <f>IFERROR(__xludf.DUMMYFUNCTION("GOOGLETRANSLATE($A5144,""en"",""it"")"),"Sanma")</f>
        <v>Sanma</v>
      </c>
      <c r="G5144" s="9" t="str">
        <f>IFERROR(__xludf.DUMMYFUNCTION("GOOGLETRANSLATE($A5144,""en"",""zh-cn"")"),"三马")</f>
        <v>三马</v>
      </c>
      <c r="H5144" s="9" t="str">
        <f>IFERROR(__xludf.DUMMYFUNCTION("GOOGLETRANSLATE($A5144,""en"",""ja"")"),"さんま")</f>
        <v>さんま</v>
      </c>
      <c r="I5144" s="9" t="str">
        <f>IFERROR(__xludf.DUMMYFUNCTION("GOOGLETRANSLATE($A5144,""en"",""ko"")"),"산마")</f>
        <v>산마</v>
      </c>
      <c r="J5144" s="9" t="str">
        <f>IFERROR(__xludf.DUMMYFUNCTION("GOOGLETRANSLATE($A5144,""en"",""pt-BR"")"),"Sanmá")</f>
        <v>Sanmá</v>
      </c>
    </row>
    <row r="5145">
      <c r="A5145" s="9" t="str">
        <f>IFERROR(__xludf.DUMMYFUNCTION("""COMPUTED_VALUE"""),"Taféa")</f>
        <v>Taféa</v>
      </c>
      <c r="B5145" s="9" t="str">
        <f>IFERROR(__xludf.DUMMYFUNCTION("""COMPUTED_VALUE"""),"vu-tae")</f>
        <v>vu-tae</v>
      </c>
      <c r="C5145" s="9" t="str">
        <f>IFERROR(__xludf.DUMMYFUNCTION("GOOGLETRANSLATE($A5145,""en"",""de"")"),"Tafea")</f>
        <v>Tafea</v>
      </c>
      <c r="D5145" s="9" t="str">
        <f>IFERROR(__xludf.DUMMYFUNCTION("GOOGLETRANSLATE($A5145,""en"",""fr"")"),"Tafea")</f>
        <v>Tafea</v>
      </c>
      <c r="E5145" s="9" t="str">
        <f>IFERROR(__xludf.DUMMYFUNCTION("GOOGLETRANSLATE($A5145,""en"",""es"")"),"tafea")</f>
        <v>tafea</v>
      </c>
      <c r="F5145" s="9" t="str">
        <f>IFERROR(__xludf.DUMMYFUNCTION("GOOGLETRANSLATE($A5145,""en"",""it"")"),"Tafea")</f>
        <v>Tafea</v>
      </c>
      <c r="G5145" s="9" t="str">
        <f>IFERROR(__xludf.DUMMYFUNCTION("GOOGLETRANSLATE($A5145,""en"",""zh-cn"")"),"塔菲亚")</f>
        <v>塔菲亚</v>
      </c>
      <c r="H5145" s="9" t="str">
        <f>IFERROR(__xludf.DUMMYFUNCTION("GOOGLETRANSLATE($A5145,""en"",""ja"")"),"タフェア")</f>
        <v>タフェア</v>
      </c>
      <c r="I5145" s="9" t="str">
        <f>IFERROR(__xludf.DUMMYFUNCTION("GOOGLETRANSLATE($A5145,""en"",""ko"")"),"타페아")</f>
        <v>타페아</v>
      </c>
      <c r="J5145" s="9" t="str">
        <f>IFERROR(__xludf.DUMMYFUNCTION("GOOGLETRANSLATE($A5145,""en"",""pt-BR"")"),"Taféa")</f>
        <v>Taféa</v>
      </c>
    </row>
    <row r="5146">
      <c r="A5146" s="9" t="str">
        <f>IFERROR(__xludf.DUMMYFUNCTION("""COMPUTED_VALUE"""),"Pénama")</f>
        <v>Pénama</v>
      </c>
      <c r="B5146" s="9" t="str">
        <f>IFERROR(__xludf.DUMMYFUNCTION("""COMPUTED_VALUE"""),"vu-pam")</f>
        <v>vu-pam</v>
      </c>
      <c r="C5146" s="9" t="str">
        <f>IFERROR(__xludf.DUMMYFUNCTION("GOOGLETRANSLATE($A5146,""en"",""de"")"),"Penama")</f>
        <v>Penama</v>
      </c>
      <c r="D5146" s="9" t="str">
        <f>IFERROR(__xludf.DUMMYFUNCTION("GOOGLETRANSLATE($A5146,""en"",""fr"")"),"Pénama")</f>
        <v>Pénama</v>
      </c>
      <c r="E5146" s="9" t="str">
        <f>IFERROR(__xludf.DUMMYFUNCTION("GOOGLETRANSLATE($A5146,""en"",""es"")"),"Peñama")</f>
        <v>Peñama</v>
      </c>
      <c r="F5146" s="9" t="str">
        <f>IFERROR(__xludf.DUMMYFUNCTION("GOOGLETRANSLATE($A5146,""en"",""it"")"),"Pénama")</f>
        <v>Pénama</v>
      </c>
      <c r="G5146" s="9" t="str">
        <f>IFERROR(__xludf.DUMMYFUNCTION("GOOGLETRANSLATE($A5146,""en"",""zh-cn"")"),"佩纳马")</f>
        <v>佩纳马</v>
      </c>
      <c r="H5146" s="9" t="str">
        <f>IFERROR(__xludf.DUMMYFUNCTION("GOOGLETRANSLATE($A5146,""en"",""ja"")"),"ペナマ")</f>
        <v>ペナマ</v>
      </c>
      <c r="I5146" s="9" t="str">
        <f>IFERROR(__xludf.DUMMYFUNCTION("GOOGLETRANSLATE($A5146,""en"",""ko"")"),"페나마")</f>
        <v>페나마</v>
      </c>
      <c r="J5146" s="9" t="str">
        <f>IFERROR(__xludf.DUMMYFUNCTION("GOOGLETRANSLATE($A5146,""en"",""pt-BR"")"),"Pénama")</f>
        <v>Pénama</v>
      </c>
    </row>
    <row r="5147">
      <c r="A5147" s="9" t="str">
        <f>IFERROR(__xludf.DUMMYFUNCTION("""COMPUTED_VALUE"""),"Malampa")</f>
        <v>Malampa</v>
      </c>
      <c r="B5147" s="9" t="str">
        <f>IFERROR(__xludf.DUMMYFUNCTION("""COMPUTED_VALUE"""),"vu-map")</f>
        <v>vu-map</v>
      </c>
      <c r="C5147" s="9" t="str">
        <f>IFERROR(__xludf.DUMMYFUNCTION("GOOGLETRANSLATE($A5147,""en"",""de"")"),"Malampa")</f>
        <v>Malampa</v>
      </c>
      <c r="D5147" s="9" t="str">
        <f>IFERROR(__xludf.DUMMYFUNCTION("GOOGLETRANSLATE($A5147,""en"",""fr"")"),"Malampa")</f>
        <v>Malampa</v>
      </c>
      <c r="E5147" s="9" t="str">
        <f>IFERROR(__xludf.DUMMYFUNCTION("GOOGLETRANSLATE($A5147,""en"",""es"")"),"Malampa")</f>
        <v>Malampa</v>
      </c>
      <c r="F5147" s="9" t="str">
        <f>IFERROR(__xludf.DUMMYFUNCTION("GOOGLETRANSLATE($A5147,""en"",""it"")"),"Malampa")</f>
        <v>Malampa</v>
      </c>
      <c r="G5147" s="9" t="str">
        <f>IFERROR(__xludf.DUMMYFUNCTION("GOOGLETRANSLATE($A5147,""en"",""zh-cn"")"),"马兰帕")</f>
        <v>马兰帕</v>
      </c>
      <c r="H5147" s="9" t="str">
        <f>IFERROR(__xludf.DUMMYFUNCTION("GOOGLETRANSLATE($A5147,""en"",""ja"")"),"マランパ")</f>
        <v>マランパ</v>
      </c>
      <c r="I5147" s="9" t="str">
        <f>IFERROR(__xludf.DUMMYFUNCTION("GOOGLETRANSLATE($A5147,""en"",""ko"")"),"말람파")</f>
        <v>말람파</v>
      </c>
      <c r="J5147" s="9" t="str">
        <f>IFERROR(__xludf.DUMMYFUNCTION("GOOGLETRANSLATE($A5147,""en"",""pt-BR"")"),"Malampa")</f>
        <v>Malampa</v>
      </c>
    </row>
    <row r="5148">
      <c r="A5148" s="9" t="str">
        <f>IFERROR(__xludf.DUMMYFUNCTION("""COMPUTED_VALUE"""),"Shéfa")</f>
        <v>Shéfa</v>
      </c>
      <c r="B5148" s="9" t="str">
        <f>IFERROR(__xludf.DUMMYFUNCTION("""COMPUTED_VALUE"""),"vu-see")</f>
        <v>vu-see</v>
      </c>
      <c r="C5148" s="9" t="str">
        <f>IFERROR(__xludf.DUMMYFUNCTION("GOOGLETRANSLATE($A5148,""en"",""de"")"),"Shefa")</f>
        <v>Shefa</v>
      </c>
      <c r="D5148" s="9" t="str">
        <f>IFERROR(__xludf.DUMMYFUNCTION("GOOGLETRANSLATE($A5148,""en"",""fr"")"),"Shefa")</f>
        <v>Shefa</v>
      </c>
      <c r="E5148" s="9" t="str">
        <f>IFERROR(__xludf.DUMMYFUNCTION("GOOGLETRANSLATE($A5148,""en"",""es"")"),"Shefa")</f>
        <v>Shefa</v>
      </c>
      <c r="F5148" s="9" t="str">
        <f>IFERROR(__xludf.DUMMYFUNCTION("GOOGLETRANSLATE($A5148,""en"",""it"")"),"Shéfa")</f>
        <v>Shéfa</v>
      </c>
      <c r="G5148" s="9" t="str">
        <f>IFERROR(__xludf.DUMMYFUNCTION("GOOGLETRANSLATE($A5148,""en"",""zh-cn"")"),"谢法")</f>
        <v>谢法</v>
      </c>
      <c r="H5148" s="9" t="str">
        <f>IFERROR(__xludf.DUMMYFUNCTION("GOOGLETRANSLATE($A5148,""en"",""ja"")"),"シェファ")</f>
        <v>シェファ</v>
      </c>
      <c r="I5148" s="9" t="str">
        <f>IFERROR(__xludf.DUMMYFUNCTION("GOOGLETRANSLATE($A5148,""en"",""ko"")"),"셰파")</f>
        <v>셰파</v>
      </c>
      <c r="J5148" s="9" t="str">
        <f>IFERROR(__xludf.DUMMYFUNCTION("GOOGLETRANSLATE($A5148,""en"",""pt-BR"")"),"Shefa")</f>
        <v>Shefa</v>
      </c>
    </row>
    <row r="5149">
      <c r="A5149" s="9" t="str">
        <f>IFERROR(__xludf.DUMMYFUNCTION("""COMPUTED_VALUE"""),"Đắk Lắk")</f>
        <v>Đắk Lắk</v>
      </c>
      <c r="B5149" s="9" t="str">
        <f>IFERROR(__xludf.DUMMYFUNCTION("""COMPUTED_VALUE"""),"vn-33")</f>
        <v>vn-33</v>
      </c>
      <c r="C5149" s="9" t="str">
        <f>IFERROR(__xludf.DUMMYFUNCTION("GOOGLETRANSLATE($A5149,""en"",""de"")"),"Đắk Lắk")</f>
        <v>Đắk Lắk</v>
      </c>
      <c r="D5149" s="9" t="str">
        <f>IFERROR(__xludf.DUMMYFUNCTION("GOOGLETRANSLATE($A5149,""en"",""fr"")"),"Đắk Lắk")</f>
        <v>Đắk Lắk</v>
      </c>
      <c r="E5149" s="9" t="str">
        <f>IFERROR(__xludf.DUMMYFUNCTION("GOOGLETRANSLATE($A5149,""en"",""es"")"),"Đắk Lắk")</f>
        <v>Đắk Lắk</v>
      </c>
      <c r="F5149" s="9" t="str">
        <f>IFERROR(__xludf.DUMMYFUNCTION("GOOGLETRANSLATE($A5149,""en"",""it"")"),"Đắk Lắk")</f>
        <v>Đắk Lắk</v>
      </c>
      <c r="G5149" s="9" t="str">
        <f>IFERROR(__xludf.DUMMYFUNCTION("GOOGLETRANSLATE($A5149,""en"",""zh-cn"")"),"达克勒克")</f>
        <v>达克勒克</v>
      </c>
      <c r="H5149" s="9" t="str">
        <f>IFERROR(__xludf.DUMMYFUNCTION("GOOGLETRANSLATE($A5149,""en"",""ja"")"),"ディク・ラク")</f>
        <v>ディク・ラク</v>
      </c>
      <c r="I5149" s="9" t="str">
        <f>IFERROR(__xludf.DUMMYFUNCTION("GOOGLETRANSLATE($A5149,""en"",""ko"")"),"닥락")</f>
        <v>닥락</v>
      </c>
      <c r="J5149" s="9" t="str">
        <f>IFERROR(__xludf.DUMMYFUNCTION("GOOGLETRANSLATE($A5149,""en"",""pt-BR"")"),"Đắk Lắk")</f>
        <v>Đắk Lắk</v>
      </c>
    </row>
    <row r="5150">
      <c r="A5150" s="9" t="str">
        <f>IFERROR(__xludf.DUMMYFUNCTION("""COMPUTED_VALUE"""),"Bắc Kạn")</f>
        <v>Bắc Kạn</v>
      </c>
      <c r="B5150" s="9" t="str">
        <f>IFERROR(__xludf.DUMMYFUNCTION("""COMPUTED_VALUE"""),"vn-53")</f>
        <v>vn-53</v>
      </c>
      <c r="C5150" s="9" t="str">
        <f>IFERROR(__xludf.DUMMYFUNCTION("GOOGLETRANSLATE($A5150,""en"",""de"")"),"Bắc Kạn")</f>
        <v>Bắc Kạn</v>
      </c>
      <c r="D5150" s="9" t="str">
        <f>IFERROR(__xludf.DUMMYFUNCTION("GOOGLETRANSLATE($A5150,""en"",""fr"")"),"Bắc Kạn")</f>
        <v>Bắc Kạn</v>
      </c>
      <c r="E5150" s="9" t="str">
        <f>IFERROR(__xludf.DUMMYFUNCTION("GOOGLETRANSLATE($A5150,""en"",""es"")"),"Bắc Kạn")</f>
        <v>Bắc Kạn</v>
      </c>
      <c r="F5150" s="9" t="str">
        <f>IFERROR(__xludf.DUMMYFUNCTION("GOOGLETRANSLATE($A5150,""en"",""it"")"),"Bắc Kạn")</f>
        <v>Bắc Kạn</v>
      </c>
      <c r="G5150" s="9" t="str">
        <f>IFERROR(__xludf.DUMMYFUNCTION("GOOGLETRANSLATE($A5150,""en"",""zh-cn"")"),"北干")</f>
        <v>北干</v>
      </c>
      <c r="H5150" s="9" t="str">
        <f>IFERROR(__xludf.DUMMYFUNCTION("GOOGLETRANSLATE($A5150,""en"",""ja"")"),"バクカン")</f>
        <v>バクカン</v>
      </c>
      <c r="I5150" s="9" t="str">
        <f>IFERROR(__xludf.DUMMYFUNCTION("GOOGLETRANSLATE($A5150,""en"",""ko"")"),"박깐")</f>
        <v>박깐</v>
      </c>
      <c r="J5150" s="9" t="str">
        <f>IFERROR(__xludf.DUMMYFUNCTION("GOOGLETRANSLATE($A5150,""en"",""pt-BR"")"),"Bắc Kạn")</f>
        <v>Bắc Kạn</v>
      </c>
    </row>
    <row r="5151">
      <c r="A5151" s="9" t="str">
        <f>IFERROR(__xludf.DUMMYFUNCTION("""COMPUTED_VALUE"""),"Quảng Bình")</f>
        <v>Quảng Bình</v>
      </c>
      <c r="B5151" s="9" t="str">
        <f>IFERROR(__xludf.DUMMYFUNCTION("""COMPUTED_VALUE"""),"vn-24")</f>
        <v>vn-24</v>
      </c>
      <c r="C5151" s="9" t="str">
        <f>IFERROR(__xludf.DUMMYFUNCTION("GOOGLETRANSLATE($A5151,""en"",""de"")"),"Quảng Bình")</f>
        <v>Quảng Bình</v>
      </c>
      <c r="D5151" s="9" t="str">
        <f>IFERROR(__xludf.DUMMYFUNCTION("GOOGLETRANSLATE($A5151,""en"",""fr"")"),"Quảng Bình")</f>
        <v>Quảng Bình</v>
      </c>
      <c r="E5151" s="9" t="str">
        <f>IFERROR(__xludf.DUMMYFUNCTION("GOOGLETRANSLATE($A5151,""en"",""es"")"),"Quảng Bình")</f>
        <v>Quảng Bình</v>
      </c>
      <c r="F5151" s="9" t="str">
        <f>IFERROR(__xludf.DUMMYFUNCTION("GOOGLETRANSLATE($A5151,""en"",""it"")"),"Quảng Bình")</f>
        <v>Quảng Bình</v>
      </c>
      <c r="G5151" s="9" t="str">
        <f>IFERROR(__xludf.DUMMYFUNCTION("GOOGLETRANSLATE($A5151,""en"",""zh-cn"")"),"广平")</f>
        <v>广平</v>
      </c>
      <c r="H5151" s="9" t="str">
        <f>IFERROR(__xludf.DUMMYFUNCTION("GOOGLETRANSLATE($A5151,""en"",""ja"")"),"クアンビン")</f>
        <v>クアンビン</v>
      </c>
      <c r="I5151" s="9" t="str">
        <f>IFERROR(__xludf.DUMMYFUNCTION("GOOGLETRANSLATE($A5151,""en"",""ko"")"),"꽝빈")</f>
        <v>꽝빈</v>
      </c>
      <c r="J5151" s="9" t="str">
        <f>IFERROR(__xludf.DUMMYFUNCTION("GOOGLETRANSLATE($A5151,""en"",""pt-BR"")"),"Quảng Bình")</f>
        <v>Quảng Bình</v>
      </c>
    </row>
    <row r="5152">
      <c r="A5152" s="9" t="str">
        <f>IFERROR(__xludf.DUMMYFUNCTION("""COMPUTED_VALUE"""),"Quảng Ngãi")</f>
        <v>Quảng Ngãi</v>
      </c>
      <c r="B5152" s="9" t="str">
        <f>IFERROR(__xludf.DUMMYFUNCTION("""COMPUTED_VALUE"""),"vn-29")</f>
        <v>vn-29</v>
      </c>
      <c r="C5152" s="9" t="str">
        <f>IFERROR(__xludf.DUMMYFUNCTION("GOOGLETRANSLATE($A5152,""en"",""de"")"),"Quảng Ngãi")</f>
        <v>Quảng Ngãi</v>
      </c>
      <c r="D5152" s="9" t="str">
        <f>IFERROR(__xludf.DUMMYFUNCTION("GOOGLETRANSLATE($A5152,""en"",""fr"")"),"Quảng Ngãi")</f>
        <v>Quảng Ngãi</v>
      </c>
      <c r="E5152" s="9" t="str">
        <f>IFERROR(__xludf.DUMMYFUNCTION("GOOGLETRANSLATE($A5152,""en"",""es"")"),"Quang Ngãi")</f>
        <v>Quang Ngãi</v>
      </c>
      <c r="F5152" s="9" t="str">
        <f>IFERROR(__xludf.DUMMYFUNCTION("GOOGLETRANSLATE($A5152,""en"",""it"")"),"Quang Ngai")</f>
        <v>Quang Ngai</v>
      </c>
      <c r="G5152" s="9" t="str">
        <f>IFERROR(__xludf.DUMMYFUNCTION("GOOGLETRANSLATE($A5152,""en"",""zh-cn"")"),"广义")</f>
        <v>广义</v>
      </c>
      <c r="H5152" s="9" t="str">
        <f>IFERROR(__xludf.DUMMYFUNCTION("GOOGLETRANSLATE($A5152,""en"",""ja"")"),"クアンガイ")</f>
        <v>クアンガイ</v>
      </c>
      <c r="I5152" s="9" t="str">
        <f>IFERROR(__xludf.DUMMYFUNCTION("GOOGLETRANSLATE($A5152,""en"",""ko"")"),"꽝응아이")</f>
        <v>꽝응아이</v>
      </c>
      <c r="J5152" s="9" t="str">
        <f>IFERROR(__xludf.DUMMYFUNCTION("GOOGLETRANSLATE($A5152,""en"",""pt-BR"")"),"Quảng Ngãi")</f>
        <v>Quảng Ngãi</v>
      </c>
    </row>
    <row r="5153">
      <c r="A5153" s="9" t="str">
        <f>IFERROR(__xludf.DUMMYFUNCTION("""COMPUTED_VALUE"""),"Bạc Liêu")</f>
        <v>Bạc Liêu</v>
      </c>
      <c r="B5153" s="9" t="str">
        <f>IFERROR(__xludf.DUMMYFUNCTION("""COMPUTED_VALUE"""),"vn-55")</f>
        <v>vn-55</v>
      </c>
      <c r="C5153" s="9" t="str">
        <f>IFERROR(__xludf.DUMMYFUNCTION("GOOGLETRANSLATE($A5153,""en"",""de"")"),"Bạc Liêu")</f>
        <v>Bạc Liêu</v>
      </c>
      <c r="D5153" s="9" t="str">
        <f>IFERROR(__xludf.DUMMYFUNCTION("GOOGLETRANSLATE($A5153,""en"",""fr"")"),"Bạc Liêu")</f>
        <v>Bạc Liêu</v>
      </c>
      <c r="E5153" s="9" t="str">
        <f>IFERROR(__xludf.DUMMYFUNCTION("GOOGLETRANSLATE($A5153,""en"",""es"")"),"Bạc Liêu")</f>
        <v>Bạc Liêu</v>
      </c>
      <c r="F5153" s="9" t="str">
        <f>IFERROR(__xludf.DUMMYFUNCTION("GOOGLETRANSLATE($A5153,""en"",""it"")"),"Bạc Lieu")</f>
        <v>Bạc Lieu</v>
      </c>
      <c r="G5153" s="9" t="str">
        <f>IFERROR(__xludf.DUMMYFUNCTION("GOOGLETRANSLATE($A5153,""en"",""zh-cn"")"),"薄辽")</f>
        <v>薄辽</v>
      </c>
      <c r="H5153" s="9" t="str">
        <f>IFERROR(__xludf.DUMMYFUNCTION("GOOGLETRANSLATE($A5153,""en"",""ja"")"),"バクリュー")</f>
        <v>バクリュー</v>
      </c>
      <c r="I5153" s="9" t="str">
        <f>IFERROR(__xludf.DUMMYFUNCTION("GOOGLETRANSLATE($A5153,""en"",""ko"")"),"박리에우")</f>
        <v>박리에우</v>
      </c>
      <c r="J5153" s="9" t="str">
        <f>IFERROR(__xludf.DUMMYFUNCTION("GOOGLETRANSLATE($A5153,""en"",""pt-BR"")"),"Bạc Liêu")</f>
        <v>Bạc Liêu</v>
      </c>
    </row>
    <row r="5154">
      <c r="A5154" s="9" t="str">
        <f>IFERROR(__xludf.DUMMYFUNCTION("""COMPUTED_VALUE"""),"Lâm Đồng")</f>
        <v>Lâm Đồng</v>
      </c>
      <c r="B5154" s="9" t="str">
        <f>IFERROR(__xludf.DUMMYFUNCTION("""COMPUTED_VALUE"""),"vn-35")</f>
        <v>vn-35</v>
      </c>
      <c r="C5154" s="9" t="str">
        <f>IFERROR(__xludf.DUMMYFUNCTION("GOOGLETRANSLATE($A5154,""en"",""de"")"),"Lâm Đồng")</f>
        <v>Lâm Đồng</v>
      </c>
      <c r="D5154" s="9" t="str">
        <f>IFERROR(__xludf.DUMMYFUNCTION("GOOGLETRANSLATE($A5154,""en"",""fr"")"),"Lâm Đồng")</f>
        <v>Lâm Đồng</v>
      </c>
      <c r="E5154" s="9" t="str">
        <f>IFERROR(__xludf.DUMMYFUNCTION("GOOGLETRANSLATE($A5154,""en"",""es"")"),"Lâm Đồng")</f>
        <v>Lâm Đồng</v>
      </c>
      <c r="F5154" s="9" t="str">
        <f>IFERROR(__xludf.DUMMYFUNCTION("GOOGLETRANSLATE($A5154,""en"",""it"")"),"Lâm Đồng")</f>
        <v>Lâm Đồng</v>
      </c>
      <c r="G5154" s="9" t="str">
        <f>IFERROR(__xludf.DUMMYFUNCTION("GOOGLETRANSLATE($A5154,""en"",""zh-cn"")"),"林同")</f>
        <v>林同</v>
      </c>
      <c r="H5154" s="9" t="str">
        <f>IFERROR(__xludf.DUMMYFUNCTION("GOOGLETRANSLATE($A5154,""en"",""ja"")"),"ラムドン")</f>
        <v>ラムドン</v>
      </c>
      <c r="I5154" s="9" t="str">
        <f>IFERROR(__xludf.DUMMYFUNCTION("GOOGLETRANSLATE($A5154,""en"",""ko"")"),"람동")</f>
        <v>람동</v>
      </c>
      <c r="J5154" s="9" t="str">
        <f>IFERROR(__xludf.DUMMYFUNCTION("GOOGLETRANSLATE($A5154,""en"",""pt-BR"")"),"Lâm Đồng")</f>
        <v>Lâm Đồng</v>
      </c>
    </row>
    <row r="5155">
      <c r="A5155" s="9" t="str">
        <f>IFERROR(__xludf.DUMMYFUNCTION("""COMPUTED_VALUE"""),"Thanh Hóa")</f>
        <v>Thanh Hóa</v>
      </c>
      <c r="B5155" s="9" t="str">
        <f>IFERROR(__xludf.DUMMYFUNCTION("""COMPUTED_VALUE"""),"vn-21")</f>
        <v>vn-21</v>
      </c>
      <c r="C5155" s="9" t="str">
        <f>IFERROR(__xludf.DUMMYFUNCTION("GOOGLETRANSLATE($A5155,""en"",""de"")"),"Thanh Hóa")</f>
        <v>Thanh Hóa</v>
      </c>
      <c r="D5155" s="9" t="str">
        <f>IFERROR(__xludf.DUMMYFUNCTION("GOOGLETRANSLATE($A5155,""en"",""fr"")"),"Thanh Hoa")</f>
        <v>Thanh Hoa</v>
      </c>
      <c r="E5155" s="9" t="str">
        <f>IFERROR(__xludf.DUMMYFUNCTION("GOOGLETRANSLATE($A5155,""en"",""es"")"),"Thanh Hóa")</f>
        <v>Thanh Hóa</v>
      </c>
      <c r="F5155" s="9" t="str">
        <f>IFERROR(__xludf.DUMMYFUNCTION("GOOGLETRANSLATE($A5155,""en"",""it"")"),"Thanh Hoa")</f>
        <v>Thanh Hoa</v>
      </c>
      <c r="G5155" s="9" t="str">
        <f>IFERROR(__xludf.DUMMYFUNCTION("GOOGLETRANSLATE($A5155,""en"",""zh-cn"")"),"清化")</f>
        <v>清化</v>
      </c>
      <c r="H5155" s="9" t="str">
        <f>IFERROR(__xludf.DUMMYFUNCTION("GOOGLETRANSLATE($A5155,""en"",""ja"")"),"タインホア")</f>
        <v>タインホア</v>
      </c>
      <c r="I5155" s="9" t="str">
        <f>IFERROR(__xludf.DUMMYFUNCTION("GOOGLETRANSLATE($A5155,""en"",""ko"")"),"탄호아")</f>
        <v>탄호아</v>
      </c>
      <c r="J5155" s="9" t="str">
        <f>IFERROR(__xludf.DUMMYFUNCTION("GOOGLETRANSLATE($A5155,""en"",""pt-BR"")"),"Thanh Hóa")</f>
        <v>Thanh Hóa</v>
      </c>
    </row>
    <row r="5156">
      <c r="A5156" s="9" t="str">
        <f>IFERROR(__xludf.DUMMYFUNCTION("""COMPUTED_VALUE"""),"Sơn La")</f>
        <v>Sơn La</v>
      </c>
      <c r="B5156" s="9" t="str">
        <f>IFERROR(__xludf.DUMMYFUNCTION("""COMPUTED_VALUE"""),"vn-05")</f>
        <v>vn-05</v>
      </c>
      <c r="C5156" s="9" t="str">
        <f>IFERROR(__xludf.DUMMYFUNCTION("GOOGLETRANSLATE($A5156,""en"",""de"")"),"Sơn La")</f>
        <v>Sơn La</v>
      </c>
      <c r="D5156" s="9" t="str">
        <f>IFERROR(__xludf.DUMMYFUNCTION("GOOGLETRANSLATE($A5156,""en"",""fr"")"),"Sơn La")</f>
        <v>Sơn La</v>
      </c>
      <c r="E5156" s="9" t="str">
        <f>IFERROR(__xludf.DUMMYFUNCTION("GOOGLETRANSLATE($A5156,""en"",""es"")"),"Sơn La")</f>
        <v>Sơn La</v>
      </c>
      <c r="F5156" s="9" t="str">
        <f>IFERROR(__xludf.DUMMYFUNCTION("GOOGLETRANSLATE($A5156,""en"",""it"")"),"Son La")</f>
        <v>Son La</v>
      </c>
      <c r="G5156" s="9" t="str">
        <f>IFERROR(__xludf.DUMMYFUNCTION("GOOGLETRANSLATE($A5156,""en"",""zh-cn"")"),"山罗")</f>
        <v>山罗</v>
      </c>
      <c r="H5156" s="9" t="str">
        <f>IFERROR(__xludf.DUMMYFUNCTION("GOOGLETRANSLATE($A5156,""en"",""ja"")"),"ソンラ")</f>
        <v>ソンラ</v>
      </c>
      <c r="I5156" s="9" t="str">
        <f>IFERROR(__xludf.DUMMYFUNCTION("GOOGLETRANSLATE($A5156,""en"",""ko"")"),"손 라")</f>
        <v>손 라</v>
      </c>
      <c r="J5156" s="9" t="str">
        <f>IFERROR(__xludf.DUMMYFUNCTION("GOOGLETRANSLATE($A5156,""en"",""pt-BR"")"),"Sơn La")</f>
        <v>Sơn La</v>
      </c>
    </row>
    <row r="5157">
      <c r="A5157" s="9" t="str">
        <f>IFERROR(__xludf.DUMMYFUNCTION("""COMPUTED_VALUE"""),"Yên Bái")</f>
        <v>Yên Bái</v>
      </c>
      <c r="B5157" s="9" t="str">
        <f>IFERROR(__xludf.DUMMYFUNCTION("""COMPUTED_VALUE"""),"vn-06")</f>
        <v>vn-06</v>
      </c>
      <c r="C5157" s="9" t="str">
        <f>IFERROR(__xludf.DUMMYFUNCTION("GOOGLETRANSLATE($A5157,""en"",""de"")"),"Yên Bái")</f>
        <v>Yên Bái</v>
      </c>
      <c r="D5157" s="9" t="str">
        <f>IFERROR(__xludf.DUMMYFUNCTION("GOOGLETRANSLATE($A5157,""en"",""fr"")"),"Yên Bái")</f>
        <v>Yên Bái</v>
      </c>
      <c r="E5157" s="9" t="str">
        <f>IFERROR(__xludf.DUMMYFUNCTION("GOOGLETRANSLATE($A5157,""en"",""es"")"),"Yên Bái")</f>
        <v>Yên Bái</v>
      </c>
      <c r="F5157" s="9" t="str">
        <f>IFERROR(__xludf.DUMMYFUNCTION("GOOGLETRANSLATE($A5157,""en"",""it"")"),"Yen Bai")</f>
        <v>Yen Bai</v>
      </c>
      <c r="G5157" s="9" t="str">
        <f>IFERROR(__xludf.DUMMYFUNCTION("GOOGLETRANSLATE($A5157,""en"",""zh-cn"")"),"颜白")</f>
        <v>颜白</v>
      </c>
      <c r="H5157" s="9" t="str">
        <f>IFERROR(__xludf.DUMMYFUNCTION("GOOGLETRANSLATE($A5157,""en"",""ja"")"),"イェンバイ")</f>
        <v>イェンバイ</v>
      </c>
      <c r="I5157" s="9" t="str">
        <f>IFERROR(__xludf.DUMMYFUNCTION("GOOGLETRANSLATE($A5157,""en"",""ko"")"),"바이옌")</f>
        <v>바이옌</v>
      </c>
      <c r="J5157" s="9" t="str">
        <f>IFERROR(__xludf.DUMMYFUNCTION("GOOGLETRANSLATE($A5157,""en"",""pt-BR"")"),"Yên Bái")</f>
        <v>Yên Bái</v>
      </c>
    </row>
    <row r="5158">
      <c r="A5158" s="9" t="str">
        <f>IFERROR(__xludf.DUMMYFUNCTION("""COMPUTED_VALUE"""),"Ninh Bình")</f>
        <v>Ninh Bình</v>
      </c>
      <c r="B5158" s="9" t="str">
        <f>IFERROR(__xludf.DUMMYFUNCTION("""COMPUTED_VALUE"""),"vn-18")</f>
        <v>vn-18</v>
      </c>
      <c r="C5158" s="9" t="str">
        <f>IFERROR(__xludf.DUMMYFUNCTION("GOOGLETRANSLATE($A5158,""en"",""de"")"),"Ninh Bình")</f>
        <v>Ninh Bình</v>
      </c>
      <c r="D5158" s="9" t="str">
        <f>IFERROR(__xludf.DUMMYFUNCTION("GOOGLETRANSLATE($A5158,""en"",""fr"")"),"Ninh Bình")</f>
        <v>Ninh Bình</v>
      </c>
      <c r="E5158" s="9" t="str">
        <f>IFERROR(__xludf.DUMMYFUNCTION("GOOGLETRANSLATE($A5158,""en"",""es"")"),"Ninh Binh")</f>
        <v>Ninh Binh</v>
      </c>
      <c r="F5158" s="9" t="str">
        <f>IFERROR(__xludf.DUMMYFUNCTION("GOOGLETRANSLATE($A5158,""en"",""it"")"),"Ninh Bình")</f>
        <v>Ninh Bình</v>
      </c>
      <c r="G5158" s="9" t="str">
        <f>IFERROR(__xludf.DUMMYFUNCTION("GOOGLETRANSLATE($A5158,""en"",""zh-cn"")"),"宁平")</f>
        <v>宁平</v>
      </c>
      <c r="H5158" s="9" t="str">
        <f>IFERROR(__xludf.DUMMYFUNCTION("GOOGLETRANSLATE($A5158,""en"",""ja"")"),"ニンビン")</f>
        <v>ニンビン</v>
      </c>
      <c r="I5158" s="9" t="str">
        <f>IFERROR(__xludf.DUMMYFUNCTION("GOOGLETRANSLATE($A5158,""en"",""ko"")"),"닌빈")</f>
        <v>닌빈</v>
      </c>
      <c r="J5158" s="9" t="str">
        <f>IFERROR(__xludf.DUMMYFUNCTION("GOOGLETRANSLATE($A5158,""en"",""pt-BR"")"),"Ninh Binh")</f>
        <v>Ninh Binh</v>
      </c>
    </row>
    <row r="5159">
      <c r="A5159" s="9" t="str">
        <f>IFERROR(__xludf.DUMMYFUNCTION("""COMPUTED_VALUE"""),"Bình Phước")</f>
        <v>Bình Phước</v>
      </c>
      <c r="B5159" s="9" t="str">
        <f>IFERROR(__xludf.DUMMYFUNCTION("""COMPUTED_VALUE"""),"vn-58")</f>
        <v>vn-58</v>
      </c>
      <c r="C5159" s="9" t="str">
        <f>IFERROR(__xludf.DUMMYFUNCTION("GOOGLETRANSLATE($A5159,""en"",""de"")"),"Bình Phước")</f>
        <v>Bình Phước</v>
      </c>
      <c r="D5159" s="9" t="str">
        <f>IFERROR(__xludf.DUMMYFUNCTION("GOOGLETRANSLATE($A5159,""en"",""fr"")"),"Bình Phước")</f>
        <v>Bình Phước</v>
      </c>
      <c r="E5159" s="9" t="str">
        <f>IFERROR(__xludf.DUMMYFUNCTION("GOOGLETRANSLATE($A5159,""en"",""es"")"),"Bình Phước")</f>
        <v>Bình Phước</v>
      </c>
      <c r="F5159" s="9" t="str">
        <f>IFERROR(__xludf.DUMMYFUNCTION("GOOGLETRANSLATE($A5159,""en"",""it"")"),"Bình Phước")</f>
        <v>Bình Phước</v>
      </c>
      <c r="G5159" s="9" t="str">
        <f>IFERROR(__xludf.DUMMYFUNCTION("GOOGLETRANSLATE($A5159,""en"",""zh-cn"")"),"平福")</f>
        <v>平福</v>
      </c>
      <c r="H5159" s="9" t="str">
        <f>IFERROR(__xludf.DUMMYFUNCTION("GOOGLETRANSLATE($A5159,""en"",""ja"")"),"ビン・フック")</f>
        <v>ビン・フック</v>
      </c>
      <c r="I5159" s="9" t="str">
        <f>IFERROR(__xludf.DUMMYFUNCTION("GOOGLETRANSLATE($A5159,""en"",""ko"")"),"빈프억")</f>
        <v>빈프억</v>
      </c>
      <c r="J5159" s="9" t="str">
        <f>IFERROR(__xludf.DUMMYFUNCTION("GOOGLETRANSLATE($A5159,""en"",""pt-BR"")"),"Bình Phước")</f>
        <v>Bình Phước</v>
      </c>
    </row>
    <row r="5160">
      <c r="A5160" s="9" t="str">
        <f>IFERROR(__xludf.DUMMYFUNCTION("""COMPUTED_VALUE"""),"Hậu Giang")</f>
        <v>Hậu Giang</v>
      </c>
      <c r="B5160" s="9" t="str">
        <f>IFERROR(__xludf.DUMMYFUNCTION("""COMPUTED_VALUE"""),"vn-73")</f>
        <v>vn-73</v>
      </c>
      <c r="C5160" s="9" t="str">
        <f>IFERROR(__xludf.DUMMYFUNCTION("GOOGLETRANSLATE($A5160,""en"",""de"")"),"Hậu Giang")</f>
        <v>Hậu Giang</v>
      </c>
      <c r="D5160" s="9" t="str">
        <f>IFERROR(__xludf.DUMMYFUNCTION("GOOGLETRANSLATE($A5160,""en"",""fr"")"),"Hu Giang")</f>
        <v>Hu Giang</v>
      </c>
      <c r="E5160" s="9" t="str">
        <f>IFERROR(__xludf.DUMMYFUNCTION("GOOGLETRANSLATE($A5160,""en"",""es"")"),"Hậu Giang")</f>
        <v>Hậu Giang</v>
      </c>
      <c r="F5160" s="9" t="str">
        <f>IFERROR(__xludf.DUMMYFUNCTION("GOOGLETRANSLATE($A5160,""en"",""it"")"),"Hậu Giang")</f>
        <v>Hậu Giang</v>
      </c>
      <c r="G5160" s="9" t="str">
        <f>IFERROR(__xludf.DUMMYFUNCTION("GOOGLETRANSLATE($A5160,""en"",""zh-cn"")"),"后江")</f>
        <v>后江</v>
      </c>
      <c r="H5160" s="9" t="str">
        <f>IFERROR(__xludf.DUMMYFUNCTION("GOOGLETRANSLATE($A5160,""en"",""ja"")"),"フーザン")</f>
        <v>フーザン</v>
      </c>
      <c r="I5160" s="9" t="str">
        <f>IFERROR(__xludf.DUMMYFUNCTION("GOOGLETRANSLATE($A5160,""en"",""ko"")"),"하우장")</f>
        <v>하우장</v>
      </c>
      <c r="J5160" s="9" t="str">
        <f>IFERROR(__xludf.DUMMYFUNCTION("GOOGLETRANSLATE($A5160,""en"",""pt-BR"")"),"Hậu Giang")</f>
        <v>Hậu Giang</v>
      </c>
    </row>
    <row r="5161">
      <c r="A5161" s="9" t="str">
        <f>IFERROR(__xludf.DUMMYFUNCTION("""COMPUTED_VALUE"""),"Hòa Bình")</f>
        <v>Hòa Bình</v>
      </c>
      <c r="B5161" s="9" t="str">
        <f>IFERROR(__xludf.DUMMYFUNCTION("""COMPUTED_VALUE"""),"vn-14")</f>
        <v>vn-14</v>
      </c>
      <c r="C5161" s="9" t="str">
        <f>IFERROR(__xludf.DUMMYFUNCTION("GOOGLETRANSLATE($A5161,""en"",""de"")"),"Hòa Bình")</f>
        <v>Hòa Bình</v>
      </c>
      <c r="D5161" s="9" t="str">
        <f>IFERROR(__xludf.DUMMYFUNCTION("GOOGLETRANSLATE($A5161,""en"",""fr"")"),"Hòa Bình")</f>
        <v>Hòa Bình</v>
      </c>
      <c r="E5161" s="9" t="str">
        <f>IFERROR(__xludf.DUMMYFUNCTION("GOOGLETRANSLATE($A5161,""en"",""es"")"),"Hòa Bình")</f>
        <v>Hòa Bình</v>
      </c>
      <c r="F5161" s="9" t="str">
        <f>IFERROR(__xludf.DUMMYFUNCTION("GOOGLETRANSLATE($A5161,""en"",""it"")"),"Hòa Bình")</f>
        <v>Hòa Bình</v>
      </c>
      <c r="G5161" s="9" t="str">
        <f>IFERROR(__xludf.DUMMYFUNCTION("GOOGLETRANSLATE($A5161,""en"",""zh-cn"")"),"和平")</f>
        <v>和平</v>
      </c>
      <c r="H5161" s="9" t="str">
        <f>IFERROR(__xludf.DUMMYFUNCTION("GOOGLETRANSLATE($A5161,""en"",""ja"")"),"ホアビン")</f>
        <v>ホアビン</v>
      </c>
      <c r="I5161" s="9" t="str">
        <f>IFERROR(__xludf.DUMMYFUNCTION("GOOGLETRANSLATE($A5161,""en"",""ko"")"),"호아빈")</f>
        <v>호아빈</v>
      </c>
      <c r="J5161" s="9" t="str">
        <f>IFERROR(__xludf.DUMMYFUNCTION("GOOGLETRANSLATE($A5161,""en"",""pt-BR"")"),"Hòa Bình")</f>
        <v>Hòa Bình</v>
      </c>
    </row>
    <row r="5162">
      <c r="A5162" s="9" t="str">
        <f>IFERROR(__xludf.DUMMYFUNCTION("""COMPUTED_VALUE"""),"Đồng Nai")</f>
        <v>Đồng Nai</v>
      </c>
      <c r="B5162" s="9" t="str">
        <f>IFERROR(__xludf.DUMMYFUNCTION("""COMPUTED_VALUE"""),"vn-39")</f>
        <v>vn-39</v>
      </c>
      <c r="C5162" s="9" t="str">
        <f>IFERROR(__xludf.DUMMYFUNCTION("GOOGLETRANSLATE($A5162,""en"",""de"")"),"Đồng Nai")</f>
        <v>Đồng Nai</v>
      </c>
      <c r="D5162" s="9" t="str">
        <f>IFERROR(__xludf.DUMMYFUNCTION("GOOGLETRANSLATE($A5162,""en"",""fr"")"),"Đồng Nai")</f>
        <v>Đồng Nai</v>
      </c>
      <c r="E5162" s="9" t="str">
        <f>IFERROR(__xludf.DUMMYFUNCTION("GOOGLETRANSLATE($A5162,""en"",""es"")"),"Đồng Nai")</f>
        <v>Đồng Nai</v>
      </c>
      <c r="F5162" s="9" t="str">
        <f>IFERROR(__xludf.DUMMYFUNCTION("GOOGLETRANSLATE($A5162,""en"",""it"")"),"Đồng Nai")</f>
        <v>Đồng Nai</v>
      </c>
      <c r="G5162" s="9" t="str">
        <f>IFERROR(__xludf.DUMMYFUNCTION("GOOGLETRANSLATE($A5162,""en"",""zh-cn"")"),"同奈省")</f>
        <v>同奈省</v>
      </c>
      <c r="H5162" s="9" t="str">
        <f>IFERROR(__xludf.DUMMYFUNCTION("GOOGLETRANSLATE($A5162,""en"",""ja"")"),"ドンナイ")</f>
        <v>ドンナイ</v>
      </c>
      <c r="I5162" s="9" t="str">
        <f>IFERROR(__xludf.DUMMYFUNCTION("GOOGLETRANSLATE($A5162,""en"",""ko"")"),"동나이")</f>
        <v>동나이</v>
      </c>
      <c r="J5162" s="9" t="str">
        <f>IFERROR(__xludf.DUMMYFUNCTION("GOOGLETRANSLATE($A5162,""en"",""pt-BR"")"),"Dong Nai")</f>
        <v>Dong Nai</v>
      </c>
    </row>
    <row r="5163">
      <c r="A5163" s="9" t="str">
        <f>IFERROR(__xludf.DUMMYFUNCTION("""COMPUTED_VALUE"""),"Hà Nam")</f>
        <v>Hà Nam</v>
      </c>
      <c r="B5163" s="9" t="str">
        <f>IFERROR(__xludf.DUMMYFUNCTION("""COMPUTED_VALUE"""),"vn-63")</f>
        <v>vn-63</v>
      </c>
      <c r="C5163" s="9" t="str">
        <f>IFERROR(__xludf.DUMMYFUNCTION("GOOGLETRANSLATE($A5163,""en"",""de"")"),"Hà Nam")</f>
        <v>Hà Nam</v>
      </c>
      <c r="D5163" s="9" t="str">
        <f>IFERROR(__xludf.DUMMYFUNCTION("GOOGLETRANSLATE($A5163,""en"",""fr"")"),"Ha Nam")</f>
        <v>Ha Nam</v>
      </c>
      <c r="E5163" s="9" t="str">
        <f>IFERROR(__xludf.DUMMYFUNCTION("GOOGLETRANSLATE($A5163,""en"",""es"")"),"Hà Nam")</f>
        <v>Hà Nam</v>
      </c>
      <c r="F5163" s="9" t="str">
        <f>IFERROR(__xludf.DUMMYFUNCTION("GOOGLETRANSLATE($A5163,""en"",""it"")"),"Hà Nam")</f>
        <v>Hà Nam</v>
      </c>
      <c r="G5163" s="9" t="str">
        <f>IFERROR(__xludf.DUMMYFUNCTION("GOOGLETRANSLATE($A5163,""en"",""zh-cn"")"),"河南省")</f>
        <v>河南省</v>
      </c>
      <c r="H5163" s="9" t="str">
        <f>IFERROR(__xludf.DUMMYFUNCTION("GOOGLETRANSLATE($A5163,""en"",""ja"")"),"ハナム")</f>
        <v>ハナム</v>
      </c>
      <c r="I5163" s="9" t="str">
        <f>IFERROR(__xludf.DUMMYFUNCTION("GOOGLETRANSLATE($A5163,""en"",""ko"")"),"하남")</f>
        <v>하남</v>
      </c>
      <c r="J5163" s="9" t="str">
        <f>IFERROR(__xludf.DUMMYFUNCTION("GOOGLETRANSLATE($A5163,""en"",""pt-BR"")"),"Hà Nam")</f>
        <v>Hà Nam</v>
      </c>
    </row>
    <row r="5164">
      <c r="A5164" s="9" t="str">
        <f>IFERROR(__xludf.DUMMYFUNCTION("""COMPUTED_VALUE"""),"Bình Định")</f>
        <v>Bình Định</v>
      </c>
      <c r="B5164" s="9" t="str">
        <f>IFERROR(__xludf.DUMMYFUNCTION("""COMPUTED_VALUE"""),"vn-31")</f>
        <v>vn-31</v>
      </c>
      <c r="C5164" s="9" t="str">
        <f>IFERROR(__xludf.DUMMYFUNCTION("GOOGLETRANSLATE($A5164,""en"",""de"")"),"Bình Định")</f>
        <v>Bình Định</v>
      </c>
      <c r="D5164" s="9" t="str">
        <f>IFERROR(__xludf.DUMMYFUNCTION("GOOGLETRANSLATE($A5164,""en"",""fr"")"),"Bình Định")</f>
        <v>Bình Định</v>
      </c>
      <c r="E5164" s="9" t="str">
        <f>IFERROR(__xludf.DUMMYFUNCTION("GOOGLETRANSLATE($A5164,""en"",""es"")"),"Bình Định")</f>
        <v>Bình Định</v>
      </c>
      <c r="F5164" s="9" t="str">
        <f>IFERROR(__xludf.DUMMYFUNCTION("GOOGLETRANSLATE($A5164,""en"",""it"")"),"Bình Định")</f>
        <v>Bình Định</v>
      </c>
      <c r="G5164" s="9" t="str">
        <f>IFERROR(__xludf.DUMMYFUNCTION("GOOGLETRANSLATE($A5164,""en"",""zh-cn"")"),"平定")</f>
        <v>平定</v>
      </c>
      <c r="H5164" s="9" t="str">
        <f>IFERROR(__xludf.DUMMYFUNCTION("GOOGLETRANSLATE($A5164,""en"",""ja"")"),"ビンディン")</f>
        <v>ビンディン</v>
      </c>
      <c r="I5164" s="9" t="str">
        <f>IFERROR(__xludf.DUMMYFUNCTION("GOOGLETRANSLATE($A5164,""en"",""ko"")"),"빈딘")</f>
        <v>빈딘</v>
      </c>
      <c r="J5164" s="9" t="str">
        <f>IFERROR(__xludf.DUMMYFUNCTION("GOOGLETRANSLATE($A5164,""en"",""pt-BR"")"),"Bình Định")</f>
        <v>Bình Định</v>
      </c>
    </row>
    <row r="5165">
      <c r="A5165" s="9" t="str">
        <f>IFERROR(__xludf.DUMMYFUNCTION("""COMPUTED_VALUE"""),"Quảng Ninh")</f>
        <v>Quảng Ninh</v>
      </c>
      <c r="B5165" s="9" t="str">
        <f>IFERROR(__xludf.DUMMYFUNCTION("""COMPUTED_VALUE"""),"vn-13")</f>
        <v>vn-13</v>
      </c>
      <c r="C5165" s="9" t="str">
        <f>IFERROR(__xludf.DUMMYFUNCTION("GOOGLETRANSLATE($A5165,""en"",""de"")"),"Quảng Ninh")</f>
        <v>Quảng Ninh</v>
      </c>
      <c r="D5165" s="9" t="str">
        <f>IFERROR(__xludf.DUMMYFUNCTION("GOOGLETRANSLATE($A5165,""en"",""fr"")"),"Quảng Ninh")</f>
        <v>Quảng Ninh</v>
      </c>
      <c r="E5165" s="9" t="str">
        <f>IFERROR(__xludf.DUMMYFUNCTION("GOOGLETRANSLATE($A5165,""en"",""es"")"),"Quảng Ninh")</f>
        <v>Quảng Ninh</v>
      </c>
      <c r="F5165" s="9" t="str">
        <f>IFERROR(__xludf.DUMMYFUNCTION("GOOGLETRANSLATE($A5165,""en"",""it"")"),"Quang Ninh")</f>
        <v>Quang Ninh</v>
      </c>
      <c r="G5165" s="9" t="str">
        <f>IFERROR(__xludf.DUMMYFUNCTION("GOOGLETRANSLATE($A5165,""en"",""zh-cn"")"),"广宁省")</f>
        <v>广宁省</v>
      </c>
      <c r="H5165" s="9" t="str">
        <f>IFERROR(__xludf.DUMMYFUNCTION("GOOGLETRANSLATE($A5165,""en"",""ja"")"),"クアンニン省")</f>
        <v>クアンニン省</v>
      </c>
      <c r="I5165" s="9" t="str">
        <f>IFERROR(__xludf.DUMMYFUNCTION("GOOGLETRANSLATE($A5165,""en"",""ko"")"),"꽝닌")</f>
        <v>꽝닌</v>
      </c>
      <c r="J5165" s="9" t="str">
        <f>IFERROR(__xludf.DUMMYFUNCTION("GOOGLETRANSLATE($A5165,""en"",""pt-BR"")"),"Quảng Ninh")</f>
        <v>Quảng Ninh</v>
      </c>
    </row>
    <row r="5166">
      <c r="A5166" s="9" t="str">
        <f>IFERROR(__xludf.DUMMYFUNCTION("""COMPUTED_VALUE"""),"Long An")</f>
        <v>Long An</v>
      </c>
      <c r="B5166" s="9" t="str">
        <f>IFERROR(__xludf.DUMMYFUNCTION("""COMPUTED_VALUE"""),"vn-41")</f>
        <v>vn-41</v>
      </c>
      <c r="C5166" s="9" t="str">
        <f>IFERROR(__xludf.DUMMYFUNCTION("GOOGLETRANSLATE($A5166,""en"",""de"")"),"Lange An")</f>
        <v>Lange An</v>
      </c>
      <c r="D5166" s="9" t="str">
        <f>IFERROR(__xludf.DUMMYFUNCTION("GOOGLETRANSLATE($A5166,""en"",""fr"")"),"Longtemps un")</f>
        <v>Longtemps un</v>
      </c>
      <c r="E5166" s="9" t="str">
        <f>IFERROR(__xludf.DUMMYFUNCTION("GOOGLETRANSLATE($A5166,""en"",""es"")"),"largo an")</f>
        <v>largo an</v>
      </c>
      <c r="F5166" s="9" t="str">
        <f>IFERROR(__xludf.DUMMYFUNCTION("GOOGLETRANSLATE($A5166,""en"",""it"")"),"Lungo An")</f>
        <v>Lungo An</v>
      </c>
      <c r="G5166" s="9" t="str">
        <f>IFERROR(__xludf.DUMMYFUNCTION("GOOGLETRANSLATE($A5166,""en"",""zh-cn"")"),"隆安")</f>
        <v>隆安</v>
      </c>
      <c r="H5166" s="9" t="str">
        <f>IFERROR(__xludf.DUMMYFUNCTION("GOOGLETRANSLATE($A5166,""en"",""ja"")"),"ロンアン")</f>
        <v>ロンアン</v>
      </c>
      <c r="I5166" s="9" t="str">
        <f>IFERROR(__xludf.DUMMYFUNCTION("GOOGLETRANSLATE($A5166,""en"",""ko"")"),"롱안")</f>
        <v>롱안</v>
      </c>
      <c r="J5166" s="9" t="str">
        <f>IFERROR(__xludf.DUMMYFUNCTION("GOOGLETRANSLATE($A5166,""en"",""pt-BR"")"),"Longo Um")</f>
        <v>Longo Um</v>
      </c>
    </row>
    <row r="5167">
      <c r="A5167" s="9" t="str">
        <f>IFERROR(__xludf.DUMMYFUNCTION("""COMPUTED_VALUE"""),"Quảng Nam")</f>
        <v>Quảng Nam</v>
      </c>
      <c r="B5167" s="9" t="str">
        <f>IFERROR(__xludf.DUMMYFUNCTION("""COMPUTED_VALUE"""),"vn-27")</f>
        <v>vn-27</v>
      </c>
      <c r="C5167" s="9" t="str">
        <f>IFERROR(__xludf.DUMMYFUNCTION("GOOGLETRANSLATE($A5167,""en"",""de"")"),"Quảng Nam")</f>
        <v>Quảng Nam</v>
      </c>
      <c r="D5167" s="9" t="str">
        <f>IFERROR(__xludf.DUMMYFUNCTION("GOOGLETRANSLATE($A5167,""en"",""fr"")"),"Quảng Nam")</f>
        <v>Quảng Nam</v>
      </c>
      <c r="E5167" s="9" t="str">
        <f>IFERROR(__xludf.DUMMYFUNCTION("GOOGLETRANSLATE($A5167,""en"",""es"")"),"Quang Nam")</f>
        <v>Quang Nam</v>
      </c>
      <c r="F5167" s="9" t="str">
        <f>IFERROR(__xludf.DUMMYFUNCTION("GOOGLETRANSLATE($A5167,""en"",""it"")"),"Quang Nam")</f>
        <v>Quang Nam</v>
      </c>
      <c r="G5167" s="9" t="str">
        <f>IFERROR(__xludf.DUMMYFUNCTION("GOOGLETRANSLATE($A5167,""en"",""zh-cn"")"),"广南省")</f>
        <v>广南省</v>
      </c>
      <c r="H5167" s="9" t="str">
        <f>IFERROR(__xludf.DUMMYFUNCTION("GOOGLETRANSLATE($A5167,""en"",""ja"")"),"クアンナム省")</f>
        <v>クアンナム省</v>
      </c>
      <c r="I5167" s="9" t="str">
        <f>IFERROR(__xludf.DUMMYFUNCTION("GOOGLETRANSLATE($A5167,""en"",""ko"")"),"꽝남")</f>
        <v>꽝남</v>
      </c>
      <c r="J5167" s="9" t="str">
        <f>IFERROR(__xludf.DUMMYFUNCTION("GOOGLETRANSLATE($A5167,""en"",""pt-BR"")"),"Quảng Nam")</f>
        <v>Quảng Nam</v>
      </c>
    </row>
    <row r="5168">
      <c r="A5168" s="9" t="str">
        <f>IFERROR(__xludf.DUMMYFUNCTION("""COMPUTED_VALUE"""),"Đồng Tháp")</f>
        <v>Đồng Tháp</v>
      </c>
      <c r="B5168" s="9" t="str">
        <f>IFERROR(__xludf.DUMMYFUNCTION("""COMPUTED_VALUE"""),"vn-45")</f>
        <v>vn-45</v>
      </c>
      <c r="C5168" s="9" t="str">
        <f>IFERROR(__xludf.DUMMYFUNCTION("GOOGLETRANSLATE($A5168,""en"",""de"")"),"Đồng Tháp")</f>
        <v>Đồng Tháp</v>
      </c>
      <c r="D5168" s="9" t="str">
        <f>IFERROR(__xludf.DUMMYFUNCTION("GOOGLETRANSLATE($A5168,""en"",""fr"")"),"Đồng Tháp")</f>
        <v>Đồng Tháp</v>
      </c>
      <c r="E5168" s="9" t="str">
        <f>IFERROR(__xludf.DUMMYFUNCTION("GOOGLETRANSLATE($A5168,""en"",""es"")"),"Đồng Tháp")</f>
        <v>Đồng Tháp</v>
      </c>
      <c r="F5168" s="9" t="str">
        <f>IFERROR(__xludf.DUMMYFUNCTION("GOOGLETRANSLATE($A5168,""en"",""it"")"),"Đồng Tháp")</f>
        <v>Đồng Tháp</v>
      </c>
      <c r="G5168" s="9" t="str">
        <f>IFERROR(__xludf.DUMMYFUNCTION("GOOGLETRANSLATE($A5168,""en"",""zh-cn"")"),"同塔")</f>
        <v>同塔</v>
      </c>
      <c r="H5168" s="9" t="str">
        <f>IFERROR(__xludf.DUMMYFUNCTION("GOOGLETRANSLATE($A5168,""en"",""ja"")"),"ドンタップ")</f>
        <v>ドンタップ</v>
      </c>
      <c r="I5168" s="9" t="str">
        <f>IFERROR(__xludf.DUMMYFUNCTION("GOOGLETRANSLATE($A5168,""en"",""ko"")"),"동탑")</f>
        <v>동탑</v>
      </c>
      <c r="J5168" s="9" t="str">
        <f>IFERROR(__xludf.DUMMYFUNCTION("GOOGLETRANSLATE($A5168,""en"",""pt-BR"")"),"Đồng Tháp")</f>
        <v>Đồng Tháp</v>
      </c>
    </row>
    <row r="5169">
      <c r="A5169" s="9" t="str">
        <f>IFERROR(__xludf.DUMMYFUNCTION("""COMPUTED_VALUE"""),"Ninh Thuận")</f>
        <v>Ninh Thuận</v>
      </c>
      <c r="B5169" s="9" t="str">
        <f>IFERROR(__xludf.DUMMYFUNCTION("""COMPUTED_VALUE"""),"vn-36")</f>
        <v>vn-36</v>
      </c>
      <c r="C5169" s="9" t="str">
        <f>IFERROR(__xludf.DUMMYFUNCTION("GOOGLETRANSLATE($A5169,""en"",""de"")"),"Ninh Thuận")</f>
        <v>Ninh Thuận</v>
      </c>
      <c r="D5169" s="9" t="str">
        <f>IFERROR(__xludf.DUMMYFUNCTION("GOOGLETRANSLATE($A5169,""en"",""fr"")"),"Ninh Thận")</f>
        <v>Ninh Thận</v>
      </c>
      <c r="E5169" s="9" t="str">
        <f>IFERROR(__xludf.DUMMYFUNCTION("GOOGLETRANSLATE($A5169,""en"",""es"")"),"Ninh Thuận")</f>
        <v>Ninh Thuận</v>
      </c>
      <c r="F5169" s="9" t="str">
        <f>IFERROR(__xludf.DUMMYFUNCTION("GOOGLETRANSLATE($A5169,""en"",""it"")"),"Ninh Thuận")</f>
        <v>Ninh Thuận</v>
      </c>
      <c r="G5169" s="9" t="str">
        <f>IFERROR(__xludf.DUMMYFUNCTION("GOOGLETRANSLATE($A5169,""en"",""zh-cn"")"),"宁顺")</f>
        <v>宁顺</v>
      </c>
      <c r="H5169" s="9" t="str">
        <f>IFERROR(__xludf.DUMMYFUNCTION("GOOGLETRANSLATE($A5169,""en"",""ja"")"),"ニン・トゥン")</f>
        <v>ニン・トゥン</v>
      </c>
      <c r="I5169" s="9" t="str">
        <f>IFERROR(__xludf.DUMMYFUNCTION("GOOGLETRANSLATE($A5169,""en"",""ko"")"),"닌투안")</f>
        <v>닌투안</v>
      </c>
      <c r="J5169" s="9" t="str">
        <f>IFERROR(__xludf.DUMMYFUNCTION("GOOGLETRANSLATE($A5169,""en"",""pt-BR"")"),"Ninh Thuận")</f>
        <v>Ninh Thuận</v>
      </c>
    </row>
    <row r="5170">
      <c r="A5170" s="9" t="str">
        <f>IFERROR(__xludf.DUMMYFUNCTION("""COMPUTED_VALUE"""),"Thái Bình")</f>
        <v>Thái Bình</v>
      </c>
      <c r="B5170" s="9" t="str">
        <f>IFERROR(__xludf.DUMMYFUNCTION("""COMPUTED_VALUE"""),"vn-20")</f>
        <v>vn-20</v>
      </c>
      <c r="C5170" s="9" t="str">
        <f>IFERROR(__xludf.DUMMYFUNCTION("GOOGLETRANSLATE($A5170,""en"",""de"")"),"Thái Bình")</f>
        <v>Thái Bình</v>
      </c>
      <c r="D5170" s="9" t="str">
        <f>IFERROR(__xludf.DUMMYFUNCTION("GOOGLETRANSLATE($A5170,""en"",""fr"")"),"Thai Bình")</f>
        <v>Thai Bình</v>
      </c>
      <c r="E5170" s="9" t="str">
        <f>IFERROR(__xludf.DUMMYFUNCTION("GOOGLETRANSLATE($A5170,""en"",""es"")"),"Thai Bình")</f>
        <v>Thai Bình</v>
      </c>
      <c r="F5170" s="9" t="str">
        <f>IFERROR(__xludf.DUMMYFUNCTION("GOOGLETRANSLATE($A5170,""en"",""it"")"),"Thai Bình")</f>
        <v>Thai Bình</v>
      </c>
      <c r="G5170" s="9" t="str">
        <f>IFERROR(__xludf.DUMMYFUNCTION("GOOGLETRANSLATE($A5170,""en"",""zh-cn"")"),"太平")</f>
        <v>太平</v>
      </c>
      <c r="H5170" s="9" t="str">
        <f>IFERROR(__xludf.DUMMYFUNCTION("GOOGLETRANSLATE($A5170,""en"",""ja"")"),"タイビン")</f>
        <v>タイビン</v>
      </c>
      <c r="I5170" s="9" t="str">
        <f>IFERROR(__xludf.DUMMYFUNCTION("GOOGLETRANSLATE($A5170,""en"",""ko"")"),"타이빈")</f>
        <v>타이빈</v>
      </c>
      <c r="J5170" s="9" t="str">
        <f>IFERROR(__xludf.DUMMYFUNCTION("GOOGLETRANSLATE($A5170,""en"",""pt-BR"")"),"Thai Bình")</f>
        <v>Thai Bình</v>
      </c>
    </row>
    <row r="5171">
      <c r="A5171" s="9" t="str">
        <f>IFERROR(__xludf.DUMMYFUNCTION("""COMPUTED_VALUE"""),"Lào Cai")</f>
        <v>Lào Cai</v>
      </c>
      <c r="B5171" s="9" t="str">
        <f>IFERROR(__xludf.DUMMYFUNCTION("""COMPUTED_VALUE"""),"vn-02")</f>
        <v>vn-02</v>
      </c>
      <c r="C5171" s="9" t="str">
        <f>IFERROR(__xludf.DUMMYFUNCTION("GOOGLETRANSLATE($A5171,""en"",""de"")"),"Lào Cai")</f>
        <v>Lào Cai</v>
      </c>
      <c r="D5171" s="9" t="str">
        <f>IFERROR(__xludf.DUMMYFUNCTION("GOOGLETRANSLATE($A5171,""en"",""fr"")"),"Lào Cai")</f>
        <v>Lào Cai</v>
      </c>
      <c r="E5171" s="9" t="str">
        <f>IFERROR(__xludf.DUMMYFUNCTION("GOOGLETRANSLATE($A5171,""en"",""es"")"),"Lao Cai")</f>
        <v>Lao Cai</v>
      </c>
      <c r="F5171" s="9" t="str">
        <f>IFERROR(__xludf.DUMMYFUNCTION("GOOGLETRANSLATE($A5171,""en"",""it"")"),"Lao Cai")</f>
        <v>Lao Cai</v>
      </c>
      <c r="G5171" s="9" t="str">
        <f>IFERROR(__xludf.DUMMYFUNCTION("GOOGLETRANSLATE($A5171,""en"",""zh-cn"")"),"老街")</f>
        <v>老街</v>
      </c>
      <c r="H5171" s="9" t="str">
        <f>IFERROR(__xludf.DUMMYFUNCTION("GOOGLETRANSLATE($A5171,""en"",""ja"")"),"ラオカイ")</f>
        <v>ラオカイ</v>
      </c>
      <c r="I5171" s="9" t="str">
        <f>IFERROR(__xludf.DUMMYFUNCTION("GOOGLETRANSLATE($A5171,""en"",""ko"")"),"라오까이")</f>
        <v>라오까이</v>
      </c>
      <c r="J5171" s="9" t="str">
        <f>IFERROR(__xludf.DUMMYFUNCTION("GOOGLETRANSLATE($A5171,""en"",""pt-BR"")"),"Lào Cai")</f>
        <v>Lào Cai</v>
      </c>
    </row>
    <row r="5172">
      <c r="A5172" s="9" t="str">
        <f>IFERROR(__xludf.DUMMYFUNCTION("""COMPUTED_VALUE"""),"Quảng Trị")</f>
        <v>Quảng Trị</v>
      </c>
      <c r="B5172" s="9" t="str">
        <f>IFERROR(__xludf.DUMMYFUNCTION("""COMPUTED_VALUE"""),"vn-25")</f>
        <v>vn-25</v>
      </c>
      <c r="C5172" s="9" t="str">
        <f>IFERROR(__xludf.DUMMYFUNCTION("GOOGLETRANSLATE($A5172,""en"",""de"")"),"Quảng Trị")</f>
        <v>Quảng Trị</v>
      </c>
      <c r="D5172" s="9" t="str">
        <f>IFERROR(__xludf.DUMMYFUNCTION("GOOGLETRANSLATE($A5172,""en"",""fr"")"),"Quảng Trị")</f>
        <v>Quảng Trị</v>
      </c>
      <c r="E5172" s="9" t="str">
        <f>IFERROR(__xludf.DUMMYFUNCTION("GOOGLETRANSLATE($A5172,""en"",""es"")"),"Quang Trị")</f>
        <v>Quang Trị</v>
      </c>
      <c r="F5172" s="9" t="str">
        <f>IFERROR(__xludf.DUMMYFUNCTION("GOOGLETRANSLATE($A5172,""en"",""it"")"),"Quang Trị")</f>
        <v>Quang Trị</v>
      </c>
      <c r="G5172" s="9" t="str">
        <f>IFERROR(__xludf.DUMMYFUNCTION("GOOGLETRANSLATE($A5172,""en"",""zh-cn"")"),"广治")</f>
        <v>广治</v>
      </c>
      <c r="H5172" s="9" t="str">
        <f>IFERROR(__xludf.DUMMYFUNCTION("GOOGLETRANSLATE($A5172,""en"",""ja"")"),"クアン・チャン")</f>
        <v>クアン・チャン</v>
      </c>
      <c r="I5172" s="9" t="str">
        <f>IFERROR(__xludf.DUMMYFUNCTION("GOOGLETRANSLATE($A5172,""en"",""ko"")"),"꽝찌(Quảng Trị)")</f>
        <v>꽝찌(Quảng Trị)</v>
      </c>
      <c r="J5172" s="9" t="str">
        <f>IFERROR(__xludf.DUMMYFUNCTION("GOOGLETRANSLATE($A5172,""en"",""pt-BR"")"),"Quảng Trị")</f>
        <v>Quảng Trị</v>
      </c>
    </row>
    <row r="5173">
      <c r="A5173" s="9" t="str">
        <f>IFERROR(__xludf.DUMMYFUNCTION("""COMPUTED_VALUE"""),"Trà Vinh")</f>
        <v>Trà Vinh</v>
      </c>
      <c r="B5173" s="9" t="str">
        <f>IFERROR(__xludf.DUMMYFUNCTION("""COMPUTED_VALUE"""),"vn-51")</f>
        <v>vn-51</v>
      </c>
      <c r="C5173" s="9" t="str">
        <f>IFERROR(__xludf.DUMMYFUNCTION("GOOGLETRANSLATE($A5173,""en"",""de"")"),"Trà Vinh")</f>
        <v>Trà Vinh</v>
      </c>
      <c r="D5173" s="9" t="str">
        <f>IFERROR(__xludf.DUMMYFUNCTION("GOOGLETRANSLATE($A5173,""en"",""fr"")"),"Tra Vinh")</f>
        <v>Tra Vinh</v>
      </c>
      <c r="E5173" s="9" t="str">
        <f>IFERROR(__xludf.DUMMYFUNCTION("GOOGLETRANSLATE($A5173,""en"",""es"")"),"Trà Vinh")</f>
        <v>Trà Vinh</v>
      </c>
      <c r="F5173" s="9" t="str">
        <f>IFERROR(__xludf.DUMMYFUNCTION("GOOGLETRANSLATE($A5173,""en"",""it"")"),"Trà Vinh")</f>
        <v>Trà Vinh</v>
      </c>
      <c r="G5173" s="9" t="str">
        <f>IFERROR(__xludf.DUMMYFUNCTION("GOOGLETRANSLATE($A5173,""en"",""zh-cn"")"),"茶荣市")</f>
        <v>茶荣市</v>
      </c>
      <c r="H5173" s="9" t="str">
        <f>IFERROR(__xludf.DUMMYFUNCTION("GOOGLETRANSLATE($A5173,""en"",""ja"")"),"トラ・ヴィン")</f>
        <v>トラ・ヴィン</v>
      </c>
      <c r="I5173" s="9" t="str">
        <f>IFERROR(__xludf.DUMMYFUNCTION("GOOGLETRANSLATE($A5173,""en"",""ko"")"),"짜빈")</f>
        <v>짜빈</v>
      </c>
      <c r="J5173" s="9" t="str">
        <f>IFERROR(__xludf.DUMMYFUNCTION("GOOGLETRANSLATE($A5173,""en"",""pt-BR"")"),"Trá Vinh")</f>
        <v>Trá Vinh</v>
      </c>
    </row>
    <row r="5174">
      <c r="A5174" s="9" t="str">
        <f>IFERROR(__xludf.DUMMYFUNCTION("""COMPUTED_VALUE"""),"Kon Tum")</f>
        <v>Kon Tum</v>
      </c>
      <c r="B5174" s="9" t="str">
        <f>IFERROR(__xludf.DUMMYFUNCTION("""COMPUTED_VALUE"""),"vn-28")</f>
        <v>vn-28</v>
      </c>
      <c r="C5174" s="9" t="str">
        <f>IFERROR(__xludf.DUMMYFUNCTION("GOOGLETRANSLATE($A5174,""en"",""de"")"),"Kon Tum")</f>
        <v>Kon Tum</v>
      </c>
      <c r="D5174" s="9" t="str">
        <f>IFERROR(__xludf.DUMMYFUNCTION("GOOGLETRANSLATE($A5174,""en"",""fr"")"),"Kon Tum")</f>
        <v>Kon Tum</v>
      </c>
      <c r="E5174" s="9" t="str">
        <f>IFERROR(__xludf.DUMMYFUNCTION("GOOGLETRANSLATE($A5174,""en"",""es"")"),"Kon Tum")</f>
        <v>Kon Tum</v>
      </c>
      <c r="F5174" s="9" t="str">
        <f>IFERROR(__xludf.DUMMYFUNCTION("GOOGLETRANSLATE($A5174,""en"",""it"")"),"Kon Tum")</f>
        <v>Kon Tum</v>
      </c>
      <c r="G5174" s="9" t="str">
        <f>IFERROR(__xludf.DUMMYFUNCTION("GOOGLETRANSLATE($A5174,""en"",""zh-cn"")"),"昆嵩省")</f>
        <v>昆嵩省</v>
      </c>
      <c r="H5174" s="9" t="str">
        <f>IFERROR(__xludf.DUMMYFUNCTION("GOOGLETRANSLATE($A5174,""en"",""ja"")"),"コン・トゥム")</f>
        <v>コン・トゥム</v>
      </c>
      <c r="I5174" s="9" t="str">
        <f>IFERROR(__xludf.DUMMYFUNCTION("GOOGLETRANSLATE($A5174,""en"",""ko"")"),"콘 텀")</f>
        <v>콘 텀</v>
      </c>
      <c r="J5174" s="9" t="str">
        <f>IFERROR(__xludf.DUMMYFUNCTION("GOOGLETRANSLATE($A5174,""en"",""pt-BR"")"),"Kon Tum")</f>
        <v>Kon Tum</v>
      </c>
    </row>
    <row r="5175">
      <c r="A5175" s="9" t="str">
        <f>IFERROR(__xludf.DUMMYFUNCTION("""COMPUTED_VALUE"""),"Hà Giang")</f>
        <v>Hà Giang</v>
      </c>
      <c r="B5175" s="9" t="str">
        <f>IFERROR(__xludf.DUMMYFUNCTION("""COMPUTED_VALUE"""),"vn-03")</f>
        <v>vn-03</v>
      </c>
      <c r="C5175" s="9" t="str">
        <f>IFERROR(__xludf.DUMMYFUNCTION("GOOGLETRANSLATE($A5175,""en"",""de"")"),"Hà Giang")</f>
        <v>Hà Giang</v>
      </c>
      <c r="D5175" s="9" t="str">
        <f>IFERROR(__xludf.DUMMYFUNCTION("GOOGLETRANSLATE($A5175,""en"",""fr"")"),"Ha Giang")</f>
        <v>Ha Giang</v>
      </c>
      <c r="E5175" s="9" t="str">
        <f>IFERROR(__xludf.DUMMYFUNCTION("GOOGLETRANSLATE($A5175,""en"",""es"")"),"Ha Giang")</f>
        <v>Ha Giang</v>
      </c>
      <c r="F5175" s="9" t="str">
        <f>IFERROR(__xludf.DUMMYFUNCTION("GOOGLETRANSLATE($A5175,""en"",""it"")"),"Ha Giang")</f>
        <v>Ha Giang</v>
      </c>
      <c r="G5175" s="9" t="str">
        <f>IFERROR(__xludf.DUMMYFUNCTION("GOOGLETRANSLATE($A5175,""en"",""zh-cn"")"),"河江")</f>
        <v>河江</v>
      </c>
      <c r="H5175" s="9" t="str">
        <f>IFERROR(__xludf.DUMMYFUNCTION("GOOGLETRANSLATE($A5175,""en"",""ja"")"),"ハザン")</f>
        <v>ハザン</v>
      </c>
      <c r="I5175" s="9" t="str">
        <f>IFERROR(__xludf.DUMMYFUNCTION("GOOGLETRANSLATE($A5175,""en"",""ko"")"),"하장")</f>
        <v>하장</v>
      </c>
      <c r="J5175" s="9" t="str">
        <f>IFERROR(__xludf.DUMMYFUNCTION("GOOGLETRANSLATE($A5175,""en"",""pt-BR"")"),"Hà Giang")</f>
        <v>Hà Giang</v>
      </c>
    </row>
    <row r="5176">
      <c r="A5176" s="9" t="str">
        <f>IFERROR(__xludf.DUMMYFUNCTION("""COMPUTED_VALUE"""),"Phú Thọ")</f>
        <v>Phú Thọ</v>
      </c>
      <c r="B5176" s="9" t="str">
        <f>IFERROR(__xludf.DUMMYFUNCTION("""COMPUTED_VALUE"""),"vn-68")</f>
        <v>vn-68</v>
      </c>
      <c r="C5176" s="9" t="str">
        <f>IFERROR(__xludf.DUMMYFUNCTION("GOOGLETRANSLATE($A5176,""en"",""de"")"),"Phú Thọ")</f>
        <v>Phú Thọ</v>
      </c>
      <c r="D5176" s="9" t="str">
        <f>IFERROR(__xludf.DUMMYFUNCTION("GOOGLETRANSLATE($A5176,""en"",""fr"")"),"Phú Tho")</f>
        <v>Phú Tho</v>
      </c>
      <c r="E5176" s="9" t="str">
        <f>IFERROR(__xludf.DUMMYFUNCTION("GOOGLETRANSLATE($A5176,""en"",""es"")"),"Phú Thọ")</f>
        <v>Phú Thọ</v>
      </c>
      <c r="F5176" s="9" t="str">
        <f>IFERROR(__xludf.DUMMYFUNCTION("GOOGLETRANSLATE($A5176,""en"",""it"")"),"Phú Thọ")</f>
        <v>Phú Thọ</v>
      </c>
      <c r="G5176" s="9" t="str">
        <f>IFERROR(__xludf.DUMMYFUNCTION("GOOGLETRANSLATE($A5176,""en"",""zh-cn"")"),"富寿")</f>
        <v>富寿</v>
      </c>
      <c r="H5176" s="9" t="str">
        <f>IFERROR(__xludf.DUMMYFUNCTION("GOOGLETRANSLATE($A5176,""en"",""ja"")"),"フート")</f>
        <v>フート</v>
      </c>
      <c r="I5176" s="9" t="str">
        <f>IFERROR(__xludf.DUMMYFUNCTION("GOOGLETRANSLATE($A5176,""en"",""ko"")"),"푸토")</f>
        <v>푸토</v>
      </c>
      <c r="J5176" s="9" t="str">
        <f>IFERROR(__xludf.DUMMYFUNCTION("GOOGLETRANSLATE($A5176,""en"",""pt-BR"")"),"Phú Thọ")</f>
        <v>Phú Thọ</v>
      </c>
    </row>
    <row r="5177">
      <c r="A5177" s="9" t="str">
        <f>IFERROR(__xludf.DUMMYFUNCTION("""COMPUTED_VALUE"""),"Hồ Chí Minh")</f>
        <v>Hồ Chí Minh</v>
      </c>
      <c r="B5177" s="9" t="str">
        <f>IFERROR(__xludf.DUMMYFUNCTION("""COMPUTED_VALUE"""),"vn-sg")</f>
        <v>vn-sg</v>
      </c>
      <c r="C5177" s="9" t="str">
        <f>IFERROR(__xludf.DUMMYFUNCTION("GOOGLETRANSLATE($A5177,""en"",""de"")"),"Hồ Chí Minh")</f>
        <v>Hồ Chí Minh</v>
      </c>
      <c r="D5177" s="9" t="str">
        <f>IFERROR(__xludf.DUMMYFUNCTION("GOOGLETRANSLATE($A5177,""en"",""fr"")"),"Hồ Chi Minh")</f>
        <v>Hồ Chi Minh</v>
      </c>
      <c r="E5177" s="9" t="str">
        <f>IFERROR(__xludf.DUMMYFUNCTION("GOOGLETRANSLATE($A5177,""en"",""es"")"),"Hồ Chí Minh")</f>
        <v>Hồ Chí Minh</v>
      </c>
      <c r="F5177" s="9" t="str">
        <f>IFERROR(__xludf.DUMMYFUNCTION("GOOGLETRANSLATE($A5177,""en"",""it"")"),"Hồ Chí Minh")</f>
        <v>Hồ Chí Minh</v>
      </c>
      <c r="G5177" s="9" t="str">
        <f>IFERROR(__xludf.DUMMYFUNCTION("GOOGLETRANSLATE($A5177,""en"",""zh-cn"")"),"胡志明市")</f>
        <v>胡志明市</v>
      </c>
      <c r="H5177" s="9" t="str">
        <f>IFERROR(__xludf.DUMMYFUNCTION("GOOGLETRANSLATE($A5177,""en"",""ja"")"),"ホー・チ・ミン")</f>
        <v>ホー・チ・ミン</v>
      </c>
      <c r="I5177" s="9" t="str">
        <f>IFERROR(__xludf.DUMMYFUNCTION("GOOGLETRANSLATE($A5177,""en"",""ko"")"),"호치민")</f>
        <v>호치민</v>
      </c>
      <c r="J5177" s="9" t="str">
        <f>IFERROR(__xludf.DUMMYFUNCTION("GOOGLETRANSLATE($A5177,""en"",""pt-BR"")"),"Ho Chi Minh")</f>
        <v>Ho Chi Minh</v>
      </c>
    </row>
    <row r="5178">
      <c r="A5178" s="9" t="str">
        <f>IFERROR(__xludf.DUMMYFUNCTION("""COMPUTED_VALUE"""),"Kiên Giang")</f>
        <v>Kiên Giang</v>
      </c>
      <c r="B5178" s="9" t="str">
        <f>IFERROR(__xludf.DUMMYFUNCTION("""COMPUTED_VALUE"""),"vn-47")</f>
        <v>vn-47</v>
      </c>
      <c r="C5178" s="9" t="str">
        <f>IFERROR(__xludf.DUMMYFUNCTION("GOOGLETRANSLATE($A5178,""en"",""de"")"),"Kiên Giang")</f>
        <v>Kiên Giang</v>
      </c>
      <c r="D5178" s="9" t="str">
        <f>IFERROR(__xludf.DUMMYFUNCTION("GOOGLETRANSLATE($A5178,""en"",""fr"")"),"Kiên Giang")</f>
        <v>Kiên Giang</v>
      </c>
      <c r="E5178" s="9" t="str">
        <f>IFERROR(__xludf.DUMMYFUNCTION("GOOGLETRANSLATE($A5178,""en"",""es"")"),"Kien Giang")</f>
        <v>Kien Giang</v>
      </c>
      <c r="F5178" s="9" t="str">
        <f>IFERROR(__xludf.DUMMYFUNCTION("GOOGLETRANSLATE($A5178,""en"",""it"")"),"Kien Giang")</f>
        <v>Kien Giang</v>
      </c>
      <c r="G5178" s="9" t="str">
        <f>IFERROR(__xludf.DUMMYFUNCTION("GOOGLETRANSLATE($A5178,""en"",""zh-cn"")"),"坚江省")</f>
        <v>坚江省</v>
      </c>
      <c r="H5178" s="9" t="str">
        <f>IFERROR(__xludf.DUMMYFUNCTION("GOOGLETRANSLATE($A5178,""en"",""ja"")"),"キエンザン")</f>
        <v>キエンザン</v>
      </c>
      <c r="I5178" s="9" t="str">
        <f>IFERROR(__xludf.DUMMYFUNCTION("GOOGLETRANSLATE($A5178,""en"",""ko"")"),"키엔장")</f>
        <v>키엔장</v>
      </c>
      <c r="J5178" s="9" t="str">
        <f>IFERROR(__xludf.DUMMYFUNCTION("GOOGLETRANSLATE($A5178,""en"",""pt-BR"")"),"Kiên Giang")</f>
        <v>Kiên Giang</v>
      </c>
    </row>
    <row r="5179">
      <c r="A5179" s="9" t="str">
        <f>IFERROR(__xludf.DUMMYFUNCTION("""COMPUTED_VALUE"""),"Bắc Ninh")</f>
        <v>Bắc Ninh</v>
      </c>
      <c r="B5179" s="9" t="str">
        <f>IFERROR(__xludf.DUMMYFUNCTION("""COMPUTED_VALUE"""),"vn-56")</f>
        <v>vn-56</v>
      </c>
      <c r="C5179" s="9" t="str">
        <f>IFERROR(__xludf.DUMMYFUNCTION("GOOGLETRANSLATE($A5179,""en"",""de"")"),"Bắc Ninh")</f>
        <v>Bắc Ninh</v>
      </c>
      <c r="D5179" s="9" t="str">
        <f>IFERROR(__xludf.DUMMYFUNCTION("GOOGLETRANSLATE($A5179,""en"",""fr"")"),"Bac Ninh")</f>
        <v>Bac Ninh</v>
      </c>
      <c r="E5179" s="9" t="str">
        <f>IFERROR(__xludf.DUMMYFUNCTION("GOOGLETRANSLATE($A5179,""en"",""es"")"),"Bắc Ninh")</f>
        <v>Bắc Ninh</v>
      </c>
      <c r="F5179" s="9" t="str">
        <f>IFERROR(__xludf.DUMMYFUNCTION("GOOGLETRANSLATE($A5179,""en"",""it"")"),"Bắc Ninh")</f>
        <v>Bắc Ninh</v>
      </c>
      <c r="G5179" s="9" t="str">
        <f>IFERROR(__xludf.DUMMYFUNCTION("GOOGLETRANSLATE($A5179,""en"",""zh-cn"")"),"北宁省")</f>
        <v>北宁省</v>
      </c>
      <c r="H5179" s="9" t="str">
        <f>IFERROR(__xludf.DUMMYFUNCTION("GOOGLETRANSLATE($A5179,""en"",""ja"")"),"バクニン")</f>
        <v>バクニン</v>
      </c>
      <c r="I5179" s="9" t="str">
        <f>IFERROR(__xludf.DUMMYFUNCTION("GOOGLETRANSLATE($A5179,""en"",""ko"")"),"박닌")</f>
        <v>박닌</v>
      </c>
      <c r="J5179" s="9" t="str">
        <f>IFERROR(__xludf.DUMMYFUNCTION("GOOGLETRANSLATE($A5179,""en"",""pt-BR"")"),"Bac Ninh")</f>
        <v>Bac Ninh</v>
      </c>
    </row>
    <row r="5180">
      <c r="A5180" s="9" t="str">
        <f>IFERROR(__xludf.DUMMYFUNCTION("""COMPUTED_VALUE"""),"Hải Dương")</f>
        <v>Hải Dương</v>
      </c>
      <c r="B5180" s="9" t="str">
        <f>IFERROR(__xludf.DUMMYFUNCTION("""COMPUTED_VALUE"""),"vn-61")</f>
        <v>vn-61</v>
      </c>
      <c r="C5180" s="9" t="str">
        <f>IFERROR(__xludf.DUMMYFUNCTION("GOOGLETRANSLATE($A5180,""en"",""de"")"),"Hải Dương")</f>
        <v>Hải Dương</v>
      </c>
      <c r="D5180" s="9" t="str">
        <f>IFERROR(__xludf.DUMMYFUNCTION("GOOGLETRANSLATE($A5180,""en"",""fr"")"),"Hai Duong")</f>
        <v>Hai Duong</v>
      </c>
      <c r="E5180" s="9" t="str">
        <f>IFERROR(__xludf.DUMMYFUNCTION("GOOGLETRANSLATE($A5180,""en"",""es"")"),"Hải Dương")</f>
        <v>Hải Dương</v>
      </c>
      <c r="F5180" s="9" t="str">
        <f>IFERROR(__xludf.DUMMYFUNCTION("GOOGLETRANSLATE($A5180,""en"",""it"")"),"Hải Dương")</f>
        <v>Hải Dương</v>
      </c>
      <c r="G5180" s="9" t="str">
        <f>IFERROR(__xludf.DUMMYFUNCTION("GOOGLETRANSLATE($A5180,""en"",""zh-cn"")"),"海阳")</f>
        <v>海阳</v>
      </c>
      <c r="H5180" s="9" t="str">
        <f>IFERROR(__xludf.DUMMYFUNCTION("GOOGLETRANSLATE($A5180,""en"",""ja"")"),"ハイズオン")</f>
        <v>ハイズオン</v>
      </c>
      <c r="I5180" s="9" t="str">
        <f>IFERROR(__xludf.DUMMYFUNCTION("GOOGLETRANSLATE($A5180,""en"",""ko"")"),"하이즈엉")</f>
        <v>하이즈엉</v>
      </c>
      <c r="J5180" s="9" t="str">
        <f>IFERROR(__xludf.DUMMYFUNCTION("GOOGLETRANSLATE($A5180,""en"",""pt-BR"")"),"Hải Dương")</f>
        <v>Hải Dương</v>
      </c>
    </row>
    <row r="5181">
      <c r="A5181" s="9" t="str">
        <f>IFERROR(__xludf.DUMMYFUNCTION("""COMPUTED_VALUE"""),"Bình Dương")</f>
        <v>Bình Dương</v>
      </c>
      <c r="B5181" s="9" t="str">
        <f>IFERROR(__xludf.DUMMYFUNCTION("""COMPUTED_VALUE"""),"vn-57")</f>
        <v>vn-57</v>
      </c>
      <c r="C5181" s="9" t="str">
        <f>IFERROR(__xludf.DUMMYFUNCTION("GOOGLETRANSLATE($A5181,""en"",""de"")"),"Bình Dương")</f>
        <v>Bình Dương</v>
      </c>
      <c r="D5181" s="9" t="str">
        <f>IFERROR(__xludf.DUMMYFUNCTION("GOOGLETRANSLATE($A5181,""en"",""fr"")"),"Bình Dương")</f>
        <v>Bình Dương</v>
      </c>
      <c r="E5181" s="9" t="str">
        <f>IFERROR(__xludf.DUMMYFUNCTION("GOOGLETRANSLATE($A5181,""en"",""es"")"),"Bình Dương")</f>
        <v>Bình Dương</v>
      </c>
      <c r="F5181" s="9" t="str">
        <f>IFERROR(__xludf.DUMMYFUNCTION("GOOGLETRANSLATE($A5181,""en"",""it"")"),"Bình Dương")</f>
        <v>Bình Dương</v>
      </c>
      <c r="G5181" s="9" t="str">
        <f>IFERROR(__xludf.DUMMYFUNCTION("GOOGLETRANSLATE($A5181,""en"",""zh-cn"")"),"平阳")</f>
        <v>平阳</v>
      </c>
      <c r="H5181" s="9" t="str">
        <f>IFERROR(__xludf.DUMMYFUNCTION("GOOGLETRANSLATE($A5181,""en"",""ja"")"),"ビンズン")</f>
        <v>ビンズン</v>
      </c>
      <c r="I5181" s="9" t="str">
        <f>IFERROR(__xludf.DUMMYFUNCTION("GOOGLETRANSLATE($A5181,""en"",""ko"")"),"빈즈엉")</f>
        <v>빈즈엉</v>
      </c>
      <c r="J5181" s="9" t="str">
        <f>IFERROR(__xludf.DUMMYFUNCTION("GOOGLETRANSLATE($A5181,""en"",""pt-BR"")"),"Bình Dương")</f>
        <v>Bình Dương</v>
      </c>
    </row>
    <row r="5182">
      <c r="A5182" s="9" t="str">
        <f>IFERROR(__xludf.DUMMYFUNCTION("""COMPUTED_VALUE"""),"Thừa Thiên-Huế")</f>
        <v>Thừa Thiên-Huế</v>
      </c>
      <c r="B5182" s="9" t="str">
        <f>IFERROR(__xludf.DUMMYFUNCTION("""COMPUTED_VALUE"""),"vn-26")</f>
        <v>vn-26</v>
      </c>
      <c r="C5182" s="9" t="str">
        <f>IFERROR(__xludf.DUMMYFUNCTION("GOOGLETRANSLATE($A5182,""en"",""de"")"),"Thừa Thiên-Huế")</f>
        <v>Thừa Thiên-Huế</v>
      </c>
      <c r="D5182" s="9" t="str">
        <f>IFERROR(__xludf.DUMMYFUNCTION("GOOGLETRANSLATE($A5182,""en"",""fr"")"),"Thừa Thiên-Huế")</f>
        <v>Thừa Thiên-Huế</v>
      </c>
      <c r="E5182" s="9" t="str">
        <f>IFERROR(__xludf.DUMMYFUNCTION("GOOGLETRANSLATE($A5182,""en"",""es"")"),"Thừa Thiên-Huế")</f>
        <v>Thừa Thiên-Huế</v>
      </c>
      <c r="F5182" s="9" t="str">
        <f>IFERROR(__xludf.DUMMYFUNCTION("GOOGLETRANSLATE($A5182,""en"",""it"")"),"Thừa Thiên-Huế")</f>
        <v>Thừa Thiên-Huế</v>
      </c>
      <c r="G5182" s="9" t="str">
        <f>IFERROR(__xludf.DUMMYFUNCTION("GOOGLETRANSLATE($A5182,""en"",""zh-cn"")"),"Thừa Thiên-Huế")</f>
        <v>Thừa Thiên-Huế</v>
      </c>
      <c r="H5182" s="9" t="str">
        <f>IFERROR(__xludf.DUMMYFUNCTION("GOOGLETRANSLATE($A5182,""en"",""ja"")"),"ティア・ティエン・フエ")</f>
        <v>ティア・ティエン・フエ</v>
      </c>
      <c r="I5182" s="9" t="str">
        <f>IFERROR(__xludf.DUMMYFUNCTION("GOOGLETRANSLATE($A5182,""en"",""ko"")"),"투아티엔후에(Thừa Thiên-Huế)")</f>
        <v>투아티엔후에(Thừa Thiên-Huế)</v>
      </c>
      <c r="J5182" s="9" t="str">
        <f>IFERROR(__xludf.DUMMYFUNCTION("GOOGLETRANSLATE($A5182,""en"",""pt-BR"")"),"Thừa Thiên-Huế")</f>
        <v>Thừa Thiên-Huế</v>
      </c>
    </row>
    <row r="5183">
      <c r="A5183" s="9" t="str">
        <f>IFERROR(__xludf.DUMMYFUNCTION("""COMPUTED_VALUE"""),"Hưng Yên")</f>
        <v>Hưng Yên</v>
      </c>
      <c r="B5183" s="9" t="str">
        <f>IFERROR(__xludf.DUMMYFUNCTION("""COMPUTED_VALUE"""),"vn-66")</f>
        <v>vn-66</v>
      </c>
      <c r="C5183" s="9" t="str">
        <f>IFERROR(__xludf.DUMMYFUNCTION("GOOGLETRANSLATE($A5183,""en"",""de"")"),"Hưng Yên")</f>
        <v>Hưng Yên</v>
      </c>
      <c r="D5183" s="9" t="str">
        <f>IFERROR(__xludf.DUMMYFUNCTION("GOOGLETRANSLATE($A5183,""en"",""fr"")"),"Hưng Yên")</f>
        <v>Hưng Yên</v>
      </c>
      <c r="E5183" s="9" t="str">
        <f>IFERROR(__xludf.DUMMYFUNCTION("GOOGLETRANSLATE($A5183,""en"",""es"")"),"Hưng Yên")</f>
        <v>Hưng Yên</v>
      </c>
      <c r="F5183" s="9" t="str">
        <f>IFERROR(__xludf.DUMMYFUNCTION("GOOGLETRANSLATE($A5183,""en"",""it"")"),"Hưng Yên")</f>
        <v>Hưng Yên</v>
      </c>
      <c r="G5183" s="9" t="str">
        <f>IFERROR(__xludf.DUMMYFUNCTION("GOOGLETRANSLATE($A5183,""en"",""zh-cn"")"),"兴安")</f>
        <v>兴安</v>
      </c>
      <c r="H5183" s="9" t="str">
        <f>IFERROR(__xludf.DUMMYFUNCTION("GOOGLETRANSLATE($A5183,""en"",""ja"")"),"フン・イェン")</f>
        <v>フン・イェン</v>
      </c>
      <c r="I5183" s="9" t="str">
        <f>IFERROR(__xludf.DUMMYFUNCTION("GOOGLETRANSLATE($A5183,""en"",""ko"")"),"흥옌")</f>
        <v>흥옌</v>
      </c>
      <c r="J5183" s="9" t="str">
        <f>IFERROR(__xludf.DUMMYFUNCTION("GOOGLETRANSLATE($A5183,""en"",""pt-BR"")"),"Hưng Yên")</f>
        <v>Hưng Yên</v>
      </c>
    </row>
    <row r="5184">
      <c r="A5184" s="9" t="str">
        <f>IFERROR(__xludf.DUMMYFUNCTION("""COMPUTED_VALUE"""),"Bến Tre")</f>
        <v>Bến Tre</v>
      </c>
      <c r="B5184" s="9" t="str">
        <f>IFERROR(__xludf.DUMMYFUNCTION("""COMPUTED_VALUE"""),"vn-50")</f>
        <v>vn-50</v>
      </c>
      <c r="C5184" s="9" t="str">
        <f>IFERROR(__xludf.DUMMYFUNCTION("GOOGLETRANSLATE($A5184,""en"",""de"")"),"Bến Tre")</f>
        <v>Bến Tre</v>
      </c>
      <c r="D5184" s="9" t="str">
        <f>IFERROR(__xludf.DUMMYFUNCTION("GOOGLETRANSLATE($A5184,""en"",""fr"")"),"Bến Tre")</f>
        <v>Bến Tre</v>
      </c>
      <c r="E5184" s="9" t="str">
        <f>IFERROR(__xludf.DUMMYFUNCTION("GOOGLETRANSLATE($A5184,""en"",""es"")"),"Bến Tre")</f>
        <v>Bến Tre</v>
      </c>
      <c r="F5184" s="9" t="str">
        <f>IFERROR(__xludf.DUMMYFUNCTION("GOOGLETRANSLATE($A5184,""en"",""it"")"),"Ben Tre")</f>
        <v>Ben Tre</v>
      </c>
      <c r="G5184" s="9" t="str">
        <f>IFERROR(__xludf.DUMMYFUNCTION("GOOGLETRANSLATE($A5184,""en"",""zh-cn"")"),"槟椥")</f>
        <v>槟椥</v>
      </c>
      <c r="H5184" s="9" t="str">
        <f>IFERROR(__xludf.DUMMYFUNCTION("GOOGLETRANSLATE($A5184,""en"",""ja"")"),"ベントレ")</f>
        <v>ベントレ</v>
      </c>
      <c r="I5184" s="9" t="str">
        <f>IFERROR(__xludf.DUMMYFUNCTION("GOOGLETRANSLATE($A5184,""en"",""ko"")"),"벤 트레")</f>
        <v>벤 트레</v>
      </c>
      <c r="J5184" s="9" t="str">
        <f>IFERROR(__xludf.DUMMYFUNCTION("GOOGLETRANSLATE($A5184,""en"",""pt-BR"")"),"Ben Tre")</f>
        <v>Ben Tre</v>
      </c>
    </row>
    <row r="5185">
      <c r="A5185" s="9" t="str">
        <f>IFERROR(__xludf.DUMMYFUNCTION("""COMPUTED_VALUE"""),"Bình Thuận")</f>
        <v>Bình Thuận</v>
      </c>
      <c r="B5185" s="9" t="str">
        <f>IFERROR(__xludf.DUMMYFUNCTION("""COMPUTED_VALUE"""),"vn-40")</f>
        <v>vn-40</v>
      </c>
      <c r="C5185" s="9" t="str">
        <f>IFERROR(__xludf.DUMMYFUNCTION("GOOGLETRANSLATE($A5185,""en"",""de"")"),"Bình Thuận")</f>
        <v>Bình Thuận</v>
      </c>
      <c r="D5185" s="9" t="str">
        <f>IFERROR(__xludf.DUMMYFUNCTION("GOOGLETRANSLATE($A5185,""en"",""fr"")"),"Bình Thuận")</f>
        <v>Bình Thuận</v>
      </c>
      <c r="E5185" s="9" t="str">
        <f>IFERROR(__xludf.DUMMYFUNCTION("GOOGLETRANSLATE($A5185,""en"",""es"")"),"Bình Thuận")</f>
        <v>Bình Thuận</v>
      </c>
      <c r="F5185" s="9" t="str">
        <f>IFERROR(__xludf.DUMMYFUNCTION("GOOGLETRANSLATE($A5185,""en"",""it"")"),"Bình Thuận")</f>
        <v>Bình Thuận</v>
      </c>
      <c r="G5185" s="9" t="str">
        <f>IFERROR(__xludf.DUMMYFUNCTION("GOOGLETRANSLATE($A5185,""en"",""zh-cn"")"),"平顺")</f>
        <v>平顺</v>
      </c>
      <c r="H5185" s="9" t="str">
        <f>IFERROR(__xludf.DUMMYFUNCTION("GOOGLETRANSLATE($A5185,""en"",""ja"")"),"ビン・トゥン")</f>
        <v>ビン・トゥン</v>
      </c>
      <c r="I5185" s="9" t="str">
        <f>IFERROR(__xludf.DUMMYFUNCTION("GOOGLETRANSLATE($A5185,""en"",""ko"")"),"빈 투언")</f>
        <v>빈 투언</v>
      </c>
      <c r="J5185" s="9" t="str">
        <f>IFERROR(__xludf.DUMMYFUNCTION("GOOGLETRANSLATE($A5185,""en"",""pt-BR"")"),"Bình Thuận")</f>
        <v>Bình Thuận</v>
      </c>
    </row>
    <row r="5186">
      <c r="A5186" s="9" t="str">
        <f>IFERROR(__xludf.DUMMYFUNCTION("""COMPUTED_VALUE"""),"Nam Định")</f>
        <v>Nam Định</v>
      </c>
      <c r="B5186" s="9" t="str">
        <f>IFERROR(__xludf.DUMMYFUNCTION("""COMPUTED_VALUE"""),"vn-67")</f>
        <v>vn-67</v>
      </c>
      <c r="C5186" s="9" t="str">
        <f>IFERROR(__xludf.DUMMYFUNCTION("GOOGLETRANSLATE($A5186,""en"",""de"")"),"Nam Định")</f>
        <v>Nam Định</v>
      </c>
      <c r="D5186" s="9" t="str">
        <f>IFERROR(__xludf.DUMMYFUNCTION("GOOGLETRANSLATE($A5186,""en"",""fr"")"),"Nam Định")</f>
        <v>Nam Định</v>
      </c>
      <c r="E5186" s="9" t="str">
        <f>IFERROR(__xludf.DUMMYFUNCTION("GOOGLETRANSLATE($A5186,""en"",""es"")"),"Nam Định")</f>
        <v>Nam Định</v>
      </c>
      <c r="F5186" s="9" t="str">
        <f>IFERROR(__xludf.DUMMYFUNCTION("GOOGLETRANSLATE($A5186,""en"",""it"")"),"Nam Định")</f>
        <v>Nam Định</v>
      </c>
      <c r="G5186" s="9" t="str">
        <f>IFERROR(__xludf.DUMMYFUNCTION("GOOGLETRANSLATE($A5186,""en"",""zh-cn"")"),"南定")</f>
        <v>南定</v>
      </c>
      <c r="H5186" s="9" t="str">
        <f>IFERROR(__xludf.DUMMYFUNCTION("GOOGLETRANSLATE($A5186,""en"",""ja"")"),"ナム・ディン")</f>
        <v>ナム・ディン</v>
      </c>
      <c r="I5186" s="9" t="str">
        <f>IFERROR(__xludf.DUMMYFUNCTION("GOOGLETRANSLATE($A5186,""en"",""ko"")"),"남딘")</f>
        <v>남딘</v>
      </c>
      <c r="J5186" s="9" t="str">
        <f>IFERROR(__xludf.DUMMYFUNCTION("GOOGLETRANSLATE($A5186,""en"",""pt-BR"")"),"Nam Định")</f>
        <v>Nam Định</v>
      </c>
    </row>
    <row r="5187">
      <c r="A5187" s="9" t="str">
        <f>IFERROR(__xludf.DUMMYFUNCTION("""COMPUTED_VALUE"""),"Tây Ninh")</f>
        <v>Tây Ninh</v>
      </c>
      <c r="B5187" s="9" t="str">
        <f>IFERROR(__xludf.DUMMYFUNCTION("""COMPUTED_VALUE"""),"vn-37")</f>
        <v>vn-37</v>
      </c>
      <c r="C5187" s="9" t="str">
        <f>IFERROR(__xludf.DUMMYFUNCTION("GOOGLETRANSLATE($A5187,""en"",""de"")"),"Tây Ninh")</f>
        <v>Tây Ninh</v>
      </c>
      <c r="D5187" s="9" t="str">
        <f>IFERROR(__xludf.DUMMYFUNCTION("GOOGLETRANSLATE($A5187,""en"",""fr"")"),"Tay Ninh")</f>
        <v>Tay Ninh</v>
      </c>
      <c r="E5187" s="9" t="str">
        <f>IFERROR(__xludf.DUMMYFUNCTION("GOOGLETRANSLATE($A5187,""en"",""es"")"),"Tây Ninh")</f>
        <v>Tây Ninh</v>
      </c>
      <c r="F5187" s="9" t="str">
        <f>IFERROR(__xludf.DUMMYFUNCTION("GOOGLETRANSLATE($A5187,""en"",""it"")"),"Tay Ninh")</f>
        <v>Tay Ninh</v>
      </c>
      <c r="G5187" s="9" t="str">
        <f>IFERROR(__xludf.DUMMYFUNCTION("GOOGLETRANSLATE($A5187,""en"",""zh-cn"")"),"西宁")</f>
        <v>西宁</v>
      </c>
      <c r="H5187" s="9" t="str">
        <f>IFERROR(__xludf.DUMMYFUNCTION("GOOGLETRANSLATE($A5187,""en"",""ja"")"),"タイニン")</f>
        <v>タイニン</v>
      </c>
      <c r="I5187" s="9" t="str">
        <f>IFERROR(__xludf.DUMMYFUNCTION("GOOGLETRANSLATE($A5187,""en"",""ko"")"),"타이닌")</f>
        <v>타이닌</v>
      </c>
      <c r="J5187" s="9" t="str">
        <f>IFERROR(__xludf.DUMMYFUNCTION("GOOGLETRANSLATE($A5187,""en"",""pt-BR"")"),"Tây Ninh")</f>
        <v>Tây Ninh</v>
      </c>
    </row>
    <row r="5188">
      <c r="A5188" s="9" t="str">
        <f>IFERROR(__xludf.DUMMYFUNCTION("""COMPUTED_VALUE"""),"Bắc Giang")</f>
        <v>Bắc Giang</v>
      </c>
      <c r="B5188" s="9" t="str">
        <f>IFERROR(__xludf.DUMMYFUNCTION("""COMPUTED_VALUE"""),"vn-54")</f>
        <v>vn-54</v>
      </c>
      <c r="C5188" s="9" t="str">
        <f>IFERROR(__xludf.DUMMYFUNCTION("GOOGLETRANSLATE($A5188,""en"",""de"")"),"Bắc Giang")</f>
        <v>Bắc Giang</v>
      </c>
      <c r="D5188" s="9" t="str">
        <f>IFERROR(__xludf.DUMMYFUNCTION("GOOGLETRANSLATE($A5188,""en"",""fr"")"),"Bac Giang")</f>
        <v>Bac Giang</v>
      </c>
      <c r="E5188" s="9" t="str">
        <f>IFERROR(__xludf.DUMMYFUNCTION("GOOGLETRANSLATE($A5188,""en"",""es"")"),"Bắc Giang")</f>
        <v>Bắc Giang</v>
      </c>
      <c r="F5188" s="9" t="str">
        <f>IFERROR(__xludf.DUMMYFUNCTION("GOOGLETRANSLATE($A5188,""en"",""it"")"),"Bac Giang")</f>
        <v>Bac Giang</v>
      </c>
      <c r="G5188" s="9" t="str">
        <f>IFERROR(__xludf.DUMMYFUNCTION("GOOGLETRANSLATE($A5188,""en"",""zh-cn"")"),"北江省")</f>
        <v>北江省</v>
      </c>
      <c r="H5188" s="9" t="str">
        <f>IFERROR(__xludf.DUMMYFUNCTION("GOOGLETRANSLATE($A5188,""en"",""ja"")"),"バクザン")</f>
        <v>バクザン</v>
      </c>
      <c r="I5188" s="9" t="str">
        <f>IFERROR(__xludf.DUMMYFUNCTION("GOOGLETRANSLATE($A5188,""en"",""ko"")"),"박장")</f>
        <v>박장</v>
      </c>
      <c r="J5188" s="9" t="str">
        <f>IFERROR(__xludf.DUMMYFUNCTION("GOOGLETRANSLATE($A5188,""en"",""pt-BR"")"),"Bắc Giang")</f>
        <v>Bắc Giang</v>
      </c>
    </row>
    <row r="5189">
      <c r="A5189" s="9" t="str">
        <f>IFERROR(__xludf.DUMMYFUNCTION("""COMPUTED_VALUE"""),"Lai Châu")</f>
        <v>Lai Châu</v>
      </c>
      <c r="B5189" s="9" t="str">
        <f>IFERROR(__xludf.DUMMYFUNCTION("""COMPUTED_VALUE"""),"vn-01")</f>
        <v>vn-01</v>
      </c>
      <c r="C5189" s="9" t="str">
        <f>IFERROR(__xludf.DUMMYFUNCTION("GOOGLETRANSLATE($A5189,""en"",""de"")"),"Lai Châu")</f>
        <v>Lai Châu</v>
      </c>
      <c r="D5189" s="9" t="str">
        <f>IFERROR(__xludf.DUMMYFUNCTION("GOOGLETRANSLATE($A5189,""en"",""fr"")"),"Lai Châu")</f>
        <v>Lai Châu</v>
      </c>
      <c r="E5189" s="9" t="str">
        <f>IFERROR(__xludf.DUMMYFUNCTION("GOOGLETRANSLATE($A5189,""en"",""es"")"),"Lai Chau")</f>
        <v>Lai Chau</v>
      </c>
      <c r="F5189" s="9" t="str">
        <f>IFERROR(__xludf.DUMMYFUNCTION("GOOGLETRANSLATE($A5189,""en"",""it"")"),"Lai Chau")</f>
        <v>Lai Chau</v>
      </c>
      <c r="G5189" s="9" t="str">
        <f>IFERROR(__xludf.DUMMYFUNCTION("GOOGLETRANSLATE($A5189,""en"",""zh-cn"")"),"莱州")</f>
        <v>莱州</v>
      </c>
      <c r="H5189" s="9" t="str">
        <f>IFERROR(__xludf.DUMMYFUNCTION("GOOGLETRANSLATE($A5189,""en"",""ja"")"),"ライチャウ")</f>
        <v>ライチャウ</v>
      </c>
      <c r="I5189" s="9" t="str">
        <f>IFERROR(__xludf.DUMMYFUNCTION("GOOGLETRANSLATE($A5189,""en"",""ko"")"),"라이 쩌우")</f>
        <v>라이 쩌우</v>
      </c>
      <c r="J5189" s="9" t="str">
        <f>IFERROR(__xludf.DUMMYFUNCTION("GOOGLETRANSLATE($A5189,""en"",""pt-BR"")"),"Lai Châu")</f>
        <v>Lai Châu</v>
      </c>
    </row>
    <row r="5190">
      <c r="A5190" s="9" t="str">
        <f>IFERROR(__xludf.DUMMYFUNCTION("""COMPUTED_VALUE"""),"Đắk Nông")</f>
        <v>Đắk Nông</v>
      </c>
      <c r="B5190" s="9" t="str">
        <f>IFERROR(__xludf.DUMMYFUNCTION("""COMPUTED_VALUE"""),"vn-72")</f>
        <v>vn-72</v>
      </c>
      <c r="C5190" s="9" t="str">
        <f>IFERROR(__xludf.DUMMYFUNCTION("GOOGLETRANSLATE($A5190,""en"",""de"")"),"Đắk Nông")</f>
        <v>Đắk Nông</v>
      </c>
      <c r="D5190" s="9" t="str">
        <f>IFERROR(__xludf.DUMMYFUNCTION("GOOGLETRANSLATE($A5190,""en"",""fr"")"),"Đắk Nông")</f>
        <v>Đắk Nông</v>
      </c>
      <c r="E5190" s="9" t="str">
        <f>IFERROR(__xludf.DUMMYFUNCTION("GOOGLETRANSLATE($A5190,""en"",""es"")"),"Đắk Nông")</f>
        <v>Đắk Nông</v>
      </c>
      <c r="F5190" s="9" t="str">
        <f>IFERROR(__xludf.DUMMYFUNCTION("GOOGLETRANSLATE($A5190,""en"",""it"")"),"Đắk Nông")</f>
        <v>Đắk Nông</v>
      </c>
      <c r="G5190" s="9" t="str">
        <f>IFERROR(__xludf.DUMMYFUNCTION("GOOGLETRANSLATE($A5190,""en"",""zh-cn"")"),"达农")</f>
        <v>达农</v>
      </c>
      <c r="H5190" s="9" t="str">
        <f>IFERROR(__xludf.DUMMYFUNCTION("GOOGLETRANSLATE($A5190,""en"",""ja"")"),"ダク・ノン")</f>
        <v>ダク・ノン</v>
      </c>
      <c r="I5190" s="9" t="str">
        <f>IFERROR(__xludf.DUMMYFUNCTION("GOOGLETRANSLATE($A5190,""en"",""ko"")"),"닥농")</f>
        <v>닥농</v>
      </c>
      <c r="J5190" s="9" t="str">
        <f>IFERROR(__xludf.DUMMYFUNCTION("GOOGLETRANSLATE($A5190,""en"",""pt-BR"")"),"Đắk Nông")</f>
        <v>Đắk Nông</v>
      </c>
    </row>
    <row r="5191">
      <c r="A5191" s="9" t="str">
        <f>IFERROR(__xludf.DUMMYFUNCTION("""COMPUTED_VALUE"""),"Phú Yên")</f>
        <v>Phú Yên</v>
      </c>
      <c r="B5191" s="9" t="str">
        <f>IFERROR(__xludf.DUMMYFUNCTION("""COMPUTED_VALUE"""),"vn-32")</f>
        <v>vn-32</v>
      </c>
      <c r="C5191" s="9" t="str">
        <f>IFERROR(__xludf.DUMMYFUNCTION("GOOGLETRANSLATE($A5191,""en"",""de"")"),"Phú Yên")</f>
        <v>Phú Yên</v>
      </c>
      <c r="D5191" s="9" t="str">
        <f>IFERROR(__xludf.DUMMYFUNCTION("GOOGLETRANSLATE($A5191,""en"",""fr"")"),"Phu Yên")</f>
        <v>Phu Yên</v>
      </c>
      <c r="E5191" s="9" t="str">
        <f>IFERROR(__xludf.DUMMYFUNCTION("GOOGLETRANSLATE($A5191,""en"",""es"")"),"Phú Yên")</f>
        <v>Phú Yên</v>
      </c>
      <c r="F5191" s="9" t="str">
        <f>IFERROR(__xludf.DUMMYFUNCTION("GOOGLETRANSLATE($A5191,""en"",""it"")"),"Phú Yen")</f>
        <v>Phú Yen</v>
      </c>
      <c r="G5191" s="9" t="str">
        <f>IFERROR(__xludf.DUMMYFUNCTION("GOOGLETRANSLATE($A5191,""en"",""zh-cn"")"),"富安")</f>
        <v>富安</v>
      </c>
      <c r="H5191" s="9" t="str">
        <f>IFERROR(__xludf.DUMMYFUNCTION("GOOGLETRANSLATE($A5191,""en"",""ja"")"),"フーエン")</f>
        <v>フーエン</v>
      </c>
      <c r="I5191" s="9" t="str">
        <f>IFERROR(__xludf.DUMMYFUNCTION("GOOGLETRANSLATE($A5191,""en"",""ko"")"),"푸옌")</f>
        <v>푸옌</v>
      </c>
      <c r="J5191" s="9" t="str">
        <f>IFERROR(__xludf.DUMMYFUNCTION("GOOGLETRANSLATE($A5191,""en"",""pt-BR"")"),"Phú Yên")</f>
        <v>Phú Yên</v>
      </c>
    </row>
    <row r="5192">
      <c r="A5192" s="9" t="str">
        <f>IFERROR(__xludf.DUMMYFUNCTION("""COMPUTED_VALUE"""),"Lạng Sơn")</f>
        <v>Lạng Sơn</v>
      </c>
      <c r="B5192" s="9" t="str">
        <f>IFERROR(__xludf.DUMMYFUNCTION("""COMPUTED_VALUE"""),"vn-09")</f>
        <v>vn-09</v>
      </c>
      <c r="C5192" s="9" t="str">
        <f>IFERROR(__xludf.DUMMYFUNCTION("GOOGLETRANSLATE($A5192,""en"",""de"")"),"Lạng Sơn")</f>
        <v>Lạng Sơn</v>
      </c>
      <c r="D5192" s="9" t="str">
        <f>IFERROR(__xludf.DUMMYFUNCTION("GOOGLETRANSLATE($A5192,""en"",""fr"")"),"Lạng Sơn")</f>
        <v>Lạng Sơn</v>
      </c>
      <c r="E5192" s="9" t="str">
        <f>IFERROR(__xludf.DUMMYFUNCTION("GOOGLETRANSLATE($A5192,""en"",""es"")"),"Lạng Sơn")</f>
        <v>Lạng Sơn</v>
      </c>
      <c r="F5192" s="9" t="str">
        <f>IFERROR(__xludf.DUMMYFUNCTION("GOOGLETRANSLATE($A5192,""en"",""it"")"),"Lạng Sơn")</f>
        <v>Lạng Sơn</v>
      </c>
      <c r="G5192" s="9" t="str">
        <f>IFERROR(__xludf.DUMMYFUNCTION("GOOGLETRANSLATE($A5192,""en"",""zh-cn"")"),"郎山")</f>
        <v>郎山</v>
      </c>
      <c r="H5192" s="9" t="str">
        <f>IFERROR(__xludf.DUMMYFUNCTION("GOOGLETRANSLATE($A5192,""en"",""ja"")"),"ランソン")</f>
        <v>ランソン</v>
      </c>
      <c r="I5192" s="9" t="str">
        <f>IFERROR(__xludf.DUMMYFUNCTION("GOOGLETRANSLATE($A5192,""en"",""ko"")"),"랑손")</f>
        <v>랑손</v>
      </c>
      <c r="J5192" s="9" t="str">
        <f>IFERROR(__xludf.DUMMYFUNCTION("GOOGLETRANSLATE($A5192,""en"",""pt-BR"")"),"Lạng Sơn")</f>
        <v>Lạng Sơn</v>
      </c>
    </row>
    <row r="5193">
      <c r="A5193" s="9" t="str">
        <f>IFERROR(__xludf.DUMMYFUNCTION("""COMPUTED_VALUE"""),"An Giang")</f>
        <v>An Giang</v>
      </c>
      <c r="B5193" s="9" t="str">
        <f>IFERROR(__xludf.DUMMYFUNCTION("""COMPUTED_VALUE"""),"vn-44")</f>
        <v>vn-44</v>
      </c>
      <c r="C5193" s="9" t="str">
        <f>IFERROR(__xludf.DUMMYFUNCTION("GOOGLETRANSLATE($A5193,""en"",""de"")"),"Ein Giang")</f>
        <v>Ein Giang</v>
      </c>
      <c r="D5193" s="9" t="str">
        <f>IFERROR(__xludf.DUMMYFUNCTION("GOOGLETRANSLATE($A5193,""en"",""fr"")"),"An Giang")</f>
        <v>An Giang</v>
      </c>
      <c r="E5193" s="9" t="str">
        <f>IFERROR(__xludf.DUMMYFUNCTION("GOOGLETRANSLATE($A5193,""en"",""es"")"),"An Giang")</f>
        <v>An Giang</v>
      </c>
      <c r="F5193" s="9" t="str">
        <f>IFERROR(__xludf.DUMMYFUNCTION("GOOGLETRANSLATE($A5193,""en"",""it"")"),"Un Giang")</f>
        <v>Un Giang</v>
      </c>
      <c r="G5193" s="9" t="str">
        <f>IFERROR(__xludf.DUMMYFUNCTION("GOOGLETRANSLATE($A5193,""en"",""zh-cn"")"),"安江")</f>
        <v>安江</v>
      </c>
      <c r="H5193" s="9" t="str">
        <f>IFERROR(__xludf.DUMMYFUNCTION("GOOGLETRANSLATE($A5193,""en"",""ja"")"),"アンザン")</f>
        <v>アンザン</v>
      </c>
      <c r="I5193" s="9" t="str">
        <f>IFERROR(__xludf.DUMMYFUNCTION("GOOGLETRANSLATE($A5193,""en"",""ko"")"),"안장")</f>
        <v>안장</v>
      </c>
      <c r="J5193" s="9" t="str">
        <f>IFERROR(__xludf.DUMMYFUNCTION("GOOGLETRANSLATE($A5193,""en"",""pt-BR"")"),"Um Giang")</f>
        <v>Um Giang</v>
      </c>
    </row>
    <row r="5194">
      <c r="A5194" s="9" t="str">
        <f>IFERROR(__xludf.DUMMYFUNCTION("""COMPUTED_VALUE"""),"Vĩnh Phúc")</f>
        <v>Vĩnh Phúc</v>
      </c>
      <c r="B5194" s="9" t="str">
        <f>IFERROR(__xludf.DUMMYFUNCTION("""COMPUTED_VALUE"""),"vn-70")</f>
        <v>vn-70</v>
      </c>
      <c r="C5194" s="9" t="str">
        <f>IFERROR(__xludf.DUMMYFUNCTION("GOOGLETRANSLATE($A5194,""en"",""de"")"),"Vĩnh Phúc")</f>
        <v>Vĩnh Phúc</v>
      </c>
      <c r="D5194" s="9" t="str">
        <f>IFERROR(__xludf.DUMMYFUNCTION("GOOGLETRANSLATE($A5194,""en"",""fr"")"),"Vĩnh Phúc")</f>
        <v>Vĩnh Phúc</v>
      </c>
      <c r="E5194" s="9" t="str">
        <f>IFERROR(__xludf.DUMMYFUNCTION("GOOGLETRANSLATE($A5194,""en"",""es"")"),"Vĩnh Phúc")</f>
        <v>Vĩnh Phúc</v>
      </c>
      <c r="F5194" s="9" t="str">
        <f>IFERROR(__xludf.DUMMYFUNCTION("GOOGLETRANSLATE($A5194,""en"",""it"")"),"Vĩnh Phúc")</f>
        <v>Vĩnh Phúc</v>
      </c>
      <c r="G5194" s="9" t="str">
        <f>IFERROR(__xludf.DUMMYFUNCTION("GOOGLETRANSLATE($A5194,""en"",""zh-cn"")"),"永福")</f>
        <v>永福</v>
      </c>
      <c r="H5194" s="9" t="str">
        <f>IFERROR(__xludf.DUMMYFUNCTION("GOOGLETRANSLATE($A5194,""en"",""ja"")"),"ヴィンフック")</f>
        <v>ヴィンフック</v>
      </c>
      <c r="I5194" s="9" t="str">
        <f>IFERROR(__xludf.DUMMYFUNCTION("GOOGLETRANSLATE($A5194,""en"",""ko"")"),"빈푹")</f>
        <v>빈푹</v>
      </c>
      <c r="J5194" s="9" t="str">
        <f>IFERROR(__xludf.DUMMYFUNCTION("GOOGLETRANSLATE($A5194,""en"",""pt-BR"")"),"Vĩnh Phúc")</f>
        <v>Vĩnh Phúc</v>
      </c>
    </row>
    <row r="5195">
      <c r="A5195" s="9" t="str">
        <f>IFERROR(__xludf.DUMMYFUNCTION("""COMPUTED_VALUE"""),"Tuyên Quang")</f>
        <v>Tuyên Quang</v>
      </c>
      <c r="B5195" s="9" t="str">
        <f>IFERROR(__xludf.DUMMYFUNCTION("""COMPUTED_VALUE"""),"vn-07")</f>
        <v>vn-07</v>
      </c>
      <c r="C5195" s="9" t="str">
        <f>IFERROR(__xludf.DUMMYFUNCTION("GOOGLETRANSLATE($A5195,""en"",""de"")"),"Tuyên Quang")</f>
        <v>Tuyên Quang</v>
      </c>
      <c r="D5195" s="9" t="str">
        <f>IFERROR(__xludf.DUMMYFUNCTION("GOOGLETRANSLATE($A5195,""en"",""fr"")"),"Tuyen Quang")</f>
        <v>Tuyen Quang</v>
      </c>
      <c r="E5195" s="9" t="str">
        <f>IFERROR(__xludf.DUMMYFUNCTION("GOOGLETRANSLATE($A5195,""en"",""es"")"),"Tuyen Quang")</f>
        <v>Tuyen Quang</v>
      </c>
      <c r="F5195" s="9" t="str">
        <f>IFERROR(__xludf.DUMMYFUNCTION("GOOGLETRANSLATE($A5195,""en"",""it"")"),"Tuyen Quang")</f>
        <v>Tuyen Quang</v>
      </c>
      <c r="G5195" s="9" t="str">
        <f>IFERROR(__xludf.DUMMYFUNCTION("GOOGLETRANSLATE($A5195,""en"",""zh-cn"")"),"宣光")</f>
        <v>宣光</v>
      </c>
      <c r="H5195" s="9" t="str">
        <f>IFERROR(__xludf.DUMMYFUNCTION("GOOGLETRANSLATE($A5195,""en"",""ja"")"),"トゥエン・クアン")</f>
        <v>トゥエン・クアン</v>
      </c>
      <c r="I5195" s="9" t="str">
        <f>IFERROR(__xludf.DUMMYFUNCTION("GOOGLETRANSLATE($A5195,""en"",""ko"")"),"뚜옌꽝")</f>
        <v>뚜옌꽝</v>
      </c>
      <c r="J5195" s="9" t="str">
        <f>IFERROR(__xludf.DUMMYFUNCTION("GOOGLETRANSLATE($A5195,""en"",""pt-BR"")"),"Tuyên Quang")</f>
        <v>Tuyên Quang</v>
      </c>
    </row>
    <row r="5196">
      <c r="A5196" s="9" t="str">
        <f>IFERROR(__xludf.DUMMYFUNCTION("""COMPUTED_VALUE"""),"Hà Tây")</f>
        <v>Hà Tây</v>
      </c>
      <c r="B5196" s="9" t="str">
        <f>IFERROR(__xludf.DUMMYFUNCTION("""COMPUTED_VALUE"""),"vn-15")</f>
        <v>vn-15</v>
      </c>
      <c r="C5196" s="9" t="str">
        <f>IFERROR(__xludf.DUMMYFUNCTION("GOOGLETRANSLATE($A5196,""en"",""de"")"),"Hà Tây")</f>
        <v>Hà Tây</v>
      </c>
      <c r="D5196" s="9" t="str">
        <f>IFERROR(__xludf.DUMMYFUNCTION("GOOGLETRANSLATE($A5196,""en"",""fr"")"),"Ha Tay")</f>
        <v>Ha Tay</v>
      </c>
      <c r="E5196" s="9" t="str">
        <f>IFERROR(__xludf.DUMMYFUNCTION("GOOGLETRANSLATE($A5196,""en"",""es"")"),"Hà Tây")</f>
        <v>Hà Tây</v>
      </c>
      <c r="F5196" s="9" t="str">
        <f>IFERROR(__xludf.DUMMYFUNCTION("GOOGLETRANSLATE($A5196,""en"",""it"")"),"Hà Tây")</f>
        <v>Hà Tây</v>
      </c>
      <c r="G5196" s="9" t="str">
        <f>IFERROR(__xludf.DUMMYFUNCTION("GOOGLETRANSLATE($A5196,""en"",""zh-cn"")"),"河西")</f>
        <v>河西</v>
      </c>
      <c r="H5196" s="9" t="str">
        <f>IFERROR(__xludf.DUMMYFUNCTION("GOOGLETRANSLATE($A5196,""en"",""ja"")"),"ハタイ")</f>
        <v>ハタイ</v>
      </c>
      <c r="I5196" s="9" t="str">
        <f>IFERROR(__xludf.DUMMYFUNCTION("GOOGLETRANSLATE($A5196,""en"",""ko"")"),"하타이")</f>
        <v>하타이</v>
      </c>
      <c r="J5196" s="9" t="str">
        <f>IFERROR(__xludf.DUMMYFUNCTION("GOOGLETRANSLATE($A5196,""en"",""pt-BR"")"),"Hà Tây")</f>
        <v>Hà Tây</v>
      </c>
    </row>
    <row r="5197">
      <c r="A5197" s="9" t="str">
        <f>IFERROR(__xludf.DUMMYFUNCTION("""COMPUTED_VALUE"""),"Hà Tĩnh")</f>
        <v>Hà Tĩnh</v>
      </c>
      <c r="B5197" s="9" t="str">
        <f>IFERROR(__xludf.DUMMYFUNCTION("""COMPUTED_VALUE"""),"vn-23")</f>
        <v>vn-23</v>
      </c>
      <c r="C5197" s="9" t="str">
        <f>IFERROR(__xludf.DUMMYFUNCTION("GOOGLETRANSLATE($A5197,""en"",""de"")"),"Hà Tĩnh")</f>
        <v>Hà Tĩnh</v>
      </c>
      <c r="D5197" s="9" t="str">
        <f>IFERROR(__xludf.DUMMYFUNCTION("GOOGLETRANSLATE($A5197,""en"",""fr"")"),"Hà Tĩnh")</f>
        <v>Hà Tĩnh</v>
      </c>
      <c r="E5197" s="9" t="str">
        <f>IFERROR(__xludf.DUMMYFUNCTION("GOOGLETRANSLATE($A5197,""en"",""es"")"),"Hà Tĩnh")</f>
        <v>Hà Tĩnh</v>
      </c>
      <c r="F5197" s="9" t="str">
        <f>IFERROR(__xludf.DUMMYFUNCTION("GOOGLETRANSLATE($A5197,""en"",""it"")"),"Hà Tĩnh")</f>
        <v>Hà Tĩnh</v>
      </c>
      <c r="G5197" s="9" t="str">
        <f>IFERROR(__xludf.DUMMYFUNCTION("GOOGLETRANSLATE($A5197,""en"",""zh-cn"")"),"河静")</f>
        <v>河静</v>
      </c>
      <c r="H5197" s="9" t="str">
        <f>IFERROR(__xludf.DUMMYFUNCTION("GOOGLETRANSLATE($A5197,""en"",""ja"")"),"ハティン")</f>
        <v>ハティン</v>
      </c>
      <c r="I5197" s="9" t="str">
        <f>IFERROR(__xludf.DUMMYFUNCTION("GOOGLETRANSLATE($A5197,""en"",""ko"")"),"하띤")</f>
        <v>하띤</v>
      </c>
      <c r="J5197" s="9" t="str">
        <f>IFERROR(__xludf.DUMMYFUNCTION("GOOGLETRANSLATE($A5197,""en"",""pt-BR"")"),"Hà Tĩnh")</f>
        <v>Hà Tĩnh</v>
      </c>
    </row>
    <row r="5198">
      <c r="A5198" s="9" t="str">
        <f>IFERROR(__xludf.DUMMYFUNCTION("""COMPUTED_VALUE"""),"Gia Lai")</f>
        <v>Gia Lai</v>
      </c>
      <c r="B5198" s="9" t="str">
        <f>IFERROR(__xludf.DUMMYFUNCTION("""COMPUTED_VALUE"""),"vn-30")</f>
        <v>vn-30</v>
      </c>
      <c r="C5198" s="9" t="str">
        <f>IFERROR(__xludf.DUMMYFUNCTION("GOOGLETRANSLATE($A5198,""en"",""de"")"),"Gia Lai")</f>
        <v>Gia Lai</v>
      </c>
      <c r="D5198" s="9" t="str">
        <f>IFERROR(__xludf.DUMMYFUNCTION("GOOGLETRANSLATE($A5198,""en"",""fr"")"),"Gia Laï")</f>
        <v>Gia Laï</v>
      </c>
      <c r="E5198" s="9" t="str">
        <f>IFERROR(__xludf.DUMMYFUNCTION("GOOGLETRANSLATE($A5198,""en"",""es"")"),"Gia Lai")</f>
        <v>Gia Lai</v>
      </c>
      <c r="F5198" s="9" t="str">
        <f>IFERROR(__xludf.DUMMYFUNCTION("GOOGLETRANSLATE($A5198,""en"",""it"")"),"Gia Lai")</f>
        <v>Gia Lai</v>
      </c>
      <c r="G5198" s="9" t="str">
        <f>IFERROR(__xludf.DUMMYFUNCTION("GOOGLETRANSLATE($A5198,""en"",""zh-cn"")"),"嘉莱")</f>
        <v>嘉莱</v>
      </c>
      <c r="H5198" s="9" t="str">
        <f>IFERROR(__xludf.DUMMYFUNCTION("GOOGLETRANSLATE($A5198,""en"",""ja"")"),"ザライ")</f>
        <v>ザライ</v>
      </c>
      <c r="I5198" s="9" t="str">
        <f>IFERROR(__xludf.DUMMYFUNCTION("GOOGLETRANSLATE($A5198,""en"",""ko"")"),"지아 라이")</f>
        <v>지아 라이</v>
      </c>
      <c r="J5198" s="9" t="str">
        <f>IFERROR(__xludf.DUMMYFUNCTION("GOOGLETRANSLATE($A5198,""en"",""pt-BR"")"),"Gia Lai")</f>
        <v>Gia Lai</v>
      </c>
    </row>
    <row r="5199">
      <c r="A5199" s="9" t="str">
        <f>IFERROR(__xludf.DUMMYFUNCTION("""COMPUTED_VALUE"""),"Hải Phòng")</f>
        <v>Hải Phòng</v>
      </c>
      <c r="B5199" s="9" t="str">
        <f>IFERROR(__xludf.DUMMYFUNCTION("""COMPUTED_VALUE"""),"vn-hp")</f>
        <v>vn-hp</v>
      </c>
      <c r="C5199" s="9" t="str">
        <f>IFERROR(__xludf.DUMMYFUNCTION("GOOGLETRANSLATE($A5199,""en"",""de"")"),"Hải Phòng")</f>
        <v>Hải Phòng</v>
      </c>
      <c r="D5199" s="9" t="str">
        <f>IFERROR(__xludf.DUMMYFUNCTION("GOOGLETRANSLATE($A5199,""en"",""fr"")"),"Hai Phong")</f>
        <v>Hai Phong</v>
      </c>
      <c r="E5199" s="9" t="str">
        <f>IFERROR(__xludf.DUMMYFUNCTION("GOOGLETRANSLATE($A5199,""en"",""es"")"),"Hải Phòng")</f>
        <v>Hải Phòng</v>
      </c>
      <c r="F5199" s="9" t="str">
        <f>IFERROR(__xludf.DUMMYFUNCTION("GOOGLETRANSLATE($A5199,""en"",""it"")"),"Hải Phòng")</f>
        <v>Hải Phòng</v>
      </c>
      <c r="G5199" s="9" t="str">
        <f>IFERROR(__xludf.DUMMYFUNCTION("GOOGLETRANSLATE($A5199,""en"",""zh-cn"")"),"海防市")</f>
        <v>海防市</v>
      </c>
      <c r="H5199" s="9" t="str">
        <f>IFERROR(__xludf.DUMMYFUNCTION("GOOGLETRANSLATE($A5199,""en"",""ja"")"),"ハイフォン")</f>
        <v>ハイフォン</v>
      </c>
      <c r="I5199" s="9" t="str">
        <f>IFERROR(__xludf.DUMMYFUNCTION("GOOGLETRANSLATE($A5199,""en"",""ko"")"),"하이퐁")</f>
        <v>하이퐁</v>
      </c>
      <c r="J5199" s="9" t="str">
        <f>IFERROR(__xludf.DUMMYFUNCTION("GOOGLETRANSLATE($A5199,""en"",""pt-BR"")"),"Hải Phòng")</f>
        <v>Hải Phòng</v>
      </c>
    </row>
    <row r="5200">
      <c r="A5200" s="9" t="str">
        <f>IFERROR(__xludf.DUMMYFUNCTION("""COMPUTED_VALUE"""),"Thái Nguyên")</f>
        <v>Thái Nguyên</v>
      </c>
      <c r="B5200" s="9" t="str">
        <f>IFERROR(__xludf.DUMMYFUNCTION("""COMPUTED_VALUE"""),"vn-69")</f>
        <v>vn-69</v>
      </c>
      <c r="C5200" s="9" t="str">
        <f>IFERROR(__xludf.DUMMYFUNCTION("GOOGLETRANSLATE($A5200,""en"",""de"")"),"Thái Nguyên")</f>
        <v>Thái Nguyên</v>
      </c>
      <c r="D5200" s="9" t="str">
        <f>IFERROR(__xludf.DUMMYFUNCTION("GOOGLETRANSLATE($A5200,""en"",""fr"")"),"Thai Nguyên")</f>
        <v>Thai Nguyên</v>
      </c>
      <c r="E5200" s="9" t="str">
        <f>IFERROR(__xludf.DUMMYFUNCTION("GOOGLETRANSLATE($A5200,""en"",""es"")"),"Thái Nguyen")</f>
        <v>Thái Nguyen</v>
      </c>
      <c r="F5200" s="9" t="str">
        <f>IFERROR(__xludf.DUMMYFUNCTION("GOOGLETRANSLATE($A5200,""en"",""it"")"),"Thai Nguyen")</f>
        <v>Thai Nguyen</v>
      </c>
      <c r="G5200" s="9" t="str">
        <f>IFERROR(__xludf.DUMMYFUNCTION("GOOGLETRANSLATE($A5200,""en"",""zh-cn"")"),"太原")</f>
        <v>太原</v>
      </c>
      <c r="H5200" s="9" t="str">
        <f>IFERROR(__xludf.DUMMYFUNCTION("GOOGLETRANSLATE($A5200,""en"",""ja"")"),"タイ・グエン")</f>
        <v>タイ・グエン</v>
      </c>
      <c r="I5200" s="9" t="str">
        <f>IFERROR(__xludf.DUMMYFUNCTION("GOOGLETRANSLATE($A5200,""en"",""ko"")"),"타이 응우옌")</f>
        <v>타이 응우옌</v>
      </c>
      <c r="J5200" s="9" t="str">
        <f>IFERROR(__xludf.DUMMYFUNCTION("GOOGLETRANSLATE($A5200,""en"",""pt-BR"")"),"Thai Nguyên")</f>
        <v>Thai Nguyên</v>
      </c>
    </row>
    <row r="5201">
      <c r="A5201" s="9" t="str">
        <f>IFERROR(__xludf.DUMMYFUNCTION("""COMPUTED_VALUE"""),"Khánh Hòa")</f>
        <v>Khánh Hòa</v>
      </c>
      <c r="B5201" s="9" t="str">
        <f>IFERROR(__xludf.DUMMYFUNCTION("""COMPUTED_VALUE"""),"vn-34")</f>
        <v>vn-34</v>
      </c>
      <c r="C5201" s="9" t="str">
        <f>IFERROR(__xludf.DUMMYFUNCTION("GOOGLETRANSLATE($A5201,""en"",""de"")"),"Khánh Hòa")</f>
        <v>Khánh Hòa</v>
      </c>
      <c r="D5201" s="9" t="str">
        <f>IFERROR(__xludf.DUMMYFUNCTION("GOOGLETRANSLATE($A5201,""en"",""fr"")"),"Khánh Hòa")</f>
        <v>Khánh Hòa</v>
      </c>
      <c r="E5201" s="9" t="str">
        <f>IFERROR(__xludf.DUMMYFUNCTION("GOOGLETRANSLATE($A5201,""en"",""es"")"),"Khánh Hòa")</f>
        <v>Khánh Hòa</v>
      </c>
      <c r="F5201" s="9" t="str">
        <f>IFERROR(__xludf.DUMMYFUNCTION("GOOGLETRANSLATE($A5201,""en"",""it"")"),"Khánh Hòa")</f>
        <v>Khánh Hòa</v>
      </c>
      <c r="G5201" s="9" t="str">
        <f>IFERROR(__xludf.DUMMYFUNCTION("GOOGLETRANSLATE($A5201,""en"",""zh-cn"")"),"庆和")</f>
        <v>庆和</v>
      </c>
      <c r="H5201" s="9" t="str">
        <f>IFERROR(__xludf.DUMMYFUNCTION("GOOGLETRANSLATE($A5201,""en"",""ja"")"),"カインホア")</f>
        <v>カインホア</v>
      </c>
      <c r="I5201" s="9" t="str">
        <f>IFERROR(__xludf.DUMMYFUNCTION("GOOGLETRANSLATE($A5201,""en"",""ko"")"),"칸호아")</f>
        <v>칸호아</v>
      </c>
      <c r="J5201" s="9" t="str">
        <f>IFERROR(__xludf.DUMMYFUNCTION("GOOGLETRANSLATE($A5201,""en"",""pt-BR"")"),"Khánh Hòa")</f>
        <v>Khánh Hòa</v>
      </c>
    </row>
    <row r="5202">
      <c r="A5202" s="9" t="str">
        <f>IFERROR(__xludf.DUMMYFUNCTION("""COMPUTED_VALUE"""),"Cà Mau")</f>
        <v>Cà Mau</v>
      </c>
      <c r="B5202" s="9" t="str">
        <f>IFERROR(__xludf.DUMMYFUNCTION("""COMPUTED_VALUE"""),"vn-59")</f>
        <v>vn-59</v>
      </c>
      <c r="C5202" s="9" t="str">
        <f>IFERROR(__xludf.DUMMYFUNCTION("GOOGLETRANSLATE($A5202,""en"",""de"")"),"Cà Mau")</f>
        <v>Cà Mau</v>
      </c>
      <c r="D5202" s="9" t="str">
        <f>IFERROR(__xludf.DUMMYFUNCTION("GOOGLETRANSLATE($A5202,""en"",""fr"")"),"Cà Mau")</f>
        <v>Cà Mau</v>
      </c>
      <c r="E5202" s="9" t="str">
        <f>IFERROR(__xludf.DUMMYFUNCTION("GOOGLETRANSLATE($A5202,""en"",""es"")"),"Ca Mau")</f>
        <v>Ca Mau</v>
      </c>
      <c r="F5202" s="9" t="str">
        <f>IFERROR(__xludf.DUMMYFUNCTION("GOOGLETRANSLATE($A5202,""en"",""it"")"),"Cà Mau")</f>
        <v>Cà Mau</v>
      </c>
      <c r="G5202" s="9" t="str">
        <f>IFERROR(__xludf.DUMMYFUNCTION("GOOGLETRANSLATE($A5202,""en"",""zh-cn"")"),"金瓯")</f>
        <v>金瓯</v>
      </c>
      <c r="H5202" s="9" t="str">
        <f>IFERROR(__xludf.DUMMYFUNCTION("GOOGLETRANSLATE($A5202,""en"",""ja"")"),"カマウ")</f>
        <v>カマウ</v>
      </c>
      <c r="I5202" s="9" t="str">
        <f>IFERROR(__xludf.DUMMYFUNCTION("GOOGLETRANSLATE($A5202,""en"",""ko"")"),"까마우")</f>
        <v>까마우</v>
      </c>
      <c r="J5202" s="9" t="str">
        <f>IFERROR(__xludf.DUMMYFUNCTION("GOOGLETRANSLATE($A5202,""en"",""pt-BR"")"),"Cà Mau")</f>
        <v>Cà Mau</v>
      </c>
    </row>
    <row r="5203">
      <c r="A5203" s="9" t="str">
        <f>IFERROR(__xludf.DUMMYFUNCTION("""COMPUTED_VALUE"""),"Tiền Giang")</f>
        <v>Tiền Giang</v>
      </c>
      <c r="B5203" s="9" t="str">
        <f>IFERROR(__xludf.DUMMYFUNCTION("""COMPUTED_VALUE"""),"vn-46")</f>
        <v>vn-46</v>
      </c>
      <c r="C5203" s="9" t="str">
        <f>IFERROR(__xludf.DUMMYFUNCTION("GOOGLETRANSLATE($A5203,""en"",""de"")"),"Tiền Giang")</f>
        <v>Tiền Giang</v>
      </c>
      <c r="D5203" s="9" t="str">
        <f>IFERROR(__xludf.DUMMYFUNCTION("GOOGLETRANSLATE($A5203,""en"",""fr"")"),"Tiền Giang")</f>
        <v>Tiền Giang</v>
      </c>
      <c r="E5203" s="9" t="str">
        <f>IFERROR(__xludf.DUMMYFUNCTION("GOOGLETRANSLATE($A5203,""en"",""es"")"),"Tiền Giang")</f>
        <v>Tiền Giang</v>
      </c>
      <c r="F5203" s="9" t="str">
        <f>IFERROR(__xludf.DUMMYFUNCTION("GOOGLETRANSLATE($A5203,""en"",""it"")"),"Tiền Giang")</f>
        <v>Tiền Giang</v>
      </c>
      <c r="G5203" s="9" t="str">
        <f>IFERROR(__xludf.DUMMYFUNCTION("GOOGLETRANSLATE($A5203,""en"",""zh-cn"")"),"前江省")</f>
        <v>前江省</v>
      </c>
      <c r="H5203" s="9" t="str">
        <f>IFERROR(__xludf.DUMMYFUNCTION("GOOGLETRANSLATE($A5203,""en"",""ja"")"),"ティアンザン")</f>
        <v>ティアンザン</v>
      </c>
      <c r="I5203" s="9" t="str">
        <f>IFERROR(__xludf.DUMMYFUNCTION("GOOGLETRANSLATE($A5203,""en"",""ko"")"),"티엔장")</f>
        <v>티엔장</v>
      </c>
      <c r="J5203" s="9" t="str">
        <f>IFERROR(__xludf.DUMMYFUNCTION("GOOGLETRANSLATE($A5203,""en"",""pt-BR"")"),"Tiền Giang")</f>
        <v>Tiền Giang</v>
      </c>
    </row>
    <row r="5204">
      <c r="A5204" s="9" t="str">
        <f>IFERROR(__xludf.DUMMYFUNCTION("""COMPUTED_VALUE"""),"Sóc Trăng")</f>
        <v>Sóc Trăng</v>
      </c>
      <c r="B5204" s="9" t="str">
        <f>IFERROR(__xludf.DUMMYFUNCTION("""COMPUTED_VALUE"""),"vn-52")</f>
        <v>vn-52</v>
      </c>
      <c r="C5204" s="9" t="str">
        <f>IFERROR(__xludf.DUMMYFUNCTION("GOOGLETRANSLATE($A5204,""en"",""de"")"),"Sóc Trăng")</f>
        <v>Sóc Trăng</v>
      </c>
      <c r="D5204" s="9" t="str">
        <f>IFERROR(__xludf.DUMMYFUNCTION("GOOGLETRANSLATE($A5204,""en"",""fr"")"),"Sóc Trăng")</f>
        <v>Sóc Trăng</v>
      </c>
      <c r="E5204" s="9" t="str">
        <f>IFERROR(__xludf.DUMMYFUNCTION("GOOGLETRANSLATE($A5204,""en"",""es"")"),"Sóc Trăng")</f>
        <v>Sóc Trăng</v>
      </c>
      <c r="F5204" s="9" t="str">
        <f>IFERROR(__xludf.DUMMYFUNCTION("GOOGLETRANSLATE($A5204,""en"",""it"")"),"Sóc Trang")</f>
        <v>Sóc Trang</v>
      </c>
      <c r="G5204" s="9" t="str">
        <f>IFERROR(__xludf.DUMMYFUNCTION("GOOGLETRANSLATE($A5204,""en"",""zh-cn"")"),"朔庄")</f>
        <v>朔庄</v>
      </c>
      <c r="H5204" s="9" t="str">
        <f>IFERROR(__xludf.DUMMYFUNCTION("GOOGLETRANSLATE($A5204,""en"",""ja"")"),"ソクチャン")</f>
        <v>ソクチャン</v>
      </c>
      <c r="I5204" s="9" t="str">
        <f>IFERROR(__xludf.DUMMYFUNCTION("GOOGLETRANSLATE($A5204,""en"",""ko"")"),"속 짱")</f>
        <v>속 짱</v>
      </c>
      <c r="J5204" s="9" t="str">
        <f>IFERROR(__xludf.DUMMYFUNCTION("GOOGLETRANSLATE($A5204,""en"",""pt-BR"")"),"Sóc Trăng")</f>
        <v>Sóc Trăng</v>
      </c>
    </row>
    <row r="5205">
      <c r="A5205" s="9" t="str">
        <f>IFERROR(__xludf.DUMMYFUNCTION("""COMPUTED_VALUE"""),"Điện Biên")</f>
        <v>Điện Biên</v>
      </c>
      <c r="B5205" s="9" t="str">
        <f>IFERROR(__xludf.DUMMYFUNCTION("""COMPUTED_VALUE"""),"vn-71")</f>
        <v>vn-71</v>
      </c>
      <c r="C5205" s="9" t="str">
        <f>IFERROR(__xludf.DUMMYFUNCTION("GOOGLETRANSLATE($A5205,""en"",""de"")"),"Điện Biên")</f>
        <v>Điện Biên</v>
      </c>
      <c r="D5205" s="9" t="str">
        <f>IFERROR(__xludf.DUMMYFUNCTION("GOOGLETRANSLATE($A5205,""en"",""fr"")"),"Diện Bien")</f>
        <v>Diện Bien</v>
      </c>
      <c r="E5205" s="9" t="str">
        <f>IFERROR(__xludf.DUMMYFUNCTION("GOOGLETRANSLATE($A5205,""en"",""es"")"),"Điện Bien")</f>
        <v>Điện Bien</v>
      </c>
      <c r="F5205" s="9" t="str">
        <f>IFERROR(__xludf.DUMMYFUNCTION("GOOGLETRANSLATE($A5205,""en"",""it"")"),"Điện Biên")</f>
        <v>Điện Biên</v>
      </c>
      <c r="G5205" s="9" t="str">
        <f>IFERROR(__xludf.DUMMYFUNCTION("GOOGLETRANSLATE($A5205,""en"",""zh-cn"")"),"陈边")</f>
        <v>陈边</v>
      </c>
      <c r="H5205" s="9" t="str">
        <f>IFERROR(__xludf.DUMMYFUNCTION("GOOGLETRANSLATE($A5205,""en"",""ja"")"),"ディンビエン")</f>
        <v>ディンビエン</v>
      </c>
      <c r="I5205" s="9" t="str">
        <f>IFERROR(__xludf.DUMMYFUNCTION("GOOGLETRANSLATE($A5205,""en"",""ko"")"),"디엔비엔")</f>
        <v>디엔비엔</v>
      </c>
      <c r="J5205" s="9" t="str">
        <f>IFERROR(__xludf.DUMMYFUNCTION("GOOGLETRANSLATE($A5205,""en"",""pt-BR"")"),"Điện Biên")</f>
        <v>Điện Biên</v>
      </c>
    </row>
    <row r="5206">
      <c r="A5206" s="9" t="str">
        <f>IFERROR(__xludf.DUMMYFUNCTION("""COMPUTED_VALUE"""),"Hà Nội")</f>
        <v>Hà Nội</v>
      </c>
      <c r="B5206" s="9" t="str">
        <f>IFERROR(__xludf.DUMMYFUNCTION("""COMPUTED_VALUE"""),"vn-hn")</f>
        <v>vn-hn</v>
      </c>
      <c r="C5206" s="9" t="str">
        <f>IFERROR(__xludf.DUMMYFUNCTION("GOOGLETRANSLATE($A5206,""en"",""de"")"),"Hà Nội")</f>
        <v>Hà Nội</v>
      </c>
      <c r="D5206" s="9" t="str">
        <f>IFERROR(__xludf.DUMMYFUNCTION("GOOGLETRANSLATE($A5206,""en"",""fr"")"),"Hanoï")</f>
        <v>Hanoï</v>
      </c>
      <c r="E5206" s="9" t="str">
        <f>IFERROR(__xludf.DUMMYFUNCTION("GOOGLETRANSLATE($A5206,""en"",""es"")"),"Hà Nội")</f>
        <v>Hà Nội</v>
      </c>
      <c r="F5206" s="9" t="str">
        <f>IFERROR(__xludf.DUMMYFUNCTION("GOOGLETRANSLATE($A5206,""en"",""it"")"),"Hà Nội")</f>
        <v>Hà Nội</v>
      </c>
      <c r="G5206" s="9" t="str">
        <f>IFERROR(__xludf.DUMMYFUNCTION("GOOGLETRANSLATE($A5206,""en"",""zh-cn"")"),"河内")</f>
        <v>河内</v>
      </c>
      <c r="H5206" s="9" t="str">
        <f>IFERROR(__xludf.DUMMYFUNCTION("GOOGLETRANSLATE($A5206,""en"",""ja"")"),"ハノイ")</f>
        <v>ハノイ</v>
      </c>
      <c r="I5206" s="9" t="str">
        <f>IFERROR(__xludf.DUMMYFUNCTION("GOOGLETRANSLATE($A5206,""en"",""ko"")"),"하노이")</f>
        <v>하노이</v>
      </c>
      <c r="J5206" s="9" t="str">
        <f>IFERROR(__xludf.DUMMYFUNCTION("GOOGLETRANSLATE($A5206,""en"",""pt-BR"")"),"Hà Nội")</f>
        <v>Hà Nội</v>
      </c>
    </row>
    <row r="5207">
      <c r="A5207" s="9" t="str">
        <f>IFERROR(__xludf.DUMMYFUNCTION("""COMPUTED_VALUE"""),"Đà Nẵng")</f>
        <v>Đà Nẵng</v>
      </c>
      <c r="B5207" s="9" t="str">
        <f>IFERROR(__xludf.DUMMYFUNCTION("""COMPUTED_VALUE"""),"vn-dn")</f>
        <v>vn-dn</v>
      </c>
      <c r="C5207" s="9" t="str">
        <f>IFERROR(__xludf.DUMMYFUNCTION("GOOGLETRANSLATE($A5207,""en"",""de"")"),"Đà Nẵng")</f>
        <v>Đà Nẵng</v>
      </c>
      <c r="D5207" s="9" t="str">
        <f>IFERROR(__xludf.DUMMYFUNCTION("GOOGLETRANSLATE($A5207,""en"",""fr"")"),"Đà Nẵng")</f>
        <v>Đà Nẵng</v>
      </c>
      <c r="E5207" s="9" t="str">
        <f>IFERROR(__xludf.DUMMYFUNCTION("GOOGLETRANSLATE($A5207,""en"",""es"")"),"Đà Nẵng")</f>
        <v>Đà Nẵng</v>
      </c>
      <c r="F5207" s="9" t="str">
        <f>IFERROR(__xludf.DUMMYFUNCTION("GOOGLETRANSLATE($A5207,""en"",""it"")"),"Đà Nẵng")</f>
        <v>Đà Nẵng</v>
      </c>
      <c r="G5207" s="9" t="str">
        <f>IFERROR(__xludf.DUMMYFUNCTION("GOOGLETRANSLATE($A5207,""en"",""zh-cn"")"),"达能")</f>
        <v>达能</v>
      </c>
      <c r="H5207" s="9" t="str">
        <f>IFERROR(__xludf.DUMMYFUNCTION("GOOGLETRANSLATE($A5207,""en"",""ja"")"),"ダナン")</f>
        <v>ダナン</v>
      </c>
      <c r="I5207" s="9" t="str">
        <f>IFERROR(__xludf.DUMMYFUNCTION("GOOGLETRANSLATE($A5207,""en"",""ko"")"),"다낭")</f>
        <v>다낭</v>
      </c>
      <c r="J5207" s="9" t="str">
        <f>IFERROR(__xludf.DUMMYFUNCTION("GOOGLETRANSLATE($A5207,""en"",""pt-BR"")"),"Đà Nẵng")</f>
        <v>Đà Nẵng</v>
      </c>
    </row>
    <row r="5208">
      <c r="A5208" s="9" t="str">
        <f>IFERROR(__xludf.DUMMYFUNCTION("""COMPUTED_VALUE"""),"Cao Bằng")</f>
        <v>Cao Bằng</v>
      </c>
      <c r="B5208" s="9" t="str">
        <f>IFERROR(__xludf.DUMMYFUNCTION("""COMPUTED_VALUE"""),"vn-04")</f>
        <v>vn-04</v>
      </c>
      <c r="C5208" s="9" t="str">
        <f>IFERROR(__xludf.DUMMYFUNCTION("GOOGLETRANSLATE($A5208,""en"",""de"")"),"Cao Bằng")</f>
        <v>Cao Bằng</v>
      </c>
      <c r="D5208" s="9" t="str">
        <f>IFERROR(__xludf.DUMMYFUNCTION("GOOGLETRANSLATE($A5208,""en"",""fr"")"),"Cao Bang")</f>
        <v>Cao Bang</v>
      </c>
      <c r="E5208" s="9" t="str">
        <f>IFERROR(__xludf.DUMMYFUNCTION("GOOGLETRANSLATE($A5208,""en"",""es"")"),"Cao Bằng")</f>
        <v>Cao Bằng</v>
      </c>
      <c r="F5208" s="9" t="str">
        <f>IFERROR(__xludf.DUMMYFUNCTION("GOOGLETRANSLATE($A5208,""en"",""it"")"),"Cao Bang")</f>
        <v>Cao Bang</v>
      </c>
      <c r="G5208" s="9" t="str">
        <f>IFERROR(__xludf.DUMMYFUNCTION("GOOGLETRANSLATE($A5208,""en"",""zh-cn"")"),"高平")</f>
        <v>高平</v>
      </c>
      <c r="H5208" s="9" t="str">
        <f>IFERROR(__xludf.DUMMYFUNCTION("GOOGLETRANSLATE($A5208,""en"",""ja"")"),"曹邦")</f>
        <v>曹邦</v>
      </c>
      <c r="I5208" s="9" t="str">
        <f>IFERROR(__xludf.DUMMYFUNCTION("GOOGLETRANSLATE($A5208,""en"",""ko"")"),"까오방")</f>
        <v>까오방</v>
      </c>
      <c r="J5208" s="9" t="str">
        <f>IFERROR(__xludf.DUMMYFUNCTION("GOOGLETRANSLATE($A5208,""en"",""pt-BR"")"),"Cao Bằng")</f>
        <v>Cao Bằng</v>
      </c>
    </row>
    <row r="5209">
      <c r="A5209" s="9" t="str">
        <f>IFERROR(__xludf.DUMMYFUNCTION("""COMPUTED_VALUE"""),"Bà Rịa - Vũng Tàu")</f>
        <v>Bà Rịa - Vũng Tàu</v>
      </c>
      <c r="B5209" s="9" t="str">
        <f>IFERROR(__xludf.DUMMYFUNCTION("""COMPUTED_VALUE"""),"vn-43")</f>
        <v>vn-43</v>
      </c>
      <c r="C5209" s="9" t="str">
        <f>IFERROR(__xludf.DUMMYFUNCTION("GOOGLETRANSLATE($A5209,""en"",""de"")"),"Bà Rịa – Vũng Tàu")</f>
        <v>Bà Rịa – Vũng Tàu</v>
      </c>
      <c r="D5209" s="9" t="str">
        <f>IFERROR(__xludf.DUMMYFUNCTION("GOOGLETRANSLATE($A5209,""en"",""fr"")"),"Bà Rịa - Vũng Tàu")</f>
        <v>Bà Rịa - Vũng Tàu</v>
      </c>
      <c r="E5209" s="9" t="str">
        <f>IFERROR(__xludf.DUMMYFUNCTION("GOOGLETRANSLATE($A5209,""en"",""es"")"),"Bà Rịa - Vũng Tàu")</f>
        <v>Bà Rịa - Vũng Tàu</v>
      </c>
      <c r="F5209" s="9" t="str">
        <f>IFERROR(__xludf.DUMMYFUNCTION("GOOGLETRANSLATE($A5209,""en"",""it"")"),"Bà Rịa - Vũng Tàu")</f>
        <v>Bà Rịa - Vũng Tàu</v>
      </c>
      <c r="G5209" s="9" t="str">
        <f>IFERROR(__xludf.DUMMYFUNCTION("GOOGLETRANSLATE($A5209,""en"",""zh-cn"")"),"巴地 - 头顿")</f>
        <v>巴地 - 头顿</v>
      </c>
      <c r="H5209" s="9" t="str">
        <f>IFERROR(__xludf.DUMMYFUNCTION("GOOGLETRANSLATE($A5209,""en"",""ja"")"),"バレア - ブンタウ")</f>
        <v>バレア - ブンタウ</v>
      </c>
      <c r="I5209" s="9" t="str">
        <f>IFERROR(__xludf.DUMMYFUNCTION("GOOGLETRANSLATE($A5209,""en"",""ko"")"),"Bà Rịa - Vũng Tàu")</f>
        <v>Bà Rịa - Vũng Tàu</v>
      </c>
      <c r="J5209" s="9" t="str">
        <f>IFERROR(__xludf.DUMMYFUNCTION("GOOGLETRANSLATE($A5209,""en"",""pt-BR"")"),"Bà Rịa - Vũng Tàu")</f>
        <v>Bà Rịa - Vũng Tàu</v>
      </c>
    </row>
    <row r="5210">
      <c r="A5210" s="9" t="str">
        <f>IFERROR(__xludf.DUMMYFUNCTION("""COMPUTED_VALUE"""),"Cần Thơ")</f>
        <v>Cần Thơ</v>
      </c>
      <c r="B5210" s="9" t="str">
        <f>IFERROR(__xludf.DUMMYFUNCTION("""COMPUTED_VALUE"""),"vn-ct")</f>
        <v>vn-ct</v>
      </c>
      <c r="C5210" s="9" t="str">
        <f>IFERROR(__xludf.DUMMYFUNCTION("GOOGLETRANSLATE($A5210,""en"",""de"")"),"Cần Thơ")</f>
        <v>Cần Thơ</v>
      </c>
      <c r="D5210" s="9" t="str">
        <f>IFERROR(__xludf.DUMMYFUNCTION("GOOGLETRANSLATE($A5210,""en"",""fr"")"),"Cần Thơ")</f>
        <v>Cần Thơ</v>
      </c>
      <c r="E5210" s="9" t="str">
        <f>IFERROR(__xludf.DUMMYFUNCTION("GOOGLETRANSLATE($A5210,""en"",""es"")"),"Cần Thơ")</f>
        <v>Cần Thơ</v>
      </c>
      <c r="F5210" s="9" t="str">
        <f>IFERROR(__xludf.DUMMYFUNCTION("GOOGLETRANSLATE($A5210,""en"",""it"")"),"Cần Thơ")</f>
        <v>Cần Thơ</v>
      </c>
      <c r="G5210" s="9" t="str">
        <f>IFERROR(__xludf.DUMMYFUNCTION("GOOGLETRANSLATE($A5210,""en"",""zh-cn"")"),"芹苴")</f>
        <v>芹苴</v>
      </c>
      <c r="H5210" s="9" t="str">
        <f>IFERROR(__xludf.DUMMYFUNCTION("GOOGLETRANSLATE($A5210,""en"",""ja"")"),"カントー")</f>
        <v>カントー</v>
      </c>
      <c r="I5210" s="9" t="str">
        <f>IFERROR(__xludf.DUMMYFUNCTION("GOOGLETRANSLATE($A5210,""en"",""ko"")"),"깐토")</f>
        <v>깐토</v>
      </c>
      <c r="J5210" s="9" t="str">
        <f>IFERROR(__xludf.DUMMYFUNCTION("GOOGLETRANSLATE($A5210,""en"",""pt-BR"")"),"Can Tho")</f>
        <v>Can Tho</v>
      </c>
    </row>
    <row r="5211">
      <c r="A5211" s="9" t="str">
        <f>IFERROR(__xludf.DUMMYFUNCTION("""COMPUTED_VALUE"""),"Vĩnh Long")</f>
        <v>Vĩnh Long</v>
      </c>
      <c r="B5211" s="9" t="str">
        <f>IFERROR(__xludf.DUMMYFUNCTION("""COMPUTED_VALUE"""),"vn-49")</f>
        <v>vn-49</v>
      </c>
      <c r="C5211" s="9" t="str">
        <f>IFERROR(__xludf.DUMMYFUNCTION("GOOGLETRANSLATE($A5211,""en"",""de"")"),"Vĩnh Long")</f>
        <v>Vĩnh Long</v>
      </c>
      <c r="D5211" s="9" t="str">
        <f>IFERROR(__xludf.DUMMYFUNCTION("GOOGLETRANSLATE($A5211,""en"",""fr"")"),"Vĩnh Long")</f>
        <v>Vĩnh Long</v>
      </c>
      <c r="E5211" s="9" t="str">
        <f>IFERROR(__xludf.DUMMYFUNCTION("GOOGLETRANSLATE($A5211,""en"",""es"")"),"Vinh Long")</f>
        <v>Vinh Long</v>
      </c>
      <c r="F5211" s="9" t="str">
        <f>IFERROR(__xludf.DUMMYFUNCTION("GOOGLETRANSLATE($A5211,""en"",""it"")"),"Vĩnh Long")</f>
        <v>Vĩnh Long</v>
      </c>
      <c r="G5211" s="9" t="str">
        <f>IFERROR(__xludf.DUMMYFUNCTION("GOOGLETRANSLATE($A5211,""en"",""zh-cn"")"),"永隆")</f>
        <v>永隆</v>
      </c>
      <c r="H5211" s="9" t="str">
        <f>IFERROR(__xludf.DUMMYFUNCTION("GOOGLETRANSLATE($A5211,""en"",""ja"")"),"ヴィンロン")</f>
        <v>ヴィンロン</v>
      </c>
      <c r="I5211" s="9" t="str">
        <f>IFERROR(__xludf.DUMMYFUNCTION("GOOGLETRANSLATE($A5211,""en"",""ko"")"),"빈 롱")</f>
        <v>빈 롱</v>
      </c>
      <c r="J5211" s="9" t="str">
        <f>IFERROR(__xludf.DUMMYFUNCTION("GOOGLETRANSLATE($A5211,""en"",""pt-BR"")"),"Vĩnh Long")</f>
        <v>Vĩnh Long</v>
      </c>
    </row>
    <row r="5212">
      <c r="A5212" s="9" t="str">
        <f>IFERROR(__xludf.DUMMYFUNCTION("""COMPUTED_VALUE"""),"Nghệ An")</f>
        <v>Nghệ An</v>
      </c>
      <c r="B5212" s="9" t="str">
        <f>IFERROR(__xludf.DUMMYFUNCTION("""COMPUTED_VALUE"""),"vn-22")</f>
        <v>vn-22</v>
      </c>
      <c r="C5212" s="9" t="str">
        <f>IFERROR(__xludf.DUMMYFUNCTION("GOOGLETRANSLATE($A5212,""en"",""de"")"),"Nghệ An")</f>
        <v>Nghệ An</v>
      </c>
      <c r="D5212" s="9" t="str">
        <f>IFERROR(__xludf.DUMMYFUNCTION("GOOGLETRANSLATE($A5212,""en"",""fr"")"),"Nghệ An")</f>
        <v>Nghệ An</v>
      </c>
      <c r="E5212" s="9" t="str">
        <f>IFERROR(__xludf.DUMMYFUNCTION("GOOGLETRANSLATE($A5212,""en"",""es"")"),"Nghệ An")</f>
        <v>Nghệ An</v>
      </c>
      <c r="F5212" s="9" t="str">
        <f>IFERROR(__xludf.DUMMYFUNCTION("GOOGLETRANSLATE($A5212,""en"",""it"")"),"Nghệ An")</f>
        <v>Nghệ An</v>
      </c>
      <c r="G5212" s="9" t="str">
        <f>IFERROR(__xludf.DUMMYFUNCTION("GOOGLETRANSLATE($A5212,""en"",""zh-cn"")"),"义安")</f>
        <v>义安</v>
      </c>
      <c r="H5212" s="9" t="str">
        <f>IFERROR(__xludf.DUMMYFUNCTION("GOOGLETRANSLATE($A5212,""en"",""ja"")"),"グアン")</f>
        <v>グアン</v>
      </c>
      <c r="I5212" s="9" t="str">
        <f>IFERROR(__xludf.DUMMYFUNCTION("GOOGLETRANSLATE($A5212,""en"",""ko"")"),"응에안")</f>
        <v>응에안</v>
      </c>
      <c r="J5212" s="9" t="str">
        <f>IFERROR(__xludf.DUMMYFUNCTION("GOOGLETRANSLATE($A5212,""en"",""pt-BR"")"),"Nghệ An")</f>
        <v>Nghệ An</v>
      </c>
    </row>
    <row r="5213">
      <c r="A5213" s="9" t="str">
        <f>IFERROR(__xludf.DUMMYFUNCTION("""COMPUTED_VALUE"""),"Abyān")</f>
        <v>Abyān</v>
      </c>
      <c r="B5213" s="9" t="str">
        <f>IFERROR(__xludf.DUMMYFUNCTION("""COMPUTED_VALUE"""),"ye-ab")</f>
        <v>ye-ab</v>
      </c>
      <c r="C5213" s="9" t="str">
        <f>IFERROR(__xludf.DUMMYFUNCTION("GOOGLETRANSLATE($A5213,""en"",""de"")"),"Abyan")</f>
        <v>Abyan</v>
      </c>
      <c r="D5213" s="9" t="str">
        <f>IFERROR(__xludf.DUMMYFUNCTION("GOOGLETRANSLATE($A5213,""en"",""fr"")"),"Abyan")</f>
        <v>Abyan</v>
      </c>
      <c r="E5213" s="9" t="str">
        <f>IFERROR(__xludf.DUMMYFUNCTION("GOOGLETRANSLATE($A5213,""en"",""es"")"),"Abyán")</f>
        <v>Abyán</v>
      </c>
      <c r="F5213" s="9" t="str">
        <f>IFERROR(__xludf.DUMMYFUNCTION("GOOGLETRANSLATE($A5213,""en"",""it"")"),"Abyān")</f>
        <v>Abyān</v>
      </c>
      <c r="G5213" s="9" t="str">
        <f>IFERROR(__xludf.DUMMYFUNCTION("GOOGLETRANSLATE($A5213,""en"",""zh-cn"")"),"阿比亚安")</f>
        <v>阿比亚安</v>
      </c>
      <c r="H5213" s="9" t="str">
        <f>IFERROR(__xludf.DUMMYFUNCTION("GOOGLETRANSLATE($A5213,""en"",""ja"")"),"アビャン")</f>
        <v>アビャン</v>
      </c>
      <c r="I5213" s="9" t="str">
        <f>IFERROR(__xludf.DUMMYFUNCTION("GOOGLETRANSLATE($A5213,""en"",""ko"")"),"아비안")</f>
        <v>아비안</v>
      </c>
      <c r="J5213" s="9" t="str">
        <f>IFERROR(__xludf.DUMMYFUNCTION("GOOGLETRANSLATE($A5213,""en"",""pt-BR"")"),"Abyan")</f>
        <v>Abyan</v>
      </c>
    </row>
    <row r="5214">
      <c r="A5214" s="9" t="str">
        <f>IFERROR(__xludf.DUMMYFUNCTION("""COMPUTED_VALUE"""),"Şā‘dah")</f>
        <v>Şā‘dah</v>
      </c>
      <c r="B5214" s="9" t="str">
        <f>IFERROR(__xludf.DUMMYFUNCTION("""COMPUTED_VALUE"""),"ye-sd")</f>
        <v>ye-sd</v>
      </c>
      <c r="C5214" s="9" t="str">
        <f>IFERROR(__xludf.DUMMYFUNCTION("GOOGLETRANSLATE($A5214,""en"",""de"")"),"Şā‘dah")</f>
        <v>Şā‘dah</v>
      </c>
      <c r="D5214" s="9" t="str">
        <f>IFERROR(__xludf.DUMMYFUNCTION("GOOGLETRANSLATE($A5214,""en"",""fr"")"),"Şā'dah")</f>
        <v>Şā'dah</v>
      </c>
      <c r="E5214" s="9" t="str">
        <f>IFERROR(__xludf.DUMMYFUNCTION("GOOGLETRANSLATE($A5214,""en"",""es"")"),"Şā‘dah")</f>
        <v>Şā‘dah</v>
      </c>
      <c r="F5214" s="9" t="str">
        <f>IFERROR(__xludf.DUMMYFUNCTION("GOOGLETRANSLATE($A5214,""en"",""it"")"),"Şā'dah")</f>
        <v>Şā'dah</v>
      </c>
      <c r="G5214" s="9" t="str">
        <f>IFERROR(__xludf.DUMMYFUNCTION("GOOGLETRANSLATE($A5214,""en"",""zh-cn"")"),"萨达")</f>
        <v>萨达</v>
      </c>
      <c r="H5214" s="9" t="str">
        <f>IFERROR(__xludf.DUMMYFUNCTION("GOOGLETRANSLATE($A5214,""en"",""ja"")"),"シャーダ")</f>
        <v>シャーダ</v>
      </c>
      <c r="I5214" s="9" t="str">
        <f>IFERROR(__xludf.DUMMYFUNCTION("GOOGLETRANSLATE($A5214,""en"",""ko"")"),"샤다")</f>
        <v>샤다</v>
      </c>
      <c r="J5214" s="9" t="str">
        <f>IFERROR(__xludf.DUMMYFUNCTION("GOOGLETRANSLATE($A5214,""en"",""pt-BR"")"),"Sa'dah")</f>
        <v>Sa'dah</v>
      </c>
    </row>
    <row r="5215">
      <c r="A5215" s="9" t="str">
        <f>IFERROR(__xludf.DUMMYFUNCTION("""COMPUTED_VALUE"""),"Al Ḩudaydah")</f>
        <v>Al Ḩudaydah</v>
      </c>
      <c r="B5215" s="9" t="str">
        <f>IFERROR(__xludf.DUMMYFUNCTION("""COMPUTED_VALUE"""),"ye-hu")</f>
        <v>ye-hu</v>
      </c>
      <c r="C5215" s="9" t="str">
        <f>IFERROR(__xludf.DUMMYFUNCTION("GOOGLETRANSLATE($A5215,""en"",""de"")"),"Al Hudaydah")</f>
        <v>Al Hudaydah</v>
      </c>
      <c r="D5215" s="9" t="str">
        <f>IFERROR(__xludf.DUMMYFUNCTION("GOOGLETRANSLATE($A5215,""en"",""fr"")"),"Al Hudaydah")</f>
        <v>Al Hudaydah</v>
      </c>
      <c r="E5215" s="9" t="str">
        <f>IFERROR(__xludf.DUMMYFUNCTION("GOOGLETRANSLATE($A5215,""en"",""es"")"),"Al Hudayda")</f>
        <v>Al Hudayda</v>
      </c>
      <c r="F5215" s="9" t="str">
        <f>IFERROR(__xludf.DUMMYFUNCTION("GOOGLETRANSLATE($A5215,""en"",""it"")"),"Al Ḩudaydah")</f>
        <v>Al Ḩudaydah</v>
      </c>
      <c r="G5215" s="9" t="str">
        <f>IFERROR(__xludf.DUMMYFUNCTION("GOOGLETRANSLATE($A5215,""en"",""zh-cn"")"),"乌代达")</f>
        <v>乌代达</v>
      </c>
      <c r="H5215" s="9" t="str">
        <f>IFERROR(__xludf.DUMMYFUNCTION("GOOGLETRANSLATE($A5215,""en"",""ja"")"),"アル・ハデイダ")</f>
        <v>アル・ハデイダ</v>
      </c>
      <c r="I5215" s="9" t="str">
        <f>IFERROR(__xludf.DUMMYFUNCTION("GOOGLETRANSLATE($A5215,""en"",""ko"")"),"알 호다이다")</f>
        <v>알 호다이다</v>
      </c>
      <c r="J5215" s="9" t="str">
        <f>IFERROR(__xludf.DUMMYFUNCTION("GOOGLETRANSLATE($A5215,""en"",""pt-BR"")"),"Al Hudaydah")</f>
        <v>Al Hudaydah</v>
      </c>
    </row>
    <row r="5216">
      <c r="A5216" s="9" t="str">
        <f>IFERROR(__xludf.DUMMYFUNCTION("""COMPUTED_VALUE"""),"Tā‘izz")</f>
        <v>Tā‘izz</v>
      </c>
      <c r="B5216" s="9" t="str">
        <f>IFERROR(__xludf.DUMMYFUNCTION("""COMPUTED_VALUE"""),"ye-ta")</f>
        <v>ye-ta</v>
      </c>
      <c r="C5216" s="9" t="str">
        <f>IFERROR(__xludf.DUMMYFUNCTION("GOOGLETRANSLATE($A5216,""en"",""de"")"),"Tā‘izz")</f>
        <v>Tā‘izz</v>
      </c>
      <c r="D5216" s="9" t="str">
        <f>IFERROR(__xludf.DUMMYFUNCTION("GOOGLETRANSLATE($A5216,""en"",""fr"")"),"Ta'izz")</f>
        <v>Ta'izz</v>
      </c>
      <c r="E5216" s="9" t="str">
        <f>IFERROR(__xludf.DUMMYFUNCTION("GOOGLETRANSLATE($A5216,""en"",""es"")"),"ta'izz")</f>
        <v>ta'izz</v>
      </c>
      <c r="F5216" s="9" t="str">
        <f>IFERROR(__xludf.DUMMYFUNCTION("GOOGLETRANSLATE($A5216,""en"",""it"")"),"Ta'izz")</f>
        <v>Ta'izz</v>
      </c>
      <c r="G5216" s="9" t="str">
        <f>IFERROR(__xludf.DUMMYFUNCTION("GOOGLETRANSLATE($A5216,""en"",""zh-cn"")"),"塔伊兹")</f>
        <v>塔伊兹</v>
      </c>
      <c r="H5216" s="9" t="str">
        <f>IFERROR(__xludf.DUMMYFUNCTION("GOOGLETRANSLATE($A5216,""en"",""ja"")"),"ターイズ")</f>
        <v>ターイズ</v>
      </c>
      <c r="I5216" s="9" t="str">
        <f>IFERROR(__xludf.DUMMYFUNCTION("GOOGLETRANSLATE($A5216,""en"",""ko"")"),"타이즈")</f>
        <v>타이즈</v>
      </c>
      <c r="J5216" s="9" t="str">
        <f>IFERROR(__xludf.DUMMYFUNCTION("GOOGLETRANSLATE($A5216,""en"",""pt-BR"")"),"Ta'izz")</f>
        <v>Ta'izz</v>
      </c>
    </row>
    <row r="5217">
      <c r="A5217" s="9" t="str">
        <f>IFERROR(__xludf.DUMMYFUNCTION("""COMPUTED_VALUE"""),"Ḩaḑramawt")</f>
        <v>Ḩaḑramawt</v>
      </c>
      <c r="B5217" s="9" t="str">
        <f>IFERROR(__xludf.DUMMYFUNCTION("""COMPUTED_VALUE"""),"ye-hd")</f>
        <v>ye-hd</v>
      </c>
      <c r="C5217" s="9" t="str">
        <f>IFERROR(__xludf.DUMMYFUNCTION("GOOGLETRANSLATE($A5217,""en"",""de"")"),"Ḩaḑramawt")</f>
        <v>Ḩaḑramawt</v>
      </c>
      <c r="D5217" s="9" t="str">
        <f>IFERROR(__xludf.DUMMYFUNCTION("GOOGLETRANSLATE($A5217,""en"",""fr"")"),"Hadramawt")</f>
        <v>Hadramawt</v>
      </c>
      <c r="E5217" s="9" t="str">
        <f>IFERROR(__xludf.DUMMYFUNCTION("GOOGLETRANSLATE($A5217,""en"",""es"")"),"Haḑramawt")</f>
        <v>Haḑramawt</v>
      </c>
      <c r="F5217" s="9" t="str">
        <f>IFERROR(__xludf.DUMMYFUNCTION("GOOGLETRANSLATE($A5217,""en"",""it"")"),"Ḩaḑramawt")</f>
        <v>Ḩaḑramawt</v>
      </c>
      <c r="G5217" s="9" t="str">
        <f>IFERROR(__xludf.DUMMYFUNCTION("GOOGLETRANSLATE($A5217,""en"",""zh-cn"")"),"哈拉毛")</f>
        <v>哈拉毛</v>
      </c>
      <c r="H5217" s="9" t="str">
        <f>IFERROR(__xludf.DUMMYFUNCTION("GOOGLETRANSLATE($A5217,""en"",""ja"")"),"ハハラマウト")</f>
        <v>ハハラマウト</v>
      </c>
      <c r="I5217" s="9" t="str">
        <f>IFERROR(__xludf.DUMMYFUNCTION("GOOGLETRANSLATE($A5217,""en"",""ko"")"),"Ḩaḑramawt")</f>
        <v>Ḩaḑramawt</v>
      </c>
      <c r="J5217" s="9" t="str">
        <f>IFERROR(__xludf.DUMMYFUNCTION("GOOGLETRANSLATE($A5217,""en"",""pt-BR"")"),"Hadramawt")</f>
        <v>Hadramawt</v>
      </c>
    </row>
    <row r="5218">
      <c r="A5218" s="9" t="str">
        <f>IFERROR(__xludf.DUMMYFUNCTION("""COMPUTED_VALUE"""),"Ibb")</f>
        <v>Ibb</v>
      </c>
      <c r="B5218" s="9" t="str">
        <f>IFERROR(__xludf.DUMMYFUNCTION("""COMPUTED_VALUE"""),"ye-ib")</f>
        <v>ye-ib</v>
      </c>
      <c r="C5218" s="9" t="str">
        <f>IFERROR(__xludf.DUMMYFUNCTION("GOOGLETRANSLATE($A5218,""en"",""de"")"),"Ibb")</f>
        <v>Ibb</v>
      </c>
      <c r="D5218" s="9" t="str">
        <f>IFERROR(__xludf.DUMMYFUNCTION("GOOGLETRANSLATE($A5218,""en"",""fr"")"),"Ibb")</f>
        <v>Ibb</v>
      </c>
      <c r="E5218" s="9" t="str">
        <f>IFERROR(__xludf.DUMMYFUNCTION("GOOGLETRANSLATE($A5218,""en"",""es"")"),"Ibb")</f>
        <v>Ibb</v>
      </c>
      <c r="F5218" s="9" t="str">
        <f>IFERROR(__xludf.DUMMYFUNCTION("GOOGLETRANSLATE($A5218,""en"",""it"")"),"Ibb")</f>
        <v>Ibb</v>
      </c>
      <c r="G5218" s="9" t="str">
        <f>IFERROR(__xludf.DUMMYFUNCTION("GOOGLETRANSLATE($A5218,""en"",""zh-cn"")"),"伊布")</f>
        <v>伊布</v>
      </c>
      <c r="H5218" s="9" t="str">
        <f>IFERROR(__xludf.DUMMYFUNCTION("GOOGLETRANSLATE($A5218,""en"",""ja"")"),"イッブ")</f>
        <v>イッブ</v>
      </c>
      <c r="I5218" s="9" t="str">
        <f>IFERROR(__xludf.DUMMYFUNCTION("GOOGLETRANSLATE($A5218,""en"",""ko"")"),"이브")</f>
        <v>이브</v>
      </c>
      <c r="J5218" s="9" t="str">
        <f>IFERROR(__xludf.DUMMYFUNCTION("GOOGLETRANSLATE($A5218,""en"",""pt-BR"")"),"Ibb")</f>
        <v>Ibb</v>
      </c>
    </row>
    <row r="5219">
      <c r="A5219" s="9" t="str">
        <f>IFERROR(__xludf.DUMMYFUNCTION("""COMPUTED_VALUE"""),"Ḩajjah")</f>
        <v>Ḩajjah</v>
      </c>
      <c r="B5219" s="9" t="str">
        <f>IFERROR(__xludf.DUMMYFUNCTION("""COMPUTED_VALUE"""),"ye-hj")</f>
        <v>ye-hj</v>
      </c>
      <c r="C5219" s="9" t="str">
        <f>IFERROR(__xludf.DUMMYFUNCTION("GOOGLETRANSLATE($A5219,""en"",""de"")"),"Hajjah")</f>
        <v>Hajjah</v>
      </c>
      <c r="D5219" s="9" t="str">
        <f>IFERROR(__xludf.DUMMYFUNCTION("GOOGLETRANSLATE($A5219,""en"",""fr"")"),"Hajjah")</f>
        <v>Hajjah</v>
      </c>
      <c r="E5219" s="9" t="str">
        <f>IFERROR(__xludf.DUMMYFUNCTION("GOOGLETRANSLATE($A5219,""en"",""es"")"),"Hajjah")</f>
        <v>Hajjah</v>
      </c>
      <c r="F5219" s="9" t="str">
        <f>IFERROR(__xludf.DUMMYFUNCTION("GOOGLETRANSLATE($A5219,""en"",""it"")"),"Ḩajjah")</f>
        <v>Ḩajjah</v>
      </c>
      <c r="G5219" s="9" t="str">
        <f>IFERROR(__xludf.DUMMYFUNCTION("GOOGLETRANSLATE($A5219,""en"",""zh-cn"")"),"哈贾")</f>
        <v>哈贾</v>
      </c>
      <c r="H5219" s="9" t="str">
        <f>IFERROR(__xludf.DUMMYFUNCTION("GOOGLETRANSLATE($A5219,""en"",""ja"")"),"ハジャ")</f>
        <v>ハジャ</v>
      </c>
      <c r="I5219" s="9" t="str">
        <f>IFERROR(__xludf.DUMMYFUNCTION("GOOGLETRANSLATE($A5219,""en"",""ko"")"),"하자")</f>
        <v>하자</v>
      </c>
      <c r="J5219" s="9" t="str">
        <f>IFERROR(__xludf.DUMMYFUNCTION("GOOGLETRANSLATE($A5219,""en"",""pt-BR"")"),"Hajjah")</f>
        <v>Hajjah</v>
      </c>
    </row>
    <row r="5220">
      <c r="A5220" s="9" t="str">
        <f>IFERROR(__xludf.DUMMYFUNCTION("""COMPUTED_VALUE"""),"Şan‘ā'")</f>
        <v>Şan‘ā'</v>
      </c>
      <c r="B5220" s="9" t="str">
        <f>IFERROR(__xludf.DUMMYFUNCTION("""COMPUTED_VALUE"""),"ye-sn")</f>
        <v>ye-sn</v>
      </c>
      <c r="C5220" s="9" t="str">
        <f>IFERROR(__xludf.DUMMYFUNCTION("GOOGLETRANSLATE($A5220,""en"",""de"")"),"Şan‘ā'")</f>
        <v>Şan‘ā'</v>
      </c>
      <c r="D5220" s="9" t="str">
        <f>IFERROR(__xludf.DUMMYFUNCTION("GOOGLETRANSLATE($A5220,""en"",""fr"")"),"Şan'ā'")</f>
        <v>Şan'ā'</v>
      </c>
      <c r="E5220" s="9" t="str">
        <f>IFERROR(__xludf.DUMMYFUNCTION("GOOGLETRANSLATE($A5220,""en"",""es"")"),"Şan`ā'")</f>
        <v>Şan`ā'</v>
      </c>
      <c r="F5220" s="9" t="str">
        <f>IFERROR(__xludf.DUMMYFUNCTION("GOOGLETRANSLATE($A5220,""en"",""it"")"),"Şan'ā'")</f>
        <v>Şan'ā'</v>
      </c>
      <c r="G5220" s="9" t="str">
        <f>IFERROR(__xludf.DUMMYFUNCTION("GOOGLETRANSLATE($A5220,""en"",""zh-cn"")"),"桑‘阿’")</f>
        <v>桑‘阿’</v>
      </c>
      <c r="H5220" s="9" t="str">
        <f>IFERROR(__xludf.DUMMYFUNCTION("GOOGLETRANSLATE($A5220,""en"",""ja"")"),"シャンア")</f>
        <v>シャンア</v>
      </c>
      <c r="I5220" s="9" t="str">
        <f>IFERROR(__xludf.DUMMYFUNCTION("GOOGLETRANSLATE($A5220,""en"",""ko"")"),"샨'아'")</f>
        <v>샨'아'</v>
      </c>
      <c r="J5220" s="9" t="str">
        <f>IFERROR(__xludf.DUMMYFUNCTION("GOOGLETRANSLATE($A5220,""en"",""pt-BR"")"),"San'ā'")</f>
        <v>San'ā'</v>
      </c>
    </row>
    <row r="5221">
      <c r="A5221" s="9" t="str">
        <f>IFERROR(__xludf.DUMMYFUNCTION("""COMPUTED_VALUE"""),"Dhamār")</f>
        <v>Dhamār</v>
      </c>
      <c r="B5221" s="9" t="str">
        <f>IFERROR(__xludf.DUMMYFUNCTION("""COMPUTED_VALUE"""),"ye-dh")</f>
        <v>ye-dh</v>
      </c>
      <c r="C5221" s="9" t="str">
        <f>IFERROR(__xludf.DUMMYFUNCTION("GOOGLETRANSLATE($A5221,""en"",""de"")"),"Dhamār")</f>
        <v>Dhamār</v>
      </c>
      <c r="D5221" s="9" t="str">
        <f>IFERROR(__xludf.DUMMYFUNCTION("GOOGLETRANSLATE($A5221,""en"",""fr"")"),"Dhamar")</f>
        <v>Dhamar</v>
      </c>
      <c r="E5221" s="9" t="str">
        <f>IFERROR(__xludf.DUMMYFUNCTION("GOOGLETRANSLATE($A5221,""en"",""es"")"),"Dhamar")</f>
        <v>Dhamar</v>
      </c>
      <c r="F5221" s="9" t="str">
        <f>IFERROR(__xludf.DUMMYFUNCTION("GOOGLETRANSLATE($A5221,""en"",""it"")"),"Dhamar")</f>
        <v>Dhamar</v>
      </c>
      <c r="G5221" s="9" t="str">
        <f>IFERROR(__xludf.DUMMYFUNCTION("GOOGLETRANSLATE($A5221,""en"",""zh-cn"")"),"达玛尔")</f>
        <v>达玛尔</v>
      </c>
      <c r="H5221" s="9" t="str">
        <f>IFERROR(__xludf.DUMMYFUNCTION("GOOGLETRANSLATE($A5221,""en"",""ja"")"),"ダーマール")</f>
        <v>ダーマール</v>
      </c>
      <c r="I5221" s="9" t="str">
        <f>IFERROR(__xludf.DUMMYFUNCTION("GOOGLETRANSLATE($A5221,""en"",""ko"")"),"다마르")</f>
        <v>다마르</v>
      </c>
      <c r="J5221" s="9" t="str">
        <f>IFERROR(__xludf.DUMMYFUNCTION("GOOGLETRANSLATE($A5221,""en"",""pt-BR"")"),"Dhamar")</f>
        <v>Dhamar</v>
      </c>
    </row>
    <row r="5222">
      <c r="A5222" s="9" t="str">
        <f>IFERROR(__xludf.DUMMYFUNCTION("""COMPUTED_VALUE"""),"Al Jawf (YE)")</f>
        <v>Al Jawf (YE)</v>
      </c>
      <c r="B5222" s="9" t="str">
        <f>IFERROR(__xludf.DUMMYFUNCTION("""COMPUTED_VALUE"""),"ye-ja")</f>
        <v>ye-ja</v>
      </c>
      <c r="C5222" s="9" t="str">
        <f>IFERROR(__xludf.DUMMYFUNCTION("GOOGLETRANSLATE($A5222,""en"",""de"")"),"Al Jawf (YE)")</f>
        <v>Al Jawf (YE)</v>
      </c>
      <c r="D5222" s="9" t="str">
        <f>IFERROR(__xludf.DUMMYFUNCTION("GOOGLETRANSLATE($A5222,""en"",""fr"")"),"Al Jawf (YE)")</f>
        <v>Al Jawf (YE)</v>
      </c>
      <c r="E5222" s="9" t="str">
        <f>IFERROR(__xludf.DUMMYFUNCTION("GOOGLETRANSLATE($A5222,""en"",""es"")"),"Al Jawf (YE)")</f>
        <v>Al Jawf (YE)</v>
      </c>
      <c r="F5222" s="9" t="str">
        <f>IFERROR(__xludf.DUMMYFUNCTION("GOOGLETRANSLATE($A5222,""en"",""it"")"),"Al Jawf (YE)")</f>
        <v>Al Jawf (YE)</v>
      </c>
      <c r="G5222" s="9" t="str">
        <f>IFERROR(__xludf.DUMMYFUNCTION("GOOGLETRANSLATE($A5222,""en"",""zh-cn"")"),"焦夫 (YE)")</f>
        <v>焦夫 (YE)</v>
      </c>
      <c r="H5222" s="9" t="str">
        <f>IFERROR(__xludf.DUMMYFUNCTION("GOOGLETRANSLATE($A5222,""en"",""ja"")"),"アル・ジャウフ (YE)")</f>
        <v>アル・ジャウフ (YE)</v>
      </c>
      <c r="I5222" s="9" t="str">
        <f>IFERROR(__xludf.DUMMYFUNCTION("GOOGLETRANSLATE($A5222,""en"",""ko"")"),"알 자와프(YE)")</f>
        <v>알 자와프(YE)</v>
      </c>
      <c r="J5222" s="9" t="str">
        <f>IFERROR(__xludf.DUMMYFUNCTION("GOOGLETRANSLATE($A5222,""en"",""pt-BR"")"),"Al Jawf (YE)")</f>
        <v>Al Jawf (YE)</v>
      </c>
    </row>
    <row r="5223">
      <c r="A5223" s="9" t="str">
        <f>IFERROR(__xludf.DUMMYFUNCTION("""COMPUTED_VALUE"""),"'Adan")</f>
        <v>'Adan</v>
      </c>
      <c r="B5223" s="9" t="str">
        <f>IFERROR(__xludf.DUMMYFUNCTION("""COMPUTED_VALUE"""),"ye-ad")</f>
        <v>ye-ad</v>
      </c>
      <c r="C5223" s="9" t="str">
        <f>IFERROR(__xludf.DUMMYFUNCTION("GOOGLETRANSLATE($A5223,""en"",""de"")"),"„Adan")</f>
        <v>„Adan</v>
      </c>
      <c r="D5223" s="9" t="str">
        <f>IFERROR(__xludf.DUMMYFUNCTION("GOOGLETRANSLATE($A5223,""en"",""fr"")"),"'Adan")</f>
        <v>'Adan</v>
      </c>
      <c r="E5223" s="9" t="str">
        <f>IFERROR(__xludf.DUMMYFUNCTION("GOOGLETRANSLATE($A5223,""en"",""es"")"),"'Adán")</f>
        <v>'Adán</v>
      </c>
      <c r="F5223" s="9" t="str">
        <f>IFERROR(__xludf.DUMMYFUNCTION("GOOGLETRANSLATE($A5223,""en"",""it"")"),"«Adan")</f>
        <v>«Adan</v>
      </c>
      <c r="G5223" s="9" t="str">
        <f>IFERROR(__xludf.DUMMYFUNCTION("GOOGLETRANSLATE($A5223,""en"",""zh-cn"")"),"'亚当")</f>
        <v>'亚当</v>
      </c>
      <c r="H5223" s="9" t="str">
        <f>IFERROR(__xludf.DUMMYFUNCTION("GOOGLETRANSLATE($A5223,""en"",""ja"")"),"「アダン」")</f>
        <v>「アダン」</v>
      </c>
      <c r="I5223" s="9" t="str">
        <f>IFERROR(__xludf.DUMMYFUNCTION("GOOGLETRANSLATE($A5223,""en"",""ko"")"),"'아단")</f>
        <v>'아단</v>
      </c>
      <c r="J5223" s="9" t="str">
        <f>IFERROR(__xludf.DUMMYFUNCTION("GOOGLETRANSLATE($A5223,""en"",""pt-BR"")"),"'Adã")</f>
        <v>'Adã</v>
      </c>
    </row>
    <row r="5224">
      <c r="A5224" s="9" t="str">
        <f>IFERROR(__xludf.DUMMYFUNCTION("""COMPUTED_VALUE"""),"'Amrān")</f>
        <v>'Amrān</v>
      </c>
      <c r="B5224" s="9" t="str">
        <f>IFERROR(__xludf.DUMMYFUNCTION("""COMPUTED_VALUE"""),"ye-am")</f>
        <v>ye-am</v>
      </c>
      <c r="C5224" s="9" t="str">
        <f>IFERROR(__xludf.DUMMYFUNCTION("GOOGLETRANSLATE($A5224,""en"",""de"")"),"'Amrān")</f>
        <v>'Amrān</v>
      </c>
      <c r="D5224" s="9" t="str">
        <f>IFERROR(__xludf.DUMMYFUNCTION("GOOGLETRANSLATE($A5224,""en"",""fr"")"),"'Amran")</f>
        <v>'Amran</v>
      </c>
      <c r="E5224" s="9" t="str">
        <f>IFERROR(__xludf.DUMMYFUNCTION("GOOGLETRANSLATE($A5224,""en"",""es"")"),"'Amrān")</f>
        <v>'Amrān</v>
      </c>
      <c r="F5224" s="9" t="str">
        <f>IFERROR(__xludf.DUMMYFUNCTION("GOOGLETRANSLATE($A5224,""en"",""it"")"),"'Amran")</f>
        <v>'Amran</v>
      </c>
      <c r="G5224" s="9" t="str">
        <f>IFERROR(__xludf.DUMMYFUNCTION("GOOGLETRANSLATE($A5224,""en"",""zh-cn"")"),"阿姆兰")</f>
        <v>阿姆兰</v>
      </c>
      <c r="H5224" s="9" t="str">
        <f>IFERROR(__xludf.DUMMYFUNCTION("GOOGLETRANSLATE($A5224,""en"",""ja"")"),"アムラン")</f>
        <v>アムラン</v>
      </c>
      <c r="I5224" s="9" t="str">
        <f>IFERROR(__xludf.DUMMYFUNCTION("GOOGLETRANSLATE($A5224,""en"",""ko"")"),"'암란")</f>
        <v>'암란</v>
      </c>
      <c r="J5224" s="9" t="str">
        <f>IFERROR(__xludf.DUMMYFUNCTION("GOOGLETRANSLATE($A5224,""en"",""pt-BR"")"),"'Amran")</f>
        <v>'Amran</v>
      </c>
    </row>
    <row r="5225">
      <c r="A5225" s="9" t="str">
        <f>IFERROR(__xludf.DUMMYFUNCTION("""COMPUTED_VALUE"""),"Al Mahrah")</f>
        <v>Al Mahrah</v>
      </c>
      <c r="B5225" s="9" t="str">
        <f>IFERROR(__xludf.DUMMYFUNCTION("""COMPUTED_VALUE"""),"ye-mr")</f>
        <v>ye-mr</v>
      </c>
      <c r="C5225" s="9" t="str">
        <f>IFERROR(__xludf.DUMMYFUNCTION("GOOGLETRANSLATE($A5225,""en"",""de"")"),"Al Mahrah")</f>
        <v>Al Mahrah</v>
      </c>
      <c r="D5225" s="9" t="str">
        <f>IFERROR(__xludf.DUMMYFUNCTION("GOOGLETRANSLATE($A5225,""en"",""fr"")"),"Al-Marah")</f>
        <v>Al-Marah</v>
      </c>
      <c r="E5225" s="9" t="str">
        <f>IFERROR(__xludf.DUMMYFUNCTION("GOOGLETRANSLATE($A5225,""en"",""es"")"),"Al Mahrah")</f>
        <v>Al Mahrah</v>
      </c>
      <c r="F5225" s="9" t="str">
        <f>IFERROR(__xludf.DUMMYFUNCTION("GOOGLETRANSLATE($A5225,""en"",""it"")"),"Al Mahrah")</f>
        <v>Al Mahrah</v>
      </c>
      <c r="G5225" s="9" t="str">
        <f>IFERROR(__xludf.DUMMYFUNCTION("GOOGLETRANSLATE($A5225,""en"",""zh-cn"")"),"阿尔马赫拉")</f>
        <v>阿尔马赫拉</v>
      </c>
      <c r="H5225" s="9" t="str">
        <f>IFERROR(__xludf.DUMMYFUNCTION("GOOGLETRANSLATE($A5225,""en"",""ja"")"),"アル・マフラ")</f>
        <v>アル・マフラ</v>
      </c>
      <c r="I5225" s="9" t="str">
        <f>IFERROR(__xludf.DUMMYFUNCTION("GOOGLETRANSLATE($A5225,""en"",""ko"")"),"알 마흐라")</f>
        <v>알 마흐라</v>
      </c>
      <c r="J5225" s="9" t="str">
        <f>IFERROR(__xludf.DUMMYFUNCTION("GOOGLETRANSLATE($A5225,""en"",""pt-BR"")"),"Al Mahrah")</f>
        <v>Al Mahrah</v>
      </c>
    </row>
    <row r="5226">
      <c r="A5226" s="9" t="str">
        <f>IFERROR(__xludf.DUMMYFUNCTION("""COMPUTED_VALUE"""),"Şan‘ā' [city]")</f>
        <v>Şan‘ā' [city]</v>
      </c>
      <c r="B5226" s="9" t="str">
        <f>IFERROR(__xludf.DUMMYFUNCTION("""COMPUTED_VALUE"""),"ye-sa")</f>
        <v>ye-sa</v>
      </c>
      <c r="C5226" s="9" t="str">
        <f>IFERROR(__xludf.DUMMYFUNCTION("GOOGLETRANSLATE($A5226,""en"",""de"")"),"Şan‘ā' [Stadt]")</f>
        <v>Şan‘ā' [Stadt]</v>
      </c>
      <c r="D5226" s="9" t="str">
        <f>IFERROR(__xludf.DUMMYFUNCTION("GOOGLETRANSLATE($A5226,""en"",""fr"")"),"Şan‘ā' [ville]")</f>
        <v>Şan‘ā' [ville]</v>
      </c>
      <c r="E5226" s="9" t="str">
        <f>IFERROR(__xludf.DUMMYFUNCTION("GOOGLETRANSLATE($A5226,""en"",""es"")"),"Şan‘ā' [ciudad]")</f>
        <v>Şan‘ā' [ciudad]</v>
      </c>
      <c r="F5226" s="9" t="str">
        <f>IFERROR(__xludf.DUMMYFUNCTION("GOOGLETRANSLATE($A5226,""en"",""it"")"),"Şan‘ā' [città]")</f>
        <v>Şan‘ā' [città]</v>
      </c>
      <c r="G5226" s="9" t="str">
        <f>IFERROR(__xludf.DUMMYFUNCTION("GOOGLETRANSLATE($A5226,""en"",""zh-cn"")"),"桑‘ā’ [城市]")</f>
        <v>桑‘ā’ [城市]</v>
      </c>
      <c r="H5226" s="9" t="str">
        <f>IFERROR(__xludf.DUMMYFUNCTION("GOOGLETRANSLATE($A5226,""en"",""ja"")"),"シャンア[都市]")</f>
        <v>シャンア[都市]</v>
      </c>
      <c r="I5226" s="9" t="str">
        <f>IFERROR(__xludf.DUMMYFUNCTION("GOOGLETRANSLATE($A5226,""en"",""ko"")"),"샨'아' [도시]")</f>
        <v>샨'아' [도시]</v>
      </c>
      <c r="J5226" s="9" t="str">
        <f>IFERROR(__xludf.DUMMYFUNCTION("GOOGLETRANSLATE($A5226,""en"",""pt-BR"")"),"San'ā' [cidade]")</f>
        <v>San'ā' [cidade]</v>
      </c>
    </row>
    <row r="5227">
      <c r="A5227" s="9" t="str">
        <f>IFERROR(__xludf.DUMMYFUNCTION("""COMPUTED_VALUE"""),"Raymah")</f>
        <v>Raymah</v>
      </c>
      <c r="B5227" s="9" t="str">
        <f>IFERROR(__xludf.DUMMYFUNCTION("""COMPUTED_VALUE"""),"ye-ra")</f>
        <v>ye-ra</v>
      </c>
      <c r="C5227" s="9" t="str">
        <f>IFERROR(__xludf.DUMMYFUNCTION("GOOGLETRANSLATE($A5227,""en"",""de"")"),"Raymah")</f>
        <v>Raymah</v>
      </c>
      <c r="D5227" s="9" t="str">
        <f>IFERROR(__xludf.DUMMYFUNCTION("GOOGLETRANSLATE($A5227,""en"",""fr"")"),"Raymah")</f>
        <v>Raymah</v>
      </c>
      <c r="E5227" s="9" t="str">
        <f>IFERROR(__xludf.DUMMYFUNCTION("GOOGLETRANSLATE($A5227,""en"",""es"")"),"Raymah")</f>
        <v>Raymah</v>
      </c>
      <c r="F5227" s="9" t="str">
        <f>IFERROR(__xludf.DUMMYFUNCTION("GOOGLETRANSLATE($A5227,""en"",""it"")"),"Raymah")</f>
        <v>Raymah</v>
      </c>
      <c r="G5227" s="9" t="str">
        <f>IFERROR(__xludf.DUMMYFUNCTION("GOOGLETRANSLATE($A5227,""en"",""zh-cn"")"),"雷玛")</f>
        <v>雷玛</v>
      </c>
      <c r="H5227" s="9" t="str">
        <f>IFERROR(__xludf.DUMMYFUNCTION("GOOGLETRANSLATE($A5227,""en"",""ja"")"),"レイマ")</f>
        <v>レイマ</v>
      </c>
      <c r="I5227" s="9" t="str">
        <f>IFERROR(__xludf.DUMMYFUNCTION("GOOGLETRANSLATE($A5227,""en"",""ko"")"),"레이마")</f>
        <v>레이마</v>
      </c>
      <c r="J5227" s="9" t="str">
        <f>IFERROR(__xludf.DUMMYFUNCTION("GOOGLETRANSLATE($A5227,""en"",""pt-BR"")"),"Raymah")</f>
        <v>Raymah</v>
      </c>
    </row>
    <row r="5228">
      <c r="A5228" s="9" t="str">
        <f>IFERROR(__xludf.DUMMYFUNCTION("""COMPUTED_VALUE"""),"Aḑ Ḑāli'")</f>
        <v>Aḑ Ḑāli'</v>
      </c>
      <c r="B5228" s="9" t="str">
        <f>IFERROR(__xludf.DUMMYFUNCTION("""COMPUTED_VALUE"""),"ye-da")</f>
        <v>ye-da</v>
      </c>
      <c r="C5228" s="9" t="str">
        <f>IFERROR(__xludf.DUMMYFUNCTION("GOOGLETRANSLATE($A5228,""en"",""de"")"),"Aḑ Ḑāli'")</f>
        <v>Aḑ Ḑāli'</v>
      </c>
      <c r="D5228" s="9" t="str">
        <f>IFERROR(__xludf.DUMMYFUNCTION("GOOGLETRANSLATE($A5228,""en"",""fr"")"),"Aḑ Dāli'")</f>
        <v>Aḑ Dāli'</v>
      </c>
      <c r="E5228" s="9" t="str">
        <f>IFERROR(__xludf.DUMMYFUNCTION("GOOGLETRANSLATE($A5228,""en"",""es"")"),"Aḑ Ḑāli'")</f>
        <v>Aḑ Ḑāli'</v>
      </c>
      <c r="F5228" s="9" t="str">
        <f>IFERROR(__xludf.DUMMYFUNCTION("GOOGLETRANSLATE($A5228,""en"",""it"")"),"Aḑ Ḑāli'")</f>
        <v>Aḑ Ḑāli'</v>
      </c>
      <c r="G5228" s="9" t="str">
        <f>IFERROR(__xludf.DUMMYFUNCTION("GOOGLETRANSLATE($A5228,""en"",""zh-cn"")"),"Aḑ Ḑāli'")</f>
        <v>Aḑ Ḑāli'</v>
      </c>
      <c r="H5228" s="9" t="str">
        <f>IFERROR(__xludf.DUMMYFUNCTION("GOOGLETRANSLATE($A5228,""en"",""ja"")"),"アー・ハーリー")</f>
        <v>アー・ハーリー</v>
      </c>
      <c r="I5228" s="9" t="str">
        <f>IFERROR(__xludf.DUMMYFUNCTION("GOOGLETRANSLATE($A5228,""en"",""ko"")"),"Aḑ Ḑāli'")</f>
        <v>Aḑ Ḑāli'</v>
      </c>
      <c r="J5228" s="9" t="str">
        <f>IFERROR(__xludf.DUMMYFUNCTION("GOOGLETRANSLATE($A5228,""en"",""pt-BR"")"),"Aḑ Ḑāli'")</f>
        <v>Aḑ Ḑāli'</v>
      </c>
    </row>
    <row r="5229">
      <c r="A5229" s="9" t="str">
        <f>IFERROR(__xludf.DUMMYFUNCTION("""COMPUTED_VALUE"""),"Al Maḩwīt")</f>
        <v>Al Maḩwīt</v>
      </c>
      <c r="B5229" s="9" t="str">
        <f>IFERROR(__xludf.DUMMYFUNCTION("""COMPUTED_VALUE"""),"ye-mw")</f>
        <v>ye-mw</v>
      </c>
      <c r="C5229" s="9" t="str">
        <f>IFERROR(__xludf.DUMMYFUNCTION("GOOGLETRANSLATE($A5229,""en"",""de"")"),"Al Maḩwīt")</f>
        <v>Al Maḩwīt</v>
      </c>
      <c r="D5229" s="9" t="str">
        <f>IFERROR(__xludf.DUMMYFUNCTION("GOOGLETRANSLATE($A5229,""en"",""fr"")"),"Al Maḩwīt")</f>
        <v>Al Maḩwīt</v>
      </c>
      <c r="E5229" s="9" t="str">
        <f>IFERROR(__xludf.DUMMYFUNCTION("GOOGLETRANSLATE($A5229,""en"",""es"")"),"Al Maḩwit")</f>
        <v>Al Maḩwit</v>
      </c>
      <c r="F5229" s="9" t="str">
        <f>IFERROR(__xludf.DUMMYFUNCTION("GOOGLETRANSLATE($A5229,""en"",""it"")"),"Al Maḩwīt")</f>
        <v>Al Maḩwīt</v>
      </c>
      <c r="G5229" s="9" t="str">
        <f>IFERROR(__xludf.DUMMYFUNCTION("GOOGLETRANSLATE($A5229,""en"",""zh-cn"")"),"阿尔马维特")</f>
        <v>阿尔马维特</v>
      </c>
      <c r="H5229" s="9" t="str">
        <f>IFERROR(__xludf.DUMMYFUNCTION("GOOGLETRANSLATE($A5229,""en"",""ja"")"),"アル・マウィット")</f>
        <v>アル・マウィット</v>
      </c>
      <c r="I5229" s="9" t="str">
        <f>IFERROR(__xludf.DUMMYFUNCTION("GOOGLETRANSLATE($A5229,""en"",""ko"")"),"알 마위트")</f>
        <v>알 마위트</v>
      </c>
      <c r="J5229" s="9" t="str">
        <f>IFERROR(__xludf.DUMMYFUNCTION("GOOGLETRANSLATE($A5229,""en"",""pt-BR"")"),"Al Mahwit")</f>
        <v>Al Mahwit</v>
      </c>
    </row>
    <row r="5230">
      <c r="A5230" s="9" t="str">
        <f>IFERROR(__xludf.DUMMYFUNCTION("""COMPUTED_VALUE"""),"Al Bayḑā'")</f>
        <v>Al Bayḑā'</v>
      </c>
      <c r="B5230" s="9" t="str">
        <f>IFERROR(__xludf.DUMMYFUNCTION("""COMPUTED_VALUE"""),"ye-ba")</f>
        <v>ye-ba</v>
      </c>
      <c r="C5230" s="9" t="str">
        <f>IFERROR(__xludf.DUMMYFUNCTION("GOOGLETRANSLATE($A5230,""en"",""de"")"),"Al Bayḑā'")</f>
        <v>Al Bayḑā'</v>
      </c>
      <c r="D5230" s="9" t="str">
        <f>IFERROR(__xludf.DUMMYFUNCTION("GOOGLETRANSLATE($A5230,""en"",""fr"")"),"Al Bayda'")</f>
        <v>Al Bayda'</v>
      </c>
      <c r="E5230" s="9" t="str">
        <f>IFERROR(__xludf.DUMMYFUNCTION("GOOGLETRANSLATE($A5230,""en"",""es"")"),"Al Bayḑā'")</f>
        <v>Al Bayḑā'</v>
      </c>
      <c r="F5230" s="9" t="str">
        <f>IFERROR(__xludf.DUMMYFUNCTION("GOOGLETRANSLATE($A5230,""en"",""it"")"),"Al Bayḑā'")</f>
        <v>Al Bayḑā'</v>
      </c>
      <c r="G5230" s="9" t="str">
        <f>IFERROR(__xludf.DUMMYFUNCTION("GOOGLETRANSLATE($A5230,""en"",""zh-cn"")"),"阿尔拜哈")</f>
        <v>阿尔拜哈</v>
      </c>
      <c r="H5230" s="9" t="str">
        <f>IFERROR(__xludf.DUMMYFUNCTION("GOOGLETRANSLATE($A5230,""en"",""ja"")"),"アル・バヤァ'")</f>
        <v>アル・バヤァ'</v>
      </c>
      <c r="I5230" s="9" t="str">
        <f>IFERROR(__xludf.DUMMYFUNCTION("GOOGLETRANSLATE($A5230,""en"",""ko"")"),"알 바이하'")</f>
        <v>알 바이하'</v>
      </c>
      <c r="J5230" s="9" t="str">
        <f>IFERROR(__xludf.DUMMYFUNCTION("GOOGLETRANSLATE($A5230,""en"",""pt-BR"")"),"Al Bayda'")</f>
        <v>Al Bayda'</v>
      </c>
    </row>
    <row r="5231">
      <c r="A5231" s="9" t="str">
        <f>IFERROR(__xludf.DUMMYFUNCTION("""COMPUTED_VALUE"""),"Ma'rib")</f>
        <v>Ma'rib</v>
      </c>
      <c r="B5231" s="9" t="str">
        <f>IFERROR(__xludf.DUMMYFUNCTION("""COMPUTED_VALUE"""),"ye-ma")</f>
        <v>ye-ma</v>
      </c>
      <c r="C5231" s="9" t="str">
        <f>IFERROR(__xludf.DUMMYFUNCTION("GOOGLETRANSLATE($A5231,""en"",""de"")"),"Marib")</f>
        <v>Marib</v>
      </c>
      <c r="D5231" s="9" t="str">
        <f>IFERROR(__xludf.DUMMYFUNCTION("GOOGLETRANSLATE($A5231,""en"",""fr"")"),"Ma'rib")</f>
        <v>Ma'rib</v>
      </c>
      <c r="E5231" s="9" t="str">
        <f>IFERROR(__xludf.DUMMYFUNCTION("GOOGLETRANSLATE($A5231,""en"",""es"")"),"Marib")</f>
        <v>Marib</v>
      </c>
      <c r="F5231" s="9" t="str">
        <f>IFERROR(__xludf.DUMMYFUNCTION("GOOGLETRANSLATE($A5231,""en"",""it"")"),"Marib")</f>
        <v>Marib</v>
      </c>
      <c r="G5231" s="9" t="str">
        <f>IFERROR(__xludf.DUMMYFUNCTION("GOOGLETRANSLATE($A5231,""en"",""zh-cn"")"),"马里布")</f>
        <v>马里布</v>
      </c>
      <c r="H5231" s="9" t="str">
        <f>IFERROR(__xludf.DUMMYFUNCTION("GOOGLETRANSLATE($A5231,""en"",""ja"")"),"マリブ")</f>
        <v>マリブ</v>
      </c>
      <c r="I5231" s="9" t="str">
        <f>IFERROR(__xludf.DUMMYFUNCTION("GOOGLETRANSLATE($A5231,""en"",""ko"")"),"마리브")</f>
        <v>마리브</v>
      </c>
      <c r="J5231" s="9" t="str">
        <f>IFERROR(__xludf.DUMMYFUNCTION("GOOGLETRANSLATE($A5231,""en"",""pt-BR"")"),"Ma'rib")</f>
        <v>Ma'rib</v>
      </c>
    </row>
    <row r="5232">
      <c r="A5232" s="9" t="str">
        <f>IFERROR(__xludf.DUMMYFUNCTION("""COMPUTED_VALUE"""),"Laḩij")</f>
        <v>Laḩij</v>
      </c>
      <c r="B5232" s="9" t="str">
        <f>IFERROR(__xludf.DUMMYFUNCTION("""COMPUTED_VALUE"""),"ye-la")</f>
        <v>ye-la</v>
      </c>
      <c r="C5232" s="9" t="str">
        <f>IFERROR(__xludf.DUMMYFUNCTION("GOOGLETRANSLATE($A5232,""en"",""de"")"),"Laḩij")</f>
        <v>Laḩij</v>
      </c>
      <c r="D5232" s="9" t="str">
        <f>IFERROR(__xludf.DUMMYFUNCTION("GOOGLETRANSLATE($A5232,""en"",""fr"")"),"Lahij")</f>
        <v>Lahij</v>
      </c>
      <c r="E5232" s="9" t="str">
        <f>IFERROR(__xludf.DUMMYFUNCTION("GOOGLETRANSLATE($A5232,""en"",""es"")"),"Laḩij")</f>
        <v>Laḩij</v>
      </c>
      <c r="F5232" s="9" t="str">
        <f>IFERROR(__xludf.DUMMYFUNCTION("GOOGLETRANSLATE($A5232,""en"",""it"")"),"Laḩij")</f>
        <v>Laḩij</v>
      </c>
      <c r="G5232" s="9" t="str">
        <f>IFERROR(__xludf.DUMMYFUNCTION("GOOGLETRANSLATE($A5232,""en"",""zh-cn"")"),"莱吉")</f>
        <v>莱吉</v>
      </c>
      <c r="H5232" s="9" t="str">
        <f>IFERROR(__xludf.DUMMYFUNCTION("GOOGLETRANSLATE($A5232,""en"",""ja"")"),"ライジ")</f>
        <v>ライジ</v>
      </c>
      <c r="I5232" s="9" t="str">
        <f>IFERROR(__xludf.DUMMYFUNCTION("GOOGLETRANSLATE($A5232,""en"",""ko"")"),"라히")</f>
        <v>라히</v>
      </c>
      <c r="J5232" s="9" t="str">
        <f>IFERROR(__xludf.DUMMYFUNCTION("GOOGLETRANSLATE($A5232,""en"",""pt-BR"")"),"Lahij")</f>
        <v>Lahij</v>
      </c>
    </row>
    <row r="5233">
      <c r="A5233" s="9" t="str">
        <f>IFERROR(__xludf.DUMMYFUNCTION("""COMPUTED_VALUE"""),"Shabwah")</f>
        <v>Shabwah</v>
      </c>
      <c r="B5233" s="9" t="str">
        <f>IFERROR(__xludf.DUMMYFUNCTION("""COMPUTED_VALUE"""),"ye-sh")</f>
        <v>ye-sh</v>
      </c>
      <c r="C5233" s="9" t="str">
        <f>IFERROR(__xludf.DUMMYFUNCTION("GOOGLETRANSLATE($A5233,""en"",""de"")"),"Schabwa")</f>
        <v>Schabwa</v>
      </c>
      <c r="D5233" s="9" t="str">
        <f>IFERROR(__xludf.DUMMYFUNCTION("GOOGLETRANSLATE($A5233,""en"",""fr"")"),"Chabwa")</f>
        <v>Chabwa</v>
      </c>
      <c r="E5233" s="9" t="str">
        <f>IFERROR(__xludf.DUMMYFUNCTION("GOOGLETRANSLATE($A5233,""en"",""es"")"),"Shabwah")</f>
        <v>Shabwah</v>
      </c>
      <c r="F5233" s="9" t="str">
        <f>IFERROR(__xludf.DUMMYFUNCTION("GOOGLETRANSLATE($A5233,""en"",""it"")"),"Shabwah")</f>
        <v>Shabwah</v>
      </c>
      <c r="G5233" s="9" t="str">
        <f>IFERROR(__xludf.DUMMYFUNCTION("GOOGLETRANSLATE($A5233,""en"",""zh-cn"")"),"沙卜瓦")</f>
        <v>沙卜瓦</v>
      </c>
      <c r="H5233" s="9" t="str">
        <f>IFERROR(__xludf.DUMMYFUNCTION("GOOGLETRANSLATE($A5233,""en"",""ja"")"),"シャブワ")</f>
        <v>シャブワ</v>
      </c>
      <c r="I5233" s="9" t="str">
        <f>IFERROR(__xludf.DUMMYFUNCTION("GOOGLETRANSLATE($A5233,""en"",""ko"")"),"샤브와")</f>
        <v>샤브와</v>
      </c>
      <c r="J5233" s="9" t="str">
        <f>IFERROR(__xludf.DUMMYFUNCTION("GOOGLETRANSLATE($A5233,""en"",""pt-BR"")"),"Shabwah")</f>
        <v>Shabwah</v>
      </c>
    </row>
    <row r="5234">
      <c r="A5234" s="9" t="str">
        <f>IFERROR(__xludf.DUMMYFUNCTION("""COMPUTED_VALUE"""),"Copperbelt")</f>
        <v>Copperbelt</v>
      </c>
      <c r="B5234" s="9" t="str">
        <f>IFERROR(__xludf.DUMMYFUNCTION("""COMPUTED_VALUE"""),"zm-08")</f>
        <v>zm-08</v>
      </c>
      <c r="C5234" s="9" t="str">
        <f>IFERROR(__xludf.DUMMYFUNCTION("GOOGLETRANSLATE($A5234,""en"",""de"")"),"Kupfergürtel")</f>
        <v>Kupfergürtel</v>
      </c>
      <c r="D5234" s="9" t="str">
        <f>IFERROR(__xludf.DUMMYFUNCTION("GOOGLETRANSLATE($A5234,""en"",""fr"")"),"Ceinture de cuivre")</f>
        <v>Ceinture de cuivre</v>
      </c>
      <c r="E5234" s="9" t="str">
        <f>IFERROR(__xludf.DUMMYFUNCTION("GOOGLETRANSLATE($A5234,""en"",""es"")"),"cinturón de cobre")</f>
        <v>cinturón de cobre</v>
      </c>
      <c r="F5234" s="9" t="str">
        <f>IFERROR(__xludf.DUMMYFUNCTION("GOOGLETRANSLATE($A5234,""en"",""it"")"),"Cintura di rame")</f>
        <v>Cintura di rame</v>
      </c>
      <c r="G5234" s="9" t="str">
        <f>IFERROR(__xludf.DUMMYFUNCTION("GOOGLETRANSLATE($A5234,""en"",""zh-cn"")"),"铜带")</f>
        <v>铜带</v>
      </c>
      <c r="H5234" s="9" t="str">
        <f>IFERROR(__xludf.DUMMYFUNCTION("GOOGLETRANSLATE($A5234,""en"",""ja"")"),"カッパーベルト")</f>
        <v>カッパーベルト</v>
      </c>
      <c r="I5234" s="9" t="str">
        <f>IFERROR(__xludf.DUMMYFUNCTION("GOOGLETRANSLATE($A5234,""en"",""ko"")"),"구리 벨트")</f>
        <v>구리 벨트</v>
      </c>
      <c r="J5234" s="9" t="str">
        <f>IFERROR(__xludf.DUMMYFUNCTION("GOOGLETRANSLATE($A5234,""en"",""pt-BR"")"),"Cinturão de Cobre")</f>
        <v>Cinturão de Cobre</v>
      </c>
    </row>
    <row r="5235">
      <c r="A5235" s="9" t="str">
        <f>IFERROR(__xludf.DUMMYFUNCTION("""COMPUTED_VALUE"""),"Central (ZM)")</f>
        <v>Central (ZM)</v>
      </c>
      <c r="B5235" s="9" t="str">
        <f>IFERROR(__xludf.DUMMYFUNCTION("""COMPUTED_VALUE"""),"zm-02")</f>
        <v>zm-02</v>
      </c>
      <c r="C5235" s="9" t="str">
        <f>IFERROR(__xludf.DUMMYFUNCTION("GOOGLETRANSLATE($A5235,""en"",""de"")"),"Zentral (ZM)")</f>
        <v>Zentral (ZM)</v>
      </c>
      <c r="D5235" s="9" t="str">
        <f>IFERROR(__xludf.DUMMYFUNCTION("GOOGLETRANSLATE($A5235,""en"",""fr"")"),"Centrale (ZM)")</f>
        <v>Centrale (ZM)</v>
      </c>
      <c r="E5235" s="9" t="str">
        <f>IFERROR(__xludf.DUMMYFUNCTION("GOOGLETRANSLATE($A5235,""en"",""es"")"),"Centro (ZM)")</f>
        <v>Centro (ZM)</v>
      </c>
      <c r="F5235" s="9" t="str">
        <f>IFERROR(__xludf.DUMMYFUNCTION("GOOGLETRANSLATE($A5235,""en"",""it"")"),"Centrale (ZM)")</f>
        <v>Centrale (ZM)</v>
      </c>
      <c r="G5235" s="9" t="str">
        <f>IFERROR(__xludf.DUMMYFUNCTION("GOOGLETRANSLATE($A5235,""en"",""zh-cn"")"),"中环 (ZM)")</f>
        <v>中环 (ZM)</v>
      </c>
      <c r="H5235" s="9" t="str">
        <f>IFERROR(__xludf.DUMMYFUNCTION("GOOGLETRANSLATE($A5235,""en"",""ja"")"),"中部 (ZM)")</f>
        <v>中部 (ZM)</v>
      </c>
      <c r="I5235" s="9" t="str">
        <f>IFERROR(__xludf.DUMMYFUNCTION("GOOGLETRANSLATE($A5235,""en"",""ko"")"),"센트럴(ZM)")</f>
        <v>센트럴(ZM)</v>
      </c>
      <c r="J5235" s="9" t="str">
        <f>IFERROR(__xludf.DUMMYFUNCTION("GOOGLETRANSLATE($A5235,""en"",""pt-BR"")"),"Central (ZM)")</f>
        <v>Central (ZM)</v>
      </c>
    </row>
    <row r="5236">
      <c r="A5236" s="9" t="str">
        <f>IFERROR(__xludf.DUMMYFUNCTION("""COMPUTED_VALUE"""),"Luapula")</f>
        <v>Luapula</v>
      </c>
      <c r="B5236" s="9" t="str">
        <f>IFERROR(__xludf.DUMMYFUNCTION("""COMPUTED_VALUE"""),"zm-04")</f>
        <v>zm-04</v>
      </c>
      <c r="C5236" s="9" t="str">
        <f>IFERROR(__xludf.DUMMYFUNCTION("GOOGLETRANSLATE($A5236,""en"",""de"")"),"Luapula")</f>
        <v>Luapula</v>
      </c>
      <c r="D5236" s="9" t="str">
        <f>IFERROR(__xludf.DUMMYFUNCTION("GOOGLETRANSLATE($A5236,""en"",""fr"")"),"Luapula")</f>
        <v>Luapula</v>
      </c>
      <c r="E5236" s="9" t="str">
        <f>IFERROR(__xludf.DUMMYFUNCTION("GOOGLETRANSLATE($A5236,""en"",""es"")"),"Luapula")</f>
        <v>Luapula</v>
      </c>
      <c r="F5236" s="9" t="str">
        <f>IFERROR(__xludf.DUMMYFUNCTION("GOOGLETRANSLATE($A5236,""en"",""it"")"),"Luapula")</f>
        <v>Luapula</v>
      </c>
      <c r="G5236" s="9" t="str">
        <f>IFERROR(__xludf.DUMMYFUNCTION("GOOGLETRANSLATE($A5236,""en"",""zh-cn"")"),"卢阿普拉")</f>
        <v>卢阿普拉</v>
      </c>
      <c r="H5236" s="9" t="str">
        <f>IFERROR(__xludf.DUMMYFUNCTION("GOOGLETRANSLATE($A5236,""en"",""ja"")"),"ルアプラ")</f>
        <v>ルアプラ</v>
      </c>
      <c r="I5236" s="9" t="str">
        <f>IFERROR(__xludf.DUMMYFUNCTION("GOOGLETRANSLATE($A5236,""en"",""ko"")"),"루아풀라")</f>
        <v>루아풀라</v>
      </c>
      <c r="J5236" s="9" t="str">
        <f>IFERROR(__xludf.DUMMYFUNCTION("GOOGLETRANSLATE($A5236,""en"",""pt-BR"")"),"Luapula")</f>
        <v>Luapula</v>
      </c>
    </row>
    <row r="5237">
      <c r="A5237" s="9" t="str">
        <f>IFERROR(__xludf.DUMMYFUNCTION("""COMPUTED_VALUE"""),"Southern (ZM)")</f>
        <v>Southern (ZM)</v>
      </c>
      <c r="B5237" s="9" t="str">
        <f>IFERROR(__xludf.DUMMYFUNCTION("""COMPUTED_VALUE"""),"zm-07")</f>
        <v>zm-07</v>
      </c>
      <c r="C5237" s="9" t="str">
        <f>IFERROR(__xludf.DUMMYFUNCTION("GOOGLETRANSLATE($A5237,""en"",""de"")"),"Süd (ZM)")</f>
        <v>Süd (ZM)</v>
      </c>
      <c r="D5237" s="9" t="str">
        <f>IFERROR(__xludf.DUMMYFUNCTION("GOOGLETRANSLATE($A5237,""en"",""fr"")"),"Sud (ZM)")</f>
        <v>Sud (ZM)</v>
      </c>
      <c r="E5237" s="9" t="str">
        <f>IFERROR(__xludf.DUMMYFUNCTION("GOOGLETRANSLATE($A5237,""en"",""es"")"),"Sur (ZM)")</f>
        <v>Sur (ZM)</v>
      </c>
      <c r="F5237" s="9" t="str">
        <f>IFERROR(__xludf.DUMMYFUNCTION("GOOGLETRANSLATE($A5237,""en"",""it"")"),"Sud (ZM)")</f>
        <v>Sud (ZM)</v>
      </c>
      <c r="G5237" s="9" t="str">
        <f>IFERROR(__xludf.DUMMYFUNCTION("GOOGLETRANSLATE($A5237,""en"",""zh-cn"")"),"南部 (ZM)")</f>
        <v>南部 (ZM)</v>
      </c>
      <c r="H5237" s="9" t="str">
        <f>IFERROR(__xludf.DUMMYFUNCTION("GOOGLETRANSLATE($A5237,""en"",""ja"")"),"南部 (ZM)")</f>
        <v>南部 (ZM)</v>
      </c>
      <c r="I5237" s="9" t="str">
        <f>IFERROR(__xludf.DUMMYFUNCTION("GOOGLETRANSLATE($A5237,""en"",""ko"")"),"남부(ZM)")</f>
        <v>남부(ZM)</v>
      </c>
      <c r="J5237" s="9" t="str">
        <f>IFERROR(__xludf.DUMMYFUNCTION("GOOGLETRANSLATE($A5237,""en"",""pt-BR"")"),"Sul (ZM)")</f>
        <v>Sul (ZM)</v>
      </c>
    </row>
    <row r="5238">
      <c r="A5238" s="9" t="str">
        <f>IFERROR(__xludf.DUMMYFUNCTION("""COMPUTED_VALUE"""),"Western (ZM)")</f>
        <v>Western (ZM)</v>
      </c>
      <c r="B5238" s="9" t="str">
        <f>IFERROR(__xludf.DUMMYFUNCTION("""COMPUTED_VALUE"""),"zm-01")</f>
        <v>zm-01</v>
      </c>
      <c r="C5238" s="9" t="str">
        <f>IFERROR(__xludf.DUMMYFUNCTION("GOOGLETRANSLATE($A5238,""en"",""de"")"),"Western (ZM)")</f>
        <v>Western (ZM)</v>
      </c>
      <c r="D5238" s="9" t="str">
        <f>IFERROR(__xludf.DUMMYFUNCTION("GOOGLETRANSLATE($A5238,""en"",""fr"")"),"Ouest (ZM)")</f>
        <v>Ouest (ZM)</v>
      </c>
      <c r="E5238" s="9" t="str">
        <f>IFERROR(__xludf.DUMMYFUNCTION("GOOGLETRANSLATE($A5238,""en"",""es"")"),"Oeste (ZM)")</f>
        <v>Oeste (ZM)</v>
      </c>
      <c r="F5238" s="9" t="str">
        <f>IFERROR(__xludf.DUMMYFUNCTION("GOOGLETRANSLATE($A5238,""en"",""it"")"),"Occidentale (ZM)")</f>
        <v>Occidentale (ZM)</v>
      </c>
      <c r="G5238" s="9" t="str">
        <f>IFERROR(__xludf.DUMMYFUNCTION("GOOGLETRANSLATE($A5238,""en"",""zh-cn"")"),"西部 (ZM)")</f>
        <v>西部 (ZM)</v>
      </c>
      <c r="H5238" s="9" t="str">
        <f>IFERROR(__xludf.DUMMYFUNCTION("GOOGLETRANSLATE($A5238,""en"",""ja"")"),"西部 (ZM)")</f>
        <v>西部 (ZM)</v>
      </c>
      <c r="I5238" s="9" t="str">
        <f>IFERROR(__xludf.DUMMYFUNCTION("GOOGLETRANSLATE($A5238,""en"",""ko"")"),"서부(ZM)")</f>
        <v>서부(ZM)</v>
      </c>
      <c r="J5238" s="9" t="str">
        <f>IFERROR(__xludf.DUMMYFUNCTION("GOOGLETRANSLATE($A5238,""en"",""pt-BR"")"),"Ocidental (ZM)")</f>
        <v>Ocidental (ZM)</v>
      </c>
    </row>
    <row r="5239">
      <c r="A5239" s="9" t="str">
        <f>IFERROR(__xludf.DUMMYFUNCTION("""COMPUTED_VALUE"""),"Eastern (ZM)")</f>
        <v>Eastern (ZM)</v>
      </c>
      <c r="B5239" s="9" t="str">
        <f>IFERROR(__xludf.DUMMYFUNCTION("""COMPUTED_VALUE"""),"zm-03")</f>
        <v>zm-03</v>
      </c>
      <c r="C5239" s="9" t="str">
        <f>IFERROR(__xludf.DUMMYFUNCTION("GOOGLETRANSLATE($A5239,""en"",""de"")"),"Ost (ZM)")</f>
        <v>Ost (ZM)</v>
      </c>
      <c r="D5239" s="9" t="str">
        <f>IFERROR(__xludf.DUMMYFUNCTION("GOOGLETRANSLATE($A5239,""en"",""fr"")"),"Est (ZM)")</f>
        <v>Est (ZM)</v>
      </c>
      <c r="E5239" s="9" t="str">
        <f>IFERROR(__xludf.DUMMYFUNCTION("GOOGLETRANSLATE($A5239,""en"",""es"")"),"Este (ZM)")</f>
        <v>Este (ZM)</v>
      </c>
      <c r="F5239" s="9" t="str">
        <f>IFERROR(__xludf.DUMMYFUNCTION("GOOGLETRANSLATE($A5239,""en"",""it"")"),"Orientale (ZM)")</f>
        <v>Orientale (ZM)</v>
      </c>
      <c r="G5239" s="9" t="str">
        <f>IFERROR(__xludf.DUMMYFUNCTION("GOOGLETRANSLATE($A5239,""en"",""zh-cn"")"),"东部 (ZM)")</f>
        <v>东部 (ZM)</v>
      </c>
      <c r="H5239" s="9" t="str">
        <f>IFERROR(__xludf.DUMMYFUNCTION("GOOGLETRANSLATE($A5239,""en"",""ja"")"),"東部 (ZM)")</f>
        <v>東部 (ZM)</v>
      </c>
      <c r="I5239" s="9" t="str">
        <f>IFERROR(__xludf.DUMMYFUNCTION("GOOGLETRANSLATE($A5239,""en"",""ko"")"),"동부(ZM)")</f>
        <v>동부(ZM)</v>
      </c>
      <c r="J5239" s="9" t="str">
        <f>IFERROR(__xludf.DUMMYFUNCTION("GOOGLETRANSLATE($A5239,""en"",""pt-BR"")"),"Leste (ZM)")</f>
        <v>Leste (ZM)</v>
      </c>
    </row>
    <row r="5240">
      <c r="A5240" s="9" t="str">
        <f>IFERROR(__xludf.DUMMYFUNCTION("""COMPUTED_VALUE"""),"Muchinga")</f>
        <v>Muchinga</v>
      </c>
      <c r="B5240" s="9" t="str">
        <f>IFERROR(__xludf.DUMMYFUNCTION("""COMPUTED_VALUE"""),"zm-10")</f>
        <v>zm-10</v>
      </c>
      <c r="C5240" s="9" t="str">
        <f>IFERROR(__xludf.DUMMYFUNCTION("GOOGLETRANSLATE($A5240,""en"",""de"")"),"Muchinga")</f>
        <v>Muchinga</v>
      </c>
      <c r="D5240" s="9" t="str">
        <f>IFERROR(__xludf.DUMMYFUNCTION("GOOGLETRANSLATE($A5240,""en"",""fr"")"),"Muchinga")</f>
        <v>Muchinga</v>
      </c>
      <c r="E5240" s="9" t="str">
        <f>IFERROR(__xludf.DUMMYFUNCTION("GOOGLETRANSLATE($A5240,""en"",""es"")"),"Muchingá")</f>
        <v>Muchingá</v>
      </c>
      <c r="F5240" s="9" t="str">
        <f>IFERROR(__xludf.DUMMYFUNCTION("GOOGLETRANSLATE($A5240,""en"",""it"")"),"Muchinga")</f>
        <v>Muchinga</v>
      </c>
      <c r="G5240" s="9" t="str">
        <f>IFERROR(__xludf.DUMMYFUNCTION("GOOGLETRANSLATE($A5240,""en"",""zh-cn"")"),"穆钦加")</f>
        <v>穆钦加</v>
      </c>
      <c r="H5240" s="9" t="str">
        <f>IFERROR(__xludf.DUMMYFUNCTION("GOOGLETRANSLATE($A5240,""en"",""ja"")"),"ムチンガ")</f>
        <v>ムチンガ</v>
      </c>
      <c r="I5240" s="9" t="str">
        <f>IFERROR(__xludf.DUMMYFUNCTION("GOOGLETRANSLATE($A5240,""en"",""ko"")"),"무칭가")</f>
        <v>무칭가</v>
      </c>
      <c r="J5240" s="9" t="str">
        <f>IFERROR(__xludf.DUMMYFUNCTION("GOOGLETRANSLATE($A5240,""en"",""pt-BR"")"),"Muchinga")</f>
        <v>Muchinga</v>
      </c>
    </row>
    <row r="5241">
      <c r="A5241" s="9" t="str">
        <f>IFERROR(__xludf.DUMMYFUNCTION("""COMPUTED_VALUE"""),"Northern (ZM)")</f>
        <v>Northern (ZM)</v>
      </c>
      <c r="B5241" s="9" t="str">
        <f>IFERROR(__xludf.DUMMYFUNCTION("""COMPUTED_VALUE"""),"zm-05")</f>
        <v>zm-05</v>
      </c>
      <c r="C5241" s="9" t="str">
        <f>IFERROR(__xludf.DUMMYFUNCTION("GOOGLETRANSLATE($A5241,""en"",""de"")"),"Nord (ZM)")</f>
        <v>Nord (ZM)</v>
      </c>
      <c r="D5241" s="9" t="str">
        <f>IFERROR(__xludf.DUMMYFUNCTION("GOOGLETRANSLATE($A5241,""en"",""fr"")"),"Nord (ZM)")</f>
        <v>Nord (ZM)</v>
      </c>
      <c r="E5241" s="9" t="str">
        <f>IFERROR(__xludf.DUMMYFUNCTION("GOOGLETRANSLATE($A5241,""en"",""es"")"),"Norte (ZM)")</f>
        <v>Norte (ZM)</v>
      </c>
      <c r="F5241" s="9" t="str">
        <f>IFERROR(__xludf.DUMMYFUNCTION("GOOGLETRANSLATE($A5241,""en"",""it"")"),"Nord (ZM)")</f>
        <v>Nord (ZM)</v>
      </c>
      <c r="G5241" s="9" t="str">
        <f>IFERROR(__xludf.DUMMYFUNCTION("GOOGLETRANSLATE($A5241,""en"",""zh-cn"")"),"北部 (ZM)")</f>
        <v>北部 (ZM)</v>
      </c>
      <c r="H5241" s="9" t="str">
        <f>IFERROR(__xludf.DUMMYFUNCTION("GOOGLETRANSLATE($A5241,""en"",""ja"")"),"北部 (ZM)")</f>
        <v>北部 (ZM)</v>
      </c>
      <c r="I5241" s="9" t="str">
        <f>IFERROR(__xludf.DUMMYFUNCTION("GOOGLETRANSLATE($A5241,""en"",""ko"")"),"북부(ZM)")</f>
        <v>북부(ZM)</v>
      </c>
      <c r="J5241" s="9" t="str">
        <f>IFERROR(__xludf.DUMMYFUNCTION("GOOGLETRANSLATE($A5241,""en"",""pt-BR"")"),"Norte (ZM)")</f>
        <v>Norte (ZM)</v>
      </c>
    </row>
    <row r="5242">
      <c r="A5242" s="9" t="str">
        <f>IFERROR(__xludf.DUMMYFUNCTION("""COMPUTED_VALUE"""),"Lusaka")</f>
        <v>Lusaka</v>
      </c>
      <c r="B5242" s="9" t="str">
        <f>IFERROR(__xludf.DUMMYFUNCTION("""COMPUTED_VALUE"""),"zm-09")</f>
        <v>zm-09</v>
      </c>
      <c r="C5242" s="9" t="str">
        <f>IFERROR(__xludf.DUMMYFUNCTION("GOOGLETRANSLATE($A5242,""en"",""de"")"),"Lusaka")</f>
        <v>Lusaka</v>
      </c>
      <c r="D5242" s="9" t="str">
        <f>IFERROR(__xludf.DUMMYFUNCTION("GOOGLETRANSLATE($A5242,""en"",""fr"")"),"Lusaka")</f>
        <v>Lusaka</v>
      </c>
      <c r="E5242" s="9" t="str">
        <f>IFERROR(__xludf.DUMMYFUNCTION("GOOGLETRANSLATE($A5242,""en"",""es"")"),"Lusaka")</f>
        <v>Lusaka</v>
      </c>
      <c r="F5242" s="9" t="str">
        <f>IFERROR(__xludf.DUMMYFUNCTION("GOOGLETRANSLATE($A5242,""en"",""it"")"),"Lusaka")</f>
        <v>Lusaka</v>
      </c>
      <c r="G5242" s="9" t="str">
        <f>IFERROR(__xludf.DUMMYFUNCTION("GOOGLETRANSLATE($A5242,""en"",""zh-cn"")"),"卢萨卡")</f>
        <v>卢萨卡</v>
      </c>
      <c r="H5242" s="9" t="str">
        <f>IFERROR(__xludf.DUMMYFUNCTION("GOOGLETRANSLATE($A5242,""en"",""ja"")"),"ルサカ")</f>
        <v>ルサカ</v>
      </c>
      <c r="I5242" s="9" t="str">
        <f>IFERROR(__xludf.DUMMYFUNCTION("GOOGLETRANSLATE($A5242,""en"",""ko"")"),"루사카")</f>
        <v>루사카</v>
      </c>
      <c r="J5242" s="9" t="str">
        <f>IFERROR(__xludf.DUMMYFUNCTION("GOOGLETRANSLATE($A5242,""en"",""pt-BR"")"),"Lusaca")</f>
        <v>Lusaca</v>
      </c>
    </row>
    <row r="5243">
      <c r="A5243" s="9" t="str">
        <f>IFERROR(__xludf.DUMMYFUNCTION("""COMPUTED_VALUE"""),"North-Western")</f>
        <v>North-Western</v>
      </c>
      <c r="B5243" s="9" t="str">
        <f>IFERROR(__xludf.DUMMYFUNCTION("""COMPUTED_VALUE"""),"zm-06")</f>
        <v>zm-06</v>
      </c>
      <c r="C5243" s="9" t="str">
        <f>IFERROR(__xludf.DUMMYFUNCTION("GOOGLETRANSLATE($A5243,""en"",""de"")"),"Nordwesten")</f>
        <v>Nordwesten</v>
      </c>
      <c r="D5243" s="9" t="str">
        <f>IFERROR(__xludf.DUMMYFUNCTION("GOOGLETRANSLATE($A5243,""en"",""fr"")"),"Nord-Ouest")</f>
        <v>Nord-Ouest</v>
      </c>
      <c r="E5243" s="9" t="str">
        <f>IFERROR(__xludf.DUMMYFUNCTION("GOOGLETRANSLATE($A5243,""en"",""es"")"),"Noroeste")</f>
        <v>Noroeste</v>
      </c>
      <c r="F5243" s="9" t="str">
        <f>IFERROR(__xludf.DUMMYFUNCTION("GOOGLETRANSLATE($A5243,""en"",""it"")"),"Nord-occidentale")</f>
        <v>Nord-occidentale</v>
      </c>
      <c r="G5243" s="9" t="str">
        <f>IFERROR(__xludf.DUMMYFUNCTION("GOOGLETRANSLATE($A5243,""en"",""zh-cn"")"),"西北")</f>
        <v>西北</v>
      </c>
      <c r="H5243" s="9" t="str">
        <f>IFERROR(__xludf.DUMMYFUNCTION("GOOGLETRANSLATE($A5243,""en"",""ja"")"),"北西部")</f>
        <v>北西部</v>
      </c>
      <c r="I5243" s="9" t="str">
        <f>IFERROR(__xludf.DUMMYFUNCTION("GOOGLETRANSLATE($A5243,""en"",""ko"")"),"북서부")</f>
        <v>북서부</v>
      </c>
      <c r="J5243" s="9" t="str">
        <f>IFERROR(__xludf.DUMMYFUNCTION("GOOGLETRANSLATE($A5243,""en"",""pt-BR"")"),"Noroeste")</f>
        <v>Noroeste</v>
      </c>
    </row>
    <row r="5244">
      <c r="A5244" s="9" t="str">
        <f>IFERROR(__xludf.DUMMYFUNCTION("""COMPUTED_VALUE"""),"Mashonaland West")</f>
        <v>Mashonaland West</v>
      </c>
      <c r="B5244" s="9" t="str">
        <f>IFERROR(__xludf.DUMMYFUNCTION("""COMPUTED_VALUE"""),"zw-mw")</f>
        <v>zw-mw</v>
      </c>
      <c r="C5244" s="9" t="str">
        <f>IFERROR(__xludf.DUMMYFUNCTION("GOOGLETRANSLATE($A5244,""en"",""de"")"),"Mashonaland West")</f>
        <v>Mashonaland West</v>
      </c>
      <c r="D5244" s="9" t="str">
        <f>IFERROR(__xludf.DUMMYFUNCTION("GOOGLETRANSLATE($A5244,""en"",""fr"")"),"Mashonaland Ouest")</f>
        <v>Mashonaland Ouest</v>
      </c>
      <c r="E5244" s="9" t="str">
        <f>IFERROR(__xludf.DUMMYFUNCTION("GOOGLETRANSLATE($A5244,""en"",""es"")"),"Mashonalandia Occidental")</f>
        <v>Mashonalandia Occidental</v>
      </c>
      <c r="F5244" s="9" t="str">
        <f>IFERROR(__xludf.DUMMYFUNCTION("GOOGLETRANSLATE($A5244,""en"",""it"")"),"Mashonaland occidentale")</f>
        <v>Mashonaland occidentale</v>
      </c>
      <c r="G5244" s="9" t="str">
        <f>IFERROR(__xludf.DUMMYFUNCTION("GOOGLETRANSLATE($A5244,""en"",""zh-cn"")"),"西马绍纳兰")</f>
        <v>西马绍纳兰</v>
      </c>
      <c r="H5244" s="9" t="str">
        <f>IFERROR(__xludf.DUMMYFUNCTION("GOOGLETRANSLATE($A5244,""en"",""ja"")"),"マショナランド ウェスト")</f>
        <v>マショナランド ウェスト</v>
      </c>
      <c r="I5244" s="9" t="str">
        <f>IFERROR(__xludf.DUMMYFUNCTION("GOOGLETRANSLATE($A5244,""en"",""ko"")"),"마쇼날랜드 웨스트")</f>
        <v>마쇼날랜드 웨스트</v>
      </c>
      <c r="J5244" s="9" t="str">
        <f>IFERROR(__xludf.DUMMYFUNCTION("GOOGLETRANSLATE($A5244,""en"",""pt-BR"")"),"Mashonalândia Oeste")</f>
        <v>Mashonalândia Oeste</v>
      </c>
    </row>
    <row r="5245">
      <c r="A5245" s="9" t="str">
        <f>IFERROR(__xludf.DUMMYFUNCTION("""COMPUTED_VALUE"""),"Manicaland")</f>
        <v>Manicaland</v>
      </c>
      <c r="B5245" s="9" t="str">
        <f>IFERROR(__xludf.DUMMYFUNCTION("""COMPUTED_VALUE"""),"zw-ma")</f>
        <v>zw-ma</v>
      </c>
      <c r="C5245" s="9" t="str">
        <f>IFERROR(__xludf.DUMMYFUNCTION("GOOGLETRANSLATE($A5245,""en"",""de"")"),"Manicaland")</f>
        <v>Manicaland</v>
      </c>
      <c r="D5245" s="9" t="str">
        <f>IFERROR(__xludf.DUMMYFUNCTION("GOOGLETRANSLATE($A5245,""en"",""fr"")"),"Manicaland")</f>
        <v>Manicaland</v>
      </c>
      <c r="E5245" s="9" t="str">
        <f>IFERROR(__xludf.DUMMYFUNCTION("GOOGLETRANSLATE($A5245,""en"",""es"")"),"manicaland")</f>
        <v>manicaland</v>
      </c>
      <c r="F5245" s="9" t="str">
        <f>IFERROR(__xludf.DUMMYFUNCTION("GOOGLETRANSLATE($A5245,""en"",""it"")"),"Manicaland")</f>
        <v>Manicaland</v>
      </c>
      <c r="G5245" s="9" t="str">
        <f>IFERROR(__xludf.DUMMYFUNCTION("GOOGLETRANSLATE($A5245,""en"",""zh-cn"")"),"马尼卡兰")</f>
        <v>马尼卡兰</v>
      </c>
      <c r="H5245" s="9" t="str">
        <f>IFERROR(__xludf.DUMMYFUNCTION("GOOGLETRANSLATE($A5245,""en"",""ja"")"),"マニカランド")</f>
        <v>マニカランド</v>
      </c>
      <c r="I5245" s="9" t="str">
        <f>IFERROR(__xludf.DUMMYFUNCTION("GOOGLETRANSLATE($A5245,""en"",""ko"")"),"매니칼랜드")</f>
        <v>매니칼랜드</v>
      </c>
      <c r="J5245" s="9" t="str">
        <f>IFERROR(__xludf.DUMMYFUNCTION("GOOGLETRANSLATE($A5245,""en"",""pt-BR"")"),"Manicaland")</f>
        <v>Manicaland</v>
      </c>
    </row>
    <row r="5246">
      <c r="A5246" s="9" t="str">
        <f>IFERROR(__xludf.DUMMYFUNCTION("""COMPUTED_VALUE"""),"Masvingo")</f>
        <v>Masvingo</v>
      </c>
      <c r="B5246" s="9" t="str">
        <f>IFERROR(__xludf.DUMMYFUNCTION("""COMPUTED_VALUE"""),"zw-mv")</f>
        <v>zw-mv</v>
      </c>
      <c r="C5246" s="9" t="str">
        <f>IFERROR(__xludf.DUMMYFUNCTION("GOOGLETRANSLATE($A5246,""en"",""de"")"),"Masvingo")</f>
        <v>Masvingo</v>
      </c>
      <c r="D5246" s="9" t="str">
        <f>IFERROR(__xludf.DUMMYFUNCTION("GOOGLETRANSLATE($A5246,""en"",""fr"")"),"Masvingo")</f>
        <v>Masvingo</v>
      </c>
      <c r="E5246" s="9" t="str">
        <f>IFERROR(__xludf.DUMMYFUNCTION("GOOGLETRANSLATE($A5246,""en"",""es"")"),"masvingo")</f>
        <v>masvingo</v>
      </c>
      <c r="F5246" s="9" t="str">
        <f>IFERROR(__xludf.DUMMYFUNCTION("GOOGLETRANSLATE($A5246,""en"",""it"")"),"Masvingo")</f>
        <v>Masvingo</v>
      </c>
      <c r="G5246" s="9" t="str">
        <f>IFERROR(__xludf.DUMMYFUNCTION("GOOGLETRANSLATE($A5246,""en"",""zh-cn"")"),"马斯温戈")</f>
        <v>马斯温戈</v>
      </c>
      <c r="H5246" s="9" t="str">
        <f>IFERROR(__xludf.DUMMYFUNCTION("GOOGLETRANSLATE($A5246,""en"",""ja"")"),"マシンゴ")</f>
        <v>マシンゴ</v>
      </c>
      <c r="I5246" s="9" t="str">
        <f>IFERROR(__xludf.DUMMYFUNCTION("GOOGLETRANSLATE($A5246,""en"",""ko"")"),"마스빙고")</f>
        <v>마스빙고</v>
      </c>
      <c r="J5246" s="9" t="str">
        <f>IFERROR(__xludf.DUMMYFUNCTION("GOOGLETRANSLATE($A5246,""en"",""pt-BR"")"),"Masvingo")</f>
        <v>Masvingo</v>
      </c>
    </row>
    <row r="5247">
      <c r="A5247" s="9" t="str">
        <f>IFERROR(__xludf.DUMMYFUNCTION("""COMPUTED_VALUE"""),"Mashonaland East")</f>
        <v>Mashonaland East</v>
      </c>
      <c r="B5247" s="9" t="str">
        <f>IFERROR(__xludf.DUMMYFUNCTION("""COMPUTED_VALUE"""),"zw-me")</f>
        <v>zw-me</v>
      </c>
      <c r="C5247" s="9" t="str">
        <f>IFERROR(__xludf.DUMMYFUNCTION("GOOGLETRANSLATE($A5247,""en"",""de"")"),"Mashonaland Ost")</f>
        <v>Mashonaland Ost</v>
      </c>
      <c r="D5247" s="9" t="str">
        <f>IFERROR(__xludf.DUMMYFUNCTION("GOOGLETRANSLATE($A5247,""en"",""fr"")"),"Mashonaland Est")</f>
        <v>Mashonaland Est</v>
      </c>
      <c r="E5247" s="9" t="str">
        <f>IFERROR(__xludf.DUMMYFUNCTION("GOOGLETRANSLATE($A5247,""en"",""es"")"),"Mashonalandia Oriental")</f>
        <v>Mashonalandia Oriental</v>
      </c>
      <c r="F5247" s="9" t="str">
        <f>IFERROR(__xludf.DUMMYFUNCTION("GOOGLETRANSLATE($A5247,""en"",""it"")"),"Mashonaland orientale")</f>
        <v>Mashonaland orientale</v>
      </c>
      <c r="G5247" s="9" t="str">
        <f>IFERROR(__xludf.DUMMYFUNCTION("GOOGLETRANSLATE($A5247,""en"",""zh-cn"")"),"东马绍纳兰")</f>
        <v>东马绍纳兰</v>
      </c>
      <c r="H5247" s="9" t="str">
        <f>IFERROR(__xludf.DUMMYFUNCTION("GOOGLETRANSLATE($A5247,""en"",""ja"")"),"マショナランド イースト")</f>
        <v>マショナランド イースト</v>
      </c>
      <c r="I5247" s="9" t="str">
        <f>IFERROR(__xludf.DUMMYFUNCTION("GOOGLETRANSLATE($A5247,""en"",""ko"")"),"마쇼날랜드 이스트")</f>
        <v>마쇼날랜드 이스트</v>
      </c>
      <c r="J5247" s="9" t="str">
        <f>IFERROR(__xludf.DUMMYFUNCTION("GOOGLETRANSLATE($A5247,""en"",""pt-BR"")"),"Mashonalândia Leste")</f>
        <v>Mashonalândia Leste</v>
      </c>
    </row>
    <row r="5248">
      <c r="A5248" s="9" t="str">
        <f>IFERROR(__xludf.DUMMYFUNCTION("""COMPUTED_VALUE"""),"Matabeleland South")</f>
        <v>Matabeleland South</v>
      </c>
      <c r="B5248" s="9" t="str">
        <f>IFERROR(__xludf.DUMMYFUNCTION("""COMPUTED_VALUE"""),"zw-ms")</f>
        <v>zw-ms</v>
      </c>
      <c r="C5248" s="9" t="str">
        <f>IFERROR(__xludf.DUMMYFUNCTION("GOOGLETRANSLATE($A5248,""en"",""de"")"),"Matabeleland Süd")</f>
        <v>Matabeleland Süd</v>
      </c>
      <c r="D5248" s="9" t="str">
        <f>IFERROR(__xludf.DUMMYFUNCTION("GOOGLETRANSLATE($A5248,""en"",""fr"")"),"Matabeleland Sud")</f>
        <v>Matabeleland Sud</v>
      </c>
      <c r="E5248" s="9" t="str">
        <f>IFERROR(__xludf.DUMMYFUNCTION("GOOGLETRANSLATE($A5248,""en"",""es"")"),"Matabelelandia Sur")</f>
        <v>Matabelelandia Sur</v>
      </c>
      <c r="F5248" s="9" t="str">
        <f>IFERROR(__xludf.DUMMYFUNCTION("GOOGLETRANSLATE($A5248,""en"",""it"")"),"Matabeleland meridionale")</f>
        <v>Matabeleland meridionale</v>
      </c>
      <c r="G5248" s="9" t="str">
        <f>IFERROR(__xludf.DUMMYFUNCTION("GOOGLETRANSLATE($A5248,""en"",""zh-cn"")"),"南马塔贝莱兰")</f>
        <v>南马塔贝莱兰</v>
      </c>
      <c r="H5248" s="9" t="str">
        <f>IFERROR(__xludf.DUMMYFUNCTION("GOOGLETRANSLATE($A5248,""en"",""ja"")"),"マタベレランド サウス")</f>
        <v>マタベレランド サウス</v>
      </c>
      <c r="I5248" s="9" t="str">
        <f>IFERROR(__xludf.DUMMYFUNCTION("GOOGLETRANSLATE($A5248,""en"",""ko"")"),"마타벨랜드 사우스")</f>
        <v>마타벨랜드 사우스</v>
      </c>
      <c r="J5248" s="9" t="str">
        <f>IFERROR(__xludf.DUMMYFUNCTION("GOOGLETRANSLATE($A5248,""en"",""pt-BR"")"),"Matabelelândia Sul")</f>
        <v>Matabelelândia Sul</v>
      </c>
    </row>
    <row r="5249">
      <c r="A5249" s="9" t="str">
        <f>IFERROR(__xludf.DUMMYFUNCTION("""COMPUTED_VALUE"""),"Matabeleland North")</f>
        <v>Matabeleland North</v>
      </c>
      <c r="B5249" s="9" t="str">
        <f>IFERROR(__xludf.DUMMYFUNCTION("""COMPUTED_VALUE"""),"zw-mn")</f>
        <v>zw-mn</v>
      </c>
      <c r="C5249" s="9" t="str">
        <f>IFERROR(__xludf.DUMMYFUNCTION("GOOGLETRANSLATE($A5249,""en"",""de"")"),"Matabeleland Nord")</f>
        <v>Matabeleland Nord</v>
      </c>
      <c r="D5249" s="9" t="str">
        <f>IFERROR(__xludf.DUMMYFUNCTION("GOOGLETRANSLATE($A5249,""en"",""fr"")"),"Matabeleland Nord")</f>
        <v>Matabeleland Nord</v>
      </c>
      <c r="E5249" s="9" t="str">
        <f>IFERROR(__xludf.DUMMYFUNCTION("GOOGLETRANSLATE($A5249,""en"",""es"")"),"Matabelelandia Norte")</f>
        <v>Matabelelandia Norte</v>
      </c>
      <c r="F5249" s="9" t="str">
        <f>IFERROR(__xludf.DUMMYFUNCTION("GOOGLETRANSLATE($A5249,""en"",""it"")"),"Matabeleland Nord")</f>
        <v>Matabeleland Nord</v>
      </c>
      <c r="G5249" s="9" t="str">
        <f>IFERROR(__xludf.DUMMYFUNCTION("GOOGLETRANSLATE($A5249,""en"",""zh-cn"")"),"北马塔贝莱兰")</f>
        <v>北马塔贝莱兰</v>
      </c>
      <c r="H5249" s="9" t="str">
        <f>IFERROR(__xludf.DUMMYFUNCTION("GOOGLETRANSLATE($A5249,""en"",""ja"")"),"マタベレランド ノース")</f>
        <v>マタベレランド ノース</v>
      </c>
      <c r="I5249" s="9" t="str">
        <f>IFERROR(__xludf.DUMMYFUNCTION("GOOGLETRANSLATE($A5249,""en"",""ko"")"),"마타벨랜드 노스")</f>
        <v>마타벨랜드 노스</v>
      </c>
      <c r="J5249" s="9" t="str">
        <f>IFERROR(__xludf.DUMMYFUNCTION("GOOGLETRANSLATE($A5249,""en"",""pt-BR"")"),"Matabelelândia Norte")</f>
        <v>Matabelelândia Norte</v>
      </c>
    </row>
    <row r="5250">
      <c r="A5250" s="9" t="str">
        <f>IFERROR(__xludf.DUMMYFUNCTION("""COMPUTED_VALUE"""),"Bulawayo")</f>
        <v>Bulawayo</v>
      </c>
      <c r="B5250" s="9" t="str">
        <f>IFERROR(__xludf.DUMMYFUNCTION("""COMPUTED_VALUE"""),"zw-bu")</f>
        <v>zw-bu</v>
      </c>
      <c r="C5250" s="9" t="str">
        <f>IFERROR(__xludf.DUMMYFUNCTION("GOOGLETRANSLATE($A5250,""en"",""de"")"),"Bulawayo")</f>
        <v>Bulawayo</v>
      </c>
      <c r="D5250" s="9" t="str">
        <f>IFERROR(__xludf.DUMMYFUNCTION("GOOGLETRANSLATE($A5250,""en"",""fr"")"),"Bulawayo")</f>
        <v>Bulawayo</v>
      </c>
      <c r="E5250" s="9" t="str">
        <f>IFERROR(__xludf.DUMMYFUNCTION("GOOGLETRANSLATE($A5250,""en"",""es"")"),"Bulawayo")</f>
        <v>Bulawayo</v>
      </c>
      <c r="F5250" s="9" t="str">
        <f>IFERROR(__xludf.DUMMYFUNCTION("GOOGLETRANSLATE($A5250,""en"",""it"")"),"Bulawayo")</f>
        <v>Bulawayo</v>
      </c>
      <c r="G5250" s="9" t="str">
        <f>IFERROR(__xludf.DUMMYFUNCTION("GOOGLETRANSLATE($A5250,""en"",""zh-cn"")"),"布拉瓦约")</f>
        <v>布拉瓦约</v>
      </c>
      <c r="H5250" s="9" t="str">
        <f>IFERROR(__xludf.DUMMYFUNCTION("GOOGLETRANSLATE($A5250,""en"",""ja"")"),"ブラワヨ")</f>
        <v>ブラワヨ</v>
      </c>
      <c r="I5250" s="9" t="str">
        <f>IFERROR(__xludf.DUMMYFUNCTION("GOOGLETRANSLATE($A5250,""en"",""ko"")"),"불라와요")</f>
        <v>불라와요</v>
      </c>
      <c r="J5250" s="9" t="str">
        <f>IFERROR(__xludf.DUMMYFUNCTION("GOOGLETRANSLATE($A5250,""en"",""pt-BR"")"),"Bulawayo")</f>
        <v>Bulawayo</v>
      </c>
    </row>
    <row r="5251">
      <c r="A5251" s="9" t="str">
        <f>IFERROR(__xludf.DUMMYFUNCTION("""COMPUTED_VALUE"""),"Harare")</f>
        <v>Harare</v>
      </c>
      <c r="B5251" s="9" t="str">
        <f>IFERROR(__xludf.DUMMYFUNCTION("""COMPUTED_VALUE"""),"zw-ha")</f>
        <v>zw-ha</v>
      </c>
      <c r="C5251" s="9" t="str">
        <f>IFERROR(__xludf.DUMMYFUNCTION("GOOGLETRANSLATE($A5251,""en"",""de"")"),"Harare")</f>
        <v>Harare</v>
      </c>
      <c r="D5251" s="9" t="str">
        <f>IFERROR(__xludf.DUMMYFUNCTION("GOOGLETRANSLATE($A5251,""en"",""fr"")"),"Harare")</f>
        <v>Harare</v>
      </c>
      <c r="E5251" s="9" t="str">
        <f>IFERROR(__xludf.DUMMYFUNCTION("GOOGLETRANSLATE($A5251,""en"",""es"")"),"Harare")</f>
        <v>Harare</v>
      </c>
      <c r="F5251" s="9" t="str">
        <f>IFERROR(__xludf.DUMMYFUNCTION("GOOGLETRANSLATE($A5251,""en"",""it"")"),"Harare")</f>
        <v>Harare</v>
      </c>
      <c r="G5251" s="9" t="str">
        <f>IFERROR(__xludf.DUMMYFUNCTION("GOOGLETRANSLATE($A5251,""en"",""zh-cn"")"),"哈拉雷")</f>
        <v>哈拉雷</v>
      </c>
      <c r="H5251" s="9" t="str">
        <f>IFERROR(__xludf.DUMMYFUNCTION("GOOGLETRANSLATE($A5251,""en"",""ja"")"),"ハラレ")</f>
        <v>ハラレ</v>
      </c>
      <c r="I5251" s="9" t="str">
        <f>IFERROR(__xludf.DUMMYFUNCTION("GOOGLETRANSLATE($A5251,""en"",""ko"")"),"하라레")</f>
        <v>하라레</v>
      </c>
      <c r="J5251" s="9" t="str">
        <f>IFERROR(__xludf.DUMMYFUNCTION("GOOGLETRANSLATE($A5251,""en"",""pt-BR"")"),"Harare")</f>
        <v>Harare</v>
      </c>
    </row>
    <row r="5252">
      <c r="A5252" s="9" t="str">
        <f>IFERROR(__xludf.DUMMYFUNCTION("""COMPUTED_VALUE"""),"Midlands")</f>
        <v>Midlands</v>
      </c>
      <c r="B5252" s="9" t="str">
        <f>IFERROR(__xludf.DUMMYFUNCTION("""COMPUTED_VALUE"""),"zw-mi")</f>
        <v>zw-mi</v>
      </c>
      <c r="C5252" s="9" t="str">
        <f>IFERROR(__xludf.DUMMYFUNCTION("GOOGLETRANSLATE($A5252,""en"",""de"")"),"Mittelland")</f>
        <v>Mittelland</v>
      </c>
      <c r="D5252" s="9" t="str">
        <f>IFERROR(__xludf.DUMMYFUNCTION("GOOGLETRANSLATE($A5252,""en"",""fr"")"),"Midlands")</f>
        <v>Midlands</v>
      </c>
      <c r="E5252" s="9" t="str">
        <f>IFERROR(__xludf.DUMMYFUNCTION("GOOGLETRANSLATE($A5252,""en"",""es"")"),"la región central de Inglaterra")</f>
        <v>la región central de Inglaterra</v>
      </c>
      <c r="F5252" s="9" t="str">
        <f>IFERROR(__xludf.DUMMYFUNCTION("GOOGLETRANSLATE($A5252,""en"",""it"")"),"Midlands")</f>
        <v>Midlands</v>
      </c>
      <c r="G5252" s="9" t="str">
        <f>IFERROR(__xludf.DUMMYFUNCTION("GOOGLETRANSLATE($A5252,""en"",""zh-cn"")"),"中部地区")</f>
        <v>中部地区</v>
      </c>
      <c r="H5252" s="9" t="str">
        <f>IFERROR(__xludf.DUMMYFUNCTION("GOOGLETRANSLATE($A5252,""en"",""ja"")"),"ミッドランド")</f>
        <v>ミッドランド</v>
      </c>
      <c r="I5252" s="9" t="str">
        <f>IFERROR(__xludf.DUMMYFUNCTION("GOOGLETRANSLATE($A5252,""en"",""ko"")"),"미들랜드")</f>
        <v>미들랜드</v>
      </c>
      <c r="J5252" s="9" t="str">
        <f>IFERROR(__xludf.DUMMYFUNCTION("GOOGLETRANSLATE($A5252,""en"",""pt-BR"")"),"Midlands")</f>
        <v>Midlands</v>
      </c>
    </row>
    <row r="5253">
      <c r="A5253" s="9" t="str">
        <f>IFERROR(__xludf.DUMMYFUNCTION("""COMPUTED_VALUE"""),"Mashonaland Central")</f>
        <v>Mashonaland Central</v>
      </c>
      <c r="B5253" s="9" t="str">
        <f>IFERROR(__xludf.DUMMYFUNCTION("""COMPUTED_VALUE"""),"zw-mc")</f>
        <v>zw-mc</v>
      </c>
      <c r="C5253" s="9" t="str">
        <f>IFERROR(__xludf.DUMMYFUNCTION("GOOGLETRANSLATE($A5253,""en"",""de"")"),"Mashonaland Central")</f>
        <v>Mashonaland Central</v>
      </c>
      <c r="D5253" s="9" t="str">
        <f>IFERROR(__xludf.DUMMYFUNCTION("GOOGLETRANSLATE($A5253,""en"",""fr"")"),"Mashonaland central")</f>
        <v>Mashonaland central</v>
      </c>
      <c r="E5253" s="9" t="str">
        <f>IFERROR(__xludf.DUMMYFUNCTION("GOOGLETRANSLATE($A5253,""en"",""es"")"),"Mashonalandia Central")</f>
        <v>Mashonalandia Central</v>
      </c>
      <c r="F5253" s="9" t="str">
        <f>IFERROR(__xludf.DUMMYFUNCTION("GOOGLETRANSLATE($A5253,""en"",""it"")"),"Mashonaland Centrale")</f>
        <v>Mashonaland Centrale</v>
      </c>
      <c r="G5253" s="9" t="str">
        <f>IFERROR(__xludf.DUMMYFUNCTION("GOOGLETRANSLATE($A5253,""en"",""zh-cn"")"),"马绍纳兰中央")</f>
        <v>马绍纳兰中央</v>
      </c>
      <c r="H5253" s="9" t="str">
        <f>IFERROR(__xludf.DUMMYFUNCTION("GOOGLETRANSLATE($A5253,""en"",""ja"")"),"マショナランド セントラル")</f>
        <v>マショナランド セントラル</v>
      </c>
      <c r="I5253" s="9" t="str">
        <f>IFERROR(__xludf.DUMMYFUNCTION("GOOGLETRANSLATE($A5253,""en"",""ko"")"),"마쇼날랜드 센트럴")</f>
        <v>마쇼날랜드 센트럴</v>
      </c>
      <c r="J5253" s="9" t="str">
        <f>IFERROR(__xludf.DUMMYFUNCTION("GOOGLETRANSLATE($A5253,""en"",""pt-BR"")"),"Mashonalândia Central")</f>
        <v>Mashonalândia Central</v>
      </c>
    </row>
  </sheetData>
  <hyperlinks>
    <hyperlink r:id="rId1" ref="A3"/>
  </hyperlinks>
  <drawing r:id="rId2"/>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2.25"/>
    <col customWidth="1" min="2" max="2" width="20.75"/>
    <col customWidth="1" min="3" max="3" width="24.88"/>
    <col customWidth="1" min="4" max="11" width="23.88"/>
  </cols>
  <sheetData>
    <row r="1">
      <c r="A1" s="12" t="str">
        <f>Entities!A1</f>
        <v>CDA.LS.HCP Kernel Translations, Version 24.8, August 30, 2024</v>
      </c>
      <c r="B1" s="3"/>
      <c r="C1" s="3"/>
      <c r="D1" s="2"/>
      <c r="E1" s="2"/>
      <c r="F1" s="3"/>
      <c r="G1" s="3"/>
      <c r="H1" s="4"/>
      <c r="I1" s="4"/>
      <c r="J1" s="4"/>
      <c r="K1" s="4"/>
      <c r="L1" s="4"/>
      <c r="M1" s="4"/>
      <c r="N1" s="4"/>
      <c r="O1" s="4"/>
      <c r="P1" s="4"/>
      <c r="Q1" s="4"/>
      <c r="R1" s="4"/>
      <c r="S1" s="4"/>
      <c r="T1" s="4"/>
      <c r="U1" s="4"/>
      <c r="V1" s="4"/>
      <c r="W1" s="4"/>
      <c r="X1" s="4"/>
      <c r="Y1" s="4"/>
    </row>
    <row r="2">
      <c r="A2" s="5" t="s">
        <v>50</v>
      </c>
      <c r="B2" s="3"/>
      <c r="C2" s="3"/>
      <c r="D2" s="2"/>
      <c r="E2" s="2"/>
      <c r="F2" s="3"/>
      <c r="G2" s="3"/>
      <c r="H2" s="4"/>
      <c r="I2" s="4"/>
      <c r="J2" s="4"/>
      <c r="K2" s="4"/>
      <c r="L2" s="4"/>
      <c r="M2" s="4"/>
      <c r="N2" s="4"/>
      <c r="O2" s="4"/>
      <c r="P2" s="4"/>
      <c r="Q2" s="4"/>
      <c r="R2" s="4"/>
      <c r="S2" s="4"/>
      <c r="T2" s="4"/>
      <c r="U2" s="4"/>
      <c r="V2" s="4"/>
      <c r="W2" s="4"/>
      <c r="X2" s="4"/>
      <c r="Y2" s="4"/>
    </row>
    <row r="3">
      <c r="A3" s="6" t="s">
        <v>26</v>
      </c>
      <c r="B3" s="6" t="s">
        <v>3</v>
      </c>
      <c r="C3" s="6" t="s">
        <v>4</v>
      </c>
      <c r="D3" s="6" t="s">
        <v>5</v>
      </c>
      <c r="E3" s="6" t="s">
        <v>6</v>
      </c>
      <c r="F3" s="6" t="s">
        <v>7</v>
      </c>
      <c r="G3" s="6" t="s">
        <v>8</v>
      </c>
      <c r="H3" s="6" t="s">
        <v>9</v>
      </c>
      <c r="I3" s="6" t="s">
        <v>10</v>
      </c>
      <c r="J3" s="6" t="s">
        <v>11</v>
      </c>
      <c r="K3" s="6"/>
      <c r="L3" s="6"/>
      <c r="M3" s="6"/>
      <c r="N3" s="6"/>
      <c r="O3" s="6"/>
      <c r="P3" s="6"/>
      <c r="Q3" s="6"/>
      <c r="R3" s="6"/>
      <c r="S3" s="6"/>
      <c r="T3" s="6"/>
      <c r="U3" s="6"/>
      <c r="V3" s="6"/>
      <c r="W3" s="6"/>
      <c r="X3" s="18"/>
      <c r="Y3" s="18"/>
      <c r="Z3" s="18"/>
    </row>
    <row r="4">
      <c r="A4" s="8" t="str">
        <f>IFERROR(__xludf.DUMMYFUNCTION("IMPORTRANGE(""https://docs.google.com/spreadsheets/d/1ZIx3-wJv76bPGccT5CZZ4g3Sy52i_iEnaWf6C0L_ST0/edit#gid=1869488518"",""HCP Type Items!A4:A"")"),"Office Staff")</f>
        <v>Office Staff</v>
      </c>
      <c r="B4" s="8" t="str">
        <f>IFERROR(__xludf.DUMMYFUNCTION("IMPORTRANGE(""https://docs.google.com/spreadsheets/d/1ZIx3-wJv76bPGccT5CZZ4g3Sy52i_iEnaWf6C0L_ST0/edit#gid=1869488518"",""HCP Type Items!B4:B"")"),"staf")</f>
        <v>staf</v>
      </c>
      <c r="C4" s="9" t="str">
        <f>IFERROR(__xludf.DUMMYFUNCTION("GOOGLETRANSLATE($A4,""en"",""de"")"),"Büropersonal")</f>
        <v>Büropersonal</v>
      </c>
      <c r="D4" s="9" t="str">
        <f>IFERROR(__xludf.DUMMYFUNCTION("GOOGLETRANSLATE($A4,""en"",""fr"")"),"Personnel de bureau")</f>
        <v>Personnel de bureau</v>
      </c>
      <c r="E4" s="9" t="str">
        <f>IFERROR(__xludf.DUMMYFUNCTION("GOOGLETRANSLATE($A4,""en"",""es"")"),"Personal de oficina")</f>
        <v>Personal de oficina</v>
      </c>
      <c r="F4" s="9" t="str">
        <f>IFERROR(__xludf.DUMMYFUNCTION("GOOGLETRANSLATE($A4,""en"",""it"")"),"Personale d'ufficio")</f>
        <v>Personale d'ufficio</v>
      </c>
      <c r="G4" s="9" t="str">
        <f>IFERROR(__xludf.DUMMYFUNCTION("GOOGLETRANSLATE($A4,""en"",""zh-cn"")"),"办公室职员")</f>
        <v>办公室职员</v>
      </c>
      <c r="H4" s="9" t="str">
        <f>IFERROR(__xludf.DUMMYFUNCTION("GOOGLETRANSLATE($A4,""en"",""ja"")"),"事務スタッフ")</f>
        <v>事務スタッフ</v>
      </c>
      <c r="I4" s="9" t="str">
        <f>IFERROR(__xludf.DUMMYFUNCTION("GOOGLETRANSLATE($A4,""en"",""ko"")"),"사무실 직원")</f>
        <v>사무실 직원</v>
      </c>
      <c r="J4" s="9" t="str">
        <f>IFERROR(__xludf.DUMMYFUNCTION("GOOGLETRANSLATE($A4,""en"",""pt-BR"")"),"Pessoal de escritório")</f>
        <v>Pessoal de escritório</v>
      </c>
      <c r="K4" s="17"/>
      <c r="L4" s="8"/>
      <c r="M4" s="8"/>
      <c r="N4" s="17"/>
      <c r="O4" s="8"/>
      <c r="P4" s="8"/>
      <c r="Q4" s="17"/>
      <c r="R4" s="8"/>
      <c r="S4" s="8"/>
      <c r="T4" s="17"/>
      <c r="U4" s="8"/>
      <c r="V4" s="8"/>
      <c r="W4" s="17"/>
    </row>
    <row r="5">
      <c r="A5" s="19" t="str">
        <f>IFERROR(__xludf.DUMMYFUNCTION("""COMPUTED_VALUE"""),"Pharmacist")</f>
        <v>Pharmacist</v>
      </c>
      <c r="B5" s="19" t="str">
        <f>IFERROR(__xludf.DUMMYFUNCTION("""COMPUTED_VALUE"""),"phar")</f>
        <v>phar</v>
      </c>
      <c r="C5" s="9" t="str">
        <f>IFERROR(__xludf.DUMMYFUNCTION("GOOGLETRANSLATE($A5,""en"",""de"")"),"Apotheker")</f>
        <v>Apotheker</v>
      </c>
      <c r="D5" s="9" t="str">
        <f>IFERROR(__xludf.DUMMYFUNCTION("GOOGLETRANSLATE($A5,""en"",""fr"")"),"Pharmacien")</f>
        <v>Pharmacien</v>
      </c>
      <c r="E5" s="9" t="str">
        <f>IFERROR(__xludf.DUMMYFUNCTION("GOOGLETRANSLATE($A5,""en"",""es"")"),"Farmacéutico")</f>
        <v>Farmacéutico</v>
      </c>
      <c r="F5" s="9" t="str">
        <f>IFERROR(__xludf.DUMMYFUNCTION("GOOGLETRANSLATE($A5,""en"",""it"")"),"Farmacista")</f>
        <v>Farmacista</v>
      </c>
      <c r="G5" s="9" t="str">
        <f>IFERROR(__xludf.DUMMYFUNCTION("GOOGLETRANSLATE($A5,""en"",""zh-cn"")"),"药剂师")</f>
        <v>药剂师</v>
      </c>
      <c r="H5" s="9" t="str">
        <f>IFERROR(__xludf.DUMMYFUNCTION("GOOGLETRANSLATE($A5,""en"",""ja"")"),"薬剤師")</f>
        <v>薬剤師</v>
      </c>
      <c r="I5" s="9" t="str">
        <f>IFERROR(__xludf.DUMMYFUNCTION("GOOGLETRANSLATE($A5,""en"",""ko"")"),"제약사")</f>
        <v>제약사</v>
      </c>
      <c r="J5" s="9" t="str">
        <f>IFERROR(__xludf.DUMMYFUNCTION("GOOGLETRANSLATE($A5,""en"",""pt-BR"")"),"Farmacêutico")</f>
        <v>Farmacêutico</v>
      </c>
    </row>
    <row r="6">
      <c r="A6" s="19" t="str">
        <f>IFERROR(__xludf.DUMMYFUNCTION("""COMPUTED_VALUE"""),"Executive")</f>
        <v>Executive</v>
      </c>
      <c r="B6" s="19" t="str">
        <f>IFERROR(__xludf.DUMMYFUNCTION("""COMPUTED_VALUE"""),"exec")</f>
        <v>exec</v>
      </c>
      <c r="C6" s="9" t="str">
        <f>IFERROR(__xludf.DUMMYFUNCTION("GOOGLETRANSLATE($A6,""en"",""de"")"),"Exekutive")</f>
        <v>Exekutive</v>
      </c>
      <c r="D6" s="9" t="str">
        <f>IFERROR(__xludf.DUMMYFUNCTION("GOOGLETRANSLATE($A6,""en"",""fr"")"),"Exécutif")</f>
        <v>Exécutif</v>
      </c>
      <c r="E6" s="9" t="str">
        <f>IFERROR(__xludf.DUMMYFUNCTION("GOOGLETRANSLATE($A6,""en"",""es"")"),"Ejecutivo")</f>
        <v>Ejecutivo</v>
      </c>
      <c r="F6" s="9" t="str">
        <f>IFERROR(__xludf.DUMMYFUNCTION("GOOGLETRANSLATE($A6,""en"",""it"")"),"Esecutivo")</f>
        <v>Esecutivo</v>
      </c>
      <c r="G6" s="9" t="str">
        <f>IFERROR(__xludf.DUMMYFUNCTION("GOOGLETRANSLATE($A6,""en"",""zh-cn"")"),"管理人员")</f>
        <v>管理人员</v>
      </c>
      <c r="H6" s="9" t="str">
        <f>IFERROR(__xludf.DUMMYFUNCTION("GOOGLETRANSLATE($A6,""en"",""ja"")"),"エグゼクティブ")</f>
        <v>エグゼクティブ</v>
      </c>
      <c r="I6" s="9" t="str">
        <f>IFERROR(__xludf.DUMMYFUNCTION("GOOGLETRANSLATE($A6,""en"",""ko"")"),"경영진")</f>
        <v>경영진</v>
      </c>
      <c r="J6" s="9" t="str">
        <f>IFERROR(__xludf.DUMMYFUNCTION("GOOGLETRANSLATE($A6,""en"",""pt-BR"")"),"Executivo")</f>
        <v>Executivo</v>
      </c>
    </row>
    <row r="7">
      <c r="A7" s="19" t="str">
        <f>IFERROR(__xludf.DUMMYFUNCTION("""COMPUTED_VALUE"""),"Nurse")</f>
        <v>Nurse</v>
      </c>
      <c r="B7" s="19" t="str">
        <f>IFERROR(__xludf.DUMMYFUNCTION("""COMPUTED_VALUE"""),"nurs")</f>
        <v>nurs</v>
      </c>
      <c r="C7" s="9" t="str">
        <f>IFERROR(__xludf.DUMMYFUNCTION("GOOGLETRANSLATE($A7,""en"",""de"")"),"Krankenschwester")</f>
        <v>Krankenschwester</v>
      </c>
      <c r="D7" s="9" t="str">
        <f>IFERROR(__xludf.DUMMYFUNCTION("GOOGLETRANSLATE($A7,""en"",""fr"")"),"Infirmière")</f>
        <v>Infirmière</v>
      </c>
      <c r="E7" s="9" t="str">
        <f>IFERROR(__xludf.DUMMYFUNCTION("GOOGLETRANSLATE($A7,""en"",""es"")"),"Enfermero")</f>
        <v>Enfermero</v>
      </c>
      <c r="F7" s="9" t="str">
        <f>IFERROR(__xludf.DUMMYFUNCTION("GOOGLETRANSLATE($A7,""en"",""it"")"),"Infermiera")</f>
        <v>Infermiera</v>
      </c>
      <c r="G7" s="9" t="str">
        <f>IFERROR(__xludf.DUMMYFUNCTION("GOOGLETRANSLATE($A7,""en"",""zh-cn"")"),"护士")</f>
        <v>护士</v>
      </c>
      <c r="H7" s="9" t="str">
        <f>IFERROR(__xludf.DUMMYFUNCTION("GOOGLETRANSLATE($A7,""en"",""ja"")"),"看護師")</f>
        <v>看護師</v>
      </c>
      <c r="I7" s="9" t="str">
        <f>IFERROR(__xludf.DUMMYFUNCTION("GOOGLETRANSLATE($A7,""en"",""ko"")"),"간호사")</f>
        <v>간호사</v>
      </c>
      <c r="J7" s="9" t="str">
        <f>IFERROR(__xludf.DUMMYFUNCTION("GOOGLETRANSLATE($A7,""en"",""pt-BR"")"),"Enfermeira")</f>
        <v>Enfermeira</v>
      </c>
    </row>
    <row r="8">
      <c r="A8" s="19" t="str">
        <f>IFERROR(__xludf.DUMMYFUNCTION("""COMPUTED_VALUE"""),"Physician")</f>
        <v>Physician</v>
      </c>
      <c r="B8" s="19" t="str">
        <f>IFERROR(__xludf.DUMMYFUNCTION("""COMPUTED_VALUE"""),"phys")</f>
        <v>phys</v>
      </c>
      <c r="C8" s="9" t="str">
        <f>IFERROR(__xludf.DUMMYFUNCTION("GOOGLETRANSLATE($A8,""en"",""de"")"),"Arzt")</f>
        <v>Arzt</v>
      </c>
      <c r="D8" s="9" t="str">
        <f>IFERROR(__xludf.DUMMYFUNCTION("GOOGLETRANSLATE($A8,""en"",""fr"")"),"Médecin")</f>
        <v>Médecin</v>
      </c>
      <c r="E8" s="9" t="str">
        <f>IFERROR(__xludf.DUMMYFUNCTION("GOOGLETRANSLATE($A8,""en"",""es"")"),"Médico")</f>
        <v>Médico</v>
      </c>
      <c r="F8" s="9" t="str">
        <f>IFERROR(__xludf.DUMMYFUNCTION("GOOGLETRANSLATE($A8,""en"",""it"")"),"Medico")</f>
        <v>Medico</v>
      </c>
      <c r="G8" s="9" t="str">
        <f>IFERROR(__xludf.DUMMYFUNCTION("GOOGLETRANSLATE($A8,""en"",""zh-cn"")"),"医师")</f>
        <v>医师</v>
      </c>
      <c r="H8" s="9" t="str">
        <f>IFERROR(__xludf.DUMMYFUNCTION("GOOGLETRANSLATE($A8,""en"",""ja"")"),"医師")</f>
        <v>医師</v>
      </c>
      <c r="I8" s="9" t="str">
        <f>IFERROR(__xludf.DUMMYFUNCTION("GOOGLETRANSLATE($A8,""en"",""ko"")"),"내과 의사")</f>
        <v>내과 의사</v>
      </c>
      <c r="J8" s="9" t="str">
        <f>IFERROR(__xludf.DUMMYFUNCTION("GOOGLETRANSLATE($A8,""en"",""pt-BR"")"),"Médico")</f>
        <v>Médico</v>
      </c>
    </row>
    <row r="9">
      <c r="A9" s="20" t="str">
        <f>IFERROR(__xludf.DUMMYFUNCTION("""COMPUTED_VALUE"""),"Caregiver")</f>
        <v>Caregiver</v>
      </c>
      <c r="B9" s="19" t="str">
        <f>IFERROR(__xludf.DUMMYFUNCTION("""COMPUTED_VALUE"""),"care")</f>
        <v>care</v>
      </c>
      <c r="C9" s="9" t="str">
        <f>IFERROR(__xludf.DUMMYFUNCTION("GOOGLETRANSLATE($A9,""en"",""de"")"),"Betreuer")</f>
        <v>Betreuer</v>
      </c>
      <c r="D9" s="9" t="str">
        <f>IFERROR(__xludf.DUMMYFUNCTION("GOOGLETRANSLATE($A9,""en"",""fr"")"),"Aide-soignant")</f>
        <v>Aide-soignant</v>
      </c>
      <c r="E9" s="9" t="str">
        <f>IFERROR(__xludf.DUMMYFUNCTION("GOOGLETRANSLATE($A9,""en"",""es"")"),"cuidador")</f>
        <v>cuidador</v>
      </c>
      <c r="F9" s="9" t="str">
        <f>IFERROR(__xludf.DUMMYFUNCTION("GOOGLETRANSLATE($A9,""en"",""it"")"),"Caregiver")</f>
        <v>Caregiver</v>
      </c>
      <c r="G9" s="9" t="str">
        <f>IFERROR(__xludf.DUMMYFUNCTION("GOOGLETRANSLATE($A9,""en"",""zh-cn"")"),"看护者")</f>
        <v>看护者</v>
      </c>
      <c r="H9" s="9" t="str">
        <f>IFERROR(__xludf.DUMMYFUNCTION("GOOGLETRANSLATE($A9,""en"",""ja"")"),"介護者")</f>
        <v>介護者</v>
      </c>
      <c r="I9" s="9" t="str">
        <f>IFERROR(__xludf.DUMMYFUNCTION("GOOGLETRANSLATE($A9,""en"",""ko"")"),"간병인")</f>
        <v>간병인</v>
      </c>
      <c r="J9" s="9" t="str">
        <f>IFERROR(__xludf.DUMMYFUNCTION("GOOGLETRANSLATE($A9,""en"",""pt-BR"")"),"Cuidador")</f>
        <v>Cuidador</v>
      </c>
    </row>
    <row r="10">
      <c r="A10" s="19" t="str">
        <f>IFERROR(__xludf.DUMMYFUNCTION("""COMPUTED_VALUE"""),"Other")</f>
        <v>Other</v>
      </c>
      <c r="B10" s="20" t="str">
        <f>IFERROR(__xludf.DUMMYFUNCTION("""COMPUTED_VALUE"""),"othr")</f>
        <v>othr</v>
      </c>
      <c r="C10" s="9" t="str">
        <f>IFERROR(__xludf.DUMMYFUNCTION("GOOGLETRANSLATE($A10,""en"",""de"")"),"Andere")</f>
        <v>Andere</v>
      </c>
      <c r="D10" s="9" t="str">
        <f>IFERROR(__xludf.DUMMYFUNCTION("GOOGLETRANSLATE($A10,""en"",""fr"")"),"Autre")</f>
        <v>Autre</v>
      </c>
      <c r="E10" s="9" t="str">
        <f>IFERROR(__xludf.DUMMYFUNCTION("GOOGLETRANSLATE($A10,""en"",""es"")"),"Otro")</f>
        <v>Otro</v>
      </c>
      <c r="F10" s="9" t="str">
        <f>IFERROR(__xludf.DUMMYFUNCTION("GOOGLETRANSLATE($A10,""en"",""it"")"),"Altro")</f>
        <v>Altro</v>
      </c>
      <c r="G10" s="9" t="str">
        <f>IFERROR(__xludf.DUMMYFUNCTION("GOOGLETRANSLATE($A10,""en"",""zh-cn"")"),"其他")</f>
        <v>其他</v>
      </c>
      <c r="H10" s="9" t="str">
        <f>IFERROR(__xludf.DUMMYFUNCTION("GOOGLETRANSLATE($A10,""en"",""ja"")"),"他の")</f>
        <v>他の</v>
      </c>
      <c r="I10" s="9" t="str">
        <f>IFERROR(__xludf.DUMMYFUNCTION("GOOGLETRANSLATE($A10,""en"",""ko"")"),"다른")</f>
        <v>다른</v>
      </c>
      <c r="J10" s="9" t="str">
        <f>IFERROR(__xludf.DUMMYFUNCTION("GOOGLETRANSLATE($A10,""en"",""pt-BR"")"),"Outro")</f>
        <v>Outro</v>
      </c>
    </row>
    <row r="11">
      <c r="A11" s="9"/>
      <c r="B11" s="9"/>
    </row>
    <row r="12">
      <c r="A12" s="9"/>
      <c r="B12" s="9"/>
    </row>
    <row r="13">
      <c r="A13" s="9"/>
      <c r="B13" s="9"/>
    </row>
    <row r="14">
      <c r="A14" s="9"/>
      <c r="B14" s="9"/>
    </row>
    <row r="15">
      <c r="A15" s="9"/>
      <c r="B15" s="9"/>
    </row>
    <row r="16">
      <c r="A16" s="9"/>
      <c r="B16" s="9"/>
    </row>
    <row r="17">
      <c r="A17" s="9"/>
      <c r="B17" s="9"/>
    </row>
    <row r="18">
      <c r="A18" s="9"/>
      <c r="B18" s="9"/>
    </row>
    <row r="19">
      <c r="A19" s="9"/>
      <c r="B19" s="9"/>
    </row>
    <row r="20">
      <c r="A20" s="9"/>
      <c r="B20" s="9"/>
    </row>
    <row r="21">
      <c r="A21" s="9"/>
      <c r="B21" s="9"/>
    </row>
    <row r="22">
      <c r="A22" s="9"/>
      <c r="B22" s="9"/>
    </row>
    <row r="23">
      <c r="A23" s="9"/>
      <c r="B23" s="9"/>
    </row>
    <row r="24">
      <c r="A24" s="9"/>
      <c r="B24" s="9"/>
    </row>
    <row r="25">
      <c r="A25" s="9"/>
      <c r="B25" s="9"/>
    </row>
    <row r="26">
      <c r="A26" s="9"/>
      <c r="B26" s="9"/>
    </row>
    <row r="27">
      <c r="A27" s="9"/>
      <c r="B27" s="9"/>
    </row>
    <row r="28">
      <c r="A28" s="9"/>
      <c r="B28" s="9"/>
    </row>
    <row r="29">
      <c r="A29" s="9"/>
      <c r="B29" s="9"/>
    </row>
    <row r="30">
      <c r="A30" s="9"/>
      <c r="B30" s="9"/>
    </row>
    <row r="31">
      <c r="A31" s="9"/>
      <c r="B31" s="9"/>
    </row>
    <row r="32">
      <c r="A32" s="9"/>
      <c r="B32" s="9"/>
    </row>
    <row r="33">
      <c r="A33" s="9"/>
      <c r="B33" s="9"/>
    </row>
    <row r="34">
      <c r="A34" s="9"/>
      <c r="B34" s="9"/>
    </row>
    <row r="35">
      <c r="A35" s="9"/>
      <c r="B35" s="9"/>
    </row>
    <row r="36">
      <c r="A36" s="9"/>
      <c r="B36" s="9"/>
    </row>
    <row r="37">
      <c r="A37" s="9"/>
      <c r="B37" s="9"/>
    </row>
    <row r="38">
      <c r="A38" s="9"/>
      <c r="B38" s="9"/>
    </row>
    <row r="39">
      <c r="A39" s="9"/>
      <c r="B39" s="9"/>
    </row>
    <row r="40">
      <c r="A40" s="9"/>
      <c r="B40" s="9"/>
    </row>
    <row r="41">
      <c r="A41" s="9"/>
      <c r="B41" s="9"/>
    </row>
    <row r="42">
      <c r="A42" s="9"/>
      <c r="B42" s="9"/>
    </row>
    <row r="43">
      <c r="A43" s="9"/>
      <c r="B43" s="9"/>
    </row>
    <row r="44">
      <c r="A44" s="9"/>
      <c r="B44" s="9"/>
    </row>
    <row r="45">
      <c r="A45" s="9"/>
      <c r="B45" s="9"/>
    </row>
    <row r="46">
      <c r="A46" s="9"/>
      <c r="B46" s="9"/>
    </row>
    <row r="47">
      <c r="A47" s="9"/>
      <c r="B47" s="9"/>
    </row>
    <row r="48">
      <c r="A48" s="9"/>
      <c r="B48" s="9"/>
    </row>
    <row r="49">
      <c r="A49" s="9"/>
      <c r="B49" s="9"/>
    </row>
    <row r="50">
      <c r="A50" s="9"/>
      <c r="B50" s="9"/>
    </row>
    <row r="51">
      <c r="A51" s="9"/>
      <c r="B51" s="9"/>
    </row>
    <row r="52">
      <c r="A52" s="9"/>
      <c r="B52" s="9"/>
    </row>
    <row r="53">
      <c r="A53" s="9"/>
      <c r="B53" s="9"/>
    </row>
    <row r="54">
      <c r="A54" s="9"/>
      <c r="B54" s="9"/>
    </row>
    <row r="55">
      <c r="A55" s="9"/>
      <c r="B55" s="9"/>
    </row>
    <row r="56">
      <c r="A56" s="9"/>
      <c r="B56" s="9"/>
    </row>
    <row r="57">
      <c r="A57" s="9"/>
      <c r="B57" s="9"/>
    </row>
    <row r="58">
      <c r="A58" s="9"/>
      <c r="B58" s="9"/>
    </row>
    <row r="59">
      <c r="A59" s="9"/>
      <c r="B59" s="9"/>
    </row>
    <row r="60">
      <c r="A60" s="9"/>
      <c r="B60" s="9"/>
    </row>
    <row r="61">
      <c r="A61" s="9"/>
      <c r="B61" s="9"/>
    </row>
    <row r="62">
      <c r="A62" s="9"/>
      <c r="B62" s="9"/>
    </row>
    <row r="63">
      <c r="A63" s="9"/>
      <c r="B63" s="9"/>
    </row>
    <row r="64">
      <c r="A64" s="9"/>
      <c r="B64" s="9"/>
    </row>
    <row r="65">
      <c r="A65" s="9"/>
      <c r="B65" s="9"/>
    </row>
    <row r="66">
      <c r="A66" s="9"/>
      <c r="B66" s="9"/>
    </row>
    <row r="67">
      <c r="A67" s="9"/>
      <c r="B67" s="9"/>
    </row>
    <row r="68">
      <c r="A68" s="9"/>
      <c r="B68" s="9"/>
    </row>
    <row r="69">
      <c r="A69" s="9"/>
      <c r="B69" s="9"/>
    </row>
    <row r="70">
      <c r="A70" s="9"/>
      <c r="B70" s="9"/>
    </row>
    <row r="71">
      <c r="A71" s="9"/>
      <c r="B71" s="9"/>
    </row>
    <row r="72">
      <c r="A72" s="9"/>
      <c r="B72" s="9"/>
    </row>
    <row r="73">
      <c r="A73" s="9"/>
      <c r="B73" s="9"/>
    </row>
    <row r="74">
      <c r="A74" s="9"/>
      <c r="B74" s="9"/>
    </row>
    <row r="75">
      <c r="A75" s="9"/>
      <c r="B75" s="9"/>
    </row>
    <row r="76">
      <c r="A76" s="9"/>
      <c r="B76" s="9"/>
    </row>
    <row r="77">
      <c r="A77" s="9"/>
      <c r="B77" s="9"/>
    </row>
    <row r="78">
      <c r="A78" s="9"/>
      <c r="B78" s="9"/>
    </row>
    <row r="79">
      <c r="A79" s="9"/>
      <c r="B79" s="9"/>
    </row>
    <row r="80">
      <c r="A80" s="9"/>
      <c r="B80" s="9"/>
    </row>
    <row r="81">
      <c r="A81" s="9"/>
      <c r="B81" s="9"/>
    </row>
    <row r="82">
      <c r="A82" s="9"/>
      <c r="B82" s="9"/>
    </row>
    <row r="83">
      <c r="A83" s="9"/>
      <c r="B83" s="9"/>
    </row>
    <row r="84">
      <c r="A84" s="9"/>
      <c r="B84" s="9"/>
    </row>
    <row r="85">
      <c r="A85" s="9"/>
      <c r="B85" s="9"/>
    </row>
    <row r="86">
      <c r="A86" s="9"/>
      <c r="B86" s="9"/>
    </row>
    <row r="87">
      <c r="A87" s="9"/>
      <c r="B87" s="9"/>
    </row>
    <row r="88">
      <c r="A88" s="9"/>
      <c r="B88" s="9"/>
    </row>
    <row r="89">
      <c r="A89" s="9"/>
      <c r="B89" s="9"/>
    </row>
    <row r="90">
      <c r="A90" s="9"/>
      <c r="B90" s="9"/>
    </row>
    <row r="91">
      <c r="A91" s="9"/>
      <c r="B91" s="9"/>
    </row>
    <row r="92">
      <c r="A92" s="9"/>
      <c r="B92" s="9"/>
    </row>
    <row r="93">
      <c r="A93" s="9"/>
      <c r="B93" s="9"/>
    </row>
    <row r="94">
      <c r="A94" s="9"/>
      <c r="B94" s="9"/>
    </row>
    <row r="95">
      <c r="A95" s="9"/>
      <c r="B95" s="9"/>
    </row>
    <row r="96">
      <c r="A96" s="9"/>
      <c r="B96" s="9"/>
    </row>
    <row r="97">
      <c r="A97" s="9"/>
      <c r="B97" s="9"/>
    </row>
    <row r="98">
      <c r="A98" s="9"/>
      <c r="B98" s="9"/>
    </row>
    <row r="99">
      <c r="A99" s="9"/>
      <c r="B99" s="9"/>
    </row>
    <row r="100">
      <c r="A100" s="9"/>
      <c r="B100" s="9"/>
    </row>
    <row r="101">
      <c r="A101" s="9"/>
      <c r="B101" s="9"/>
    </row>
    <row r="102">
      <c r="A102" s="9"/>
      <c r="B102" s="9"/>
    </row>
    <row r="103">
      <c r="A103" s="9"/>
      <c r="B103" s="9"/>
    </row>
    <row r="104">
      <c r="A104" s="9"/>
      <c r="B104" s="9"/>
    </row>
    <row r="105">
      <c r="A105" s="9"/>
      <c r="B105" s="9"/>
    </row>
    <row r="106">
      <c r="A106" s="9"/>
      <c r="B106" s="9"/>
    </row>
    <row r="107">
      <c r="A107" s="9"/>
      <c r="B107" s="9"/>
    </row>
    <row r="108">
      <c r="A108" s="9"/>
      <c r="B108" s="9"/>
    </row>
    <row r="109">
      <c r="A109" s="9"/>
      <c r="B109" s="9"/>
    </row>
    <row r="110">
      <c r="A110" s="9"/>
      <c r="B110" s="9"/>
    </row>
    <row r="111">
      <c r="A111" s="9"/>
      <c r="B111" s="9"/>
    </row>
    <row r="112">
      <c r="A112" s="9"/>
      <c r="B112" s="9"/>
    </row>
    <row r="113">
      <c r="A113" s="9"/>
      <c r="B113" s="9"/>
    </row>
    <row r="114">
      <c r="A114" s="9"/>
      <c r="B114" s="9"/>
    </row>
    <row r="115">
      <c r="A115" s="9"/>
      <c r="B115" s="9"/>
    </row>
    <row r="116">
      <c r="A116" s="9"/>
      <c r="B116" s="9"/>
    </row>
    <row r="117">
      <c r="A117" s="9"/>
      <c r="B117" s="9"/>
    </row>
    <row r="118">
      <c r="A118" s="9"/>
      <c r="B118" s="9"/>
    </row>
    <row r="119">
      <c r="A119" s="9"/>
      <c r="B119" s="9"/>
    </row>
    <row r="120">
      <c r="A120" s="9"/>
      <c r="B120" s="9"/>
    </row>
    <row r="121">
      <c r="A121" s="9"/>
      <c r="B121" s="9"/>
    </row>
    <row r="122">
      <c r="A122" s="9"/>
      <c r="B122" s="9"/>
    </row>
    <row r="123">
      <c r="A123" s="9"/>
      <c r="B123" s="9"/>
    </row>
    <row r="124">
      <c r="A124" s="9"/>
      <c r="B124" s="9"/>
    </row>
    <row r="125">
      <c r="A125" s="9"/>
      <c r="B125" s="9"/>
    </row>
    <row r="126">
      <c r="A126" s="9"/>
      <c r="B126" s="9"/>
    </row>
    <row r="127">
      <c r="A127" s="9"/>
      <c r="B127" s="9"/>
    </row>
    <row r="128">
      <c r="A128" s="9"/>
      <c r="B128" s="9"/>
    </row>
    <row r="129">
      <c r="A129" s="9"/>
      <c r="B129" s="9"/>
    </row>
    <row r="130">
      <c r="A130" s="9"/>
      <c r="B130" s="9"/>
    </row>
    <row r="131">
      <c r="A131" s="9"/>
      <c r="B131" s="9"/>
    </row>
    <row r="132">
      <c r="A132" s="9"/>
      <c r="B132" s="9"/>
    </row>
    <row r="133">
      <c r="A133" s="9"/>
      <c r="B133" s="9"/>
    </row>
    <row r="134">
      <c r="A134" s="9"/>
      <c r="B134" s="9"/>
    </row>
    <row r="135">
      <c r="A135" s="9"/>
      <c r="B135" s="9"/>
    </row>
    <row r="136">
      <c r="A136" s="9"/>
      <c r="B136" s="9"/>
    </row>
    <row r="137">
      <c r="A137" s="9"/>
      <c r="B137" s="9"/>
    </row>
    <row r="138">
      <c r="A138" s="9"/>
      <c r="B138" s="9"/>
    </row>
    <row r="139">
      <c r="A139" s="9"/>
      <c r="B139" s="9"/>
    </row>
    <row r="140">
      <c r="A140" s="9"/>
      <c r="B140" s="9"/>
    </row>
    <row r="141">
      <c r="A141" s="9"/>
      <c r="B141" s="9"/>
    </row>
    <row r="142">
      <c r="A142" s="9"/>
      <c r="B142" s="9"/>
    </row>
    <row r="143">
      <c r="A143" s="9"/>
      <c r="B143" s="9"/>
    </row>
    <row r="144">
      <c r="A144" s="9"/>
      <c r="B144" s="9"/>
    </row>
    <row r="145">
      <c r="A145" s="9"/>
      <c r="B145" s="9"/>
    </row>
    <row r="146">
      <c r="A146" s="9"/>
      <c r="B146" s="9"/>
    </row>
    <row r="147">
      <c r="A147" s="9"/>
      <c r="B147" s="9"/>
    </row>
    <row r="148">
      <c r="A148" s="9"/>
      <c r="B148" s="9"/>
    </row>
    <row r="149">
      <c r="A149" s="9"/>
      <c r="B149" s="9"/>
    </row>
    <row r="150">
      <c r="A150" s="9"/>
      <c r="B150" s="9"/>
    </row>
    <row r="151">
      <c r="A151" s="9"/>
      <c r="B151" s="9"/>
    </row>
    <row r="152">
      <c r="A152" s="9"/>
      <c r="B152" s="9"/>
    </row>
    <row r="153">
      <c r="A153" s="9"/>
      <c r="B153" s="9"/>
    </row>
    <row r="154">
      <c r="A154" s="9"/>
      <c r="B154" s="9"/>
    </row>
    <row r="155">
      <c r="A155" s="9"/>
      <c r="B155" s="9"/>
    </row>
    <row r="156">
      <c r="A156" s="9"/>
      <c r="B156" s="9"/>
    </row>
    <row r="157">
      <c r="A157" s="9"/>
      <c r="B157" s="9"/>
    </row>
    <row r="158">
      <c r="A158" s="9"/>
      <c r="B158" s="9"/>
    </row>
    <row r="159">
      <c r="A159" s="9"/>
      <c r="B159" s="9"/>
    </row>
    <row r="160">
      <c r="A160" s="9"/>
      <c r="B160" s="9"/>
    </row>
    <row r="161">
      <c r="A161" s="9"/>
      <c r="B161" s="9"/>
    </row>
    <row r="162">
      <c r="A162" s="9"/>
      <c r="B162" s="9"/>
    </row>
    <row r="163">
      <c r="A163" s="9"/>
      <c r="B163" s="9"/>
    </row>
    <row r="164">
      <c r="A164" s="9"/>
      <c r="B164" s="9"/>
    </row>
    <row r="165">
      <c r="A165" s="9"/>
      <c r="B165" s="9"/>
    </row>
    <row r="166">
      <c r="A166" s="9"/>
      <c r="B166" s="9"/>
    </row>
    <row r="167">
      <c r="A167" s="9"/>
      <c r="B167" s="9"/>
    </row>
    <row r="168">
      <c r="A168" s="9"/>
      <c r="B168" s="9"/>
    </row>
    <row r="169">
      <c r="A169" s="9"/>
      <c r="B169" s="9"/>
    </row>
    <row r="170">
      <c r="A170" s="9"/>
      <c r="B170" s="9"/>
    </row>
    <row r="171">
      <c r="A171" s="9"/>
      <c r="B171" s="9"/>
    </row>
    <row r="172">
      <c r="A172" s="9"/>
      <c r="B172" s="9"/>
    </row>
    <row r="173">
      <c r="A173" s="9"/>
      <c r="B173" s="9"/>
    </row>
    <row r="174">
      <c r="A174" s="9"/>
      <c r="B174" s="9"/>
    </row>
    <row r="175">
      <c r="A175" s="9"/>
      <c r="B175" s="9"/>
    </row>
    <row r="176">
      <c r="A176" s="9"/>
      <c r="B176" s="9"/>
    </row>
    <row r="177">
      <c r="A177" s="9"/>
      <c r="B177" s="9"/>
    </row>
    <row r="178">
      <c r="A178" s="9"/>
      <c r="B178" s="9"/>
    </row>
    <row r="179">
      <c r="A179" s="9"/>
      <c r="B179" s="9"/>
    </row>
    <row r="180">
      <c r="A180" s="9"/>
      <c r="B180" s="9"/>
    </row>
    <row r="181">
      <c r="A181" s="9"/>
      <c r="B181" s="9"/>
    </row>
    <row r="182">
      <c r="A182" s="9"/>
      <c r="B182" s="9"/>
    </row>
    <row r="183">
      <c r="A183" s="9"/>
      <c r="B183" s="9"/>
    </row>
    <row r="184">
      <c r="A184" s="9"/>
      <c r="B184" s="9"/>
    </row>
    <row r="185">
      <c r="A185" s="9"/>
      <c r="B185" s="9"/>
    </row>
    <row r="186">
      <c r="A186" s="9"/>
      <c r="B186" s="9"/>
    </row>
    <row r="187">
      <c r="A187" s="9"/>
      <c r="B187" s="9"/>
    </row>
    <row r="188">
      <c r="A188" s="9"/>
      <c r="B188" s="9"/>
    </row>
    <row r="189">
      <c r="A189" s="9"/>
      <c r="B189" s="9"/>
    </row>
    <row r="190">
      <c r="A190" s="9"/>
      <c r="B190" s="9"/>
    </row>
    <row r="191">
      <c r="A191" s="9"/>
      <c r="B191" s="9"/>
    </row>
    <row r="192">
      <c r="A192" s="9"/>
      <c r="B192" s="9"/>
    </row>
    <row r="193">
      <c r="A193" s="9"/>
      <c r="B193" s="9"/>
    </row>
    <row r="194">
      <c r="A194" s="9"/>
      <c r="B194" s="9"/>
    </row>
    <row r="195">
      <c r="A195" s="9"/>
      <c r="B195" s="9"/>
    </row>
    <row r="196">
      <c r="A196" s="9"/>
      <c r="B196" s="9"/>
    </row>
    <row r="197">
      <c r="A197" s="9"/>
      <c r="B197" s="9"/>
    </row>
    <row r="198">
      <c r="A198" s="9"/>
      <c r="B198" s="9"/>
    </row>
    <row r="199">
      <c r="A199" s="9"/>
      <c r="B199" s="9"/>
    </row>
    <row r="200">
      <c r="A200" s="9"/>
      <c r="B200" s="9"/>
    </row>
    <row r="201">
      <c r="A201" s="9"/>
      <c r="B201" s="9"/>
    </row>
    <row r="202">
      <c r="A202" s="9"/>
      <c r="B202" s="9"/>
    </row>
    <row r="203">
      <c r="A203" s="9"/>
      <c r="B203" s="9"/>
    </row>
    <row r="204">
      <c r="A204" s="9"/>
      <c r="B204" s="9"/>
    </row>
    <row r="205">
      <c r="A205" s="9"/>
      <c r="B205" s="9"/>
    </row>
    <row r="206">
      <c r="A206" s="9"/>
      <c r="B206" s="9"/>
    </row>
    <row r="207">
      <c r="A207" s="9"/>
      <c r="B207" s="9"/>
    </row>
    <row r="208">
      <c r="A208" s="9"/>
      <c r="B208" s="9"/>
    </row>
    <row r="209">
      <c r="A209" s="9"/>
      <c r="B209" s="9"/>
    </row>
    <row r="210">
      <c r="A210" s="9"/>
      <c r="B210" s="9"/>
    </row>
    <row r="211">
      <c r="A211" s="9"/>
      <c r="B211" s="9"/>
    </row>
    <row r="212">
      <c r="A212" s="9"/>
      <c r="B212" s="9"/>
    </row>
    <row r="213">
      <c r="A213" s="9"/>
      <c r="B213" s="9"/>
    </row>
    <row r="214">
      <c r="A214" s="9"/>
      <c r="B214" s="9"/>
    </row>
    <row r="215">
      <c r="A215" s="9"/>
      <c r="B215" s="9"/>
    </row>
    <row r="216">
      <c r="A216" s="9"/>
      <c r="B216" s="9"/>
    </row>
    <row r="217">
      <c r="A217" s="9"/>
      <c r="B217" s="9"/>
    </row>
    <row r="218">
      <c r="A218" s="9"/>
      <c r="B218" s="9"/>
    </row>
    <row r="219">
      <c r="A219" s="9"/>
      <c r="B219" s="9"/>
    </row>
    <row r="220">
      <c r="A220" s="9"/>
      <c r="B220" s="9"/>
    </row>
    <row r="221">
      <c r="A221" s="9"/>
      <c r="B221" s="9"/>
    </row>
    <row r="222">
      <c r="A222" s="9"/>
      <c r="B222" s="9"/>
    </row>
    <row r="223">
      <c r="A223" s="9"/>
      <c r="B223" s="9"/>
    </row>
    <row r="224">
      <c r="A224" s="9"/>
      <c r="B224" s="9"/>
    </row>
    <row r="225">
      <c r="A225" s="9"/>
      <c r="B225" s="9"/>
    </row>
    <row r="226">
      <c r="A226" s="9"/>
      <c r="B226" s="9"/>
    </row>
    <row r="227">
      <c r="A227" s="9"/>
      <c r="B227" s="9"/>
    </row>
    <row r="228">
      <c r="A228" s="9"/>
      <c r="B228" s="9"/>
    </row>
    <row r="229">
      <c r="A229" s="9"/>
      <c r="B229" s="9"/>
    </row>
    <row r="230">
      <c r="A230" s="9"/>
      <c r="B230" s="9"/>
    </row>
    <row r="231">
      <c r="A231" s="9"/>
      <c r="B231" s="9"/>
    </row>
    <row r="232">
      <c r="A232" s="9"/>
      <c r="B232" s="9"/>
    </row>
    <row r="233">
      <c r="A233" s="9"/>
      <c r="B233" s="9"/>
    </row>
    <row r="234">
      <c r="A234" s="9"/>
      <c r="B234" s="9"/>
    </row>
    <row r="235">
      <c r="A235" s="9"/>
      <c r="B235" s="9"/>
    </row>
    <row r="236">
      <c r="A236" s="9"/>
      <c r="B236" s="9"/>
    </row>
    <row r="237">
      <c r="A237" s="9"/>
      <c r="B237" s="9"/>
    </row>
    <row r="238">
      <c r="A238" s="9"/>
      <c r="B238" s="9"/>
    </row>
    <row r="239">
      <c r="A239" s="9"/>
      <c r="B239" s="9"/>
    </row>
    <row r="240">
      <c r="A240" s="9"/>
      <c r="B240" s="9"/>
    </row>
    <row r="241">
      <c r="A241" s="9"/>
      <c r="B241" s="9"/>
    </row>
    <row r="242">
      <c r="A242" s="9"/>
      <c r="B242" s="9"/>
    </row>
    <row r="243">
      <c r="A243" s="9"/>
      <c r="B243" s="9"/>
    </row>
    <row r="244">
      <c r="A244" s="9"/>
      <c r="B244" s="9"/>
    </row>
    <row r="245">
      <c r="A245" s="9"/>
      <c r="B245" s="9"/>
    </row>
    <row r="246">
      <c r="A246" s="9"/>
      <c r="B246" s="9"/>
    </row>
    <row r="247">
      <c r="A247" s="9"/>
      <c r="B247" s="9"/>
    </row>
    <row r="248">
      <c r="A248" s="9"/>
      <c r="B248" s="9"/>
    </row>
    <row r="249">
      <c r="A249" s="9"/>
      <c r="B249" s="9"/>
    </row>
    <row r="250">
      <c r="A250" s="9"/>
      <c r="B250" s="9"/>
    </row>
    <row r="251">
      <c r="A251" s="9"/>
      <c r="B251" s="9"/>
    </row>
    <row r="252">
      <c r="A252" s="9"/>
      <c r="B252" s="9"/>
    </row>
    <row r="253">
      <c r="A253" s="9"/>
      <c r="B253" s="9"/>
    </row>
    <row r="254">
      <c r="A254" s="9"/>
      <c r="B254" s="9"/>
    </row>
    <row r="255">
      <c r="A255" s="9"/>
      <c r="B255" s="9"/>
    </row>
    <row r="256">
      <c r="A256" s="9"/>
      <c r="B256" s="9"/>
    </row>
    <row r="257">
      <c r="A257" s="9"/>
      <c r="B257" s="9"/>
    </row>
    <row r="258">
      <c r="A258" s="9"/>
      <c r="B258" s="9"/>
    </row>
    <row r="259">
      <c r="A259" s="9"/>
      <c r="B259" s="9"/>
    </row>
    <row r="260">
      <c r="A260" s="9"/>
      <c r="B260" s="9"/>
    </row>
    <row r="261">
      <c r="A261" s="9"/>
      <c r="B261" s="9"/>
    </row>
    <row r="262">
      <c r="A262" s="9"/>
      <c r="B262" s="9"/>
    </row>
    <row r="263">
      <c r="A263" s="9"/>
      <c r="B263" s="9"/>
    </row>
    <row r="264">
      <c r="A264" s="9"/>
      <c r="B264" s="9"/>
    </row>
    <row r="265">
      <c r="A265" s="9"/>
      <c r="B265" s="9"/>
    </row>
    <row r="266">
      <c r="A266" s="9"/>
      <c r="B266" s="9"/>
    </row>
    <row r="267">
      <c r="A267" s="9"/>
      <c r="B267" s="9"/>
    </row>
    <row r="268">
      <c r="A268" s="9"/>
      <c r="B268" s="9"/>
    </row>
    <row r="269">
      <c r="A269" s="9"/>
      <c r="B269" s="9"/>
    </row>
    <row r="270">
      <c r="A270" s="9"/>
      <c r="B270" s="9"/>
    </row>
    <row r="271">
      <c r="A271" s="9"/>
      <c r="B271" s="9"/>
    </row>
    <row r="272">
      <c r="A272" s="9"/>
      <c r="B272" s="9"/>
    </row>
    <row r="273">
      <c r="A273" s="9"/>
      <c r="B273" s="9"/>
    </row>
    <row r="274">
      <c r="A274" s="9"/>
      <c r="B274" s="9"/>
    </row>
    <row r="275">
      <c r="A275" s="9"/>
      <c r="B275" s="9"/>
    </row>
    <row r="276">
      <c r="A276" s="9"/>
      <c r="B276" s="9"/>
    </row>
    <row r="277">
      <c r="A277" s="9"/>
      <c r="B277" s="9"/>
    </row>
    <row r="278">
      <c r="A278" s="9"/>
      <c r="B278" s="9"/>
    </row>
    <row r="279">
      <c r="A279" s="9"/>
      <c r="B279" s="9"/>
    </row>
    <row r="280">
      <c r="A280" s="9"/>
      <c r="B280" s="9"/>
    </row>
    <row r="281">
      <c r="A281" s="9"/>
      <c r="B281" s="9"/>
    </row>
    <row r="282">
      <c r="A282" s="9"/>
      <c r="B282" s="9"/>
    </row>
    <row r="283">
      <c r="A283" s="9"/>
      <c r="B283" s="9"/>
    </row>
    <row r="284">
      <c r="A284" s="9"/>
      <c r="B284" s="9"/>
    </row>
    <row r="285">
      <c r="A285" s="9"/>
      <c r="B285" s="9"/>
    </row>
    <row r="286">
      <c r="A286" s="9"/>
      <c r="B286" s="9"/>
    </row>
    <row r="287">
      <c r="A287" s="9"/>
      <c r="B287" s="9"/>
    </row>
    <row r="288">
      <c r="A288" s="9"/>
      <c r="B288" s="9"/>
    </row>
    <row r="289">
      <c r="A289" s="9"/>
      <c r="B289" s="9"/>
    </row>
    <row r="290">
      <c r="A290" s="9"/>
      <c r="B290" s="9"/>
    </row>
    <row r="291">
      <c r="A291" s="9"/>
      <c r="B291" s="9"/>
    </row>
    <row r="292">
      <c r="A292" s="9"/>
      <c r="B292" s="9"/>
    </row>
    <row r="293">
      <c r="A293" s="9"/>
      <c r="B293" s="9"/>
    </row>
    <row r="294">
      <c r="A294" s="9"/>
      <c r="B294" s="9"/>
    </row>
    <row r="295">
      <c r="A295" s="9"/>
      <c r="B295" s="9"/>
    </row>
    <row r="296">
      <c r="A296" s="9"/>
      <c r="B296" s="9"/>
    </row>
    <row r="297">
      <c r="A297" s="9"/>
      <c r="B297" s="9"/>
    </row>
    <row r="298">
      <c r="A298" s="9"/>
      <c r="B298" s="9"/>
    </row>
    <row r="299">
      <c r="A299" s="9"/>
      <c r="B299" s="9"/>
    </row>
    <row r="300">
      <c r="A300" s="9"/>
      <c r="B300" s="9"/>
    </row>
    <row r="301">
      <c r="A301" s="9"/>
      <c r="B301" s="9"/>
    </row>
    <row r="302">
      <c r="A302" s="9"/>
      <c r="B302" s="9"/>
    </row>
    <row r="303">
      <c r="A303" s="9"/>
      <c r="B303" s="9"/>
    </row>
    <row r="304">
      <c r="A304" s="9"/>
      <c r="B304" s="9"/>
    </row>
    <row r="305">
      <c r="A305" s="9"/>
      <c r="B305" s="9"/>
    </row>
    <row r="306">
      <c r="A306" s="9"/>
      <c r="B306" s="9"/>
    </row>
    <row r="307">
      <c r="A307" s="9"/>
      <c r="B307" s="9"/>
    </row>
    <row r="308">
      <c r="A308" s="9"/>
      <c r="B308" s="9"/>
    </row>
    <row r="309">
      <c r="A309" s="9"/>
      <c r="B309" s="9"/>
    </row>
    <row r="310">
      <c r="A310" s="9"/>
      <c r="B310" s="9"/>
    </row>
    <row r="311">
      <c r="A311" s="9"/>
      <c r="B311" s="9"/>
    </row>
    <row r="312">
      <c r="A312" s="9"/>
      <c r="B312" s="9"/>
    </row>
    <row r="313">
      <c r="A313" s="9"/>
      <c r="B313" s="9"/>
    </row>
    <row r="314">
      <c r="A314" s="9"/>
      <c r="B314" s="9"/>
    </row>
    <row r="315">
      <c r="A315" s="9"/>
      <c r="B315" s="9"/>
    </row>
    <row r="316">
      <c r="A316" s="9"/>
      <c r="B316" s="9"/>
    </row>
    <row r="317">
      <c r="A317" s="9"/>
      <c r="B317" s="9"/>
    </row>
    <row r="318">
      <c r="A318" s="9"/>
      <c r="B318" s="9"/>
    </row>
    <row r="319">
      <c r="A319" s="9"/>
      <c r="B319" s="9"/>
    </row>
    <row r="320">
      <c r="A320" s="9"/>
      <c r="B320" s="9"/>
    </row>
    <row r="321">
      <c r="A321" s="9"/>
      <c r="B321" s="9"/>
    </row>
    <row r="322">
      <c r="A322" s="9"/>
      <c r="B322" s="9"/>
    </row>
    <row r="323">
      <c r="A323" s="9"/>
      <c r="B323" s="9"/>
    </row>
    <row r="324">
      <c r="A324" s="9"/>
      <c r="B324" s="9"/>
    </row>
    <row r="325">
      <c r="A325" s="9"/>
      <c r="B325" s="9"/>
    </row>
    <row r="326">
      <c r="A326" s="9"/>
      <c r="B326" s="9"/>
    </row>
    <row r="327">
      <c r="A327" s="9"/>
      <c r="B327" s="9"/>
    </row>
    <row r="328">
      <c r="A328" s="9"/>
      <c r="B328" s="9"/>
    </row>
    <row r="329">
      <c r="A329" s="9"/>
      <c r="B329" s="9"/>
    </row>
    <row r="330">
      <c r="A330" s="9"/>
      <c r="B330" s="9"/>
    </row>
    <row r="331">
      <c r="A331" s="9"/>
      <c r="B331" s="9"/>
    </row>
    <row r="332">
      <c r="A332" s="9"/>
      <c r="B332" s="9"/>
    </row>
    <row r="333">
      <c r="A333" s="9"/>
      <c r="B333" s="9"/>
    </row>
    <row r="334">
      <c r="A334" s="9"/>
      <c r="B334" s="9"/>
    </row>
    <row r="335">
      <c r="A335" s="9"/>
      <c r="B335" s="9"/>
    </row>
    <row r="336">
      <c r="A336" s="9"/>
      <c r="B336" s="9"/>
    </row>
    <row r="337">
      <c r="A337" s="9"/>
      <c r="B337" s="9"/>
    </row>
    <row r="338">
      <c r="A338" s="9"/>
      <c r="B338" s="9"/>
    </row>
    <row r="339">
      <c r="A339" s="9"/>
      <c r="B339" s="9"/>
    </row>
    <row r="340">
      <c r="A340" s="9"/>
      <c r="B340" s="9"/>
    </row>
    <row r="341">
      <c r="A341" s="9"/>
      <c r="B341" s="9"/>
    </row>
    <row r="342">
      <c r="A342" s="9"/>
      <c r="B342" s="9"/>
    </row>
    <row r="343">
      <c r="A343" s="9"/>
      <c r="B343" s="9"/>
    </row>
    <row r="344">
      <c r="A344" s="9"/>
      <c r="B344" s="9"/>
    </row>
    <row r="345">
      <c r="A345" s="9"/>
      <c r="B345" s="9"/>
    </row>
    <row r="346">
      <c r="A346" s="9"/>
      <c r="B346" s="9"/>
    </row>
    <row r="347">
      <c r="A347" s="9"/>
      <c r="B347" s="9"/>
    </row>
    <row r="348">
      <c r="A348" s="9"/>
      <c r="B348" s="9"/>
    </row>
    <row r="349">
      <c r="A349" s="9"/>
      <c r="B349" s="9"/>
    </row>
    <row r="350">
      <c r="A350" s="9"/>
      <c r="B350" s="9"/>
    </row>
    <row r="351">
      <c r="A351" s="9"/>
      <c r="B351" s="9"/>
    </row>
    <row r="352">
      <c r="A352" s="9"/>
      <c r="B352" s="9"/>
    </row>
    <row r="353">
      <c r="A353" s="9"/>
      <c r="B353" s="9"/>
    </row>
    <row r="354">
      <c r="A354" s="9"/>
      <c r="B354" s="9"/>
    </row>
    <row r="355">
      <c r="A355" s="9"/>
      <c r="B355" s="9"/>
    </row>
    <row r="356">
      <c r="A356" s="9"/>
      <c r="B356" s="9"/>
    </row>
    <row r="357">
      <c r="A357" s="9"/>
      <c r="B357" s="9"/>
    </row>
    <row r="358">
      <c r="A358" s="9"/>
      <c r="B358" s="9"/>
    </row>
    <row r="359">
      <c r="A359" s="9"/>
      <c r="B359" s="9"/>
    </row>
    <row r="360">
      <c r="A360" s="9"/>
      <c r="B360" s="9"/>
    </row>
    <row r="361">
      <c r="A361" s="9"/>
      <c r="B361" s="9"/>
    </row>
    <row r="362">
      <c r="A362" s="9"/>
      <c r="B362" s="9"/>
    </row>
    <row r="363">
      <c r="A363" s="9"/>
      <c r="B363" s="9"/>
    </row>
    <row r="364">
      <c r="A364" s="9"/>
      <c r="B364" s="9"/>
    </row>
    <row r="365">
      <c r="A365" s="9"/>
      <c r="B365" s="9"/>
    </row>
    <row r="366">
      <c r="A366" s="9"/>
      <c r="B366" s="9"/>
    </row>
    <row r="367">
      <c r="A367" s="9"/>
      <c r="B367" s="9"/>
    </row>
    <row r="368">
      <c r="A368" s="9"/>
      <c r="B368" s="9"/>
    </row>
    <row r="369">
      <c r="A369" s="9"/>
      <c r="B369" s="9"/>
    </row>
    <row r="370">
      <c r="A370" s="9"/>
      <c r="B370" s="9"/>
    </row>
    <row r="371">
      <c r="A371" s="9"/>
      <c r="B371" s="9"/>
    </row>
    <row r="372">
      <c r="A372" s="9"/>
      <c r="B372" s="9"/>
    </row>
    <row r="373">
      <c r="A373" s="9"/>
      <c r="B373" s="9"/>
    </row>
    <row r="374">
      <c r="A374" s="9"/>
      <c r="B374" s="9"/>
    </row>
    <row r="375">
      <c r="A375" s="9"/>
      <c r="B375" s="9"/>
    </row>
    <row r="376">
      <c r="A376" s="9"/>
      <c r="B376" s="9"/>
    </row>
    <row r="377">
      <c r="A377" s="9"/>
      <c r="B377" s="9"/>
    </row>
    <row r="378">
      <c r="A378" s="9"/>
      <c r="B378" s="9"/>
    </row>
    <row r="379">
      <c r="A379" s="9"/>
      <c r="B379" s="9"/>
    </row>
    <row r="380">
      <c r="A380" s="9"/>
      <c r="B380" s="9"/>
    </row>
    <row r="381">
      <c r="A381" s="9"/>
      <c r="B381" s="9"/>
    </row>
    <row r="382">
      <c r="A382" s="9"/>
      <c r="B382" s="9"/>
    </row>
    <row r="383">
      <c r="A383" s="9"/>
      <c r="B383" s="9"/>
    </row>
    <row r="384">
      <c r="A384" s="9"/>
      <c r="B384" s="9"/>
    </row>
    <row r="385">
      <c r="A385" s="9"/>
      <c r="B385" s="9"/>
    </row>
    <row r="386">
      <c r="A386" s="9"/>
      <c r="B386" s="9"/>
    </row>
    <row r="387">
      <c r="A387" s="9"/>
      <c r="B387" s="9"/>
    </row>
    <row r="388">
      <c r="A388" s="9"/>
      <c r="B388" s="9"/>
    </row>
    <row r="389">
      <c r="A389" s="9"/>
      <c r="B389" s="9"/>
    </row>
    <row r="390">
      <c r="A390" s="9"/>
      <c r="B390" s="9"/>
    </row>
    <row r="391">
      <c r="A391" s="9"/>
      <c r="B391" s="9"/>
    </row>
    <row r="392">
      <c r="A392" s="9"/>
      <c r="B392" s="9"/>
    </row>
    <row r="393">
      <c r="A393" s="9"/>
      <c r="B393" s="9"/>
    </row>
    <row r="394">
      <c r="A394" s="9"/>
      <c r="B394" s="9"/>
    </row>
    <row r="395">
      <c r="A395" s="9"/>
      <c r="B395" s="9"/>
    </row>
    <row r="396">
      <c r="A396" s="9"/>
      <c r="B396" s="9"/>
    </row>
    <row r="397">
      <c r="A397" s="9"/>
      <c r="B397" s="9"/>
    </row>
    <row r="398">
      <c r="A398" s="9"/>
      <c r="B398" s="9"/>
    </row>
    <row r="399">
      <c r="A399" s="9"/>
      <c r="B399" s="9"/>
    </row>
    <row r="400">
      <c r="A400" s="9"/>
      <c r="B400" s="9"/>
    </row>
    <row r="401">
      <c r="A401" s="9"/>
      <c r="B401" s="9"/>
    </row>
    <row r="402">
      <c r="A402" s="9"/>
      <c r="B402" s="9"/>
    </row>
    <row r="403">
      <c r="A403" s="9"/>
      <c r="B403" s="9"/>
    </row>
    <row r="404">
      <c r="A404" s="9"/>
      <c r="B404" s="9"/>
    </row>
    <row r="405">
      <c r="A405" s="9"/>
      <c r="B405" s="9"/>
    </row>
    <row r="406">
      <c r="A406" s="9"/>
      <c r="B406" s="9"/>
    </row>
    <row r="407">
      <c r="A407" s="9"/>
      <c r="B407" s="9"/>
    </row>
    <row r="408">
      <c r="A408" s="9"/>
      <c r="B408" s="9"/>
    </row>
    <row r="409">
      <c r="A409" s="9"/>
      <c r="B409" s="9"/>
    </row>
    <row r="410">
      <c r="A410" s="9"/>
      <c r="B410" s="9"/>
    </row>
    <row r="411">
      <c r="A411" s="9"/>
      <c r="B411" s="9"/>
    </row>
    <row r="412">
      <c r="A412" s="9"/>
      <c r="B412" s="9"/>
    </row>
    <row r="413">
      <c r="A413" s="9"/>
      <c r="B413" s="9"/>
    </row>
    <row r="414">
      <c r="A414" s="9"/>
      <c r="B414" s="9"/>
    </row>
    <row r="415">
      <c r="A415" s="9"/>
      <c r="B415" s="9"/>
    </row>
    <row r="416">
      <c r="A416" s="9"/>
      <c r="B416" s="9"/>
    </row>
    <row r="417">
      <c r="A417" s="9"/>
      <c r="B417" s="9"/>
    </row>
    <row r="418">
      <c r="A418" s="9"/>
      <c r="B418" s="9"/>
    </row>
    <row r="419">
      <c r="A419" s="9"/>
      <c r="B419" s="9"/>
    </row>
    <row r="420">
      <c r="A420" s="9"/>
      <c r="B420" s="9"/>
    </row>
    <row r="421">
      <c r="A421" s="9"/>
      <c r="B421" s="9"/>
    </row>
    <row r="422">
      <c r="A422" s="9"/>
      <c r="B422" s="9"/>
    </row>
    <row r="423">
      <c r="A423" s="9"/>
      <c r="B423" s="9"/>
    </row>
    <row r="424">
      <c r="A424" s="9"/>
      <c r="B424" s="9"/>
    </row>
    <row r="425">
      <c r="A425" s="9"/>
      <c r="B425" s="9"/>
    </row>
    <row r="426">
      <c r="A426" s="9"/>
      <c r="B426" s="9"/>
    </row>
    <row r="427">
      <c r="A427" s="9"/>
      <c r="B427" s="9"/>
    </row>
    <row r="428">
      <c r="A428" s="9"/>
      <c r="B428" s="9"/>
    </row>
    <row r="429">
      <c r="A429" s="9"/>
      <c r="B429" s="9"/>
    </row>
    <row r="430">
      <c r="A430" s="9"/>
      <c r="B430" s="9"/>
    </row>
    <row r="431">
      <c r="A431" s="9"/>
      <c r="B431" s="9"/>
    </row>
    <row r="432">
      <c r="A432" s="9"/>
      <c r="B432" s="9"/>
    </row>
    <row r="433">
      <c r="A433" s="9"/>
      <c r="B433" s="9"/>
    </row>
    <row r="434">
      <c r="A434" s="9"/>
      <c r="B434" s="9"/>
    </row>
    <row r="435">
      <c r="A435" s="9"/>
      <c r="B435" s="9"/>
    </row>
    <row r="436">
      <c r="A436" s="9"/>
      <c r="B436" s="9"/>
    </row>
    <row r="437">
      <c r="A437" s="9"/>
      <c r="B437" s="9"/>
    </row>
    <row r="438">
      <c r="A438" s="9"/>
      <c r="B438" s="9"/>
    </row>
    <row r="439">
      <c r="A439" s="9"/>
      <c r="B439" s="9"/>
    </row>
    <row r="440">
      <c r="A440" s="9"/>
      <c r="B440" s="9"/>
    </row>
    <row r="441">
      <c r="A441" s="9"/>
      <c r="B441" s="9"/>
    </row>
    <row r="442">
      <c r="A442" s="9"/>
      <c r="B442" s="9"/>
    </row>
    <row r="443">
      <c r="A443" s="9"/>
      <c r="B443" s="9"/>
    </row>
    <row r="444">
      <c r="A444" s="9"/>
      <c r="B444" s="9"/>
    </row>
    <row r="445">
      <c r="A445" s="9"/>
      <c r="B445" s="9"/>
    </row>
    <row r="446">
      <c r="A446" s="9"/>
      <c r="B446" s="9"/>
    </row>
    <row r="447">
      <c r="A447" s="9"/>
      <c r="B447" s="9"/>
    </row>
    <row r="448">
      <c r="A448" s="9"/>
      <c r="B448" s="9"/>
    </row>
    <row r="449">
      <c r="A449" s="9"/>
      <c r="B449" s="9"/>
    </row>
    <row r="450">
      <c r="A450" s="9"/>
      <c r="B450" s="9"/>
    </row>
    <row r="451">
      <c r="A451" s="9"/>
      <c r="B451" s="9"/>
    </row>
    <row r="452">
      <c r="A452" s="9"/>
      <c r="B452" s="9"/>
    </row>
    <row r="453">
      <c r="A453" s="9"/>
      <c r="B453" s="9"/>
    </row>
    <row r="454">
      <c r="A454" s="9"/>
      <c r="B454" s="9"/>
    </row>
    <row r="455">
      <c r="A455" s="9"/>
      <c r="B455" s="9"/>
    </row>
    <row r="456">
      <c r="A456" s="9"/>
      <c r="B456" s="9"/>
    </row>
    <row r="457">
      <c r="A457" s="9"/>
      <c r="B457" s="9"/>
    </row>
    <row r="458">
      <c r="A458" s="9"/>
      <c r="B458" s="9"/>
    </row>
    <row r="459">
      <c r="A459" s="9"/>
      <c r="B459" s="9"/>
    </row>
    <row r="460">
      <c r="A460" s="9"/>
      <c r="B460" s="9"/>
    </row>
    <row r="461">
      <c r="A461" s="9"/>
      <c r="B461" s="9"/>
    </row>
    <row r="462">
      <c r="A462" s="9"/>
      <c r="B462" s="9"/>
    </row>
    <row r="463">
      <c r="A463" s="9"/>
      <c r="B463" s="9"/>
    </row>
    <row r="464">
      <c r="A464" s="9"/>
      <c r="B464" s="9"/>
    </row>
    <row r="465">
      <c r="A465" s="9"/>
      <c r="B465" s="9"/>
    </row>
    <row r="466">
      <c r="A466" s="9"/>
      <c r="B466" s="9"/>
    </row>
    <row r="467">
      <c r="A467" s="9"/>
      <c r="B467" s="9"/>
    </row>
    <row r="468">
      <c r="A468" s="9"/>
      <c r="B468" s="9"/>
    </row>
    <row r="469">
      <c r="A469" s="9"/>
      <c r="B469" s="9"/>
    </row>
    <row r="470">
      <c r="A470" s="9"/>
      <c r="B470" s="9"/>
    </row>
    <row r="471">
      <c r="A471" s="9"/>
      <c r="B471" s="9"/>
    </row>
    <row r="472">
      <c r="A472" s="9"/>
      <c r="B472" s="9"/>
    </row>
    <row r="473">
      <c r="A473" s="9"/>
      <c r="B473" s="9"/>
    </row>
    <row r="474">
      <c r="A474" s="9"/>
      <c r="B474" s="9"/>
    </row>
    <row r="475">
      <c r="A475" s="9"/>
      <c r="B475" s="9"/>
    </row>
    <row r="476">
      <c r="A476" s="9"/>
      <c r="B476" s="9"/>
    </row>
    <row r="477">
      <c r="A477" s="9"/>
      <c r="B477" s="9"/>
    </row>
    <row r="478">
      <c r="A478" s="9"/>
      <c r="B478" s="9"/>
    </row>
    <row r="479">
      <c r="A479" s="9"/>
      <c r="B479" s="9"/>
    </row>
    <row r="480">
      <c r="A480" s="9"/>
      <c r="B480" s="9"/>
    </row>
    <row r="481">
      <c r="A481" s="9"/>
      <c r="B481" s="9"/>
    </row>
    <row r="482">
      <c r="A482" s="9"/>
      <c r="B482" s="9"/>
    </row>
    <row r="483">
      <c r="A483" s="9"/>
      <c r="B483" s="9"/>
    </row>
    <row r="484">
      <c r="A484" s="9"/>
      <c r="B484" s="9"/>
    </row>
    <row r="485">
      <c r="A485" s="9"/>
      <c r="B485" s="9"/>
    </row>
    <row r="486">
      <c r="A486" s="9"/>
      <c r="B486" s="9"/>
    </row>
    <row r="487">
      <c r="A487" s="9"/>
      <c r="B487" s="9"/>
    </row>
    <row r="488">
      <c r="A488" s="9"/>
      <c r="B488" s="9"/>
    </row>
    <row r="489">
      <c r="A489" s="9"/>
      <c r="B489" s="9"/>
    </row>
    <row r="490">
      <c r="A490" s="9"/>
      <c r="B490" s="9"/>
    </row>
    <row r="491">
      <c r="A491" s="9"/>
      <c r="B491" s="9"/>
    </row>
    <row r="492">
      <c r="A492" s="9"/>
      <c r="B492" s="9"/>
    </row>
    <row r="493">
      <c r="A493" s="9"/>
      <c r="B493" s="9"/>
    </row>
    <row r="494">
      <c r="A494" s="9"/>
      <c r="B494" s="9"/>
    </row>
    <row r="495">
      <c r="A495" s="9"/>
      <c r="B495" s="9"/>
    </row>
    <row r="496">
      <c r="A496" s="9"/>
      <c r="B496" s="9"/>
    </row>
    <row r="497">
      <c r="A497" s="9"/>
      <c r="B497" s="9"/>
    </row>
    <row r="498">
      <c r="A498" s="9"/>
      <c r="B498" s="9"/>
    </row>
    <row r="499">
      <c r="A499" s="9"/>
      <c r="B499" s="9"/>
    </row>
    <row r="500">
      <c r="A500" s="9"/>
      <c r="B500" s="9"/>
    </row>
    <row r="501">
      <c r="A501" s="9"/>
      <c r="B501" s="9"/>
    </row>
    <row r="502">
      <c r="A502" s="9"/>
      <c r="B502" s="9"/>
    </row>
    <row r="503">
      <c r="A503" s="9"/>
      <c r="B503" s="9"/>
    </row>
    <row r="504">
      <c r="A504" s="9"/>
      <c r="B504" s="9"/>
    </row>
    <row r="505">
      <c r="A505" s="9"/>
      <c r="B505" s="9"/>
    </row>
    <row r="506">
      <c r="A506" s="9"/>
      <c r="B506" s="9"/>
    </row>
    <row r="507">
      <c r="A507" s="9"/>
      <c r="B507" s="9"/>
    </row>
    <row r="508">
      <c r="A508" s="9"/>
      <c r="B508" s="9"/>
    </row>
    <row r="509">
      <c r="A509" s="9"/>
      <c r="B509" s="9"/>
    </row>
    <row r="510">
      <c r="A510" s="9"/>
      <c r="B510" s="9"/>
    </row>
    <row r="511">
      <c r="A511" s="9"/>
      <c r="B511" s="9"/>
    </row>
    <row r="512">
      <c r="A512" s="9"/>
      <c r="B512" s="9"/>
    </row>
    <row r="513">
      <c r="A513" s="9"/>
      <c r="B513" s="9"/>
    </row>
    <row r="514">
      <c r="A514" s="9"/>
      <c r="B514" s="9"/>
    </row>
    <row r="515">
      <c r="A515" s="9"/>
      <c r="B515" s="9"/>
    </row>
    <row r="516">
      <c r="A516" s="9"/>
      <c r="B516" s="9"/>
    </row>
    <row r="517">
      <c r="A517" s="9"/>
      <c r="B517" s="9"/>
    </row>
    <row r="518">
      <c r="A518" s="9"/>
      <c r="B518" s="9"/>
    </row>
    <row r="519">
      <c r="A519" s="9"/>
      <c r="B519" s="9"/>
    </row>
    <row r="520">
      <c r="A520" s="9"/>
      <c r="B520" s="9"/>
    </row>
    <row r="521">
      <c r="A521" s="9"/>
      <c r="B521" s="9"/>
    </row>
    <row r="522">
      <c r="A522" s="9"/>
      <c r="B522" s="9"/>
    </row>
    <row r="523">
      <c r="A523" s="9"/>
      <c r="B523" s="9"/>
    </row>
    <row r="524">
      <c r="A524" s="9"/>
      <c r="B524" s="9"/>
    </row>
    <row r="525">
      <c r="A525" s="9"/>
      <c r="B525" s="9"/>
    </row>
    <row r="526">
      <c r="A526" s="9"/>
      <c r="B526" s="9"/>
    </row>
    <row r="527">
      <c r="A527" s="9"/>
      <c r="B527" s="9"/>
    </row>
    <row r="528">
      <c r="A528" s="9"/>
      <c r="B528" s="9"/>
    </row>
    <row r="529">
      <c r="A529" s="9"/>
      <c r="B529" s="9"/>
    </row>
    <row r="530">
      <c r="A530" s="9"/>
      <c r="B530" s="9"/>
    </row>
    <row r="531">
      <c r="A531" s="9"/>
      <c r="B531" s="9"/>
    </row>
    <row r="532">
      <c r="A532" s="9"/>
      <c r="B532" s="9"/>
    </row>
    <row r="533">
      <c r="A533" s="9"/>
      <c r="B533" s="9"/>
    </row>
    <row r="534">
      <c r="A534" s="9"/>
      <c r="B534" s="9"/>
    </row>
    <row r="535">
      <c r="A535" s="9"/>
      <c r="B535" s="9"/>
    </row>
    <row r="536">
      <c r="A536" s="9"/>
      <c r="B536" s="9"/>
    </row>
    <row r="537">
      <c r="A537" s="9"/>
      <c r="B537" s="9"/>
    </row>
    <row r="538">
      <c r="A538" s="9"/>
      <c r="B538" s="9"/>
    </row>
    <row r="539">
      <c r="A539" s="9"/>
      <c r="B539" s="9"/>
    </row>
    <row r="540">
      <c r="A540" s="9"/>
      <c r="B540" s="9"/>
    </row>
    <row r="541">
      <c r="A541" s="9"/>
      <c r="B541" s="9"/>
    </row>
    <row r="542">
      <c r="A542" s="9"/>
      <c r="B542" s="9"/>
    </row>
    <row r="543">
      <c r="A543" s="9"/>
      <c r="B543" s="9"/>
    </row>
    <row r="544">
      <c r="A544" s="9"/>
      <c r="B544" s="9"/>
    </row>
    <row r="545">
      <c r="A545" s="9"/>
      <c r="B545" s="9"/>
    </row>
    <row r="546">
      <c r="A546" s="9"/>
      <c r="B546" s="9"/>
    </row>
    <row r="547">
      <c r="A547" s="9"/>
      <c r="B547" s="9"/>
    </row>
    <row r="548">
      <c r="A548" s="9"/>
      <c r="B548" s="9"/>
    </row>
    <row r="549">
      <c r="A549" s="9"/>
      <c r="B549" s="9"/>
    </row>
    <row r="550">
      <c r="A550" s="9"/>
      <c r="B550" s="9"/>
    </row>
    <row r="551">
      <c r="A551" s="9"/>
      <c r="B551" s="9"/>
    </row>
    <row r="552">
      <c r="A552" s="9"/>
      <c r="B552" s="9"/>
    </row>
    <row r="553">
      <c r="A553" s="9"/>
      <c r="B553" s="9"/>
    </row>
    <row r="554">
      <c r="A554" s="9"/>
      <c r="B554" s="9"/>
    </row>
    <row r="555">
      <c r="A555" s="9"/>
      <c r="B555" s="9"/>
    </row>
    <row r="556">
      <c r="A556" s="9"/>
      <c r="B556" s="9"/>
    </row>
    <row r="557">
      <c r="A557" s="9"/>
      <c r="B557" s="9"/>
    </row>
    <row r="558">
      <c r="A558" s="9"/>
      <c r="B558" s="9"/>
    </row>
    <row r="559">
      <c r="A559" s="9"/>
      <c r="B559" s="9"/>
    </row>
    <row r="560">
      <c r="A560" s="9"/>
      <c r="B560" s="9"/>
    </row>
    <row r="561">
      <c r="A561" s="9"/>
      <c r="B561" s="9"/>
    </row>
    <row r="562">
      <c r="A562" s="9"/>
      <c r="B562" s="9"/>
    </row>
    <row r="563">
      <c r="A563" s="9"/>
      <c r="B563" s="9"/>
    </row>
    <row r="564">
      <c r="A564" s="9"/>
      <c r="B564" s="9"/>
    </row>
    <row r="565">
      <c r="A565" s="9"/>
      <c r="B565" s="9"/>
    </row>
    <row r="566">
      <c r="A566" s="9"/>
      <c r="B566" s="9"/>
    </row>
    <row r="567">
      <c r="A567" s="9"/>
      <c r="B567" s="9"/>
    </row>
    <row r="568">
      <c r="A568" s="9"/>
      <c r="B568" s="9"/>
    </row>
    <row r="569">
      <c r="A569" s="9"/>
      <c r="B569" s="9"/>
    </row>
    <row r="570">
      <c r="A570" s="9"/>
      <c r="B570" s="9"/>
    </row>
    <row r="571">
      <c r="A571" s="9"/>
      <c r="B571" s="9"/>
    </row>
    <row r="572">
      <c r="A572" s="9"/>
      <c r="B572" s="9"/>
    </row>
    <row r="573">
      <c r="A573" s="9"/>
      <c r="B573" s="9"/>
    </row>
    <row r="574">
      <c r="A574" s="9"/>
      <c r="B574" s="9"/>
    </row>
    <row r="575">
      <c r="A575" s="9"/>
      <c r="B575" s="9"/>
    </row>
    <row r="576">
      <c r="A576" s="9"/>
      <c r="B576" s="9"/>
    </row>
    <row r="577">
      <c r="A577" s="9"/>
      <c r="B577" s="9"/>
    </row>
    <row r="578">
      <c r="A578" s="9"/>
      <c r="B578" s="9"/>
    </row>
    <row r="579">
      <c r="A579" s="9"/>
      <c r="B579" s="9"/>
    </row>
    <row r="580">
      <c r="A580" s="9"/>
      <c r="B580" s="9"/>
    </row>
    <row r="581">
      <c r="A581" s="9"/>
      <c r="B581" s="9"/>
    </row>
    <row r="582">
      <c r="A582" s="9"/>
      <c r="B582" s="9"/>
    </row>
    <row r="583">
      <c r="A583" s="9"/>
      <c r="B583" s="9"/>
    </row>
    <row r="584">
      <c r="A584" s="9"/>
      <c r="B584" s="9"/>
    </row>
    <row r="585">
      <c r="A585" s="9"/>
      <c r="B585" s="9"/>
    </row>
    <row r="586">
      <c r="A586" s="9"/>
      <c r="B586" s="9"/>
    </row>
    <row r="587">
      <c r="A587" s="9"/>
      <c r="B587" s="9"/>
    </row>
    <row r="588">
      <c r="A588" s="9"/>
      <c r="B588" s="9"/>
    </row>
    <row r="589">
      <c r="A589" s="9"/>
      <c r="B589" s="9"/>
    </row>
    <row r="590">
      <c r="A590" s="9"/>
      <c r="B590" s="9"/>
    </row>
    <row r="591">
      <c r="A591" s="9"/>
      <c r="B591" s="9"/>
    </row>
    <row r="592">
      <c r="A592" s="9"/>
      <c r="B592" s="9"/>
    </row>
    <row r="593">
      <c r="A593" s="9"/>
      <c r="B593" s="9"/>
    </row>
    <row r="594">
      <c r="A594" s="9"/>
      <c r="B594" s="9"/>
    </row>
    <row r="595">
      <c r="A595" s="9"/>
      <c r="B595" s="9"/>
    </row>
    <row r="596">
      <c r="A596" s="9"/>
      <c r="B596" s="9"/>
    </row>
    <row r="597">
      <c r="A597" s="9"/>
      <c r="B597" s="9"/>
    </row>
    <row r="598">
      <c r="A598" s="9"/>
      <c r="B598" s="9"/>
    </row>
    <row r="599">
      <c r="A599" s="9"/>
      <c r="B599" s="9"/>
    </row>
    <row r="600">
      <c r="A600" s="9"/>
      <c r="B600" s="9"/>
    </row>
    <row r="601">
      <c r="A601" s="9"/>
      <c r="B601" s="9"/>
    </row>
    <row r="602">
      <c r="A602" s="9"/>
      <c r="B602" s="9"/>
    </row>
    <row r="603">
      <c r="A603" s="9"/>
      <c r="B603" s="9"/>
    </row>
    <row r="604">
      <c r="A604" s="9"/>
      <c r="B604" s="9"/>
    </row>
    <row r="605">
      <c r="A605" s="9"/>
      <c r="B605" s="9"/>
    </row>
    <row r="606">
      <c r="A606" s="9"/>
      <c r="B606" s="9"/>
    </row>
    <row r="607">
      <c r="A607" s="9"/>
      <c r="B607" s="9"/>
    </row>
    <row r="608">
      <c r="A608" s="9"/>
      <c r="B608" s="9"/>
    </row>
    <row r="609">
      <c r="A609" s="9"/>
      <c r="B609" s="9"/>
    </row>
    <row r="610">
      <c r="A610" s="9"/>
      <c r="B610" s="9"/>
    </row>
    <row r="611">
      <c r="A611" s="9"/>
      <c r="B611" s="9"/>
    </row>
    <row r="612">
      <c r="A612" s="9"/>
      <c r="B612" s="9"/>
    </row>
    <row r="613">
      <c r="A613" s="9"/>
      <c r="B613" s="9"/>
    </row>
    <row r="614">
      <c r="A614" s="9"/>
      <c r="B614" s="9"/>
    </row>
    <row r="615">
      <c r="A615" s="9"/>
      <c r="B615" s="9"/>
    </row>
    <row r="616">
      <c r="A616" s="9"/>
      <c r="B616" s="9"/>
    </row>
    <row r="617">
      <c r="A617" s="9"/>
      <c r="B617" s="9"/>
    </row>
    <row r="618">
      <c r="A618" s="9"/>
      <c r="B618" s="9"/>
    </row>
    <row r="619">
      <c r="A619" s="9"/>
      <c r="B619" s="9"/>
    </row>
    <row r="620">
      <c r="A620" s="9"/>
      <c r="B620" s="9"/>
    </row>
    <row r="621">
      <c r="A621" s="9"/>
      <c r="B621" s="9"/>
    </row>
    <row r="622">
      <c r="A622" s="9"/>
      <c r="B622" s="9"/>
    </row>
    <row r="623">
      <c r="A623" s="9"/>
      <c r="B623" s="9"/>
    </row>
    <row r="624">
      <c r="A624" s="9"/>
      <c r="B624" s="9"/>
    </row>
    <row r="625">
      <c r="A625" s="9"/>
      <c r="B625" s="9"/>
    </row>
    <row r="626">
      <c r="A626" s="9"/>
      <c r="B626" s="9"/>
    </row>
    <row r="627">
      <c r="A627" s="9"/>
      <c r="B627" s="9"/>
    </row>
    <row r="628">
      <c r="A628" s="9"/>
      <c r="B628" s="9"/>
    </row>
    <row r="629">
      <c r="A629" s="9"/>
      <c r="B629" s="9"/>
    </row>
    <row r="630">
      <c r="A630" s="9"/>
      <c r="B630" s="9"/>
    </row>
    <row r="631">
      <c r="A631" s="9"/>
      <c r="B631" s="9"/>
    </row>
    <row r="632">
      <c r="A632" s="9"/>
      <c r="B632" s="9"/>
    </row>
    <row r="633">
      <c r="A633" s="9"/>
      <c r="B633" s="9"/>
    </row>
    <row r="634">
      <c r="A634" s="9"/>
      <c r="B634" s="9"/>
    </row>
    <row r="635">
      <c r="A635" s="9"/>
      <c r="B635" s="9"/>
    </row>
    <row r="636">
      <c r="A636" s="9"/>
      <c r="B636" s="9"/>
    </row>
    <row r="637">
      <c r="A637" s="9"/>
      <c r="B637" s="9"/>
    </row>
    <row r="638">
      <c r="A638" s="9"/>
      <c r="B638" s="9"/>
    </row>
    <row r="639">
      <c r="A639" s="9"/>
      <c r="B639" s="9"/>
    </row>
    <row r="640">
      <c r="A640" s="9"/>
      <c r="B640" s="9"/>
    </row>
    <row r="641">
      <c r="A641" s="9"/>
      <c r="B641" s="9"/>
    </row>
    <row r="642">
      <c r="A642" s="9"/>
      <c r="B642" s="9"/>
    </row>
    <row r="643">
      <c r="A643" s="9"/>
      <c r="B643" s="9"/>
    </row>
    <row r="644">
      <c r="A644" s="9"/>
      <c r="B644" s="9"/>
    </row>
    <row r="645">
      <c r="A645" s="9"/>
      <c r="B645" s="9"/>
    </row>
    <row r="646">
      <c r="A646" s="9"/>
      <c r="B646" s="9"/>
    </row>
    <row r="647">
      <c r="A647" s="9"/>
      <c r="B647" s="9"/>
    </row>
    <row r="648">
      <c r="A648" s="9"/>
      <c r="B648" s="9"/>
    </row>
    <row r="649">
      <c r="A649" s="9"/>
      <c r="B649" s="9"/>
    </row>
    <row r="650">
      <c r="A650" s="9"/>
      <c r="B650" s="9"/>
    </row>
    <row r="651">
      <c r="A651" s="9"/>
      <c r="B651" s="9"/>
    </row>
    <row r="652">
      <c r="A652" s="9"/>
      <c r="B652" s="9"/>
    </row>
    <row r="653">
      <c r="A653" s="9"/>
      <c r="B653" s="9"/>
    </row>
    <row r="654">
      <c r="A654" s="9"/>
      <c r="B654" s="9"/>
    </row>
    <row r="655">
      <c r="A655" s="9"/>
      <c r="B655" s="9"/>
    </row>
    <row r="656">
      <c r="A656" s="9"/>
      <c r="B656" s="9"/>
    </row>
    <row r="657">
      <c r="A657" s="9"/>
      <c r="B657" s="9"/>
    </row>
    <row r="658">
      <c r="A658" s="9"/>
      <c r="B658" s="9"/>
    </row>
    <row r="659">
      <c r="A659" s="9"/>
      <c r="B659" s="9"/>
    </row>
    <row r="660">
      <c r="A660" s="9"/>
      <c r="B660" s="9"/>
    </row>
    <row r="661">
      <c r="A661" s="9"/>
      <c r="B661" s="9"/>
    </row>
    <row r="662">
      <c r="A662" s="9"/>
      <c r="B662" s="9"/>
    </row>
    <row r="663">
      <c r="A663" s="9"/>
      <c r="B663" s="9"/>
    </row>
    <row r="664">
      <c r="A664" s="9"/>
      <c r="B664" s="9"/>
    </row>
    <row r="665">
      <c r="A665" s="9"/>
      <c r="B665" s="9"/>
    </row>
    <row r="666">
      <c r="A666" s="9"/>
      <c r="B666" s="9"/>
    </row>
    <row r="667">
      <c r="A667" s="9"/>
      <c r="B667" s="9"/>
    </row>
    <row r="668">
      <c r="A668" s="9"/>
      <c r="B668" s="9"/>
    </row>
    <row r="669">
      <c r="A669" s="9"/>
      <c r="B669" s="9"/>
    </row>
    <row r="670">
      <c r="A670" s="9"/>
      <c r="B670" s="9"/>
    </row>
    <row r="671">
      <c r="A671" s="9"/>
      <c r="B671" s="9"/>
    </row>
    <row r="672">
      <c r="A672" s="9"/>
      <c r="B672" s="9"/>
    </row>
    <row r="673">
      <c r="A673" s="9"/>
      <c r="B673" s="9"/>
    </row>
    <row r="674">
      <c r="A674" s="9"/>
      <c r="B674" s="9"/>
    </row>
    <row r="675">
      <c r="A675" s="9"/>
      <c r="B675" s="9"/>
    </row>
    <row r="676">
      <c r="A676" s="9"/>
      <c r="B676" s="9"/>
    </row>
    <row r="677">
      <c r="A677" s="9"/>
      <c r="B677" s="9"/>
    </row>
    <row r="678">
      <c r="A678" s="9"/>
      <c r="B678" s="9"/>
    </row>
    <row r="679">
      <c r="A679" s="9"/>
      <c r="B679" s="9"/>
    </row>
    <row r="680">
      <c r="A680" s="9"/>
      <c r="B680" s="9"/>
    </row>
    <row r="681">
      <c r="A681" s="9"/>
      <c r="B681" s="9"/>
    </row>
    <row r="682">
      <c r="A682" s="9"/>
      <c r="B682" s="9"/>
    </row>
    <row r="683">
      <c r="A683" s="9"/>
      <c r="B683" s="9"/>
    </row>
    <row r="684">
      <c r="A684" s="9"/>
      <c r="B684" s="9"/>
    </row>
    <row r="685">
      <c r="A685" s="9"/>
      <c r="B685" s="9"/>
    </row>
    <row r="686">
      <c r="A686" s="9"/>
      <c r="B686" s="9"/>
    </row>
    <row r="687">
      <c r="A687" s="9"/>
      <c r="B687" s="9"/>
    </row>
    <row r="688">
      <c r="A688" s="9"/>
      <c r="B688" s="9"/>
    </row>
    <row r="689">
      <c r="A689" s="9"/>
      <c r="B689" s="9"/>
    </row>
    <row r="690">
      <c r="A690" s="9"/>
      <c r="B690" s="9"/>
    </row>
    <row r="691">
      <c r="A691" s="9"/>
      <c r="B691" s="9"/>
    </row>
    <row r="692">
      <c r="A692" s="9"/>
      <c r="B692" s="9"/>
    </row>
    <row r="693">
      <c r="A693" s="9"/>
      <c r="B693" s="9"/>
    </row>
    <row r="694">
      <c r="A694" s="9"/>
      <c r="B694" s="9"/>
    </row>
    <row r="695">
      <c r="A695" s="9"/>
      <c r="B695" s="9"/>
    </row>
    <row r="696">
      <c r="A696" s="9"/>
      <c r="B696" s="9"/>
    </row>
    <row r="697">
      <c r="A697" s="9"/>
      <c r="B697" s="9"/>
    </row>
    <row r="698">
      <c r="A698" s="9"/>
      <c r="B698" s="9"/>
    </row>
    <row r="699">
      <c r="A699" s="9"/>
      <c r="B699" s="9"/>
    </row>
    <row r="700">
      <c r="A700" s="9"/>
      <c r="B700" s="9"/>
    </row>
    <row r="701">
      <c r="A701" s="9"/>
      <c r="B701" s="9"/>
    </row>
    <row r="702">
      <c r="A702" s="9"/>
      <c r="B702" s="9"/>
    </row>
    <row r="703">
      <c r="A703" s="9"/>
      <c r="B703" s="9"/>
    </row>
    <row r="704">
      <c r="A704" s="9"/>
      <c r="B704" s="9"/>
    </row>
    <row r="705">
      <c r="A705" s="9"/>
      <c r="B705" s="9"/>
    </row>
    <row r="706">
      <c r="A706" s="9"/>
      <c r="B706" s="9"/>
    </row>
    <row r="707">
      <c r="A707" s="9"/>
      <c r="B707" s="9"/>
    </row>
    <row r="708">
      <c r="A708" s="9"/>
      <c r="B708" s="9"/>
    </row>
    <row r="709">
      <c r="A709" s="9"/>
      <c r="B709" s="9"/>
    </row>
    <row r="710">
      <c r="A710" s="9"/>
      <c r="B710" s="9"/>
    </row>
    <row r="711">
      <c r="A711" s="9"/>
      <c r="B711" s="9"/>
    </row>
    <row r="712">
      <c r="A712" s="9"/>
      <c r="B712" s="9"/>
    </row>
    <row r="713">
      <c r="A713" s="9"/>
      <c r="B713" s="9"/>
    </row>
    <row r="714">
      <c r="A714" s="9"/>
      <c r="B714" s="9"/>
    </row>
    <row r="715">
      <c r="A715" s="9"/>
      <c r="B715" s="9"/>
    </row>
    <row r="716">
      <c r="A716" s="9"/>
      <c r="B716" s="9"/>
    </row>
    <row r="717">
      <c r="A717" s="9"/>
      <c r="B717" s="9"/>
    </row>
    <row r="718">
      <c r="A718" s="9"/>
      <c r="B718" s="9"/>
    </row>
    <row r="719">
      <c r="A719" s="9"/>
      <c r="B719" s="9"/>
    </row>
    <row r="720">
      <c r="A720" s="9"/>
      <c r="B720" s="9"/>
    </row>
    <row r="721">
      <c r="A721" s="9"/>
      <c r="B721" s="9"/>
    </row>
    <row r="722">
      <c r="A722" s="9"/>
      <c r="B722" s="9"/>
    </row>
    <row r="723">
      <c r="A723" s="9"/>
      <c r="B723" s="9"/>
    </row>
    <row r="724">
      <c r="A724" s="9"/>
      <c r="B724" s="9"/>
    </row>
    <row r="725">
      <c r="A725" s="9"/>
      <c r="B725" s="9"/>
    </row>
    <row r="726">
      <c r="A726" s="9"/>
      <c r="B726" s="9"/>
    </row>
    <row r="727">
      <c r="A727" s="9"/>
      <c r="B727" s="9"/>
    </row>
    <row r="728">
      <c r="A728" s="9"/>
      <c r="B728" s="9"/>
    </row>
    <row r="729">
      <c r="A729" s="9"/>
      <c r="B729" s="9"/>
    </row>
    <row r="730">
      <c r="A730" s="9"/>
      <c r="B730" s="9"/>
    </row>
    <row r="731">
      <c r="A731" s="9"/>
      <c r="B731" s="9"/>
    </row>
    <row r="732">
      <c r="A732" s="9"/>
      <c r="B732" s="9"/>
    </row>
    <row r="733">
      <c r="A733" s="9"/>
      <c r="B733" s="9"/>
    </row>
    <row r="734">
      <c r="A734" s="9"/>
      <c r="B734" s="9"/>
    </row>
    <row r="735">
      <c r="A735" s="9"/>
      <c r="B735" s="9"/>
    </row>
    <row r="736">
      <c r="A736" s="9"/>
      <c r="B736" s="9"/>
    </row>
    <row r="737">
      <c r="A737" s="9"/>
      <c r="B737" s="9"/>
    </row>
    <row r="738">
      <c r="A738" s="9"/>
      <c r="B738" s="9"/>
    </row>
    <row r="739">
      <c r="A739" s="9"/>
      <c r="B739" s="9"/>
    </row>
    <row r="740">
      <c r="A740" s="9"/>
      <c r="B740" s="9"/>
    </row>
    <row r="741">
      <c r="A741" s="9"/>
      <c r="B741" s="9"/>
    </row>
    <row r="742">
      <c r="A742" s="9"/>
      <c r="B742" s="9"/>
    </row>
    <row r="743">
      <c r="A743" s="9"/>
      <c r="B743" s="9"/>
    </row>
    <row r="744">
      <c r="A744" s="9"/>
      <c r="B744" s="9"/>
    </row>
    <row r="745">
      <c r="A745" s="9"/>
      <c r="B745" s="9"/>
    </row>
    <row r="746">
      <c r="A746" s="9"/>
      <c r="B746" s="9"/>
    </row>
    <row r="747">
      <c r="A747" s="9"/>
      <c r="B747" s="9"/>
    </row>
    <row r="748">
      <c r="A748" s="9"/>
      <c r="B748" s="9"/>
    </row>
    <row r="749">
      <c r="A749" s="9"/>
      <c r="B749" s="9"/>
    </row>
    <row r="750">
      <c r="A750" s="9"/>
      <c r="B750" s="9"/>
    </row>
    <row r="751">
      <c r="A751" s="9"/>
      <c r="B751" s="9"/>
    </row>
    <row r="752">
      <c r="A752" s="9"/>
      <c r="B752" s="9"/>
    </row>
    <row r="753">
      <c r="A753" s="9"/>
      <c r="B753" s="9"/>
    </row>
    <row r="754">
      <c r="A754" s="9"/>
      <c r="B754" s="9"/>
    </row>
    <row r="755">
      <c r="A755" s="9"/>
      <c r="B755" s="9"/>
    </row>
    <row r="756">
      <c r="A756" s="9"/>
      <c r="B756" s="9"/>
    </row>
    <row r="757">
      <c r="A757" s="9"/>
      <c r="B757" s="9"/>
    </row>
    <row r="758">
      <c r="A758" s="9"/>
      <c r="B758" s="9"/>
    </row>
    <row r="759">
      <c r="A759" s="9"/>
      <c r="B759" s="9"/>
    </row>
    <row r="760">
      <c r="A760" s="9"/>
      <c r="B760" s="9"/>
    </row>
    <row r="761">
      <c r="A761" s="9"/>
      <c r="B761" s="9"/>
    </row>
    <row r="762">
      <c r="A762" s="9"/>
      <c r="B762" s="9"/>
    </row>
    <row r="763">
      <c r="A763" s="9"/>
      <c r="B763" s="9"/>
    </row>
    <row r="764">
      <c r="A764" s="9"/>
      <c r="B764" s="9"/>
    </row>
    <row r="765">
      <c r="A765" s="9"/>
      <c r="B765" s="9"/>
    </row>
    <row r="766">
      <c r="A766" s="9"/>
      <c r="B766" s="9"/>
    </row>
    <row r="767">
      <c r="A767" s="9"/>
      <c r="B767" s="9"/>
    </row>
    <row r="768">
      <c r="A768" s="9"/>
      <c r="B768" s="9"/>
    </row>
    <row r="769">
      <c r="A769" s="9"/>
      <c r="B769" s="9"/>
    </row>
    <row r="770">
      <c r="A770" s="9"/>
      <c r="B770" s="9"/>
    </row>
    <row r="771">
      <c r="A771" s="9"/>
      <c r="B771" s="9"/>
    </row>
    <row r="772">
      <c r="A772" s="9"/>
      <c r="B772" s="9"/>
    </row>
    <row r="773">
      <c r="A773" s="9"/>
      <c r="B773" s="9"/>
    </row>
    <row r="774">
      <c r="A774" s="9"/>
      <c r="B774" s="9"/>
    </row>
    <row r="775">
      <c r="A775" s="9"/>
      <c r="B775" s="9"/>
    </row>
    <row r="776">
      <c r="A776" s="9"/>
      <c r="B776" s="9"/>
    </row>
    <row r="777">
      <c r="A777" s="9"/>
      <c r="B777" s="9"/>
    </row>
    <row r="778">
      <c r="A778" s="9"/>
      <c r="B778" s="9"/>
    </row>
    <row r="779">
      <c r="A779" s="9"/>
      <c r="B779" s="9"/>
    </row>
    <row r="780">
      <c r="A780" s="9"/>
      <c r="B780" s="9"/>
    </row>
    <row r="781">
      <c r="A781" s="9"/>
      <c r="B781" s="9"/>
    </row>
    <row r="782">
      <c r="A782" s="9"/>
      <c r="B782" s="9"/>
    </row>
    <row r="783">
      <c r="A783" s="9"/>
      <c r="B783" s="9"/>
    </row>
    <row r="784">
      <c r="A784" s="9"/>
      <c r="B784" s="9"/>
    </row>
    <row r="785">
      <c r="A785" s="9"/>
      <c r="B785" s="9"/>
    </row>
    <row r="786">
      <c r="A786" s="9"/>
      <c r="B786" s="9"/>
    </row>
    <row r="787">
      <c r="A787" s="9"/>
      <c r="B787" s="9"/>
    </row>
    <row r="788">
      <c r="A788" s="9"/>
      <c r="B788" s="9"/>
    </row>
    <row r="789">
      <c r="A789" s="9"/>
      <c r="B789" s="9"/>
    </row>
    <row r="790">
      <c r="A790" s="9"/>
      <c r="B790" s="9"/>
    </row>
    <row r="791">
      <c r="A791" s="9"/>
      <c r="B791" s="9"/>
    </row>
    <row r="792">
      <c r="A792" s="9"/>
      <c r="B792" s="9"/>
    </row>
    <row r="793">
      <c r="A793" s="9"/>
      <c r="B793" s="9"/>
    </row>
    <row r="794">
      <c r="A794" s="9"/>
      <c r="B794" s="9"/>
    </row>
    <row r="795">
      <c r="A795" s="9"/>
      <c r="B795" s="9"/>
    </row>
    <row r="796">
      <c r="A796" s="9"/>
      <c r="B796" s="9"/>
    </row>
    <row r="797">
      <c r="A797" s="9"/>
      <c r="B797" s="9"/>
    </row>
    <row r="798">
      <c r="A798" s="9"/>
      <c r="B798" s="9"/>
    </row>
    <row r="799">
      <c r="A799" s="9"/>
      <c r="B799" s="9"/>
    </row>
    <row r="800">
      <c r="A800" s="9"/>
      <c r="B800" s="9"/>
    </row>
    <row r="801">
      <c r="A801" s="9"/>
      <c r="B801" s="9"/>
    </row>
    <row r="802">
      <c r="A802" s="9"/>
      <c r="B802" s="9"/>
    </row>
    <row r="803">
      <c r="A803" s="9"/>
      <c r="B803" s="9"/>
    </row>
    <row r="804">
      <c r="A804" s="9"/>
      <c r="B804" s="9"/>
    </row>
    <row r="805">
      <c r="A805" s="9"/>
      <c r="B805" s="9"/>
    </row>
    <row r="806">
      <c r="A806" s="9"/>
      <c r="B806" s="9"/>
    </row>
    <row r="807">
      <c r="A807" s="9"/>
      <c r="B807" s="9"/>
    </row>
    <row r="808">
      <c r="A808" s="9"/>
      <c r="B808" s="9"/>
    </row>
    <row r="809">
      <c r="A809" s="9"/>
      <c r="B809" s="9"/>
    </row>
    <row r="810">
      <c r="A810" s="9"/>
      <c r="B810" s="9"/>
    </row>
    <row r="811">
      <c r="A811" s="9"/>
      <c r="B811" s="9"/>
    </row>
    <row r="812">
      <c r="A812" s="9"/>
      <c r="B812" s="9"/>
    </row>
    <row r="813">
      <c r="A813" s="9"/>
      <c r="B813" s="9"/>
    </row>
    <row r="814">
      <c r="A814" s="9"/>
      <c r="B814" s="9"/>
    </row>
    <row r="815">
      <c r="A815" s="9"/>
      <c r="B815" s="9"/>
    </row>
    <row r="816">
      <c r="A816" s="9"/>
      <c r="B816" s="9"/>
    </row>
    <row r="817">
      <c r="A817" s="9"/>
      <c r="B817" s="9"/>
    </row>
    <row r="818">
      <c r="A818" s="9"/>
      <c r="B818" s="9"/>
    </row>
    <row r="819">
      <c r="A819" s="9"/>
      <c r="B819" s="9"/>
    </row>
    <row r="820">
      <c r="A820" s="9"/>
      <c r="B820" s="9"/>
    </row>
    <row r="821">
      <c r="A821" s="9"/>
      <c r="B821" s="9"/>
    </row>
    <row r="822">
      <c r="A822" s="9"/>
      <c r="B822" s="9"/>
    </row>
    <row r="823">
      <c r="A823" s="9"/>
      <c r="B823" s="9"/>
    </row>
    <row r="824">
      <c r="A824" s="9"/>
      <c r="B824" s="9"/>
    </row>
    <row r="825">
      <c r="A825" s="9"/>
      <c r="B825" s="9"/>
    </row>
    <row r="826">
      <c r="A826" s="9"/>
      <c r="B826" s="9"/>
    </row>
    <row r="827">
      <c r="A827" s="9"/>
      <c r="B827" s="9"/>
    </row>
    <row r="828">
      <c r="A828" s="9"/>
      <c r="B828" s="9"/>
    </row>
    <row r="829">
      <c r="A829" s="9"/>
      <c r="B829" s="9"/>
    </row>
    <row r="830">
      <c r="A830" s="9"/>
      <c r="B830" s="9"/>
    </row>
    <row r="831">
      <c r="A831" s="9"/>
      <c r="B831" s="9"/>
    </row>
    <row r="832">
      <c r="A832" s="9"/>
      <c r="B832" s="9"/>
    </row>
    <row r="833">
      <c r="A833" s="9"/>
      <c r="B833" s="9"/>
    </row>
    <row r="834">
      <c r="A834" s="9"/>
      <c r="B834" s="9"/>
    </row>
    <row r="835">
      <c r="A835" s="9"/>
      <c r="B835" s="9"/>
    </row>
    <row r="836">
      <c r="A836" s="9"/>
      <c r="B836" s="9"/>
    </row>
    <row r="837">
      <c r="A837" s="9"/>
      <c r="B837" s="9"/>
    </row>
    <row r="838">
      <c r="A838" s="9"/>
      <c r="B838" s="9"/>
    </row>
    <row r="839">
      <c r="A839" s="9"/>
      <c r="B839" s="9"/>
    </row>
    <row r="840">
      <c r="A840" s="9"/>
      <c r="B840" s="9"/>
    </row>
    <row r="841">
      <c r="A841" s="9"/>
      <c r="B841" s="9"/>
    </row>
    <row r="842">
      <c r="A842" s="9"/>
      <c r="B842" s="9"/>
    </row>
    <row r="843">
      <c r="A843" s="9"/>
      <c r="B843" s="9"/>
    </row>
    <row r="844">
      <c r="A844" s="9"/>
      <c r="B844" s="9"/>
    </row>
    <row r="845">
      <c r="A845" s="9"/>
      <c r="B845" s="9"/>
    </row>
    <row r="846">
      <c r="A846" s="9"/>
      <c r="B846" s="9"/>
    </row>
    <row r="847">
      <c r="A847" s="9"/>
      <c r="B847" s="9"/>
    </row>
    <row r="848">
      <c r="A848" s="9"/>
      <c r="B848" s="9"/>
    </row>
    <row r="849">
      <c r="A849" s="9"/>
      <c r="B849" s="9"/>
    </row>
    <row r="850">
      <c r="A850" s="9"/>
      <c r="B850" s="9"/>
    </row>
    <row r="851">
      <c r="A851" s="9"/>
      <c r="B851" s="9"/>
    </row>
    <row r="852">
      <c r="A852" s="9"/>
      <c r="B852" s="9"/>
    </row>
    <row r="853">
      <c r="A853" s="9"/>
      <c r="B853" s="9"/>
    </row>
    <row r="854">
      <c r="A854" s="9"/>
      <c r="B854" s="9"/>
    </row>
    <row r="855">
      <c r="A855" s="9"/>
      <c r="B855" s="9"/>
    </row>
    <row r="856">
      <c r="A856" s="9"/>
      <c r="B856" s="9"/>
    </row>
    <row r="857">
      <c r="A857" s="9"/>
      <c r="B857" s="9"/>
    </row>
    <row r="858">
      <c r="A858" s="9"/>
      <c r="B858" s="9"/>
    </row>
    <row r="859">
      <c r="A859" s="9"/>
      <c r="B859" s="9"/>
    </row>
    <row r="860">
      <c r="A860" s="9"/>
      <c r="B860" s="9"/>
    </row>
    <row r="861">
      <c r="A861" s="9"/>
      <c r="B861" s="9"/>
    </row>
    <row r="862">
      <c r="A862" s="9"/>
      <c r="B862" s="9"/>
    </row>
    <row r="863">
      <c r="A863" s="9"/>
      <c r="B863" s="9"/>
    </row>
    <row r="864">
      <c r="A864" s="9"/>
      <c r="B864" s="9"/>
    </row>
    <row r="865">
      <c r="A865" s="9"/>
      <c r="B865" s="9"/>
    </row>
    <row r="866">
      <c r="A866" s="9"/>
      <c r="B866" s="9"/>
    </row>
    <row r="867">
      <c r="A867" s="9"/>
      <c r="B867" s="9"/>
    </row>
    <row r="868">
      <c r="A868" s="9"/>
      <c r="B868" s="9"/>
    </row>
    <row r="869">
      <c r="A869" s="9"/>
      <c r="B869" s="9"/>
    </row>
    <row r="870">
      <c r="A870" s="9"/>
      <c r="B870" s="9"/>
    </row>
    <row r="871">
      <c r="A871" s="9"/>
      <c r="B871" s="9"/>
    </row>
    <row r="872">
      <c r="A872" s="9"/>
      <c r="B872" s="9"/>
    </row>
    <row r="873">
      <c r="A873" s="9"/>
      <c r="B873" s="9"/>
    </row>
    <row r="874">
      <c r="A874" s="9"/>
      <c r="B874" s="9"/>
    </row>
    <row r="875">
      <c r="A875" s="9"/>
      <c r="B875" s="9"/>
    </row>
    <row r="876">
      <c r="A876" s="9"/>
      <c r="B876" s="9"/>
    </row>
    <row r="877">
      <c r="A877" s="9"/>
      <c r="B877" s="9"/>
    </row>
    <row r="878">
      <c r="A878" s="9"/>
      <c r="B878" s="9"/>
    </row>
    <row r="879">
      <c r="A879" s="9"/>
      <c r="B879" s="9"/>
    </row>
    <row r="880">
      <c r="A880" s="9"/>
      <c r="B880" s="9"/>
    </row>
    <row r="881">
      <c r="A881" s="9"/>
      <c r="B881" s="9"/>
    </row>
    <row r="882">
      <c r="A882" s="9"/>
      <c r="B882" s="9"/>
    </row>
    <row r="883">
      <c r="A883" s="9"/>
      <c r="B883" s="9"/>
    </row>
    <row r="884">
      <c r="A884" s="9"/>
      <c r="B884" s="9"/>
    </row>
    <row r="885">
      <c r="A885" s="9"/>
      <c r="B885" s="9"/>
    </row>
    <row r="886">
      <c r="A886" s="9"/>
      <c r="B886" s="9"/>
    </row>
    <row r="887">
      <c r="A887" s="9"/>
      <c r="B887" s="9"/>
    </row>
    <row r="888">
      <c r="A888" s="9"/>
      <c r="B888" s="9"/>
    </row>
    <row r="889">
      <c r="A889" s="9"/>
      <c r="B889" s="9"/>
    </row>
    <row r="890">
      <c r="A890" s="9"/>
      <c r="B890" s="9"/>
    </row>
    <row r="891">
      <c r="A891" s="9"/>
      <c r="B891" s="9"/>
    </row>
    <row r="892">
      <c r="A892" s="9"/>
      <c r="B892" s="9"/>
    </row>
    <row r="893">
      <c r="A893" s="9"/>
      <c r="B893" s="9"/>
    </row>
    <row r="894">
      <c r="A894" s="9"/>
      <c r="B894" s="9"/>
    </row>
    <row r="895">
      <c r="A895" s="9"/>
      <c r="B895" s="9"/>
    </row>
    <row r="896">
      <c r="A896" s="9"/>
      <c r="B896" s="9"/>
    </row>
    <row r="897">
      <c r="A897" s="9"/>
      <c r="B897" s="9"/>
    </row>
    <row r="898">
      <c r="A898" s="9"/>
      <c r="B898" s="9"/>
    </row>
    <row r="899">
      <c r="A899" s="9"/>
      <c r="B899" s="9"/>
    </row>
    <row r="900">
      <c r="A900" s="9"/>
      <c r="B900" s="9"/>
    </row>
    <row r="901">
      <c r="A901" s="9"/>
      <c r="B901" s="9"/>
    </row>
    <row r="902">
      <c r="A902" s="9"/>
      <c r="B902" s="9"/>
    </row>
    <row r="903">
      <c r="A903" s="9"/>
      <c r="B903" s="9"/>
    </row>
    <row r="904">
      <c r="A904" s="9"/>
      <c r="B904" s="9"/>
    </row>
    <row r="905">
      <c r="A905" s="9"/>
      <c r="B905" s="9"/>
    </row>
    <row r="906">
      <c r="A906" s="9"/>
      <c r="B906" s="9"/>
    </row>
    <row r="907">
      <c r="A907" s="9"/>
      <c r="B907" s="9"/>
    </row>
    <row r="908">
      <c r="A908" s="9"/>
      <c r="B908" s="9"/>
    </row>
    <row r="909">
      <c r="A909" s="9"/>
      <c r="B909" s="9"/>
    </row>
    <row r="910">
      <c r="A910" s="9"/>
      <c r="B910" s="9"/>
    </row>
    <row r="911">
      <c r="A911" s="9"/>
      <c r="B911" s="9"/>
    </row>
    <row r="912">
      <c r="A912" s="9"/>
      <c r="B912" s="9"/>
    </row>
    <row r="913">
      <c r="A913" s="9"/>
      <c r="B913" s="9"/>
    </row>
    <row r="914">
      <c r="A914" s="9"/>
      <c r="B914" s="9"/>
    </row>
    <row r="915">
      <c r="A915" s="9"/>
      <c r="B915" s="9"/>
    </row>
    <row r="916">
      <c r="A916" s="9"/>
      <c r="B916" s="9"/>
    </row>
    <row r="917">
      <c r="A917" s="9"/>
      <c r="B917" s="9"/>
    </row>
    <row r="918">
      <c r="A918" s="9"/>
      <c r="B918" s="9"/>
    </row>
    <row r="919">
      <c r="A919" s="9"/>
      <c r="B919" s="9"/>
    </row>
    <row r="920">
      <c r="A920" s="9"/>
      <c r="B920" s="9"/>
    </row>
    <row r="921">
      <c r="A921" s="9"/>
      <c r="B921" s="9"/>
    </row>
    <row r="922">
      <c r="A922" s="9"/>
      <c r="B922" s="9"/>
    </row>
    <row r="923">
      <c r="A923" s="9"/>
      <c r="B923" s="9"/>
    </row>
    <row r="924">
      <c r="A924" s="9"/>
      <c r="B924" s="9"/>
    </row>
    <row r="925">
      <c r="A925" s="9"/>
      <c r="B925" s="9"/>
    </row>
    <row r="926">
      <c r="A926" s="9"/>
      <c r="B926" s="9"/>
    </row>
    <row r="927">
      <c r="A927" s="9"/>
      <c r="B927" s="9"/>
    </row>
    <row r="928">
      <c r="A928" s="9"/>
      <c r="B928" s="9"/>
    </row>
    <row r="929">
      <c r="A929" s="9"/>
      <c r="B929" s="9"/>
    </row>
    <row r="930">
      <c r="A930" s="9"/>
      <c r="B930" s="9"/>
    </row>
    <row r="931">
      <c r="A931" s="9"/>
      <c r="B931" s="9"/>
    </row>
    <row r="932">
      <c r="A932" s="9"/>
      <c r="B932" s="9"/>
    </row>
    <row r="933">
      <c r="A933" s="9"/>
      <c r="B933" s="9"/>
    </row>
    <row r="934">
      <c r="A934" s="9"/>
      <c r="B934" s="9"/>
    </row>
    <row r="935">
      <c r="A935" s="9"/>
      <c r="B935" s="9"/>
    </row>
    <row r="936">
      <c r="A936" s="9"/>
      <c r="B936" s="9"/>
    </row>
    <row r="937">
      <c r="A937" s="9"/>
      <c r="B937" s="9"/>
    </row>
    <row r="938">
      <c r="A938" s="9"/>
      <c r="B938" s="9"/>
    </row>
    <row r="939">
      <c r="A939" s="9"/>
      <c r="B939" s="9"/>
    </row>
    <row r="940">
      <c r="A940" s="9"/>
      <c r="B940" s="9"/>
    </row>
    <row r="941">
      <c r="A941" s="9"/>
      <c r="B941" s="9"/>
    </row>
    <row r="942">
      <c r="A942" s="9"/>
      <c r="B942" s="9"/>
    </row>
    <row r="943">
      <c r="A943" s="9"/>
      <c r="B943" s="9"/>
    </row>
    <row r="944">
      <c r="A944" s="9"/>
      <c r="B944" s="9"/>
    </row>
    <row r="945">
      <c r="A945" s="9"/>
      <c r="B945" s="9"/>
    </row>
    <row r="946">
      <c r="A946" s="9"/>
      <c r="B946" s="9"/>
    </row>
    <row r="947">
      <c r="A947" s="9"/>
      <c r="B947" s="9"/>
    </row>
    <row r="948">
      <c r="A948" s="9"/>
      <c r="B948" s="9"/>
    </row>
    <row r="949">
      <c r="A949" s="9"/>
      <c r="B949" s="9"/>
    </row>
    <row r="950">
      <c r="A950" s="9"/>
      <c r="B950" s="9"/>
    </row>
    <row r="951">
      <c r="A951" s="9"/>
      <c r="B951" s="9"/>
    </row>
    <row r="952">
      <c r="A952" s="9"/>
      <c r="B952" s="9"/>
    </row>
    <row r="953">
      <c r="A953" s="9"/>
      <c r="B953" s="9"/>
    </row>
    <row r="954">
      <c r="A954" s="9"/>
      <c r="B954" s="9"/>
    </row>
    <row r="955">
      <c r="A955" s="9"/>
      <c r="B955" s="9"/>
    </row>
    <row r="956">
      <c r="A956" s="9"/>
      <c r="B956" s="9"/>
    </row>
    <row r="957">
      <c r="A957" s="9"/>
      <c r="B957" s="9"/>
    </row>
    <row r="958">
      <c r="A958" s="9"/>
      <c r="B958" s="9"/>
    </row>
    <row r="959">
      <c r="A959" s="9"/>
      <c r="B959" s="9"/>
    </row>
    <row r="960">
      <c r="A960" s="9"/>
      <c r="B960" s="9"/>
    </row>
    <row r="961">
      <c r="A961" s="9"/>
      <c r="B961" s="9"/>
    </row>
    <row r="962">
      <c r="A962" s="9"/>
      <c r="B962" s="9"/>
    </row>
    <row r="963">
      <c r="A963" s="9"/>
      <c r="B963" s="9"/>
    </row>
    <row r="964">
      <c r="A964" s="9"/>
      <c r="B964" s="9"/>
    </row>
    <row r="965">
      <c r="A965" s="9"/>
      <c r="B965" s="9"/>
    </row>
    <row r="966">
      <c r="A966" s="9"/>
      <c r="B966" s="9"/>
    </row>
    <row r="967">
      <c r="A967" s="9"/>
      <c r="B967" s="9"/>
    </row>
    <row r="968">
      <c r="A968" s="9"/>
      <c r="B968" s="9"/>
    </row>
    <row r="969">
      <c r="A969" s="9"/>
      <c r="B969" s="9"/>
    </row>
    <row r="970">
      <c r="A970" s="9"/>
      <c r="B970" s="9"/>
    </row>
    <row r="971">
      <c r="A971" s="9"/>
      <c r="B971" s="9"/>
    </row>
    <row r="972">
      <c r="A972" s="9"/>
      <c r="B972" s="9"/>
    </row>
    <row r="973">
      <c r="A973" s="9"/>
      <c r="B973" s="9"/>
    </row>
    <row r="974">
      <c r="A974" s="9"/>
      <c r="B974" s="9"/>
    </row>
    <row r="975">
      <c r="A975" s="9"/>
      <c r="B975" s="9"/>
    </row>
    <row r="976">
      <c r="A976" s="9"/>
      <c r="B976" s="9"/>
    </row>
    <row r="977">
      <c r="A977" s="9"/>
      <c r="B977" s="9"/>
    </row>
    <row r="978">
      <c r="A978" s="9"/>
      <c r="B978" s="9"/>
    </row>
    <row r="979">
      <c r="A979" s="9"/>
      <c r="B979" s="9"/>
    </row>
    <row r="980">
      <c r="A980" s="9"/>
      <c r="B980" s="9"/>
    </row>
    <row r="981">
      <c r="A981" s="9"/>
      <c r="B981" s="9"/>
    </row>
    <row r="982">
      <c r="A982" s="9"/>
      <c r="B982" s="9"/>
    </row>
    <row r="983">
      <c r="A983" s="9"/>
      <c r="B983" s="9"/>
    </row>
    <row r="984">
      <c r="A984" s="9"/>
      <c r="B984" s="9"/>
    </row>
    <row r="985">
      <c r="A985" s="9"/>
      <c r="B985" s="9"/>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2.5"/>
    <col customWidth="1" min="2" max="2" width="16.75"/>
    <col customWidth="1" min="3" max="3" width="26.63"/>
    <col customWidth="1" min="4" max="11" width="23.88"/>
  </cols>
  <sheetData>
    <row r="1">
      <c r="A1" s="12" t="str">
        <f>Entities!A1</f>
        <v>CDA.LS.HCP Kernel Translations, Version 24.8, August 30, 2024</v>
      </c>
      <c r="B1" s="3"/>
      <c r="C1" s="3"/>
      <c r="D1" s="2"/>
      <c r="E1" s="2"/>
      <c r="F1" s="3"/>
      <c r="G1" s="3"/>
      <c r="H1" s="4"/>
      <c r="I1" s="4"/>
      <c r="J1" s="4"/>
      <c r="K1" s="4"/>
      <c r="L1" s="4"/>
      <c r="M1" s="4"/>
      <c r="N1" s="4"/>
      <c r="O1" s="4"/>
      <c r="P1" s="4"/>
      <c r="Q1" s="4"/>
      <c r="R1" s="4"/>
      <c r="S1" s="4"/>
      <c r="T1" s="4"/>
      <c r="U1" s="4"/>
      <c r="V1" s="4"/>
      <c r="W1" s="4"/>
      <c r="X1" s="4"/>
    </row>
    <row r="2">
      <c r="A2" s="5" t="s">
        <v>51</v>
      </c>
      <c r="B2" s="3"/>
      <c r="C2" s="3"/>
      <c r="D2" s="2"/>
      <c r="E2" s="2"/>
      <c r="F2" s="3"/>
      <c r="G2" s="3"/>
      <c r="H2" s="4"/>
      <c r="I2" s="4"/>
      <c r="J2" s="4"/>
      <c r="K2" s="4"/>
      <c r="L2" s="4"/>
      <c r="M2" s="4"/>
      <c r="N2" s="4"/>
      <c r="O2" s="4"/>
      <c r="P2" s="4"/>
      <c r="Q2" s="4"/>
      <c r="R2" s="4"/>
      <c r="S2" s="4"/>
      <c r="T2" s="4"/>
      <c r="U2" s="4"/>
      <c r="V2" s="4"/>
      <c r="W2" s="4"/>
      <c r="X2" s="4"/>
    </row>
    <row r="3">
      <c r="A3" s="25" t="s">
        <v>52</v>
      </c>
      <c r="B3" s="19"/>
      <c r="C3" s="26"/>
      <c r="D3" s="26"/>
      <c r="E3" s="26"/>
      <c r="F3" s="26"/>
      <c r="G3" s="26"/>
      <c r="H3" s="26"/>
      <c r="I3" s="26"/>
      <c r="J3" s="26"/>
      <c r="K3" s="26"/>
      <c r="L3" s="26"/>
      <c r="M3" s="26"/>
      <c r="N3" s="26"/>
      <c r="O3" s="26"/>
      <c r="P3" s="26"/>
      <c r="Q3" s="26"/>
      <c r="R3" s="26"/>
      <c r="S3" s="26"/>
      <c r="T3" s="26"/>
      <c r="U3" s="26"/>
      <c r="V3" s="27"/>
      <c r="W3" s="27"/>
      <c r="X3" s="27"/>
      <c r="Y3" s="26"/>
      <c r="Z3" s="26"/>
    </row>
    <row r="4">
      <c r="A4" s="6" t="s">
        <v>26</v>
      </c>
      <c r="B4" s="6" t="s">
        <v>3</v>
      </c>
      <c r="C4" s="6" t="s">
        <v>4</v>
      </c>
      <c r="D4" s="6" t="s">
        <v>5</v>
      </c>
      <c r="E4" s="6" t="s">
        <v>6</v>
      </c>
      <c r="F4" s="6" t="s">
        <v>7</v>
      </c>
      <c r="G4" s="6" t="s">
        <v>8</v>
      </c>
      <c r="H4" s="6" t="s">
        <v>9</v>
      </c>
      <c r="I4" s="6" t="s">
        <v>10</v>
      </c>
      <c r="J4" s="6" t="s">
        <v>11</v>
      </c>
      <c r="K4" s="6"/>
      <c r="L4" s="6"/>
      <c r="M4" s="6"/>
      <c r="N4" s="6"/>
      <c r="O4" s="6"/>
      <c r="P4" s="6"/>
      <c r="Q4" s="6"/>
      <c r="R4" s="6"/>
      <c r="S4" s="6"/>
      <c r="T4" s="6"/>
      <c r="U4" s="6"/>
      <c r="V4" s="6"/>
      <c r="W4" s="18"/>
      <c r="X4" s="18"/>
      <c r="Y4" s="18"/>
      <c r="Z4" s="18"/>
    </row>
    <row r="5">
      <c r="A5" s="8" t="str">
        <f>IFERROR(__xludf.DUMMYFUNCTION("IMPORTRANGE(""https://docs.google.com/spreadsheets/d/1ZIx3-wJv76bPGccT5CZZ4g3Sy52i_iEnaWf6C0L_ST0/edit#gid=1869488518"",""Specialty Items!A5:A"")"),"Abdominal Surgery")</f>
        <v>Abdominal Surgery</v>
      </c>
      <c r="B5" s="8" t="str">
        <f>IFERROR(__xludf.DUMMYFUNCTION("IMPORTRANGE(""https://docs.google.com/spreadsheets/d/1ZIx3-wJv76bPGccT5CZZ4g3Sy52i_iEnaWf6C0L_ST0/edit#gid=1869488518"",""Specialty Items!B5:B"")"),"suab")</f>
        <v>suab</v>
      </c>
      <c r="C5" s="9" t="str">
        <f>IFERROR(__xludf.DUMMYFUNCTION("GOOGLETRANSLATE($A5,""en"",""de"")"),"Bauchchirurgie")</f>
        <v>Bauchchirurgie</v>
      </c>
      <c r="D5" s="9" t="str">
        <f>IFERROR(__xludf.DUMMYFUNCTION("GOOGLETRANSLATE($A5,""en"",""fr"")"),"Chirurgie abdominale")</f>
        <v>Chirurgie abdominale</v>
      </c>
      <c r="E5" s="9" t="str">
        <f>IFERROR(__xludf.DUMMYFUNCTION("GOOGLETRANSLATE($A5,""en"",""es"")"),"Cirugía Abdominal")</f>
        <v>Cirugía Abdominal</v>
      </c>
      <c r="F5" s="9" t="str">
        <f>IFERROR(__xludf.DUMMYFUNCTION("GOOGLETRANSLATE($A5,""en"",""it"")"),"Chirurgia addominale")</f>
        <v>Chirurgia addominale</v>
      </c>
      <c r="G5" s="9" t="str">
        <f>IFERROR(__xludf.DUMMYFUNCTION("GOOGLETRANSLATE($A5,""en"",""zh-cn"")"),"腹部手术")</f>
        <v>腹部手术</v>
      </c>
      <c r="H5" s="9" t="str">
        <f>IFERROR(__xludf.DUMMYFUNCTION("GOOGLETRANSLATE($A5,""en"",""ja"")"),"腹部手術")</f>
        <v>腹部手術</v>
      </c>
      <c r="I5" s="9" t="str">
        <f>IFERROR(__xludf.DUMMYFUNCTION("GOOGLETRANSLATE($A5,""en"",""ko"")"),"복부외과")</f>
        <v>복부외과</v>
      </c>
      <c r="J5" s="9" t="str">
        <f>IFERROR(__xludf.DUMMYFUNCTION("GOOGLETRANSLATE($A5,""en"",""pt-BR"")"),"Cirurgia Abdominal")</f>
        <v>Cirurgia Abdominal</v>
      </c>
    </row>
    <row r="6">
      <c r="A6" s="19" t="str">
        <f>IFERROR(__xludf.DUMMYFUNCTION("""COMPUTED_VALUE"""),"Addiction Medicine")</f>
        <v>Addiction Medicine</v>
      </c>
      <c r="B6" s="19" t="str">
        <f>IFERROR(__xludf.DUMMYFUNCTION("""COMPUTED_VALUE"""),"am")</f>
        <v>am</v>
      </c>
      <c r="C6" s="9" t="str">
        <f>IFERROR(__xludf.DUMMYFUNCTION("GOOGLETRANSLATE($A6,""en"",""de"")"),"Suchtmedizin")</f>
        <v>Suchtmedizin</v>
      </c>
      <c r="D6" s="9" t="str">
        <f>IFERROR(__xludf.DUMMYFUNCTION("GOOGLETRANSLATE($A6,""en"",""fr"")"),"Médecine de la toxicomanie")</f>
        <v>Médecine de la toxicomanie</v>
      </c>
      <c r="E6" s="9" t="str">
        <f>IFERROR(__xludf.DUMMYFUNCTION("GOOGLETRANSLATE($A6,""en"",""es"")"),"Medicina de adicción")</f>
        <v>Medicina de adicción</v>
      </c>
      <c r="F6" s="9" t="str">
        <f>IFERROR(__xludf.DUMMYFUNCTION("GOOGLETRANSLATE($A6,""en"",""it"")"),"Medicina delle dipendenze")</f>
        <v>Medicina delle dipendenze</v>
      </c>
      <c r="G6" s="9" t="str">
        <f>IFERROR(__xludf.DUMMYFUNCTION("GOOGLETRANSLATE($A6,""en"",""zh-cn"")"),"成瘾医学")</f>
        <v>成瘾医学</v>
      </c>
      <c r="H6" s="9" t="str">
        <f>IFERROR(__xludf.DUMMYFUNCTION("GOOGLETRANSLATE($A6,""en"",""ja"")"),"依存症の薬")</f>
        <v>依存症の薬</v>
      </c>
      <c r="I6" s="9" t="str">
        <f>IFERROR(__xludf.DUMMYFUNCTION("GOOGLETRANSLATE($A6,""en"",""ko"")"),"중독 의학")</f>
        <v>중독 의학</v>
      </c>
      <c r="J6" s="9" t="str">
        <f>IFERROR(__xludf.DUMMYFUNCTION("GOOGLETRANSLATE($A6,""en"",""pt-BR"")"),"Remédio para Dependência")</f>
        <v>Remédio para Dependência</v>
      </c>
    </row>
    <row r="7">
      <c r="A7" s="19" t="str">
        <f>IFERROR(__xludf.DUMMYFUNCTION("""COMPUTED_VALUE"""),"Addiction Psychiatry")</f>
        <v>Addiction Psychiatry</v>
      </c>
      <c r="B7" s="19" t="str">
        <f>IFERROR(__xludf.DUMMYFUNCTION("""COMPUTED_VALUE"""),"ampy")</f>
        <v>ampy</v>
      </c>
      <c r="C7" s="9" t="str">
        <f>IFERROR(__xludf.DUMMYFUNCTION("GOOGLETRANSLATE($A7,""en"",""de"")"),"Suchtpsychiatrie")</f>
        <v>Suchtpsychiatrie</v>
      </c>
      <c r="D7" s="9" t="str">
        <f>IFERROR(__xludf.DUMMYFUNCTION("GOOGLETRANSLATE($A7,""en"",""fr"")"),"Psychiatrie de la toxicomanie")</f>
        <v>Psychiatrie de la toxicomanie</v>
      </c>
      <c r="E7" s="9" t="str">
        <f>IFERROR(__xludf.DUMMYFUNCTION("GOOGLETRANSLATE($A7,""en"",""es"")"),"Psiquiatría de adicciones")</f>
        <v>Psiquiatría de adicciones</v>
      </c>
      <c r="F7" s="9" t="str">
        <f>IFERROR(__xludf.DUMMYFUNCTION("GOOGLETRANSLATE($A7,""en"",""it"")"),"Psichiatria delle dipendenze")</f>
        <v>Psichiatria delle dipendenze</v>
      </c>
      <c r="G7" s="9" t="str">
        <f>IFERROR(__xludf.DUMMYFUNCTION("GOOGLETRANSLATE($A7,""en"",""zh-cn"")"),"成瘾精神病学")</f>
        <v>成瘾精神病学</v>
      </c>
      <c r="H7" s="9" t="str">
        <f>IFERROR(__xludf.DUMMYFUNCTION("GOOGLETRANSLATE($A7,""en"",""ja"")"),"依存症精神科")</f>
        <v>依存症精神科</v>
      </c>
      <c r="I7" s="9" t="str">
        <f>IFERROR(__xludf.DUMMYFUNCTION("GOOGLETRANSLATE($A7,""en"",""ko"")"),"중독 정신과")</f>
        <v>중독 정신과</v>
      </c>
      <c r="J7" s="9" t="str">
        <f>IFERROR(__xludf.DUMMYFUNCTION("GOOGLETRANSLATE($A7,""en"",""pt-BR"")"),"Psiquiatria do Dependência")</f>
        <v>Psiquiatria do Dependência</v>
      </c>
    </row>
    <row r="8">
      <c r="A8" s="19" t="str">
        <f>IFERROR(__xludf.DUMMYFUNCTION("""COMPUTED_VALUE"""),"Administrative Medicine")</f>
        <v>Administrative Medicine</v>
      </c>
      <c r="B8" s="19" t="str">
        <f>IFERROR(__xludf.DUMMYFUNCTION("""COMPUTED_VALUE"""),"ad")</f>
        <v>ad</v>
      </c>
      <c r="C8" s="9" t="str">
        <f>IFERROR(__xludf.DUMMYFUNCTION("GOOGLETRANSLATE($A8,""en"",""de"")"),"Verwaltungsmedizin")</f>
        <v>Verwaltungsmedizin</v>
      </c>
      <c r="D8" s="9" t="str">
        <f>IFERROR(__xludf.DUMMYFUNCTION("GOOGLETRANSLATE($A8,""en"",""fr"")"),"Médecine administrative")</f>
        <v>Médecine administrative</v>
      </c>
      <c r="E8" s="9" t="str">
        <f>IFERROR(__xludf.DUMMYFUNCTION("GOOGLETRANSLATE($A8,""en"",""es"")"),"Medicina Administrativa")</f>
        <v>Medicina Administrativa</v>
      </c>
      <c r="F8" s="9" t="str">
        <f>IFERROR(__xludf.DUMMYFUNCTION("GOOGLETRANSLATE($A8,""en"",""it"")"),"Medicina Amministrativa")</f>
        <v>Medicina Amministrativa</v>
      </c>
      <c r="G8" s="9" t="str">
        <f>IFERROR(__xludf.DUMMYFUNCTION("GOOGLETRANSLATE($A8,""en"",""zh-cn"")"),"行政医学")</f>
        <v>行政医学</v>
      </c>
      <c r="H8" s="9" t="str">
        <f>IFERROR(__xludf.DUMMYFUNCTION("GOOGLETRANSLATE($A8,""en"",""ja"")"),"管理医学")</f>
        <v>管理医学</v>
      </c>
      <c r="I8" s="9" t="str">
        <f>IFERROR(__xludf.DUMMYFUNCTION("GOOGLETRANSLATE($A8,""en"",""ko"")"),"행정의학")</f>
        <v>행정의학</v>
      </c>
      <c r="J8" s="9" t="str">
        <f>IFERROR(__xludf.DUMMYFUNCTION("GOOGLETRANSLATE($A8,""en"",""pt-BR"")"),"Medicina Administrativa")</f>
        <v>Medicina Administrativa</v>
      </c>
    </row>
    <row r="9">
      <c r="A9" s="19" t="str">
        <f>IFERROR(__xludf.DUMMYFUNCTION("""COMPUTED_VALUE"""),"Advanced Heart Failure")</f>
        <v>Advanced Heart Failure</v>
      </c>
      <c r="B9" s="19" t="str">
        <f>IFERROR(__xludf.DUMMYFUNCTION("""COMPUTED_VALUE"""),"cdhf")</f>
        <v>cdhf</v>
      </c>
      <c r="C9" s="9" t="str">
        <f>IFERROR(__xludf.DUMMYFUNCTION("GOOGLETRANSLATE($A9,""en"",""de"")"),"Fortgeschrittene Herzinsuffizienz")</f>
        <v>Fortgeschrittene Herzinsuffizienz</v>
      </c>
      <c r="D9" s="9" t="str">
        <f>IFERROR(__xludf.DUMMYFUNCTION("GOOGLETRANSLATE($A9,""en"",""fr"")"),"Insuffisance cardiaque avancée")</f>
        <v>Insuffisance cardiaque avancée</v>
      </c>
      <c r="E9" s="9" t="str">
        <f>IFERROR(__xludf.DUMMYFUNCTION("GOOGLETRANSLATE($A9,""en"",""es"")"),"Insuficiencia cardíaca avanzada")</f>
        <v>Insuficiencia cardíaca avanzada</v>
      </c>
      <c r="F9" s="9" t="str">
        <f>IFERROR(__xludf.DUMMYFUNCTION("GOOGLETRANSLATE($A9,""en"",""it"")"),"Insufficienza cardiaca avanzata")</f>
        <v>Insufficienza cardiaca avanzata</v>
      </c>
      <c r="G9" s="9" t="str">
        <f>IFERROR(__xludf.DUMMYFUNCTION("GOOGLETRANSLATE($A9,""en"",""zh-cn"")"),"晚期心力衰竭")</f>
        <v>晚期心力衰竭</v>
      </c>
      <c r="H9" s="9" t="str">
        <f>IFERROR(__xludf.DUMMYFUNCTION("GOOGLETRANSLATE($A9,""en"",""ja"")"),"進行性心不全")</f>
        <v>進行性心不全</v>
      </c>
      <c r="I9" s="9" t="str">
        <f>IFERROR(__xludf.DUMMYFUNCTION("GOOGLETRANSLATE($A9,""en"",""ko"")"),"고급 심부전")</f>
        <v>고급 심부전</v>
      </c>
      <c r="J9" s="9" t="str">
        <f>IFERROR(__xludf.DUMMYFUNCTION("GOOGLETRANSLATE($A9,""en"",""pt-BR"")"),"Insuficiência Cardíaca Avançada")</f>
        <v>Insuficiência Cardíaca Avançada</v>
      </c>
    </row>
    <row r="10">
      <c r="A10" s="19" t="str">
        <f>IFERROR(__xludf.DUMMYFUNCTION("""COMPUTED_VALUE"""),"Allergy")</f>
        <v>Allergy</v>
      </c>
      <c r="B10" s="19" t="str">
        <f>IFERROR(__xludf.DUMMYFUNCTION("""COMPUTED_VALUE"""),"iyal")</f>
        <v>iyal</v>
      </c>
      <c r="C10" s="9" t="str">
        <f>IFERROR(__xludf.DUMMYFUNCTION("GOOGLETRANSLATE($A10,""en"",""de"")"),"Allergie")</f>
        <v>Allergie</v>
      </c>
      <c r="D10" s="9" t="str">
        <f>IFERROR(__xludf.DUMMYFUNCTION("GOOGLETRANSLATE($A10,""en"",""fr"")"),"Allergie")</f>
        <v>Allergie</v>
      </c>
      <c r="E10" s="9" t="str">
        <f>IFERROR(__xludf.DUMMYFUNCTION("GOOGLETRANSLATE($A10,""en"",""es"")"),"Alergia")</f>
        <v>Alergia</v>
      </c>
      <c r="F10" s="9" t="str">
        <f>IFERROR(__xludf.DUMMYFUNCTION("GOOGLETRANSLATE($A10,""en"",""it"")"),"Allergia")</f>
        <v>Allergia</v>
      </c>
      <c r="G10" s="9" t="str">
        <f>IFERROR(__xludf.DUMMYFUNCTION("GOOGLETRANSLATE($A10,""en"",""zh-cn"")"),"过敏")</f>
        <v>过敏</v>
      </c>
      <c r="H10" s="9" t="str">
        <f>IFERROR(__xludf.DUMMYFUNCTION("GOOGLETRANSLATE($A10,""en"",""ja"")"),"アレルギー")</f>
        <v>アレルギー</v>
      </c>
      <c r="I10" s="9" t="str">
        <f>IFERROR(__xludf.DUMMYFUNCTION("GOOGLETRANSLATE($A10,""en"",""ko"")"),"알레르기")</f>
        <v>알레르기</v>
      </c>
      <c r="J10" s="9" t="str">
        <f>IFERROR(__xludf.DUMMYFUNCTION("GOOGLETRANSLATE($A10,""en"",""pt-BR"")"),"Alergia")</f>
        <v>Alergia</v>
      </c>
    </row>
    <row r="11">
      <c r="A11" s="19" t="str">
        <f>IFERROR(__xludf.DUMMYFUNCTION("""COMPUTED_VALUE"""),"Alternative Medicine")</f>
        <v>Alternative Medicine</v>
      </c>
      <c r="B11" s="19" t="str">
        <f>IFERROR(__xludf.DUMMYFUNCTION("""COMPUTED_VALUE"""),"al")</f>
        <v>al</v>
      </c>
      <c r="C11" s="9" t="str">
        <f>IFERROR(__xludf.DUMMYFUNCTION("GOOGLETRANSLATE($A11,""en"",""de"")"),"Alternative Medizin")</f>
        <v>Alternative Medizin</v>
      </c>
      <c r="D11" s="9" t="str">
        <f>IFERROR(__xludf.DUMMYFUNCTION("GOOGLETRANSLATE($A11,""en"",""fr"")"),"Médecine alternative")</f>
        <v>Médecine alternative</v>
      </c>
      <c r="E11" s="9" t="str">
        <f>IFERROR(__xludf.DUMMYFUNCTION("GOOGLETRANSLATE($A11,""en"",""es"")"),"Medicina alternativa")</f>
        <v>Medicina alternativa</v>
      </c>
      <c r="F11" s="9" t="str">
        <f>IFERROR(__xludf.DUMMYFUNCTION("GOOGLETRANSLATE($A11,""en"",""it"")"),"Medicina alternativa")</f>
        <v>Medicina alternativa</v>
      </c>
      <c r="G11" s="9" t="str">
        <f>IFERROR(__xludf.DUMMYFUNCTION("GOOGLETRANSLATE($A11,""en"",""zh-cn"")"),"替代医学")</f>
        <v>替代医学</v>
      </c>
      <c r="H11" s="9" t="str">
        <f>IFERROR(__xludf.DUMMYFUNCTION("GOOGLETRANSLATE($A11,""en"",""ja"")"),"代替医療")</f>
        <v>代替医療</v>
      </c>
      <c r="I11" s="9" t="str">
        <f>IFERROR(__xludf.DUMMYFUNCTION("GOOGLETRANSLATE($A11,""en"",""ko"")"),"대체의학")</f>
        <v>대체의학</v>
      </c>
      <c r="J11" s="9" t="str">
        <f>IFERROR(__xludf.DUMMYFUNCTION("GOOGLETRANSLATE($A11,""en"",""pt-BR"")"),"Medicina Alternativa")</f>
        <v>Medicina Alternativa</v>
      </c>
    </row>
    <row r="12">
      <c r="A12" s="19" t="str">
        <f>IFERROR(__xludf.DUMMYFUNCTION("""COMPUTED_VALUE"""),"Anesthesiology")</f>
        <v>Anesthesiology</v>
      </c>
      <c r="B12" s="19" t="str">
        <f>IFERROR(__xludf.DUMMYFUNCTION("""COMPUTED_VALUE"""),"ae")</f>
        <v>ae</v>
      </c>
      <c r="C12" s="9" t="str">
        <f>IFERROR(__xludf.DUMMYFUNCTION("GOOGLETRANSLATE($A12,""en"",""de"")"),"Anästhesiologie")</f>
        <v>Anästhesiologie</v>
      </c>
      <c r="D12" s="9" t="str">
        <f>IFERROR(__xludf.DUMMYFUNCTION("GOOGLETRANSLATE($A12,""en"",""fr"")"),"Anesthésiologie")</f>
        <v>Anesthésiologie</v>
      </c>
      <c r="E12" s="9" t="str">
        <f>IFERROR(__xludf.DUMMYFUNCTION("GOOGLETRANSLATE($A12,""en"",""es"")"),"Anestesiología")</f>
        <v>Anestesiología</v>
      </c>
      <c r="F12" s="9" t="str">
        <f>IFERROR(__xludf.DUMMYFUNCTION("GOOGLETRANSLATE($A12,""en"",""it"")"),"Anestesiologia")</f>
        <v>Anestesiologia</v>
      </c>
      <c r="G12" s="9" t="str">
        <f>IFERROR(__xludf.DUMMYFUNCTION("GOOGLETRANSLATE($A12,""en"",""zh-cn"")"),"麻醉学")</f>
        <v>麻醉学</v>
      </c>
      <c r="H12" s="9" t="str">
        <f>IFERROR(__xludf.DUMMYFUNCTION("GOOGLETRANSLATE($A12,""en"",""ja"")"),"麻酔学")</f>
        <v>麻酔学</v>
      </c>
      <c r="I12" s="9" t="str">
        <f>IFERROR(__xludf.DUMMYFUNCTION("GOOGLETRANSLATE($A12,""en"",""ko"")"),"마취학")</f>
        <v>마취학</v>
      </c>
      <c r="J12" s="9" t="str">
        <f>IFERROR(__xludf.DUMMYFUNCTION("GOOGLETRANSLATE($A12,""en"",""pt-BR"")"),"Anestesiologia")</f>
        <v>Anestesiologia</v>
      </c>
    </row>
    <row r="13">
      <c r="A13" s="19" t="str">
        <f>IFERROR(__xludf.DUMMYFUNCTION("""COMPUTED_VALUE"""),"Angiology")</f>
        <v>Angiology</v>
      </c>
      <c r="B13" s="19" t="str">
        <f>IFERROR(__xludf.DUMMYFUNCTION("""COMPUTED_VALUE"""),"iman")</f>
        <v>iman</v>
      </c>
      <c r="C13" s="9" t="str">
        <f>IFERROR(__xludf.DUMMYFUNCTION("GOOGLETRANSLATE($A13,""en"",""de"")"),"Angiologie")</f>
        <v>Angiologie</v>
      </c>
      <c r="D13" s="9" t="str">
        <f>IFERROR(__xludf.DUMMYFUNCTION("GOOGLETRANSLATE($A13,""en"",""fr"")"),"Angiologie")</f>
        <v>Angiologie</v>
      </c>
      <c r="E13" s="9" t="str">
        <f>IFERROR(__xludf.DUMMYFUNCTION("GOOGLETRANSLATE($A13,""en"",""es"")"),"Angiología")</f>
        <v>Angiología</v>
      </c>
      <c r="F13" s="9" t="str">
        <f>IFERROR(__xludf.DUMMYFUNCTION("GOOGLETRANSLATE($A13,""en"",""it"")"),"Angiologia")</f>
        <v>Angiologia</v>
      </c>
      <c r="G13" s="9" t="str">
        <f>IFERROR(__xludf.DUMMYFUNCTION("GOOGLETRANSLATE($A13,""en"",""zh-cn"")"),"血管学")</f>
        <v>血管学</v>
      </c>
      <c r="H13" s="9" t="str">
        <f>IFERROR(__xludf.DUMMYFUNCTION("GOOGLETRANSLATE($A13,""en"",""ja"")"),"血管学")</f>
        <v>血管学</v>
      </c>
      <c r="I13" s="9" t="str">
        <f>IFERROR(__xludf.DUMMYFUNCTION("GOOGLETRANSLATE($A13,""en"",""ko"")"),"혈관학")</f>
        <v>혈관학</v>
      </c>
      <c r="J13" s="9" t="str">
        <f>IFERROR(__xludf.DUMMYFUNCTION("GOOGLETRANSLATE($A13,""en"",""pt-BR"")"),"Angiologia")</f>
        <v>Angiologia</v>
      </c>
    </row>
    <row r="14">
      <c r="A14" s="19" t="str">
        <f>IFERROR(__xludf.DUMMYFUNCTION("""COMPUTED_VALUE"""),"Cardiac Electrophysiology")</f>
        <v>Cardiac Electrophysiology</v>
      </c>
      <c r="B14" s="19" t="str">
        <f>IFERROR(__xludf.DUMMYFUNCTION("""COMPUTED_VALUE"""),"cdep")</f>
        <v>cdep</v>
      </c>
      <c r="C14" s="9" t="str">
        <f>IFERROR(__xludf.DUMMYFUNCTION("GOOGLETRANSLATE($A14,""en"",""de"")"),"Herzelektrophysiologie")</f>
        <v>Herzelektrophysiologie</v>
      </c>
      <c r="D14" s="9" t="str">
        <f>IFERROR(__xludf.DUMMYFUNCTION("GOOGLETRANSLATE($A14,""en"",""fr"")"),"Électrophysiologie cardiaque")</f>
        <v>Électrophysiologie cardiaque</v>
      </c>
      <c r="E14" s="9" t="str">
        <f>IFERROR(__xludf.DUMMYFUNCTION("GOOGLETRANSLATE($A14,""en"",""es"")"),"Electrofisiología cardíaca")</f>
        <v>Electrofisiología cardíaca</v>
      </c>
      <c r="F14" s="9" t="str">
        <f>IFERROR(__xludf.DUMMYFUNCTION("GOOGLETRANSLATE($A14,""en"",""it"")"),"Elettrofisiologia cardiaca")</f>
        <v>Elettrofisiologia cardiaca</v>
      </c>
      <c r="G14" s="9" t="str">
        <f>IFERROR(__xludf.DUMMYFUNCTION("GOOGLETRANSLATE($A14,""en"",""zh-cn"")"),"心脏电生理学")</f>
        <v>心脏电生理学</v>
      </c>
      <c r="H14" s="9" t="str">
        <f>IFERROR(__xludf.DUMMYFUNCTION("GOOGLETRANSLATE($A14,""en"",""ja"")"),"心臓電気生理学")</f>
        <v>心臓電気生理学</v>
      </c>
      <c r="I14" s="9" t="str">
        <f>IFERROR(__xludf.DUMMYFUNCTION("GOOGLETRANSLATE($A14,""en"",""ko"")"),"심장 전기생리학")</f>
        <v>심장 전기생리학</v>
      </c>
      <c r="J14" s="9" t="str">
        <f>IFERROR(__xludf.DUMMYFUNCTION("GOOGLETRANSLATE($A14,""en"",""pt-BR"")"),"Eletrofisiologia Cardíaca")</f>
        <v>Eletrofisiologia Cardíaca</v>
      </c>
    </row>
    <row r="15">
      <c r="A15" s="19" t="str">
        <f>IFERROR(__xludf.DUMMYFUNCTION("""COMPUTED_VALUE"""),"Cardiology")</f>
        <v>Cardiology</v>
      </c>
      <c r="B15" s="19" t="str">
        <f>IFERROR(__xludf.DUMMYFUNCTION("""COMPUTED_VALUE"""),"cd")</f>
        <v>cd</v>
      </c>
      <c r="C15" s="9" t="str">
        <f>IFERROR(__xludf.DUMMYFUNCTION("GOOGLETRANSLATE($A15,""en"",""de"")"),"Kardiologie")</f>
        <v>Kardiologie</v>
      </c>
      <c r="D15" s="9" t="str">
        <f>IFERROR(__xludf.DUMMYFUNCTION("GOOGLETRANSLATE($A15,""en"",""fr"")"),"Cardiologie")</f>
        <v>Cardiologie</v>
      </c>
      <c r="E15" s="9" t="str">
        <f>IFERROR(__xludf.DUMMYFUNCTION("GOOGLETRANSLATE($A15,""en"",""es"")"),"Cardiología")</f>
        <v>Cardiología</v>
      </c>
      <c r="F15" s="9" t="str">
        <f>IFERROR(__xludf.DUMMYFUNCTION("GOOGLETRANSLATE($A15,""en"",""it"")"),"Cardiologia")</f>
        <v>Cardiologia</v>
      </c>
      <c r="G15" s="9" t="str">
        <f>IFERROR(__xludf.DUMMYFUNCTION("GOOGLETRANSLATE($A15,""en"",""zh-cn"")"),"心脏病学")</f>
        <v>心脏病学</v>
      </c>
      <c r="H15" s="9" t="str">
        <f>IFERROR(__xludf.DUMMYFUNCTION("GOOGLETRANSLATE($A15,""en"",""ja"")"),"心臓病学")</f>
        <v>心臓病学</v>
      </c>
      <c r="I15" s="9" t="str">
        <f>IFERROR(__xludf.DUMMYFUNCTION("GOOGLETRANSLATE($A15,""en"",""ko"")"),"심장학")</f>
        <v>심장학</v>
      </c>
      <c r="J15" s="9" t="str">
        <f>IFERROR(__xludf.DUMMYFUNCTION("GOOGLETRANSLATE($A15,""en"",""pt-BR"")"),"Cardiologia")</f>
        <v>Cardiologia</v>
      </c>
    </row>
    <row r="16">
      <c r="A16" s="19" t="str">
        <f>IFERROR(__xludf.DUMMYFUNCTION("""COMPUTED_VALUE"""),"Cardiothoracic Surgery")</f>
        <v>Cardiothoracic Surgery</v>
      </c>
      <c r="B16" s="19" t="str">
        <f>IFERROR(__xludf.DUMMYFUNCTION("""COMPUTED_VALUE"""),"suct")</f>
        <v>suct</v>
      </c>
      <c r="C16" s="9" t="str">
        <f>IFERROR(__xludf.DUMMYFUNCTION("GOOGLETRANSLATE($A16,""en"",""de"")"),"Herz-Thorax-Chirurgie")</f>
        <v>Herz-Thorax-Chirurgie</v>
      </c>
      <c r="D16" s="9" t="str">
        <f>IFERROR(__xludf.DUMMYFUNCTION("GOOGLETRANSLATE($A16,""en"",""fr"")"),"Chirurgie cardiothoracique")</f>
        <v>Chirurgie cardiothoracique</v>
      </c>
      <c r="E16" s="9" t="str">
        <f>IFERROR(__xludf.DUMMYFUNCTION("GOOGLETRANSLATE($A16,""en"",""es"")"),"Cirugía Cardiotorácica")</f>
        <v>Cirugía Cardiotorácica</v>
      </c>
      <c r="F16" s="9" t="str">
        <f>IFERROR(__xludf.DUMMYFUNCTION("GOOGLETRANSLATE($A16,""en"",""it"")"),"Chirurgia cardiotoracica")</f>
        <v>Chirurgia cardiotoracica</v>
      </c>
      <c r="G16" s="9" t="str">
        <f>IFERROR(__xludf.DUMMYFUNCTION("GOOGLETRANSLATE($A16,""en"",""zh-cn"")"),"心胸外科")</f>
        <v>心胸外科</v>
      </c>
      <c r="H16" s="9" t="str">
        <f>IFERROR(__xludf.DUMMYFUNCTION("GOOGLETRANSLATE($A16,""en"",""ja"")"),"心臓胸部外科")</f>
        <v>心臓胸部外科</v>
      </c>
      <c r="I16" s="9" t="str">
        <f>IFERROR(__xludf.DUMMYFUNCTION("GOOGLETRANSLATE($A16,""en"",""ko"")"),"심장흉부외과")</f>
        <v>심장흉부외과</v>
      </c>
      <c r="J16" s="9" t="str">
        <f>IFERROR(__xludf.DUMMYFUNCTION("GOOGLETRANSLATE($A16,""en"",""pt-BR"")"),"Cirurgia Cardiotorácica")</f>
        <v>Cirurgia Cardiotorácica</v>
      </c>
    </row>
    <row r="17">
      <c r="A17" s="19" t="str">
        <f>IFERROR(__xludf.DUMMYFUNCTION("""COMPUTED_VALUE"""),"Colorectal Surgery")</f>
        <v>Colorectal Surgery</v>
      </c>
      <c r="B17" s="19" t="str">
        <f>IFERROR(__xludf.DUMMYFUNCTION("""COMPUTED_VALUE"""),"sucr")</f>
        <v>sucr</v>
      </c>
      <c r="C17" s="9" t="str">
        <f>IFERROR(__xludf.DUMMYFUNCTION("GOOGLETRANSLATE($A17,""en"",""de"")"),"Kolorektale Chirurgie")</f>
        <v>Kolorektale Chirurgie</v>
      </c>
      <c r="D17" s="9" t="str">
        <f>IFERROR(__xludf.DUMMYFUNCTION("GOOGLETRANSLATE($A17,""en"",""fr"")"),"Chirurgie colorectale")</f>
        <v>Chirurgie colorectale</v>
      </c>
      <c r="E17" s="9" t="str">
        <f>IFERROR(__xludf.DUMMYFUNCTION("GOOGLETRANSLATE($A17,""en"",""es"")"),"Cirugía Colorrectal")</f>
        <v>Cirugía Colorrectal</v>
      </c>
      <c r="F17" s="9" t="str">
        <f>IFERROR(__xludf.DUMMYFUNCTION("GOOGLETRANSLATE($A17,""en"",""it"")"),"Chirurgia colorettale")</f>
        <v>Chirurgia colorettale</v>
      </c>
      <c r="G17" s="9" t="str">
        <f>IFERROR(__xludf.DUMMYFUNCTION("GOOGLETRANSLATE($A17,""en"",""zh-cn"")"),"结直肠手术")</f>
        <v>结直肠手术</v>
      </c>
      <c r="H17" s="9" t="str">
        <f>IFERROR(__xludf.DUMMYFUNCTION("GOOGLETRANSLATE($A17,""en"",""ja"")"),"結腸直腸外科")</f>
        <v>結腸直腸外科</v>
      </c>
      <c r="I17" s="9" t="str">
        <f>IFERROR(__xludf.DUMMYFUNCTION("GOOGLETRANSLATE($A17,""en"",""ko"")"),"대장항문외과")</f>
        <v>대장항문외과</v>
      </c>
      <c r="J17" s="9" t="str">
        <f>IFERROR(__xludf.DUMMYFUNCTION("GOOGLETRANSLATE($A17,""en"",""pt-BR"")"),"Cirurgia Colorretal")</f>
        <v>Cirurgia Colorretal</v>
      </c>
    </row>
    <row r="18">
      <c r="A18" s="19" t="str">
        <f>IFERROR(__xludf.DUMMYFUNCTION("""COMPUTED_VALUE"""),"Dentistry")</f>
        <v>Dentistry</v>
      </c>
      <c r="B18" s="19" t="str">
        <f>IFERROR(__xludf.DUMMYFUNCTION("""COMPUTED_VALUE"""),"dt")</f>
        <v>dt</v>
      </c>
      <c r="C18" s="9" t="str">
        <f>IFERROR(__xludf.DUMMYFUNCTION("GOOGLETRANSLATE($A18,""en"",""de"")"),"Zahnheilkunde")</f>
        <v>Zahnheilkunde</v>
      </c>
      <c r="D18" s="9" t="str">
        <f>IFERROR(__xludf.DUMMYFUNCTION("GOOGLETRANSLATE($A18,""en"",""fr"")"),"Dentisterie")</f>
        <v>Dentisterie</v>
      </c>
      <c r="E18" s="9" t="str">
        <f>IFERROR(__xludf.DUMMYFUNCTION("GOOGLETRANSLATE($A18,""en"",""es"")"),"Odontología")</f>
        <v>Odontología</v>
      </c>
      <c r="F18" s="9" t="str">
        <f>IFERROR(__xludf.DUMMYFUNCTION("GOOGLETRANSLATE($A18,""en"",""it"")"),"Odontoiatria")</f>
        <v>Odontoiatria</v>
      </c>
      <c r="G18" s="9" t="str">
        <f>IFERROR(__xludf.DUMMYFUNCTION("GOOGLETRANSLATE($A18,""en"",""zh-cn"")"),"牙科")</f>
        <v>牙科</v>
      </c>
      <c r="H18" s="9" t="str">
        <f>IFERROR(__xludf.DUMMYFUNCTION("GOOGLETRANSLATE($A18,""en"",""ja"")"),"歯科")</f>
        <v>歯科</v>
      </c>
      <c r="I18" s="9" t="str">
        <f>IFERROR(__xludf.DUMMYFUNCTION("GOOGLETRANSLATE($A18,""en"",""ko"")"),"치과")</f>
        <v>치과</v>
      </c>
      <c r="J18" s="9" t="str">
        <f>IFERROR(__xludf.DUMMYFUNCTION("GOOGLETRANSLATE($A18,""en"",""pt-BR"")"),"Odontologia")</f>
        <v>Odontologia</v>
      </c>
    </row>
    <row r="19">
      <c r="A19" s="19" t="str">
        <f>IFERROR(__xludf.DUMMYFUNCTION("""COMPUTED_VALUE"""),"Dermatologic Surgery")</f>
        <v>Dermatologic Surgery</v>
      </c>
      <c r="B19" s="19" t="str">
        <f>IFERROR(__xludf.DUMMYFUNCTION("""COMPUTED_VALUE"""),"sudm")</f>
        <v>sudm</v>
      </c>
      <c r="C19" s="9" t="str">
        <f>IFERROR(__xludf.DUMMYFUNCTION("GOOGLETRANSLATE($A19,""en"",""de"")"),"Dermatologische Chirurgie")</f>
        <v>Dermatologische Chirurgie</v>
      </c>
      <c r="D19" s="9" t="str">
        <f>IFERROR(__xludf.DUMMYFUNCTION("GOOGLETRANSLATE($A19,""en"",""fr"")"),"Chirurgie dermatologique")</f>
        <v>Chirurgie dermatologique</v>
      </c>
      <c r="E19" s="9" t="str">
        <f>IFERROR(__xludf.DUMMYFUNCTION("GOOGLETRANSLATE($A19,""en"",""es"")"),"Cirugía Dermatológica")</f>
        <v>Cirugía Dermatológica</v>
      </c>
      <c r="F19" s="9" t="str">
        <f>IFERROR(__xludf.DUMMYFUNCTION("GOOGLETRANSLATE($A19,""en"",""it"")"),"Chirurgia dermatologica")</f>
        <v>Chirurgia dermatologica</v>
      </c>
      <c r="G19" s="9" t="str">
        <f>IFERROR(__xludf.DUMMYFUNCTION("GOOGLETRANSLATE($A19,""en"",""zh-cn"")"),"皮肤外科")</f>
        <v>皮肤外科</v>
      </c>
      <c r="H19" s="9" t="str">
        <f>IFERROR(__xludf.DUMMYFUNCTION("GOOGLETRANSLATE($A19,""en"",""ja"")"),"皮膚外科")</f>
        <v>皮膚外科</v>
      </c>
      <c r="I19" s="9" t="str">
        <f>IFERROR(__xludf.DUMMYFUNCTION("GOOGLETRANSLATE($A19,""en"",""ko"")"),"피부외과")</f>
        <v>피부외과</v>
      </c>
      <c r="J19" s="9" t="str">
        <f>IFERROR(__xludf.DUMMYFUNCTION("GOOGLETRANSLATE($A19,""en"",""pt-BR"")"),"Cirurgia Dermatológica")</f>
        <v>Cirurgia Dermatológica</v>
      </c>
    </row>
    <row r="20">
      <c r="A20" s="19" t="str">
        <f>IFERROR(__xludf.DUMMYFUNCTION("""COMPUTED_VALUE"""),"Dermatology")</f>
        <v>Dermatology</v>
      </c>
      <c r="B20" s="19" t="str">
        <f>IFERROR(__xludf.DUMMYFUNCTION("""COMPUTED_VALUE"""),"dm")</f>
        <v>dm</v>
      </c>
      <c r="C20" s="9" t="str">
        <f>IFERROR(__xludf.DUMMYFUNCTION("GOOGLETRANSLATE($A20,""en"",""de"")"),"Dermatologie")</f>
        <v>Dermatologie</v>
      </c>
      <c r="D20" s="9" t="str">
        <f>IFERROR(__xludf.DUMMYFUNCTION("GOOGLETRANSLATE($A20,""en"",""fr"")"),"Dermatologie")</f>
        <v>Dermatologie</v>
      </c>
      <c r="E20" s="9" t="str">
        <f>IFERROR(__xludf.DUMMYFUNCTION("GOOGLETRANSLATE($A20,""en"",""es"")"),"Dermatología")</f>
        <v>Dermatología</v>
      </c>
      <c r="F20" s="9" t="str">
        <f>IFERROR(__xludf.DUMMYFUNCTION("GOOGLETRANSLATE($A20,""en"",""it"")"),"Dermatologia")</f>
        <v>Dermatologia</v>
      </c>
      <c r="G20" s="9" t="str">
        <f>IFERROR(__xludf.DUMMYFUNCTION("GOOGLETRANSLATE($A20,""en"",""zh-cn"")"),"皮肤科")</f>
        <v>皮肤科</v>
      </c>
      <c r="H20" s="9" t="str">
        <f>IFERROR(__xludf.DUMMYFUNCTION("GOOGLETRANSLATE($A20,""en"",""ja"")"),"皮膚科")</f>
        <v>皮膚科</v>
      </c>
      <c r="I20" s="9" t="str">
        <f>IFERROR(__xludf.DUMMYFUNCTION("GOOGLETRANSLATE($A20,""en"",""ko"")"),"피부과")</f>
        <v>피부과</v>
      </c>
      <c r="J20" s="9" t="str">
        <f>IFERROR(__xludf.DUMMYFUNCTION("GOOGLETRANSLATE($A20,""en"",""pt-BR"")"),"Dermatologia")</f>
        <v>Dermatologia</v>
      </c>
    </row>
    <row r="21">
      <c r="A21" s="19" t="str">
        <f>IFERROR(__xludf.DUMMYFUNCTION("""COMPUTED_VALUE"""),"Diabetes")</f>
        <v>Diabetes</v>
      </c>
      <c r="B21" s="19" t="str">
        <f>IFERROR(__xludf.DUMMYFUNCTION("""COMPUTED_VALUE"""),"eddm")</f>
        <v>eddm</v>
      </c>
      <c r="C21" s="9" t="str">
        <f>IFERROR(__xludf.DUMMYFUNCTION("GOOGLETRANSLATE($A21,""en"",""de"")"),"Diabetes")</f>
        <v>Diabetes</v>
      </c>
      <c r="D21" s="9" t="str">
        <f>IFERROR(__xludf.DUMMYFUNCTION("GOOGLETRANSLATE($A21,""en"",""fr"")"),"Diabète")</f>
        <v>Diabète</v>
      </c>
      <c r="E21" s="9" t="str">
        <f>IFERROR(__xludf.DUMMYFUNCTION("GOOGLETRANSLATE($A21,""en"",""es"")"),"Diabetes")</f>
        <v>Diabetes</v>
      </c>
      <c r="F21" s="9" t="str">
        <f>IFERROR(__xludf.DUMMYFUNCTION("GOOGLETRANSLATE($A21,""en"",""it"")"),"Diabete")</f>
        <v>Diabete</v>
      </c>
      <c r="G21" s="9" t="str">
        <f>IFERROR(__xludf.DUMMYFUNCTION("GOOGLETRANSLATE($A21,""en"",""zh-cn"")"),"糖尿病")</f>
        <v>糖尿病</v>
      </c>
      <c r="H21" s="9" t="str">
        <f>IFERROR(__xludf.DUMMYFUNCTION("GOOGLETRANSLATE($A21,""en"",""ja"")"),"糖尿病")</f>
        <v>糖尿病</v>
      </c>
      <c r="I21" s="9" t="str">
        <f>IFERROR(__xludf.DUMMYFUNCTION("GOOGLETRANSLATE($A21,""en"",""ko"")"),"당뇨병")</f>
        <v>당뇨병</v>
      </c>
      <c r="J21" s="9" t="str">
        <f>IFERROR(__xludf.DUMMYFUNCTION("GOOGLETRANSLATE($A21,""en"",""pt-BR"")"),"Diabetes")</f>
        <v>Diabetes</v>
      </c>
    </row>
    <row r="22">
      <c r="A22" s="19" t="str">
        <f>IFERROR(__xludf.DUMMYFUNCTION("""COMPUTED_VALUE"""),"Emergency Medicine")</f>
        <v>Emergency Medicine</v>
      </c>
      <c r="B22" s="19" t="str">
        <f>IFERROR(__xludf.DUMMYFUNCTION("""COMPUTED_VALUE"""),"em")</f>
        <v>em</v>
      </c>
      <c r="C22" s="9" t="str">
        <f>IFERROR(__xludf.DUMMYFUNCTION("GOOGLETRANSLATE($A22,""en"",""de"")"),"Notfallmedizin")</f>
        <v>Notfallmedizin</v>
      </c>
      <c r="D22" s="9" t="str">
        <f>IFERROR(__xludf.DUMMYFUNCTION("GOOGLETRANSLATE($A22,""en"",""fr"")"),"Médecine d'urgence")</f>
        <v>Médecine d'urgence</v>
      </c>
      <c r="E22" s="9" t="str">
        <f>IFERROR(__xludf.DUMMYFUNCTION("GOOGLETRANSLATE($A22,""en"",""es"")"),"Medicina de emergencia")</f>
        <v>Medicina de emergencia</v>
      </c>
      <c r="F22" s="9" t="str">
        <f>IFERROR(__xludf.DUMMYFUNCTION("GOOGLETRANSLATE($A22,""en"",""it"")"),"Medicina d'urgenza")</f>
        <v>Medicina d'urgenza</v>
      </c>
      <c r="G22" s="9" t="str">
        <f>IFERROR(__xludf.DUMMYFUNCTION("GOOGLETRANSLATE($A22,""en"",""zh-cn"")"),"急诊医学")</f>
        <v>急诊医学</v>
      </c>
      <c r="H22" s="9" t="str">
        <f>IFERROR(__xludf.DUMMYFUNCTION("GOOGLETRANSLATE($A22,""en"",""ja"")"),"救急医療")</f>
        <v>救急医療</v>
      </c>
      <c r="I22" s="9" t="str">
        <f>IFERROR(__xludf.DUMMYFUNCTION("GOOGLETRANSLATE($A22,""en"",""ko"")"),"응급의학")</f>
        <v>응급의학</v>
      </c>
      <c r="J22" s="9" t="str">
        <f>IFERROR(__xludf.DUMMYFUNCTION("GOOGLETRANSLATE($A22,""en"",""pt-BR"")"),"Medicina de Emergência")</f>
        <v>Medicina de Emergência</v>
      </c>
    </row>
    <row r="23">
      <c r="A23" s="19" t="str">
        <f>IFERROR(__xludf.DUMMYFUNCTION("""COMPUTED_VALUE"""),"Endocrinology")</f>
        <v>Endocrinology</v>
      </c>
      <c r="B23" s="19" t="str">
        <f>IFERROR(__xludf.DUMMYFUNCTION("""COMPUTED_VALUE"""),"ed")</f>
        <v>ed</v>
      </c>
      <c r="C23" s="9" t="str">
        <f>IFERROR(__xludf.DUMMYFUNCTION("GOOGLETRANSLATE($A23,""en"",""de"")"),"Endokrinologie")</f>
        <v>Endokrinologie</v>
      </c>
      <c r="D23" s="9" t="str">
        <f>IFERROR(__xludf.DUMMYFUNCTION("GOOGLETRANSLATE($A23,""en"",""fr"")"),"Endocrinologie")</f>
        <v>Endocrinologie</v>
      </c>
      <c r="E23" s="9" t="str">
        <f>IFERROR(__xludf.DUMMYFUNCTION("GOOGLETRANSLATE($A23,""en"",""es"")"),"Endocrinología")</f>
        <v>Endocrinología</v>
      </c>
      <c r="F23" s="9" t="str">
        <f>IFERROR(__xludf.DUMMYFUNCTION("GOOGLETRANSLATE($A23,""en"",""it"")"),"Endocrinologia")</f>
        <v>Endocrinologia</v>
      </c>
      <c r="G23" s="9" t="str">
        <f>IFERROR(__xludf.DUMMYFUNCTION("GOOGLETRANSLATE($A23,""en"",""zh-cn"")"),"内分泌科")</f>
        <v>内分泌科</v>
      </c>
      <c r="H23" s="9" t="str">
        <f>IFERROR(__xludf.DUMMYFUNCTION("GOOGLETRANSLATE($A23,""en"",""ja"")"),"内分泌学")</f>
        <v>内分泌学</v>
      </c>
      <c r="I23" s="9" t="str">
        <f>IFERROR(__xludf.DUMMYFUNCTION("GOOGLETRANSLATE($A23,""en"",""ko"")"),"내분비학")</f>
        <v>내분비학</v>
      </c>
      <c r="J23" s="9" t="str">
        <f>IFERROR(__xludf.DUMMYFUNCTION("GOOGLETRANSLATE($A23,""en"",""pt-BR"")"),"Endocrinologia")</f>
        <v>Endocrinologia</v>
      </c>
    </row>
    <row r="24">
      <c r="A24" s="19" t="str">
        <f>IFERROR(__xludf.DUMMYFUNCTION("""COMPUTED_VALUE"""),"Endoscopy")</f>
        <v>Endoscopy</v>
      </c>
      <c r="B24" s="19" t="str">
        <f>IFERROR(__xludf.DUMMYFUNCTION("""COMPUTED_VALUE"""),"imen")</f>
        <v>imen</v>
      </c>
      <c r="C24" s="9" t="str">
        <f>IFERROR(__xludf.DUMMYFUNCTION("GOOGLETRANSLATE($A24,""en"",""de"")"),"Endoskopie")</f>
        <v>Endoskopie</v>
      </c>
      <c r="D24" s="9" t="str">
        <f>IFERROR(__xludf.DUMMYFUNCTION("GOOGLETRANSLATE($A24,""en"",""fr"")"),"Endoscopie")</f>
        <v>Endoscopie</v>
      </c>
      <c r="E24" s="9" t="str">
        <f>IFERROR(__xludf.DUMMYFUNCTION("GOOGLETRANSLATE($A24,""en"",""es"")"),"Endoscopia")</f>
        <v>Endoscopia</v>
      </c>
      <c r="F24" s="9" t="str">
        <f>IFERROR(__xludf.DUMMYFUNCTION("GOOGLETRANSLATE($A24,""en"",""it"")"),"Endoscopia")</f>
        <v>Endoscopia</v>
      </c>
      <c r="G24" s="9" t="str">
        <f>IFERROR(__xludf.DUMMYFUNCTION("GOOGLETRANSLATE($A24,""en"",""zh-cn"")"),"内窥镜检查")</f>
        <v>内窥镜检查</v>
      </c>
      <c r="H24" s="9" t="str">
        <f>IFERROR(__xludf.DUMMYFUNCTION("GOOGLETRANSLATE($A24,""en"",""ja"")"),"内視鏡検査")</f>
        <v>内視鏡検査</v>
      </c>
      <c r="I24" s="9" t="str">
        <f>IFERROR(__xludf.DUMMYFUNCTION("GOOGLETRANSLATE($A24,""en"",""ko"")"),"내시경검사")</f>
        <v>내시경검사</v>
      </c>
      <c r="J24" s="9" t="str">
        <f>IFERROR(__xludf.DUMMYFUNCTION("GOOGLETRANSLATE($A24,""en"",""pt-BR"")"),"Endoscopia")</f>
        <v>Endoscopia</v>
      </c>
    </row>
    <row r="25">
      <c r="A25" s="19" t="str">
        <f>IFERROR(__xludf.DUMMYFUNCTION("""COMPUTED_VALUE"""),"Family Medicine")</f>
        <v>Family Medicine</v>
      </c>
      <c r="B25" s="19" t="str">
        <f>IFERROR(__xludf.DUMMYFUNCTION("""COMPUTED_VALUE"""),"gpfm")</f>
        <v>gpfm</v>
      </c>
      <c r="C25" s="9" t="str">
        <f>IFERROR(__xludf.DUMMYFUNCTION("GOOGLETRANSLATE($A25,""en"",""de"")"),"Familienmedizin")</f>
        <v>Familienmedizin</v>
      </c>
      <c r="D25" s="9" t="str">
        <f>IFERROR(__xludf.DUMMYFUNCTION("GOOGLETRANSLATE($A25,""en"",""fr"")"),"Médecine familiale")</f>
        <v>Médecine familiale</v>
      </c>
      <c r="E25" s="9" t="str">
        <f>IFERROR(__xludf.DUMMYFUNCTION("GOOGLETRANSLATE($A25,""en"",""es"")"),"Medicina Familiar")</f>
        <v>Medicina Familiar</v>
      </c>
      <c r="F25" s="9" t="str">
        <f>IFERROR(__xludf.DUMMYFUNCTION("GOOGLETRANSLATE($A25,""en"",""it"")"),"Medicina di famiglia")</f>
        <v>Medicina di famiglia</v>
      </c>
      <c r="G25" s="9" t="str">
        <f>IFERROR(__xludf.DUMMYFUNCTION("GOOGLETRANSLATE($A25,""en"",""zh-cn"")"),"家庭医学")</f>
        <v>家庭医学</v>
      </c>
      <c r="H25" s="9" t="str">
        <f>IFERROR(__xludf.DUMMYFUNCTION("GOOGLETRANSLATE($A25,""en"",""ja"")"),"家庭医学")</f>
        <v>家庭医学</v>
      </c>
      <c r="I25" s="9" t="str">
        <f>IFERROR(__xludf.DUMMYFUNCTION("GOOGLETRANSLATE($A25,""en"",""ko"")"),"가정의학")</f>
        <v>가정의학</v>
      </c>
      <c r="J25" s="9" t="str">
        <f>IFERROR(__xludf.DUMMYFUNCTION("GOOGLETRANSLATE($A25,""en"",""pt-BR"")"),"Medicina Familiar")</f>
        <v>Medicina Familiar</v>
      </c>
    </row>
    <row r="26">
      <c r="A26" s="19" t="str">
        <f>IFERROR(__xludf.DUMMYFUNCTION("""COMPUTED_VALUE"""),"Gastroenterology")</f>
        <v>Gastroenterology</v>
      </c>
      <c r="B26" s="19" t="str">
        <f>IFERROR(__xludf.DUMMYFUNCTION("""COMPUTED_VALUE"""),"ge")</f>
        <v>ge</v>
      </c>
      <c r="C26" s="9" t="str">
        <f>IFERROR(__xludf.DUMMYFUNCTION("GOOGLETRANSLATE($A26,""en"",""de"")"),"Gastroenterologie")</f>
        <v>Gastroenterologie</v>
      </c>
      <c r="D26" s="9" t="str">
        <f>IFERROR(__xludf.DUMMYFUNCTION("GOOGLETRANSLATE($A26,""en"",""fr"")"),"Gastro-entérologie")</f>
        <v>Gastro-entérologie</v>
      </c>
      <c r="E26" s="9" t="str">
        <f>IFERROR(__xludf.DUMMYFUNCTION("GOOGLETRANSLATE($A26,""en"",""es"")"),"Gastroenterología")</f>
        <v>Gastroenterología</v>
      </c>
      <c r="F26" s="9" t="str">
        <f>IFERROR(__xludf.DUMMYFUNCTION("GOOGLETRANSLATE($A26,""en"",""it"")"),"Gastroenterologia")</f>
        <v>Gastroenterologia</v>
      </c>
      <c r="G26" s="9" t="str">
        <f>IFERROR(__xludf.DUMMYFUNCTION("GOOGLETRANSLATE($A26,""en"",""zh-cn"")"),"胃肠病学")</f>
        <v>胃肠病学</v>
      </c>
      <c r="H26" s="9" t="str">
        <f>IFERROR(__xludf.DUMMYFUNCTION("GOOGLETRANSLATE($A26,""en"",""ja"")"),"消化器科")</f>
        <v>消化器科</v>
      </c>
      <c r="I26" s="9" t="str">
        <f>IFERROR(__xludf.DUMMYFUNCTION("GOOGLETRANSLATE($A26,""en"",""ko"")"),"위장병학")</f>
        <v>위장병학</v>
      </c>
      <c r="J26" s="9" t="str">
        <f>IFERROR(__xludf.DUMMYFUNCTION("GOOGLETRANSLATE($A26,""en"",""pt-BR"")"),"Gastroenterologia")</f>
        <v>Gastroenterologia</v>
      </c>
    </row>
    <row r="27">
      <c r="A27" s="19" t="str">
        <f>IFERROR(__xludf.DUMMYFUNCTION("""COMPUTED_VALUE"""),"General Practice")</f>
        <v>General Practice</v>
      </c>
      <c r="B27" s="19" t="str">
        <f>IFERROR(__xludf.DUMMYFUNCTION("""COMPUTED_VALUE"""),"gp")</f>
        <v>gp</v>
      </c>
      <c r="C27" s="9" t="str">
        <f>IFERROR(__xludf.DUMMYFUNCTION("GOOGLETRANSLATE($A27,""en"",""de"")"),"Allgemeinmedizin")</f>
        <v>Allgemeinmedizin</v>
      </c>
      <c r="D27" s="9" t="str">
        <f>IFERROR(__xludf.DUMMYFUNCTION("GOOGLETRANSLATE($A27,""en"",""fr"")"),"Médecine générale")</f>
        <v>Médecine générale</v>
      </c>
      <c r="E27" s="9" t="str">
        <f>IFERROR(__xludf.DUMMYFUNCTION("GOOGLETRANSLATE($A27,""en"",""es"")"),"Práctica general")</f>
        <v>Práctica general</v>
      </c>
      <c r="F27" s="9" t="str">
        <f>IFERROR(__xludf.DUMMYFUNCTION("GOOGLETRANSLATE($A27,""en"",""it"")"),"Pratica generale")</f>
        <v>Pratica generale</v>
      </c>
      <c r="G27" s="9" t="str">
        <f>IFERROR(__xludf.DUMMYFUNCTION("GOOGLETRANSLATE($A27,""en"",""zh-cn"")"),"一般实践")</f>
        <v>一般实践</v>
      </c>
      <c r="H27" s="9" t="str">
        <f>IFERROR(__xludf.DUMMYFUNCTION("GOOGLETRANSLATE($A27,""en"",""ja"")"),"一般診療")</f>
        <v>一般診療</v>
      </c>
      <c r="I27" s="9" t="str">
        <f>IFERROR(__xludf.DUMMYFUNCTION("GOOGLETRANSLATE($A27,""en"",""ko"")"),"일반 실습")</f>
        <v>일반 실습</v>
      </c>
      <c r="J27" s="9" t="str">
        <f>IFERROR(__xludf.DUMMYFUNCTION("GOOGLETRANSLATE($A27,""en"",""pt-BR"")"),"Clínica Geral")</f>
        <v>Clínica Geral</v>
      </c>
    </row>
    <row r="28">
      <c r="A28" s="19" t="str">
        <f>IFERROR(__xludf.DUMMYFUNCTION("""COMPUTED_VALUE"""),"Genetics")</f>
        <v>Genetics</v>
      </c>
      <c r="B28" s="19" t="str">
        <f>IFERROR(__xludf.DUMMYFUNCTION("""COMPUTED_VALUE"""),"gn")</f>
        <v>gn</v>
      </c>
      <c r="C28" s="9" t="str">
        <f>IFERROR(__xludf.DUMMYFUNCTION("GOOGLETRANSLATE($A28,""en"",""de"")"),"Genetik")</f>
        <v>Genetik</v>
      </c>
      <c r="D28" s="9" t="str">
        <f>IFERROR(__xludf.DUMMYFUNCTION("GOOGLETRANSLATE($A28,""en"",""fr"")"),"Génétique")</f>
        <v>Génétique</v>
      </c>
      <c r="E28" s="9" t="str">
        <f>IFERROR(__xludf.DUMMYFUNCTION("GOOGLETRANSLATE($A28,""en"",""es"")"),"Genética")</f>
        <v>Genética</v>
      </c>
      <c r="F28" s="9" t="str">
        <f>IFERROR(__xludf.DUMMYFUNCTION("GOOGLETRANSLATE($A28,""en"",""it"")"),"Genetica")</f>
        <v>Genetica</v>
      </c>
      <c r="G28" s="9" t="str">
        <f>IFERROR(__xludf.DUMMYFUNCTION("GOOGLETRANSLATE($A28,""en"",""zh-cn"")"),"遗传学")</f>
        <v>遗传学</v>
      </c>
      <c r="H28" s="9" t="str">
        <f>IFERROR(__xludf.DUMMYFUNCTION("GOOGLETRANSLATE($A28,""en"",""ja"")"),"遺伝学")</f>
        <v>遺伝学</v>
      </c>
      <c r="I28" s="9" t="str">
        <f>IFERROR(__xludf.DUMMYFUNCTION("GOOGLETRANSLATE($A28,""en"",""ko"")"),"유전학")</f>
        <v>유전학</v>
      </c>
      <c r="J28" s="9" t="str">
        <f>IFERROR(__xludf.DUMMYFUNCTION("GOOGLETRANSLATE($A28,""en"",""pt-BR"")"),"Genética")</f>
        <v>Genética</v>
      </c>
    </row>
    <row r="29">
      <c r="A29" s="19" t="str">
        <f>IFERROR(__xludf.DUMMYFUNCTION("""COMPUTED_VALUE"""),"Geriatric Psychiatry")</f>
        <v>Geriatric Psychiatry</v>
      </c>
      <c r="B29" s="19" t="str">
        <f>IFERROR(__xludf.DUMMYFUNCTION("""COMPUTED_VALUE"""),"grpy")</f>
        <v>grpy</v>
      </c>
      <c r="C29" s="9" t="str">
        <f>IFERROR(__xludf.DUMMYFUNCTION("GOOGLETRANSLATE($A29,""en"",""de"")"),"Geriatrische Psychiatrie")</f>
        <v>Geriatrische Psychiatrie</v>
      </c>
      <c r="D29" s="9" t="str">
        <f>IFERROR(__xludf.DUMMYFUNCTION("GOOGLETRANSLATE($A29,""en"",""fr"")"),"Psychiatrie gériatrique")</f>
        <v>Psychiatrie gériatrique</v>
      </c>
      <c r="E29" s="9" t="str">
        <f>IFERROR(__xludf.DUMMYFUNCTION("GOOGLETRANSLATE($A29,""en"",""es"")"),"Psiquiatría geriátrica")</f>
        <v>Psiquiatría geriátrica</v>
      </c>
      <c r="F29" s="9" t="str">
        <f>IFERROR(__xludf.DUMMYFUNCTION("GOOGLETRANSLATE($A29,""en"",""it"")"),"Psichiatria geriatrica")</f>
        <v>Psichiatria geriatrica</v>
      </c>
      <c r="G29" s="9" t="str">
        <f>IFERROR(__xludf.DUMMYFUNCTION("GOOGLETRANSLATE($A29,""en"",""zh-cn"")"),"老年精神病学")</f>
        <v>老年精神病学</v>
      </c>
      <c r="H29" s="9" t="str">
        <f>IFERROR(__xludf.DUMMYFUNCTION("GOOGLETRANSLATE($A29,""en"",""ja"")"),"老年精神医学")</f>
        <v>老年精神医学</v>
      </c>
      <c r="I29" s="9" t="str">
        <f>IFERROR(__xludf.DUMMYFUNCTION("GOOGLETRANSLATE($A29,""en"",""ko"")"),"노인정신과")</f>
        <v>노인정신과</v>
      </c>
      <c r="J29" s="9" t="str">
        <f>IFERROR(__xludf.DUMMYFUNCTION("GOOGLETRANSLATE($A29,""en"",""pt-BR"")"),"Psiquiatria Geriátrica")</f>
        <v>Psiquiatria Geriátrica</v>
      </c>
    </row>
    <row r="30">
      <c r="A30" s="19" t="str">
        <f>IFERROR(__xludf.DUMMYFUNCTION("""COMPUTED_VALUE"""),"Geriatrics")</f>
        <v>Geriatrics</v>
      </c>
      <c r="B30" s="19" t="str">
        <f>IFERROR(__xludf.DUMMYFUNCTION("""COMPUTED_VALUE"""),"gr")</f>
        <v>gr</v>
      </c>
      <c r="C30" s="9" t="str">
        <f>IFERROR(__xludf.DUMMYFUNCTION("GOOGLETRANSLATE($A30,""en"",""de"")"),"Geriatrie")</f>
        <v>Geriatrie</v>
      </c>
      <c r="D30" s="9" t="str">
        <f>IFERROR(__xludf.DUMMYFUNCTION("GOOGLETRANSLATE($A30,""en"",""fr"")"),"Gériatrie")</f>
        <v>Gériatrie</v>
      </c>
      <c r="E30" s="9" t="str">
        <f>IFERROR(__xludf.DUMMYFUNCTION("GOOGLETRANSLATE($A30,""en"",""es"")"),"Geriatría")</f>
        <v>Geriatría</v>
      </c>
      <c r="F30" s="9" t="str">
        <f>IFERROR(__xludf.DUMMYFUNCTION("GOOGLETRANSLATE($A30,""en"",""it"")"),"Geriatria")</f>
        <v>Geriatria</v>
      </c>
      <c r="G30" s="9" t="str">
        <f>IFERROR(__xludf.DUMMYFUNCTION("GOOGLETRANSLATE($A30,""en"",""zh-cn"")"),"老年医学")</f>
        <v>老年医学</v>
      </c>
      <c r="H30" s="9" t="str">
        <f>IFERROR(__xludf.DUMMYFUNCTION("GOOGLETRANSLATE($A30,""en"",""ja"")"),"老人医学")</f>
        <v>老人医学</v>
      </c>
      <c r="I30" s="9" t="str">
        <f>IFERROR(__xludf.DUMMYFUNCTION("GOOGLETRANSLATE($A30,""en"",""ko"")"),"노인의학")</f>
        <v>노인의학</v>
      </c>
      <c r="J30" s="9" t="str">
        <f>IFERROR(__xludf.DUMMYFUNCTION("GOOGLETRANSLATE($A30,""en"",""pt-BR"")"),"Geriatria")</f>
        <v>Geriatria</v>
      </c>
    </row>
    <row r="31">
      <c r="A31" s="19" t="str">
        <f>IFERROR(__xludf.DUMMYFUNCTION("""COMPUTED_VALUE"""),"Gynecological Oncology")</f>
        <v>Gynecological Oncology</v>
      </c>
      <c r="B31" s="19" t="str">
        <f>IFERROR(__xludf.DUMMYFUNCTION("""COMPUTED_VALUE"""),"ongy")</f>
        <v>ongy</v>
      </c>
      <c r="C31" s="9" t="str">
        <f>IFERROR(__xludf.DUMMYFUNCTION("GOOGLETRANSLATE($A31,""en"",""de"")"),"Gynäkologische Onkologie")</f>
        <v>Gynäkologische Onkologie</v>
      </c>
      <c r="D31" s="9" t="str">
        <f>IFERROR(__xludf.DUMMYFUNCTION("GOOGLETRANSLATE($A31,""en"",""fr"")"),"Oncologie gynécologique")</f>
        <v>Oncologie gynécologique</v>
      </c>
      <c r="E31" s="9" t="str">
        <f>IFERROR(__xludf.DUMMYFUNCTION("GOOGLETRANSLATE($A31,""en"",""es"")"),"Oncología Ginecológica")</f>
        <v>Oncología Ginecológica</v>
      </c>
      <c r="F31" s="9" t="str">
        <f>IFERROR(__xludf.DUMMYFUNCTION("GOOGLETRANSLATE($A31,""en"",""it"")"),"Oncologia ginecologica")</f>
        <v>Oncologia ginecologica</v>
      </c>
      <c r="G31" s="9" t="str">
        <f>IFERROR(__xludf.DUMMYFUNCTION("GOOGLETRANSLATE($A31,""en"",""zh-cn"")"),"妇科肿瘤科")</f>
        <v>妇科肿瘤科</v>
      </c>
      <c r="H31" s="9" t="str">
        <f>IFERROR(__xludf.DUMMYFUNCTION("GOOGLETRANSLATE($A31,""en"",""ja"")"),"婦人科腫瘍学")</f>
        <v>婦人科腫瘍学</v>
      </c>
      <c r="I31" s="9" t="str">
        <f>IFERROR(__xludf.DUMMYFUNCTION("GOOGLETRANSLATE($A31,""en"",""ko"")"),"부인과 종양학")</f>
        <v>부인과 종양학</v>
      </c>
      <c r="J31" s="9" t="str">
        <f>IFERROR(__xludf.DUMMYFUNCTION("GOOGLETRANSLATE($A31,""en"",""pt-BR"")"),"Oncologia Ginecológica")</f>
        <v>Oncologia Ginecológica</v>
      </c>
    </row>
    <row r="32">
      <c r="A32" s="19" t="str">
        <f>IFERROR(__xludf.DUMMYFUNCTION("""COMPUTED_VALUE"""),"Gynecology")</f>
        <v>Gynecology</v>
      </c>
      <c r="B32" s="19" t="str">
        <f>IFERROR(__xludf.DUMMYFUNCTION("""COMPUTED_VALUE"""),"gy")</f>
        <v>gy</v>
      </c>
      <c r="C32" s="9" t="str">
        <f>IFERROR(__xludf.DUMMYFUNCTION("GOOGLETRANSLATE($A32,""en"",""de"")"),"Gynäkologie")</f>
        <v>Gynäkologie</v>
      </c>
      <c r="D32" s="9" t="str">
        <f>IFERROR(__xludf.DUMMYFUNCTION("GOOGLETRANSLATE($A32,""en"",""fr"")"),"Gynécologie")</f>
        <v>Gynécologie</v>
      </c>
      <c r="E32" s="9" t="str">
        <f>IFERROR(__xludf.DUMMYFUNCTION("GOOGLETRANSLATE($A32,""en"",""es"")"),"Ginecología")</f>
        <v>Ginecología</v>
      </c>
      <c r="F32" s="9" t="str">
        <f>IFERROR(__xludf.DUMMYFUNCTION("GOOGLETRANSLATE($A32,""en"",""it"")"),"Ginecologia")</f>
        <v>Ginecologia</v>
      </c>
      <c r="G32" s="9" t="str">
        <f>IFERROR(__xludf.DUMMYFUNCTION("GOOGLETRANSLATE($A32,""en"",""zh-cn"")"),"妇科")</f>
        <v>妇科</v>
      </c>
      <c r="H32" s="9" t="str">
        <f>IFERROR(__xludf.DUMMYFUNCTION("GOOGLETRANSLATE($A32,""en"",""ja"")"),"婦人科")</f>
        <v>婦人科</v>
      </c>
      <c r="I32" s="9" t="str">
        <f>IFERROR(__xludf.DUMMYFUNCTION("GOOGLETRANSLATE($A32,""en"",""ko"")"),"산부인과")</f>
        <v>산부인과</v>
      </c>
      <c r="J32" s="9" t="str">
        <f>IFERROR(__xludf.DUMMYFUNCTION("GOOGLETRANSLATE($A32,""en"",""pt-BR"")"),"Ginecologia")</f>
        <v>Ginecologia</v>
      </c>
    </row>
    <row r="33">
      <c r="A33" s="19" t="str">
        <f>IFERROR(__xludf.DUMMYFUNCTION("""COMPUTED_VALUE"""),"Hand Surgery")</f>
        <v>Hand Surgery</v>
      </c>
      <c r="B33" s="19" t="str">
        <f>IFERROR(__xludf.DUMMYFUNCTION("""COMPUTED_VALUE"""),"suhn")</f>
        <v>suhn</v>
      </c>
      <c r="C33" s="9" t="str">
        <f>IFERROR(__xludf.DUMMYFUNCTION("GOOGLETRANSLATE($A33,""en"",""de"")"),"Handchirurgie")</f>
        <v>Handchirurgie</v>
      </c>
      <c r="D33" s="9" t="str">
        <f>IFERROR(__xludf.DUMMYFUNCTION("GOOGLETRANSLATE($A33,""en"",""fr"")"),"Chirurgie de la main")</f>
        <v>Chirurgie de la main</v>
      </c>
      <c r="E33" s="9" t="str">
        <f>IFERROR(__xludf.DUMMYFUNCTION("GOOGLETRANSLATE($A33,""en"",""es"")"),"Cirugía de la mano")</f>
        <v>Cirugía de la mano</v>
      </c>
      <c r="F33" s="9" t="str">
        <f>IFERROR(__xludf.DUMMYFUNCTION("GOOGLETRANSLATE($A33,""en"",""it"")"),"Chirurgia della mano")</f>
        <v>Chirurgia della mano</v>
      </c>
      <c r="G33" s="9" t="str">
        <f>IFERROR(__xludf.DUMMYFUNCTION("GOOGLETRANSLATE($A33,""en"",""zh-cn"")"),"手外科")</f>
        <v>手外科</v>
      </c>
      <c r="H33" s="9" t="str">
        <f>IFERROR(__xludf.DUMMYFUNCTION("GOOGLETRANSLATE($A33,""en"",""ja"")"),"手の手術")</f>
        <v>手の手術</v>
      </c>
      <c r="I33" s="9" t="str">
        <f>IFERROR(__xludf.DUMMYFUNCTION("GOOGLETRANSLATE($A33,""en"",""ko"")"),"손 수술")</f>
        <v>손 수술</v>
      </c>
      <c r="J33" s="9" t="str">
        <f>IFERROR(__xludf.DUMMYFUNCTION("GOOGLETRANSLATE($A33,""en"",""pt-BR"")"),"Cirurgia da Mão")</f>
        <v>Cirurgia da Mão</v>
      </c>
    </row>
    <row r="34">
      <c r="A34" s="19" t="str">
        <f>IFERROR(__xludf.DUMMYFUNCTION("""COMPUTED_VALUE"""),"Hematology")</f>
        <v>Hematology</v>
      </c>
      <c r="B34" s="19" t="str">
        <f>IFERROR(__xludf.DUMMYFUNCTION("""COMPUTED_VALUE"""),"hm")</f>
        <v>hm</v>
      </c>
      <c r="C34" s="9" t="str">
        <f>IFERROR(__xludf.DUMMYFUNCTION("GOOGLETRANSLATE($A34,""en"",""de"")"),"Hämatologie")</f>
        <v>Hämatologie</v>
      </c>
      <c r="D34" s="9" t="str">
        <f>IFERROR(__xludf.DUMMYFUNCTION("GOOGLETRANSLATE($A34,""en"",""fr"")"),"Hématologie")</f>
        <v>Hématologie</v>
      </c>
      <c r="E34" s="9" t="str">
        <f>IFERROR(__xludf.DUMMYFUNCTION("GOOGLETRANSLATE($A34,""en"",""es"")"),"Hematología")</f>
        <v>Hematología</v>
      </c>
      <c r="F34" s="9" t="str">
        <f>IFERROR(__xludf.DUMMYFUNCTION("GOOGLETRANSLATE($A34,""en"",""it"")"),"Ematologia")</f>
        <v>Ematologia</v>
      </c>
      <c r="G34" s="9" t="str">
        <f>IFERROR(__xludf.DUMMYFUNCTION("GOOGLETRANSLATE($A34,""en"",""zh-cn"")"),"血液学")</f>
        <v>血液学</v>
      </c>
      <c r="H34" s="9" t="str">
        <f>IFERROR(__xludf.DUMMYFUNCTION("GOOGLETRANSLATE($A34,""en"",""ja"")"),"血液学")</f>
        <v>血液学</v>
      </c>
      <c r="I34" s="9" t="str">
        <f>IFERROR(__xludf.DUMMYFUNCTION("GOOGLETRANSLATE($A34,""en"",""ko"")"),"혈액학")</f>
        <v>혈액학</v>
      </c>
      <c r="J34" s="9" t="str">
        <f>IFERROR(__xludf.DUMMYFUNCTION("GOOGLETRANSLATE($A34,""en"",""pt-BR"")"),"Hematologia")</f>
        <v>Hematologia</v>
      </c>
    </row>
    <row r="35">
      <c r="A35" s="20" t="str">
        <f>IFERROR(__xludf.DUMMYFUNCTION("""COMPUTED_VALUE"""),"Hematology/Oncology")</f>
        <v>Hematology/Oncology</v>
      </c>
      <c r="B35" s="20" t="str">
        <f>IFERROR(__xludf.DUMMYFUNCTION("""COMPUTED_VALUE"""),"onhm")</f>
        <v>onhm</v>
      </c>
      <c r="C35" s="9" t="str">
        <f>IFERROR(__xludf.DUMMYFUNCTION("GOOGLETRANSLATE($A35,""en"",""de"")"),"Hämatologie/Onkologie")</f>
        <v>Hämatologie/Onkologie</v>
      </c>
      <c r="D35" s="9" t="str">
        <f>IFERROR(__xludf.DUMMYFUNCTION("GOOGLETRANSLATE($A35,""en"",""fr"")"),"Hématologie/Oncologie")</f>
        <v>Hématologie/Oncologie</v>
      </c>
      <c r="E35" s="9" t="str">
        <f>IFERROR(__xludf.DUMMYFUNCTION("GOOGLETRANSLATE($A35,""en"",""es"")"),"Hematología/Oncología")</f>
        <v>Hematología/Oncología</v>
      </c>
      <c r="F35" s="9" t="str">
        <f>IFERROR(__xludf.DUMMYFUNCTION("GOOGLETRANSLATE($A35,""en"",""it"")"),"Ematologia/Oncologia")</f>
        <v>Ematologia/Oncologia</v>
      </c>
      <c r="G35" s="9" t="str">
        <f>IFERROR(__xludf.DUMMYFUNCTION("GOOGLETRANSLATE($A35,""en"",""zh-cn"")"),"血液学/肿瘤学")</f>
        <v>血液学/肿瘤学</v>
      </c>
      <c r="H35" s="9" t="str">
        <f>IFERROR(__xludf.DUMMYFUNCTION("GOOGLETRANSLATE($A35,""en"",""ja"")"),"血液学/腫瘍学")</f>
        <v>血液学/腫瘍学</v>
      </c>
      <c r="I35" s="9" t="str">
        <f>IFERROR(__xludf.DUMMYFUNCTION("GOOGLETRANSLATE($A35,""en"",""ko"")"),"혈액학/종양학")</f>
        <v>혈액학/종양학</v>
      </c>
      <c r="J35" s="9" t="str">
        <f>IFERROR(__xludf.DUMMYFUNCTION("GOOGLETRANSLATE($A35,""en"",""pt-BR"")"),"Hematologia/Oncologia")</f>
        <v>Hematologia/Oncologia</v>
      </c>
    </row>
    <row r="36">
      <c r="A36" s="19" t="str">
        <f>IFERROR(__xludf.DUMMYFUNCTION("""COMPUTED_VALUE"""),"Hepatology")</f>
        <v>Hepatology</v>
      </c>
      <c r="B36" s="19" t="str">
        <f>IFERROR(__xludf.DUMMYFUNCTION("""COMPUTED_VALUE"""),"gehp")</f>
        <v>gehp</v>
      </c>
      <c r="C36" s="9" t="str">
        <f>IFERROR(__xludf.DUMMYFUNCTION("GOOGLETRANSLATE($A36,""en"",""de"")"),"Hepatologie")</f>
        <v>Hepatologie</v>
      </c>
      <c r="D36" s="9" t="str">
        <f>IFERROR(__xludf.DUMMYFUNCTION("GOOGLETRANSLATE($A36,""en"",""fr"")"),"Hépatologie")</f>
        <v>Hépatologie</v>
      </c>
      <c r="E36" s="9" t="str">
        <f>IFERROR(__xludf.DUMMYFUNCTION("GOOGLETRANSLATE($A36,""en"",""es"")"),"hepatología")</f>
        <v>hepatología</v>
      </c>
      <c r="F36" s="9" t="str">
        <f>IFERROR(__xludf.DUMMYFUNCTION("GOOGLETRANSLATE($A36,""en"",""it"")"),"Epatologia")</f>
        <v>Epatologia</v>
      </c>
      <c r="G36" s="9" t="str">
        <f>IFERROR(__xludf.DUMMYFUNCTION("GOOGLETRANSLATE($A36,""en"",""zh-cn"")"),"肝病学")</f>
        <v>肝病学</v>
      </c>
      <c r="H36" s="9" t="str">
        <f>IFERROR(__xludf.DUMMYFUNCTION("GOOGLETRANSLATE($A36,""en"",""ja"")"),"肝臓学")</f>
        <v>肝臓学</v>
      </c>
      <c r="I36" s="9" t="str">
        <f>IFERROR(__xludf.DUMMYFUNCTION("GOOGLETRANSLATE($A36,""en"",""ko"")"),"간학")</f>
        <v>간학</v>
      </c>
      <c r="J36" s="9" t="str">
        <f>IFERROR(__xludf.DUMMYFUNCTION("GOOGLETRANSLATE($A36,""en"",""pt-BR"")"),"Hepatologia")</f>
        <v>Hepatologia</v>
      </c>
    </row>
    <row r="37">
      <c r="A37" s="19" t="str">
        <f>IFERROR(__xludf.DUMMYFUNCTION("""COMPUTED_VALUE"""),"Hospital Medicine")</f>
        <v>Hospital Medicine</v>
      </c>
      <c r="B37" s="19" t="str">
        <f>IFERROR(__xludf.DUMMYFUNCTION("""COMPUTED_VALUE"""),"gphm")</f>
        <v>gphm</v>
      </c>
      <c r="C37" s="9" t="str">
        <f>IFERROR(__xludf.DUMMYFUNCTION("GOOGLETRANSLATE($A37,""en"",""de"")"),"Krankenhausmedizin")</f>
        <v>Krankenhausmedizin</v>
      </c>
      <c r="D37" s="9" t="str">
        <f>IFERROR(__xludf.DUMMYFUNCTION("GOOGLETRANSLATE($A37,""en"",""fr"")"),"Médecine Hospitalière")</f>
        <v>Médecine Hospitalière</v>
      </c>
      <c r="E37" s="9" t="str">
        <f>IFERROR(__xludf.DUMMYFUNCTION("GOOGLETRANSLATE($A37,""en"",""es"")"),"Medicina hospitalaria")</f>
        <v>Medicina hospitalaria</v>
      </c>
      <c r="F37" s="9" t="str">
        <f>IFERROR(__xludf.DUMMYFUNCTION("GOOGLETRANSLATE($A37,""en"",""it"")"),"Medicina Ospedaliera")</f>
        <v>Medicina Ospedaliera</v>
      </c>
      <c r="G37" s="9" t="str">
        <f>IFERROR(__xludf.DUMMYFUNCTION("GOOGLETRANSLATE($A37,""en"",""zh-cn"")"),"医院医学")</f>
        <v>医院医学</v>
      </c>
      <c r="H37" s="9" t="str">
        <f>IFERROR(__xludf.DUMMYFUNCTION("GOOGLETRANSLATE($A37,""en"",""ja"")"),"病院の医学")</f>
        <v>病院の医学</v>
      </c>
      <c r="I37" s="9" t="str">
        <f>IFERROR(__xludf.DUMMYFUNCTION("GOOGLETRANSLATE($A37,""en"",""ko"")"),"병원의학")</f>
        <v>병원의학</v>
      </c>
      <c r="J37" s="9" t="str">
        <f>IFERROR(__xludf.DUMMYFUNCTION("GOOGLETRANSLATE($A37,""en"",""pt-BR"")"),"Medicina Hospitalar")</f>
        <v>Medicina Hospitalar</v>
      </c>
    </row>
    <row r="38">
      <c r="A38" s="19" t="str">
        <f>IFERROR(__xludf.DUMMYFUNCTION("""COMPUTED_VALUE"""),"Immunology")</f>
        <v>Immunology</v>
      </c>
      <c r="B38" s="19" t="str">
        <f>IFERROR(__xludf.DUMMYFUNCTION("""COMPUTED_VALUE"""),"iy")</f>
        <v>iy</v>
      </c>
      <c r="C38" s="9" t="str">
        <f>IFERROR(__xludf.DUMMYFUNCTION("GOOGLETRANSLATE($A38,""en"",""de"")"),"Immunologie")</f>
        <v>Immunologie</v>
      </c>
      <c r="D38" s="9" t="str">
        <f>IFERROR(__xludf.DUMMYFUNCTION("GOOGLETRANSLATE($A38,""en"",""fr"")"),"Immunologie")</f>
        <v>Immunologie</v>
      </c>
      <c r="E38" s="9" t="str">
        <f>IFERROR(__xludf.DUMMYFUNCTION("GOOGLETRANSLATE($A38,""en"",""es"")"),"Inmunología")</f>
        <v>Inmunología</v>
      </c>
      <c r="F38" s="9" t="str">
        <f>IFERROR(__xludf.DUMMYFUNCTION("GOOGLETRANSLATE($A38,""en"",""it"")"),"Immunologia")</f>
        <v>Immunologia</v>
      </c>
      <c r="G38" s="9" t="str">
        <f>IFERROR(__xludf.DUMMYFUNCTION("GOOGLETRANSLATE($A38,""en"",""zh-cn"")"),"免疫学")</f>
        <v>免疫学</v>
      </c>
      <c r="H38" s="9" t="str">
        <f>IFERROR(__xludf.DUMMYFUNCTION("GOOGLETRANSLATE($A38,""en"",""ja"")"),"免疫学")</f>
        <v>免疫学</v>
      </c>
      <c r="I38" s="9" t="str">
        <f>IFERROR(__xludf.DUMMYFUNCTION("GOOGLETRANSLATE($A38,""en"",""ko"")"),"면역학")</f>
        <v>면역학</v>
      </c>
      <c r="J38" s="9" t="str">
        <f>IFERROR(__xludf.DUMMYFUNCTION("GOOGLETRANSLATE($A38,""en"",""pt-BR"")"),"Imunologia")</f>
        <v>Imunologia</v>
      </c>
    </row>
    <row r="39">
      <c r="A39" s="19" t="str">
        <f>IFERROR(__xludf.DUMMYFUNCTION("""COMPUTED_VALUE"""),"Infectious Diseases")</f>
        <v>Infectious Diseases</v>
      </c>
      <c r="B39" s="19" t="str">
        <f>IFERROR(__xludf.DUMMYFUNCTION("""COMPUTED_VALUE"""),"id")</f>
        <v>id</v>
      </c>
      <c r="C39" s="9" t="str">
        <f>IFERROR(__xludf.DUMMYFUNCTION("GOOGLETRANSLATE($A39,""en"",""de"")"),"Infektionskrankheiten")</f>
        <v>Infektionskrankheiten</v>
      </c>
      <c r="D39" s="9" t="str">
        <f>IFERROR(__xludf.DUMMYFUNCTION("GOOGLETRANSLATE($A39,""en"",""fr"")"),"Maladies infectieuses")</f>
        <v>Maladies infectieuses</v>
      </c>
      <c r="E39" s="9" t="str">
        <f>IFERROR(__xludf.DUMMYFUNCTION("GOOGLETRANSLATE($A39,""en"",""es"")"),"Enfermedades infecciosas")</f>
        <v>Enfermedades infecciosas</v>
      </c>
      <c r="F39" s="9" t="str">
        <f>IFERROR(__xludf.DUMMYFUNCTION("GOOGLETRANSLATE($A39,""en"",""it"")"),"Malattie infettive")</f>
        <v>Malattie infettive</v>
      </c>
      <c r="G39" s="9" t="str">
        <f>IFERROR(__xludf.DUMMYFUNCTION("GOOGLETRANSLATE($A39,""en"",""zh-cn"")"),"传染病")</f>
        <v>传染病</v>
      </c>
      <c r="H39" s="9" t="str">
        <f>IFERROR(__xludf.DUMMYFUNCTION("GOOGLETRANSLATE($A39,""en"",""ja"")"),"感染症")</f>
        <v>感染症</v>
      </c>
      <c r="I39" s="9" t="str">
        <f>IFERROR(__xludf.DUMMYFUNCTION("GOOGLETRANSLATE($A39,""en"",""ko"")"),"전염병")</f>
        <v>전염병</v>
      </c>
      <c r="J39" s="9" t="str">
        <f>IFERROR(__xludf.DUMMYFUNCTION("GOOGLETRANSLATE($A39,""en"",""pt-BR"")"),"Doenças Infecciosas")</f>
        <v>Doenças Infecciosas</v>
      </c>
    </row>
    <row r="40">
      <c r="A40" s="19" t="str">
        <f>IFERROR(__xludf.DUMMYFUNCTION("""COMPUTED_VALUE"""),"Intensive Care Medicine")</f>
        <v>Intensive Care Medicine</v>
      </c>
      <c r="B40" s="19" t="str">
        <f>IFERROR(__xludf.DUMMYFUNCTION("""COMPUTED_VALUE"""),"imic")</f>
        <v>imic</v>
      </c>
      <c r="C40" s="9" t="str">
        <f>IFERROR(__xludf.DUMMYFUNCTION("GOOGLETRANSLATE($A40,""en"",""de"")"),"Intensivmedizin")</f>
        <v>Intensivmedizin</v>
      </c>
      <c r="D40" s="9" t="str">
        <f>IFERROR(__xludf.DUMMYFUNCTION("GOOGLETRANSLATE($A40,""en"",""fr"")"),"Médecine de soins intensifs")</f>
        <v>Médecine de soins intensifs</v>
      </c>
      <c r="E40" s="9" t="str">
        <f>IFERROR(__xludf.DUMMYFUNCTION("GOOGLETRANSLATE($A40,""en"",""es"")"),"Medicina de cuidados intensivos")</f>
        <v>Medicina de cuidados intensivos</v>
      </c>
      <c r="F40" s="9" t="str">
        <f>IFERROR(__xludf.DUMMYFUNCTION("GOOGLETRANSLATE($A40,""en"",""it"")"),"Medicina di Terapia Intensiva")</f>
        <v>Medicina di Terapia Intensiva</v>
      </c>
      <c r="G40" s="9" t="str">
        <f>IFERROR(__xludf.DUMMYFUNCTION("GOOGLETRANSLATE($A40,""en"",""zh-cn"")"),"重症监护医学")</f>
        <v>重症监护医学</v>
      </c>
      <c r="H40" s="9" t="str">
        <f>IFERROR(__xludf.DUMMYFUNCTION("GOOGLETRANSLATE($A40,""en"",""ja"")"),"集中治療医学")</f>
        <v>集中治療医学</v>
      </c>
      <c r="I40" s="9" t="str">
        <f>IFERROR(__xludf.DUMMYFUNCTION("GOOGLETRANSLATE($A40,""en"",""ko"")"),"집중치료의학")</f>
        <v>집중치료의학</v>
      </c>
      <c r="J40" s="9" t="str">
        <f>IFERROR(__xludf.DUMMYFUNCTION("GOOGLETRANSLATE($A40,""en"",""pt-BR"")"),"Medicina Intensiva")</f>
        <v>Medicina Intensiva</v>
      </c>
    </row>
    <row r="41">
      <c r="A41" s="19" t="str">
        <f>IFERROR(__xludf.DUMMYFUNCTION("""COMPUTED_VALUE"""),"Internal Medicine")</f>
        <v>Internal Medicine</v>
      </c>
      <c r="B41" s="19" t="str">
        <f>IFERROR(__xludf.DUMMYFUNCTION("""COMPUTED_VALUE"""),"im")</f>
        <v>im</v>
      </c>
      <c r="C41" s="9" t="str">
        <f>IFERROR(__xludf.DUMMYFUNCTION("GOOGLETRANSLATE($A41,""en"",""de"")"),"Innere Medizin")</f>
        <v>Innere Medizin</v>
      </c>
      <c r="D41" s="9" t="str">
        <f>IFERROR(__xludf.DUMMYFUNCTION("GOOGLETRANSLATE($A41,""en"",""fr"")"),"Médecine interne")</f>
        <v>Médecine interne</v>
      </c>
      <c r="E41" s="9" t="str">
        <f>IFERROR(__xludf.DUMMYFUNCTION("GOOGLETRANSLATE($A41,""en"",""es"")"),"Medicina interna")</f>
        <v>Medicina interna</v>
      </c>
      <c r="F41" s="9" t="str">
        <f>IFERROR(__xludf.DUMMYFUNCTION("GOOGLETRANSLATE($A41,""en"",""it"")"),"Medicina interna")</f>
        <v>Medicina interna</v>
      </c>
      <c r="G41" s="9" t="str">
        <f>IFERROR(__xludf.DUMMYFUNCTION("GOOGLETRANSLATE($A41,""en"",""zh-cn"")"),"内科")</f>
        <v>内科</v>
      </c>
      <c r="H41" s="9" t="str">
        <f>IFERROR(__xludf.DUMMYFUNCTION("GOOGLETRANSLATE($A41,""en"",""ja"")"),"内科")</f>
        <v>内科</v>
      </c>
      <c r="I41" s="9" t="str">
        <f>IFERROR(__xludf.DUMMYFUNCTION("GOOGLETRANSLATE($A41,""en"",""ko"")"),"내과")</f>
        <v>내과</v>
      </c>
      <c r="J41" s="9" t="str">
        <f>IFERROR(__xludf.DUMMYFUNCTION("GOOGLETRANSLATE($A41,""en"",""pt-BR"")"),"Medicina interna")</f>
        <v>Medicina interna</v>
      </c>
    </row>
    <row r="42">
      <c r="A42" s="19" t="str">
        <f>IFERROR(__xludf.DUMMYFUNCTION("""COMPUTED_VALUE"""),"Interventional Cardiology")</f>
        <v>Interventional Cardiology</v>
      </c>
      <c r="B42" s="19" t="str">
        <f>IFERROR(__xludf.DUMMYFUNCTION("""COMPUTED_VALUE"""),"cdic")</f>
        <v>cdic</v>
      </c>
      <c r="C42" s="9" t="str">
        <f>IFERROR(__xludf.DUMMYFUNCTION("GOOGLETRANSLATE($A42,""en"",""de"")"),"Interventionelle Kardiologie")</f>
        <v>Interventionelle Kardiologie</v>
      </c>
      <c r="D42" s="9" t="str">
        <f>IFERROR(__xludf.DUMMYFUNCTION("GOOGLETRANSLATE($A42,""en"",""fr"")"),"Cardiologie interventionnelle")</f>
        <v>Cardiologie interventionnelle</v>
      </c>
      <c r="E42" s="9" t="str">
        <f>IFERROR(__xludf.DUMMYFUNCTION("GOOGLETRANSLATE($A42,""en"",""es"")"),"Cardiología intervencionista")</f>
        <v>Cardiología intervencionista</v>
      </c>
      <c r="F42" s="9" t="str">
        <f>IFERROR(__xludf.DUMMYFUNCTION("GOOGLETRANSLATE($A42,""en"",""it"")"),"Cardiologia interventistica")</f>
        <v>Cardiologia interventistica</v>
      </c>
      <c r="G42" s="9" t="str">
        <f>IFERROR(__xludf.DUMMYFUNCTION("GOOGLETRANSLATE($A42,""en"",""zh-cn"")"),"介入心脏病学")</f>
        <v>介入心脏病学</v>
      </c>
      <c r="H42" s="9" t="str">
        <f>IFERROR(__xludf.DUMMYFUNCTION("GOOGLETRANSLATE($A42,""en"",""ja"")"),"インターベンション心臓学")</f>
        <v>インターベンション心臓学</v>
      </c>
      <c r="I42" s="9" t="str">
        <f>IFERROR(__xludf.DUMMYFUNCTION("GOOGLETRANSLATE($A42,""en"",""ko"")"),"중재 심장학")</f>
        <v>중재 심장학</v>
      </c>
      <c r="J42" s="9" t="str">
        <f>IFERROR(__xludf.DUMMYFUNCTION("GOOGLETRANSLATE($A42,""en"",""pt-BR"")"),"Cardiologia Intervencionista")</f>
        <v>Cardiologia Intervencionista</v>
      </c>
    </row>
    <row r="43">
      <c r="A43" s="19" t="str">
        <f>IFERROR(__xludf.DUMMYFUNCTION("""COMPUTED_VALUE"""),"Laboratory Medicine")</f>
        <v>Laboratory Medicine</v>
      </c>
      <c r="B43" s="19" t="str">
        <f>IFERROR(__xludf.DUMMYFUNCTION("""COMPUTED_VALUE"""),"ptlm")</f>
        <v>ptlm</v>
      </c>
      <c r="C43" s="9" t="str">
        <f>IFERROR(__xludf.DUMMYFUNCTION("GOOGLETRANSLATE($A43,""en"",""de"")"),"Labormedizin")</f>
        <v>Labormedizin</v>
      </c>
      <c r="D43" s="9" t="str">
        <f>IFERROR(__xludf.DUMMYFUNCTION("GOOGLETRANSLATE($A43,""en"",""fr"")"),"Médecine de laboratoire")</f>
        <v>Médecine de laboratoire</v>
      </c>
      <c r="E43" s="9" t="str">
        <f>IFERROR(__xludf.DUMMYFUNCTION("GOOGLETRANSLATE($A43,""en"",""es"")"),"Medicina de laboratorio")</f>
        <v>Medicina de laboratorio</v>
      </c>
      <c r="F43" s="9" t="str">
        <f>IFERROR(__xludf.DUMMYFUNCTION("GOOGLETRANSLATE($A43,""en"",""it"")"),"Medicina di laboratorio")</f>
        <v>Medicina di laboratorio</v>
      </c>
      <c r="G43" s="9" t="str">
        <f>IFERROR(__xludf.DUMMYFUNCTION("GOOGLETRANSLATE($A43,""en"",""zh-cn"")"),"检验医学")</f>
        <v>检验医学</v>
      </c>
      <c r="H43" s="9" t="str">
        <f>IFERROR(__xludf.DUMMYFUNCTION("GOOGLETRANSLATE($A43,""en"",""ja"")"),"臨床検査医学")</f>
        <v>臨床検査医学</v>
      </c>
      <c r="I43" s="9" t="str">
        <f>IFERROR(__xludf.DUMMYFUNCTION("GOOGLETRANSLATE($A43,""en"",""ko"")"),"진단검사의학")</f>
        <v>진단검사의학</v>
      </c>
      <c r="J43" s="9" t="str">
        <f>IFERROR(__xludf.DUMMYFUNCTION("GOOGLETRANSLATE($A43,""en"",""pt-BR"")"),"Medicina Laboratorial")</f>
        <v>Medicina Laboratorial</v>
      </c>
    </row>
    <row r="44">
      <c r="A44" s="19" t="str">
        <f>IFERROR(__xludf.DUMMYFUNCTION("""COMPUTED_VALUE"""),"Legal Medicine")</f>
        <v>Legal Medicine</v>
      </c>
      <c r="B44" s="19" t="str">
        <f>IFERROR(__xludf.DUMMYFUNCTION("""COMPUTED_VALUE"""),"adlg")</f>
        <v>adlg</v>
      </c>
      <c r="C44" s="9" t="str">
        <f>IFERROR(__xludf.DUMMYFUNCTION("GOOGLETRANSLATE($A44,""en"",""de"")"),"Rechtsmedizin")</f>
        <v>Rechtsmedizin</v>
      </c>
      <c r="D44" s="9" t="str">
        <f>IFERROR(__xludf.DUMMYFUNCTION("GOOGLETRANSLATE($A44,""en"",""fr"")"),"Médecine Légale")</f>
        <v>Médecine Légale</v>
      </c>
      <c r="E44" s="9" t="str">
        <f>IFERROR(__xludf.DUMMYFUNCTION("GOOGLETRANSLATE($A44,""en"",""es"")"),"Medicina Legal")</f>
        <v>Medicina Legal</v>
      </c>
      <c r="F44" s="9" t="str">
        <f>IFERROR(__xludf.DUMMYFUNCTION("GOOGLETRANSLATE($A44,""en"",""it"")"),"Medicina Legale")</f>
        <v>Medicina Legale</v>
      </c>
      <c r="G44" s="9" t="str">
        <f>IFERROR(__xludf.DUMMYFUNCTION("GOOGLETRANSLATE($A44,""en"",""zh-cn"")"),"法律医学")</f>
        <v>法律医学</v>
      </c>
      <c r="H44" s="9" t="str">
        <f>IFERROR(__xludf.DUMMYFUNCTION("GOOGLETRANSLATE($A44,""en"",""ja"")"),"法医学")</f>
        <v>法医学</v>
      </c>
      <c r="I44" s="9" t="str">
        <f>IFERROR(__xludf.DUMMYFUNCTION("GOOGLETRANSLATE($A44,""en"",""ko"")"),"법의학")</f>
        <v>법의학</v>
      </c>
      <c r="J44" s="9" t="str">
        <f>IFERROR(__xludf.DUMMYFUNCTION("GOOGLETRANSLATE($A44,""en"",""pt-BR"")"),"Medicina Legal")</f>
        <v>Medicina Legal</v>
      </c>
    </row>
    <row r="45">
      <c r="A45" s="19" t="str">
        <f>IFERROR(__xludf.DUMMYFUNCTION("""COMPUTED_VALUE"""),"Maxillofacial Surgery")</f>
        <v>Maxillofacial Surgery</v>
      </c>
      <c r="B45" s="19" t="str">
        <f>IFERROR(__xludf.DUMMYFUNCTION("""COMPUTED_VALUE"""),"sumx")</f>
        <v>sumx</v>
      </c>
      <c r="C45" s="9" t="str">
        <f>IFERROR(__xludf.DUMMYFUNCTION("GOOGLETRANSLATE($A45,""en"",""de"")"),"Kiefer- und Gesichtschirurgie")</f>
        <v>Kiefer- und Gesichtschirurgie</v>
      </c>
      <c r="D45" s="9" t="str">
        <f>IFERROR(__xludf.DUMMYFUNCTION("GOOGLETRANSLATE($A45,""en"",""fr"")"),"Chirurgie maxillo-faciale")</f>
        <v>Chirurgie maxillo-faciale</v>
      </c>
      <c r="E45" s="9" t="str">
        <f>IFERROR(__xludf.DUMMYFUNCTION("GOOGLETRANSLATE($A45,""en"",""es"")"),"Cirugía Maxilofacial")</f>
        <v>Cirugía Maxilofacial</v>
      </c>
      <c r="F45" s="9" t="str">
        <f>IFERROR(__xludf.DUMMYFUNCTION("GOOGLETRANSLATE($A45,""en"",""it"")"),"Chirurgia maxillo-facciale")</f>
        <v>Chirurgia maxillo-facciale</v>
      </c>
      <c r="G45" s="9" t="str">
        <f>IFERROR(__xludf.DUMMYFUNCTION("GOOGLETRANSLATE($A45,""en"",""zh-cn"")"),"颌面外科")</f>
        <v>颌面外科</v>
      </c>
      <c r="H45" s="9" t="str">
        <f>IFERROR(__xludf.DUMMYFUNCTION("GOOGLETRANSLATE($A45,""en"",""ja"")"),"顎顔面外科")</f>
        <v>顎顔面外科</v>
      </c>
      <c r="I45" s="9" t="str">
        <f>IFERROR(__xludf.DUMMYFUNCTION("GOOGLETRANSLATE($A45,""en"",""ko"")"),"악안면외과")</f>
        <v>악안면외과</v>
      </c>
      <c r="J45" s="9" t="str">
        <f>IFERROR(__xludf.DUMMYFUNCTION("GOOGLETRANSLATE($A45,""en"",""pt-BR"")"),"Cirurgia Maxilofacial")</f>
        <v>Cirurgia Maxilofacial</v>
      </c>
    </row>
    <row r="46">
      <c r="A46" s="19" t="str">
        <f>IFERROR(__xludf.DUMMYFUNCTION("""COMPUTED_VALUE"""),"Microbiology")</f>
        <v>Microbiology</v>
      </c>
      <c r="B46" s="19" t="str">
        <f>IFERROR(__xludf.DUMMYFUNCTION("""COMPUTED_VALUE"""),"idmb")</f>
        <v>idmb</v>
      </c>
      <c r="C46" s="9" t="str">
        <f>IFERROR(__xludf.DUMMYFUNCTION("GOOGLETRANSLATE($A46,""en"",""de"")"),"Mikrobiologie")</f>
        <v>Mikrobiologie</v>
      </c>
      <c r="D46" s="9" t="str">
        <f>IFERROR(__xludf.DUMMYFUNCTION("GOOGLETRANSLATE($A46,""en"",""fr"")"),"Microbiologie")</f>
        <v>Microbiologie</v>
      </c>
      <c r="E46" s="9" t="str">
        <f>IFERROR(__xludf.DUMMYFUNCTION("GOOGLETRANSLATE($A46,""en"",""es"")"),"Microbiología")</f>
        <v>Microbiología</v>
      </c>
      <c r="F46" s="9" t="str">
        <f>IFERROR(__xludf.DUMMYFUNCTION("GOOGLETRANSLATE($A46,""en"",""it"")"),"Microbiologia")</f>
        <v>Microbiologia</v>
      </c>
      <c r="G46" s="9" t="str">
        <f>IFERROR(__xludf.DUMMYFUNCTION("GOOGLETRANSLATE($A46,""en"",""zh-cn"")"),"微生物学")</f>
        <v>微生物学</v>
      </c>
      <c r="H46" s="9" t="str">
        <f>IFERROR(__xludf.DUMMYFUNCTION("GOOGLETRANSLATE($A46,""en"",""ja"")"),"微生物学")</f>
        <v>微生物学</v>
      </c>
      <c r="I46" s="9" t="str">
        <f>IFERROR(__xludf.DUMMYFUNCTION("GOOGLETRANSLATE($A46,""en"",""ko"")"),"미생물학")</f>
        <v>미생물학</v>
      </c>
      <c r="J46" s="9" t="str">
        <f>IFERROR(__xludf.DUMMYFUNCTION("GOOGLETRANSLATE($A46,""en"",""pt-BR"")"),"Microbiologia")</f>
        <v>Microbiologia</v>
      </c>
    </row>
    <row r="47">
      <c r="A47" s="19" t="str">
        <f>IFERROR(__xludf.DUMMYFUNCTION("""COMPUTED_VALUE"""),"Midwifery")</f>
        <v>Midwifery</v>
      </c>
      <c r="B47" s="19" t="str">
        <f>IFERROR(__xludf.DUMMYFUNCTION("""COMPUTED_VALUE"""),"gymy")</f>
        <v>gymy</v>
      </c>
      <c r="C47" s="9" t="str">
        <f>IFERROR(__xludf.DUMMYFUNCTION("GOOGLETRANSLATE($A47,""en"",""de"")"),"Geburtshilfe")</f>
        <v>Geburtshilfe</v>
      </c>
      <c r="D47" s="9" t="str">
        <f>IFERROR(__xludf.DUMMYFUNCTION("GOOGLETRANSLATE($A47,""en"",""fr"")"),"Obstétrique")</f>
        <v>Obstétrique</v>
      </c>
      <c r="E47" s="9" t="str">
        <f>IFERROR(__xludf.DUMMYFUNCTION("GOOGLETRANSLATE($A47,""en"",""es"")"),"Partería")</f>
        <v>Partería</v>
      </c>
      <c r="F47" s="9" t="str">
        <f>IFERROR(__xludf.DUMMYFUNCTION("GOOGLETRANSLATE($A47,""en"",""it"")"),"Ostetricia")</f>
        <v>Ostetricia</v>
      </c>
      <c r="G47" s="9" t="str">
        <f>IFERROR(__xludf.DUMMYFUNCTION("GOOGLETRANSLATE($A47,""en"",""zh-cn"")"),"助产士")</f>
        <v>助产士</v>
      </c>
      <c r="H47" s="9" t="str">
        <f>IFERROR(__xludf.DUMMYFUNCTION("GOOGLETRANSLATE($A47,""en"",""ja"")"),"助産")</f>
        <v>助産</v>
      </c>
      <c r="I47" s="9" t="str">
        <f>IFERROR(__xludf.DUMMYFUNCTION("GOOGLETRANSLATE($A47,""en"",""ko"")"),"산파술")</f>
        <v>산파술</v>
      </c>
      <c r="J47" s="9" t="str">
        <f>IFERROR(__xludf.DUMMYFUNCTION("GOOGLETRANSLATE($A47,""en"",""pt-BR"")"),"Obstetrícia")</f>
        <v>Obstetrícia</v>
      </c>
    </row>
    <row r="48">
      <c r="A48" s="19" t="str">
        <f>IFERROR(__xludf.DUMMYFUNCTION("""COMPUTED_VALUE"""),"Nephrology")</f>
        <v>Nephrology</v>
      </c>
      <c r="B48" s="19" t="str">
        <f>IFERROR(__xludf.DUMMYFUNCTION("""COMPUTED_VALUE"""),"np")</f>
        <v>np</v>
      </c>
      <c r="C48" s="9" t="str">
        <f>IFERROR(__xludf.DUMMYFUNCTION("GOOGLETRANSLATE($A48,""en"",""de"")"),"Nephrologie")</f>
        <v>Nephrologie</v>
      </c>
      <c r="D48" s="9" t="str">
        <f>IFERROR(__xludf.DUMMYFUNCTION("GOOGLETRANSLATE($A48,""en"",""fr"")"),"Néphrologie")</f>
        <v>Néphrologie</v>
      </c>
      <c r="E48" s="9" t="str">
        <f>IFERROR(__xludf.DUMMYFUNCTION("GOOGLETRANSLATE($A48,""en"",""es"")"),"Nefrología")</f>
        <v>Nefrología</v>
      </c>
      <c r="F48" s="9" t="str">
        <f>IFERROR(__xludf.DUMMYFUNCTION("GOOGLETRANSLATE($A48,""en"",""it"")"),"Nefrologia")</f>
        <v>Nefrologia</v>
      </c>
      <c r="G48" s="9" t="str">
        <f>IFERROR(__xludf.DUMMYFUNCTION("GOOGLETRANSLATE($A48,""en"",""zh-cn"")"),"肾脏病学")</f>
        <v>肾脏病学</v>
      </c>
      <c r="H48" s="9" t="str">
        <f>IFERROR(__xludf.DUMMYFUNCTION("GOOGLETRANSLATE($A48,""en"",""ja"")"),"腎臓学")</f>
        <v>腎臓学</v>
      </c>
      <c r="I48" s="9" t="str">
        <f>IFERROR(__xludf.DUMMYFUNCTION("GOOGLETRANSLATE($A48,""en"",""ko"")"),"신장학")</f>
        <v>신장학</v>
      </c>
      <c r="J48" s="9" t="str">
        <f>IFERROR(__xludf.DUMMYFUNCTION("GOOGLETRANSLATE($A48,""en"",""pt-BR"")"),"Nefrologia")</f>
        <v>Nefrologia</v>
      </c>
    </row>
    <row r="49">
      <c r="A49" s="19" t="str">
        <f>IFERROR(__xludf.DUMMYFUNCTION("""COMPUTED_VALUE"""),"Neurology")</f>
        <v>Neurology</v>
      </c>
      <c r="B49" s="19" t="str">
        <f>IFERROR(__xludf.DUMMYFUNCTION("""COMPUTED_VALUE"""),"ny")</f>
        <v>ny</v>
      </c>
      <c r="C49" s="9" t="str">
        <f>IFERROR(__xludf.DUMMYFUNCTION("GOOGLETRANSLATE($A49,""en"",""de"")"),"Neurologie")</f>
        <v>Neurologie</v>
      </c>
      <c r="D49" s="9" t="str">
        <f>IFERROR(__xludf.DUMMYFUNCTION("GOOGLETRANSLATE($A49,""en"",""fr"")"),"Neurologie")</f>
        <v>Neurologie</v>
      </c>
      <c r="E49" s="9" t="str">
        <f>IFERROR(__xludf.DUMMYFUNCTION("GOOGLETRANSLATE($A49,""en"",""es"")"),"Neurología")</f>
        <v>Neurología</v>
      </c>
      <c r="F49" s="9" t="str">
        <f>IFERROR(__xludf.DUMMYFUNCTION("GOOGLETRANSLATE($A49,""en"",""it"")"),"Neurologia")</f>
        <v>Neurologia</v>
      </c>
      <c r="G49" s="9" t="str">
        <f>IFERROR(__xludf.DUMMYFUNCTION("GOOGLETRANSLATE($A49,""en"",""zh-cn"")"),"神经病学")</f>
        <v>神经病学</v>
      </c>
      <c r="H49" s="9" t="str">
        <f>IFERROR(__xludf.DUMMYFUNCTION("GOOGLETRANSLATE($A49,""en"",""ja"")"),"神経内科")</f>
        <v>神経内科</v>
      </c>
      <c r="I49" s="9" t="str">
        <f>IFERROR(__xludf.DUMMYFUNCTION("GOOGLETRANSLATE($A49,""en"",""ko"")"),"신경학")</f>
        <v>신경학</v>
      </c>
      <c r="J49" s="9" t="str">
        <f>IFERROR(__xludf.DUMMYFUNCTION("GOOGLETRANSLATE($A49,""en"",""pt-BR"")"),"Neurologia")</f>
        <v>Neurologia</v>
      </c>
    </row>
    <row r="50">
      <c r="A50" s="19" t="str">
        <f>IFERROR(__xludf.DUMMYFUNCTION("""COMPUTED_VALUE"""),"Neuromuscular Medicine")</f>
        <v>Neuromuscular Medicine</v>
      </c>
      <c r="B50" s="19" t="str">
        <f>IFERROR(__xludf.DUMMYFUNCTION("""COMPUTED_VALUE"""),"nyno")</f>
        <v>nyno</v>
      </c>
      <c r="C50" s="9" t="str">
        <f>IFERROR(__xludf.DUMMYFUNCTION("GOOGLETRANSLATE($A50,""en"",""de"")"),"Neuromuskuläre Medizin")</f>
        <v>Neuromuskuläre Medizin</v>
      </c>
      <c r="D50" s="9" t="str">
        <f>IFERROR(__xludf.DUMMYFUNCTION("GOOGLETRANSLATE($A50,""en"",""fr"")"),"Médecine neuromusculaire")</f>
        <v>Médecine neuromusculaire</v>
      </c>
      <c r="E50" s="9" t="str">
        <f>IFERROR(__xludf.DUMMYFUNCTION("GOOGLETRANSLATE($A50,""en"",""es"")"),"Medicina neuromuscular")</f>
        <v>Medicina neuromuscular</v>
      </c>
      <c r="F50" s="9" t="str">
        <f>IFERROR(__xludf.DUMMYFUNCTION("GOOGLETRANSLATE($A50,""en"",""it"")"),"Medicina Neuromuscolare")</f>
        <v>Medicina Neuromuscolare</v>
      </c>
      <c r="G50" s="9" t="str">
        <f>IFERROR(__xludf.DUMMYFUNCTION("GOOGLETRANSLATE($A50,""en"",""zh-cn"")"),"神经肌肉医学")</f>
        <v>神经肌肉医学</v>
      </c>
      <c r="H50" s="9" t="str">
        <f>IFERROR(__xludf.DUMMYFUNCTION("GOOGLETRANSLATE($A50,""en"",""ja"")"),"神経筋医学")</f>
        <v>神経筋医学</v>
      </c>
      <c r="I50" s="9" t="str">
        <f>IFERROR(__xludf.DUMMYFUNCTION("GOOGLETRANSLATE($A50,""en"",""ko"")"),"신경근육의학")</f>
        <v>신경근육의학</v>
      </c>
      <c r="J50" s="9" t="str">
        <f>IFERROR(__xludf.DUMMYFUNCTION("GOOGLETRANSLATE($A50,""en"",""pt-BR"")"),"Medicina Neuromuscular")</f>
        <v>Medicina Neuromuscular</v>
      </c>
    </row>
    <row r="51">
      <c r="A51" s="19" t="str">
        <f>IFERROR(__xludf.DUMMYFUNCTION("""COMPUTED_VALUE"""),"Neurophysiology")</f>
        <v>Neurophysiology</v>
      </c>
      <c r="B51" s="19" t="str">
        <f>IFERROR(__xludf.DUMMYFUNCTION("""COMPUTED_VALUE"""),"nypg")</f>
        <v>nypg</v>
      </c>
      <c r="C51" s="9" t="str">
        <f>IFERROR(__xludf.DUMMYFUNCTION("GOOGLETRANSLATE($A51,""en"",""de"")"),"Neurophysiologie")</f>
        <v>Neurophysiologie</v>
      </c>
      <c r="D51" s="9" t="str">
        <f>IFERROR(__xludf.DUMMYFUNCTION("GOOGLETRANSLATE($A51,""en"",""fr"")"),"Neurophysiologie")</f>
        <v>Neurophysiologie</v>
      </c>
      <c r="E51" s="9" t="str">
        <f>IFERROR(__xludf.DUMMYFUNCTION("GOOGLETRANSLATE($A51,""en"",""es"")"),"Neurofisiología")</f>
        <v>Neurofisiología</v>
      </c>
      <c r="F51" s="9" t="str">
        <f>IFERROR(__xludf.DUMMYFUNCTION("GOOGLETRANSLATE($A51,""en"",""it"")"),"Neurofisiologia")</f>
        <v>Neurofisiologia</v>
      </c>
      <c r="G51" s="9" t="str">
        <f>IFERROR(__xludf.DUMMYFUNCTION("GOOGLETRANSLATE($A51,""en"",""zh-cn"")"),"神经生理学")</f>
        <v>神经生理学</v>
      </c>
      <c r="H51" s="9" t="str">
        <f>IFERROR(__xludf.DUMMYFUNCTION("GOOGLETRANSLATE($A51,""en"",""ja"")"),"神経生理学")</f>
        <v>神経生理学</v>
      </c>
      <c r="I51" s="9" t="str">
        <f>IFERROR(__xludf.DUMMYFUNCTION("GOOGLETRANSLATE($A51,""en"",""ko"")"),"신경생리학")</f>
        <v>신경생리학</v>
      </c>
      <c r="J51" s="9" t="str">
        <f>IFERROR(__xludf.DUMMYFUNCTION("GOOGLETRANSLATE($A51,""en"",""pt-BR"")"),"Neurofisiologia")</f>
        <v>Neurofisiologia</v>
      </c>
    </row>
    <row r="52">
      <c r="A52" s="19" t="str">
        <f>IFERROR(__xludf.DUMMYFUNCTION("""COMPUTED_VALUE"""),"Neurosurgery")</f>
        <v>Neurosurgery</v>
      </c>
      <c r="B52" s="19" t="str">
        <f>IFERROR(__xludf.DUMMYFUNCTION("""COMPUTED_VALUE"""),"suny")</f>
        <v>suny</v>
      </c>
      <c r="C52" s="9" t="str">
        <f>IFERROR(__xludf.DUMMYFUNCTION("GOOGLETRANSLATE($A52,""en"",""de"")"),"Neurochirurgie")</f>
        <v>Neurochirurgie</v>
      </c>
      <c r="D52" s="9" t="str">
        <f>IFERROR(__xludf.DUMMYFUNCTION("GOOGLETRANSLATE($A52,""en"",""fr"")"),"Neurochirurgie")</f>
        <v>Neurochirurgie</v>
      </c>
      <c r="E52" s="9" t="str">
        <f>IFERROR(__xludf.DUMMYFUNCTION("GOOGLETRANSLATE($A52,""en"",""es"")"),"Neurocirugía")</f>
        <v>Neurocirugía</v>
      </c>
      <c r="F52" s="9" t="str">
        <f>IFERROR(__xludf.DUMMYFUNCTION("GOOGLETRANSLATE($A52,""en"",""it"")"),"Neurochirurgia")</f>
        <v>Neurochirurgia</v>
      </c>
      <c r="G52" s="9" t="str">
        <f>IFERROR(__xludf.DUMMYFUNCTION("GOOGLETRANSLATE($A52,""en"",""zh-cn"")"),"神经外科")</f>
        <v>神经外科</v>
      </c>
      <c r="H52" s="9" t="str">
        <f>IFERROR(__xludf.DUMMYFUNCTION("GOOGLETRANSLATE($A52,""en"",""ja"")"),"脳神経外科")</f>
        <v>脳神経外科</v>
      </c>
      <c r="I52" s="9" t="str">
        <f>IFERROR(__xludf.DUMMYFUNCTION("GOOGLETRANSLATE($A52,""en"",""ko"")"),"신경외과")</f>
        <v>신경외과</v>
      </c>
      <c r="J52" s="9" t="str">
        <f>IFERROR(__xludf.DUMMYFUNCTION("GOOGLETRANSLATE($A52,""en"",""pt-BR"")"),"Neurocirurgia")</f>
        <v>Neurocirurgia</v>
      </c>
    </row>
    <row r="53">
      <c r="A53" s="19" t="str">
        <f>IFERROR(__xludf.DUMMYFUNCTION("""COMPUTED_VALUE"""),"Nuclear Medicine")</f>
        <v>Nuclear Medicine</v>
      </c>
      <c r="B53" s="19" t="str">
        <f>IFERROR(__xludf.DUMMYFUNCTION("""COMPUTED_VALUE"""),"rynm")</f>
        <v>rynm</v>
      </c>
      <c r="C53" s="9" t="str">
        <f>IFERROR(__xludf.DUMMYFUNCTION("GOOGLETRANSLATE($A53,""en"",""de"")"),"Nuklearmedizin")</f>
        <v>Nuklearmedizin</v>
      </c>
      <c r="D53" s="9" t="str">
        <f>IFERROR(__xludf.DUMMYFUNCTION("GOOGLETRANSLATE($A53,""en"",""fr"")"),"Médecine Nucléaire")</f>
        <v>Médecine Nucléaire</v>
      </c>
      <c r="E53" s="9" t="str">
        <f>IFERROR(__xludf.DUMMYFUNCTION("GOOGLETRANSLATE($A53,""en"",""es"")"),"Medicina nuclear")</f>
        <v>Medicina nuclear</v>
      </c>
      <c r="F53" s="9" t="str">
        <f>IFERROR(__xludf.DUMMYFUNCTION("GOOGLETRANSLATE($A53,""en"",""it"")"),"Medicina Nucleare")</f>
        <v>Medicina Nucleare</v>
      </c>
      <c r="G53" s="9" t="str">
        <f>IFERROR(__xludf.DUMMYFUNCTION("GOOGLETRANSLATE($A53,""en"",""zh-cn"")"),"核医学")</f>
        <v>核医学</v>
      </c>
      <c r="H53" s="9" t="str">
        <f>IFERROR(__xludf.DUMMYFUNCTION("GOOGLETRANSLATE($A53,""en"",""ja"")"),"核医学")</f>
        <v>核医学</v>
      </c>
      <c r="I53" s="9" t="str">
        <f>IFERROR(__xludf.DUMMYFUNCTION("GOOGLETRANSLATE($A53,""en"",""ko"")"),"핵의학")</f>
        <v>핵의학</v>
      </c>
      <c r="J53" s="9" t="str">
        <f>IFERROR(__xludf.DUMMYFUNCTION("GOOGLETRANSLATE($A53,""en"",""pt-BR"")"),"Medicina Nuclear")</f>
        <v>Medicina Nuclear</v>
      </c>
    </row>
    <row r="54">
      <c r="A54" s="19" t="str">
        <f>IFERROR(__xludf.DUMMYFUNCTION("""COMPUTED_VALUE"""),"Nursing")</f>
        <v>Nursing</v>
      </c>
      <c r="B54" s="19" t="str">
        <f>IFERROR(__xludf.DUMMYFUNCTION("""COMPUTED_VALUE"""),"nu")</f>
        <v>nu</v>
      </c>
      <c r="C54" s="9" t="str">
        <f>IFERROR(__xludf.DUMMYFUNCTION("GOOGLETRANSLATE($A54,""en"",""de"")"),"Pflege")</f>
        <v>Pflege</v>
      </c>
      <c r="D54" s="9" t="str">
        <f>IFERROR(__xludf.DUMMYFUNCTION("GOOGLETRANSLATE($A54,""en"",""fr"")"),"Allaitement")</f>
        <v>Allaitement</v>
      </c>
      <c r="E54" s="9" t="str">
        <f>IFERROR(__xludf.DUMMYFUNCTION("GOOGLETRANSLATE($A54,""en"",""es"")"),"Enfermería")</f>
        <v>Enfermería</v>
      </c>
      <c r="F54" s="9" t="str">
        <f>IFERROR(__xludf.DUMMYFUNCTION("GOOGLETRANSLATE($A54,""en"",""it"")"),"Assistenza infermieristica")</f>
        <v>Assistenza infermieristica</v>
      </c>
      <c r="G54" s="9" t="str">
        <f>IFERROR(__xludf.DUMMYFUNCTION("GOOGLETRANSLATE($A54,""en"",""zh-cn"")"),"护理")</f>
        <v>护理</v>
      </c>
      <c r="H54" s="9" t="str">
        <f>IFERROR(__xludf.DUMMYFUNCTION("GOOGLETRANSLATE($A54,""en"",""ja"")"),"看護")</f>
        <v>看護</v>
      </c>
      <c r="I54" s="9" t="str">
        <f>IFERROR(__xludf.DUMMYFUNCTION("GOOGLETRANSLATE($A54,""en"",""ko"")"),"육아")</f>
        <v>육아</v>
      </c>
      <c r="J54" s="9" t="str">
        <f>IFERROR(__xludf.DUMMYFUNCTION("GOOGLETRANSLATE($A54,""en"",""pt-BR"")"),"Enfermagem")</f>
        <v>Enfermagem</v>
      </c>
    </row>
    <row r="55">
      <c r="A55" s="19" t="str">
        <f>IFERROR(__xludf.DUMMYFUNCTION("""COMPUTED_VALUE"""),"Nutrition")</f>
        <v>Nutrition</v>
      </c>
      <c r="B55" s="19" t="str">
        <f>IFERROR(__xludf.DUMMYFUNCTION("""COMPUTED_VALUE"""),"gpnt")</f>
        <v>gpnt</v>
      </c>
      <c r="C55" s="9" t="str">
        <f>IFERROR(__xludf.DUMMYFUNCTION("GOOGLETRANSLATE($A55,""en"",""de"")"),"Ernährung")</f>
        <v>Ernährung</v>
      </c>
      <c r="D55" s="9" t="str">
        <f>IFERROR(__xludf.DUMMYFUNCTION("GOOGLETRANSLATE($A55,""en"",""fr"")"),"Nutrition")</f>
        <v>Nutrition</v>
      </c>
      <c r="E55" s="9" t="str">
        <f>IFERROR(__xludf.DUMMYFUNCTION("GOOGLETRANSLATE($A55,""en"",""es"")"),"Nutrición")</f>
        <v>Nutrición</v>
      </c>
      <c r="F55" s="9" t="str">
        <f>IFERROR(__xludf.DUMMYFUNCTION("GOOGLETRANSLATE($A55,""en"",""it"")"),"Nutrizione")</f>
        <v>Nutrizione</v>
      </c>
      <c r="G55" s="9" t="str">
        <f>IFERROR(__xludf.DUMMYFUNCTION("GOOGLETRANSLATE($A55,""en"",""zh-cn"")"),"营养")</f>
        <v>营养</v>
      </c>
      <c r="H55" s="9" t="str">
        <f>IFERROR(__xludf.DUMMYFUNCTION("GOOGLETRANSLATE($A55,""en"",""ja"")"),"栄養")</f>
        <v>栄養</v>
      </c>
      <c r="I55" s="9" t="str">
        <f>IFERROR(__xludf.DUMMYFUNCTION("GOOGLETRANSLATE($A55,""en"",""ko"")"),"영양물 섭취")</f>
        <v>영양물 섭취</v>
      </c>
      <c r="J55" s="9" t="str">
        <f>IFERROR(__xludf.DUMMYFUNCTION("GOOGLETRANSLATE($A55,""en"",""pt-BR"")"),"Nutrição")</f>
        <v>Nutrição</v>
      </c>
    </row>
    <row r="56">
      <c r="A56" s="19" t="str">
        <f>IFERROR(__xludf.DUMMYFUNCTION("""COMPUTED_VALUE"""),"Obesity Medicine")</f>
        <v>Obesity Medicine</v>
      </c>
      <c r="B56" s="19" t="str">
        <f>IFERROR(__xludf.DUMMYFUNCTION("""COMPUTED_VALUE"""),"edob")</f>
        <v>edob</v>
      </c>
      <c r="C56" s="9" t="str">
        <f>IFERROR(__xludf.DUMMYFUNCTION("GOOGLETRANSLATE($A56,""en"",""de"")"),"Adipositas-Medizin")</f>
        <v>Adipositas-Medizin</v>
      </c>
      <c r="D56" s="9" t="str">
        <f>IFERROR(__xludf.DUMMYFUNCTION("GOOGLETRANSLATE($A56,""en"",""fr"")"),"Médecine de l'obésité")</f>
        <v>Médecine de l'obésité</v>
      </c>
      <c r="E56" s="9" t="str">
        <f>IFERROR(__xludf.DUMMYFUNCTION("GOOGLETRANSLATE($A56,""en"",""es"")"),"Medicina de la obesidad")</f>
        <v>Medicina de la obesidad</v>
      </c>
      <c r="F56" s="9" t="str">
        <f>IFERROR(__xludf.DUMMYFUNCTION("GOOGLETRANSLATE($A56,""en"",""it"")"),"Medicina dell'obesità")</f>
        <v>Medicina dell'obesità</v>
      </c>
      <c r="G56" s="9" t="str">
        <f>IFERROR(__xludf.DUMMYFUNCTION("GOOGLETRANSLATE($A56,""en"",""zh-cn"")"),"肥胖医学")</f>
        <v>肥胖医学</v>
      </c>
      <c r="H56" s="9" t="str">
        <f>IFERROR(__xludf.DUMMYFUNCTION("GOOGLETRANSLATE($A56,""en"",""ja"")"),"肥満医学")</f>
        <v>肥満医学</v>
      </c>
      <c r="I56" s="9" t="str">
        <f>IFERROR(__xludf.DUMMYFUNCTION("GOOGLETRANSLATE($A56,""en"",""ko"")"),"비만의학")</f>
        <v>비만의학</v>
      </c>
      <c r="J56" s="9" t="str">
        <f>IFERROR(__xludf.DUMMYFUNCTION("GOOGLETRANSLATE($A56,""en"",""pt-BR"")"),"Medicina para obesidade")</f>
        <v>Medicina para obesidade</v>
      </c>
    </row>
    <row r="57">
      <c r="A57" s="19" t="str">
        <f>IFERROR(__xludf.DUMMYFUNCTION("""COMPUTED_VALUE"""),"Obstetrics")</f>
        <v>Obstetrics</v>
      </c>
      <c r="B57" s="19" t="str">
        <f>IFERROR(__xludf.DUMMYFUNCTION("""COMPUTED_VALUE"""),"gyos")</f>
        <v>gyos</v>
      </c>
      <c r="C57" s="9" t="str">
        <f>IFERROR(__xludf.DUMMYFUNCTION("GOOGLETRANSLATE($A57,""en"",""de"")"),"Geburtshilfe")</f>
        <v>Geburtshilfe</v>
      </c>
      <c r="D57" s="9" t="str">
        <f>IFERROR(__xludf.DUMMYFUNCTION("GOOGLETRANSLATE($A57,""en"",""fr"")"),"Obstétrique")</f>
        <v>Obstétrique</v>
      </c>
      <c r="E57" s="9" t="str">
        <f>IFERROR(__xludf.DUMMYFUNCTION("GOOGLETRANSLATE($A57,""en"",""es"")"),"Obstetricia")</f>
        <v>Obstetricia</v>
      </c>
      <c r="F57" s="9" t="str">
        <f>IFERROR(__xludf.DUMMYFUNCTION("GOOGLETRANSLATE($A57,""en"",""it"")"),"Ostetricia")</f>
        <v>Ostetricia</v>
      </c>
      <c r="G57" s="9" t="str">
        <f>IFERROR(__xludf.DUMMYFUNCTION("GOOGLETRANSLATE($A57,""en"",""zh-cn"")"),"产科")</f>
        <v>产科</v>
      </c>
      <c r="H57" s="9" t="str">
        <f>IFERROR(__xludf.DUMMYFUNCTION("GOOGLETRANSLATE($A57,""en"",""ja"")"),"産科")</f>
        <v>産科</v>
      </c>
      <c r="I57" s="9" t="str">
        <f>IFERROR(__xludf.DUMMYFUNCTION("GOOGLETRANSLATE($A57,""en"",""ko"")"),"산과학")</f>
        <v>산과학</v>
      </c>
      <c r="J57" s="9" t="str">
        <f>IFERROR(__xludf.DUMMYFUNCTION("GOOGLETRANSLATE($A57,""en"",""pt-BR"")"),"Obstetrícia")</f>
        <v>Obstetrícia</v>
      </c>
    </row>
    <row r="58">
      <c r="A58" s="19" t="str">
        <f>IFERROR(__xludf.DUMMYFUNCTION("""COMPUTED_VALUE"""),"Occupational Medicine")</f>
        <v>Occupational Medicine</v>
      </c>
      <c r="B58" s="19" t="str">
        <f>IFERROR(__xludf.DUMMYFUNCTION("""COMPUTED_VALUE"""),"gpoc")</f>
        <v>gpoc</v>
      </c>
      <c r="C58" s="9" t="str">
        <f>IFERROR(__xludf.DUMMYFUNCTION("GOOGLETRANSLATE($A58,""en"",""de"")"),"Arbeitsmedizin")</f>
        <v>Arbeitsmedizin</v>
      </c>
      <c r="D58" s="9" t="str">
        <f>IFERROR(__xludf.DUMMYFUNCTION("GOOGLETRANSLATE($A58,""en"",""fr"")"),"Médecine du travail")</f>
        <v>Médecine du travail</v>
      </c>
      <c r="E58" s="9" t="str">
        <f>IFERROR(__xludf.DUMMYFUNCTION("GOOGLETRANSLATE($A58,""en"",""es"")"),"Medicina del Trabajo")</f>
        <v>Medicina del Trabajo</v>
      </c>
      <c r="F58" s="9" t="str">
        <f>IFERROR(__xludf.DUMMYFUNCTION("GOOGLETRANSLATE($A58,""en"",""it"")"),"Medicina del Lavoro")</f>
        <v>Medicina del Lavoro</v>
      </c>
      <c r="G58" s="9" t="str">
        <f>IFERROR(__xludf.DUMMYFUNCTION("GOOGLETRANSLATE($A58,""en"",""zh-cn"")"),"职业医学")</f>
        <v>职业医学</v>
      </c>
      <c r="H58" s="9" t="str">
        <f>IFERROR(__xludf.DUMMYFUNCTION("GOOGLETRANSLATE($A58,""en"",""ja"")"),"産業医学")</f>
        <v>産業医学</v>
      </c>
      <c r="I58" s="9" t="str">
        <f>IFERROR(__xludf.DUMMYFUNCTION("GOOGLETRANSLATE($A58,""en"",""ko"")"),"직업의학")</f>
        <v>직업의학</v>
      </c>
      <c r="J58" s="9" t="str">
        <f>IFERROR(__xludf.DUMMYFUNCTION("GOOGLETRANSLATE($A58,""en"",""pt-BR"")"),"Medicina Ocupacional")</f>
        <v>Medicina Ocupacional</v>
      </c>
    </row>
    <row r="59">
      <c r="A59" s="19" t="str">
        <f>IFERROR(__xludf.DUMMYFUNCTION("""COMPUTED_VALUE"""),"Oncology")</f>
        <v>Oncology</v>
      </c>
      <c r="B59" s="19" t="str">
        <f>IFERROR(__xludf.DUMMYFUNCTION("""COMPUTED_VALUE"""),"on")</f>
        <v>on</v>
      </c>
      <c r="C59" s="9" t="str">
        <f>IFERROR(__xludf.DUMMYFUNCTION("GOOGLETRANSLATE($A59,""en"",""de"")"),"Onkologie")</f>
        <v>Onkologie</v>
      </c>
      <c r="D59" s="9" t="str">
        <f>IFERROR(__xludf.DUMMYFUNCTION("GOOGLETRANSLATE($A59,""en"",""fr"")"),"Oncologie")</f>
        <v>Oncologie</v>
      </c>
      <c r="E59" s="9" t="str">
        <f>IFERROR(__xludf.DUMMYFUNCTION("GOOGLETRANSLATE($A59,""en"",""es"")"),"Oncología")</f>
        <v>Oncología</v>
      </c>
      <c r="F59" s="9" t="str">
        <f>IFERROR(__xludf.DUMMYFUNCTION("GOOGLETRANSLATE($A59,""en"",""it"")"),"Oncologia")</f>
        <v>Oncologia</v>
      </c>
      <c r="G59" s="9" t="str">
        <f>IFERROR(__xludf.DUMMYFUNCTION("GOOGLETRANSLATE($A59,""en"",""zh-cn"")"),"肿瘤学")</f>
        <v>肿瘤学</v>
      </c>
      <c r="H59" s="9" t="str">
        <f>IFERROR(__xludf.DUMMYFUNCTION("GOOGLETRANSLATE($A59,""en"",""ja"")"),"腫瘍学")</f>
        <v>腫瘍学</v>
      </c>
      <c r="I59" s="9" t="str">
        <f>IFERROR(__xludf.DUMMYFUNCTION("GOOGLETRANSLATE($A59,""en"",""ko"")"),"종양학")</f>
        <v>종양학</v>
      </c>
      <c r="J59" s="9" t="str">
        <f>IFERROR(__xludf.DUMMYFUNCTION("GOOGLETRANSLATE($A59,""en"",""pt-BR"")"),"Oncologia")</f>
        <v>Oncologia</v>
      </c>
    </row>
    <row r="60">
      <c r="A60" s="19" t="str">
        <f>IFERROR(__xludf.DUMMYFUNCTION("""COMPUTED_VALUE"""),"Ophthalmology")</f>
        <v>Ophthalmology</v>
      </c>
      <c r="B60" s="19" t="str">
        <f>IFERROR(__xludf.DUMMYFUNCTION("""COMPUTED_VALUE"""),"oh")</f>
        <v>oh</v>
      </c>
      <c r="C60" s="9" t="str">
        <f>IFERROR(__xludf.DUMMYFUNCTION("GOOGLETRANSLATE($A60,""en"",""de"")"),"Augenheilkunde")</f>
        <v>Augenheilkunde</v>
      </c>
      <c r="D60" s="9" t="str">
        <f>IFERROR(__xludf.DUMMYFUNCTION("GOOGLETRANSLATE($A60,""en"",""fr"")"),"Ophtalmologie")</f>
        <v>Ophtalmologie</v>
      </c>
      <c r="E60" s="9" t="str">
        <f>IFERROR(__xludf.DUMMYFUNCTION("GOOGLETRANSLATE($A60,""en"",""es"")"),"Oftalmología")</f>
        <v>Oftalmología</v>
      </c>
      <c r="F60" s="9" t="str">
        <f>IFERROR(__xludf.DUMMYFUNCTION("GOOGLETRANSLATE($A60,""en"",""it"")"),"Oftalmologia")</f>
        <v>Oftalmologia</v>
      </c>
      <c r="G60" s="9" t="str">
        <f>IFERROR(__xludf.DUMMYFUNCTION("GOOGLETRANSLATE($A60,""en"",""zh-cn"")"),"眼科")</f>
        <v>眼科</v>
      </c>
      <c r="H60" s="9" t="str">
        <f>IFERROR(__xludf.DUMMYFUNCTION("GOOGLETRANSLATE($A60,""en"",""ja"")"),"眼科")</f>
        <v>眼科</v>
      </c>
      <c r="I60" s="9" t="str">
        <f>IFERROR(__xludf.DUMMYFUNCTION("GOOGLETRANSLATE($A60,""en"",""ko"")"),"안과학")</f>
        <v>안과학</v>
      </c>
      <c r="J60" s="9" t="str">
        <f>IFERROR(__xludf.DUMMYFUNCTION("GOOGLETRANSLATE($A60,""en"",""pt-BR"")"),"Oftalmologia")</f>
        <v>Oftalmologia</v>
      </c>
    </row>
    <row r="61">
      <c r="A61" s="19" t="str">
        <f>IFERROR(__xludf.DUMMYFUNCTION("""COMPUTED_VALUE"""),"Optometry")</f>
        <v>Optometry</v>
      </c>
      <c r="B61" s="19" t="str">
        <f>IFERROR(__xludf.DUMMYFUNCTION("""COMPUTED_VALUE"""),"ohop")</f>
        <v>ohop</v>
      </c>
      <c r="C61" s="9" t="str">
        <f>IFERROR(__xludf.DUMMYFUNCTION("GOOGLETRANSLATE($A61,""en"",""de"")"),"Optometrie")</f>
        <v>Optometrie</v>
      </c>
      <c r="D61" s="9" t="str">
        <f>IFERROR(__xludf.DUMMYFUNCTION("GOOGLETRANSLATE($A61,""en"",""fr"")"),"Optométrie")</f>
        <v>Optométrie</v>
      </c>
      <c r="E61" s="9" t="str">
        <f>IFERROR(__xludf.DUMMYFUNCTION("GOOGLETRANSLATE($A61,""en"",""es"")"),"Optometría")</f>
        <v>Optometría</v>
      </c>
      <c r="F61" s="9" t="str">
        <f>IFERROR(__xludf.DUMMYFUNCTION("GOOGLETRANSLATE($A61,""en"",""it"")"),"Optometria")</f>
        <v>Optometria</v>
      </c>
      <c r="G61" s="9" t="str">
        <f>IFERROR(__xludf.DUMMYFUNCTION("GOOGLETRANSLATE($A61,""en"",""zh-cn"")"),"验光")</f>
        <v>验光</v>
      </c>
      <c r="H61" s="9" t="str">
        <f>IFERROR(__xludf.DUMMYFUNCTION("GOOGLETRANSLATE($A61,""en"",""ja"")"),"検眼")</f>
        <v>検眼</v>
      </c>
      <c r="I61" s="9" t="str">
        <f>IFERROR(__xludf.DUMMYFUNCTION("GOOGLETRANSLATE($A61,""en"",""ko"")"),"검안")</f>
        <v>검안</v>
      </c>
      <c r="J61" s="9" t="str">
        <f>IFERROR(__xludf.DUMMYFUNCTION("GOOGLETRANSLATE($A61,""en"",""pt-BR"")"),"Optometria")</f>
        <v>Optometria</v>
      </c>
    </row>
    <row r="62">
      <c r="A62" s="19" t="str">
        <f>IFERROR(__xludf.DUMMYFUNCTION("""COMPUTED_VALUE"""),"Orthopedic Surgery")</f>
        <v>Orthopedic Surgery</v>
      </c>
      <c r="B62" s="19" t="str">
        <f>IFERROR(__xludf.DUMMYFUNCTION("""COMPUTED_VALUE"""),"suop")</f>
        <v>suop</v>
      </c>
      <c r="C62" s="9" t="str">
        <f>IFERROR(__xludf.DUMMYFUNCTION("GOOGLETRANSLATE($A62,""en"",""de"")"),"Orthopädische Chirurgie")</f>
        <v>Orthopädische Chirurgie</v>
      </c>
      <c r="D62" s="9" t="str">
        <f>IFERROR(__xludf.DUMMYFUNCTION("GOOGLETRANSLATE($A62,""en"",""fr"")"),"Chirurgie orthopédique")</f>
        <v>Chirurgie orthopédique</v>
      </c>
      <c r="E62" s="9" t="str">
        <f>IFERROR(__xludf.DUMMYFUNCTION("GOOGLETRANSLATE($A62,""en"",""es"")"),"Cirugía ortopédica")</f>
        <v>Cirugía ortopédica</v>
      </c>
      <c r="F62" s="9" t="str">
        <f>IFERROR(__xludf.DUMMYFUNCTION("GOOGLETRANSLATE($A62,""en"",""it"")"),"Chirurgia ortopedica")</f>
        <v>Chirurgia ortopedica</v>
      </c>
      <c r="G62" s="9" t="str">
        <f>IFERROR(__xludf.DUMMYFUNCTION("GOOGLETRANSLATE($A62,""en"",""zh-cn"")"),"骨科手术")</f>
        <v>骨科手术</v>
      </c>
      <c r="H62" s="9" t="str">
        <f>IFERROR(__xludf.DUMMYFUNCTION("GOOGLETRANSLATE($A62,""en"",""ja"")"),"整形外科")</f>
        <v>整形外科</v>
      </c>
      <c r="I62" s="9" t="str">
        <f>IFERROR(__xludf.DUMMYFUNCTION("GOOGLETRANSLATE($A62,""en"",""ko"")"),"정형외과")</f>
        <v>정형외과</v>
      </c>
      <c r="J62" s="9" t="str">
        <f>IFERROR(__xludf.DUMMYFUNCTION("GOOGLETRANSLATE($A62,""en"",""pt-BR"")"),"Cirurgia Ortopédica")</f>
        <v>Cirurgia Ortopédica</v>
      </c>
    </row>
    <row r="63">
      <c r="A63" s="19" t="str">
        <f>IFERROR(__xludf.DUMMYFUNCTION("""COMPUTED_VALUE"""),"Otolaryngology")</f>
        <v>Otolaryngology</v>
      </c>
      <c r="B63" s="19" t="str">
        <f>IFERROR(__xludf.DUMMYFUNCTION("""COMPUTED_VALUE"""),"ot")</f>
        <v>ot</v>
      </c>
      <c r="C63" s="9" t="str">
        <f>IFERROR(__xludf.DUMMYFUNCTION("GOOGLETRANSLATE($A63,""en"",""de"")"),"HNO-Heilkunde")</f>
        <v>HNO-Heilkunde</v>
      </c>
      <c r="D63" s="9" t="str">
        <f>IFERROR(__xludf.DUMMYFUNCTION("GOOGLETRANSLATE($A63,""en"",""fr"")"),"Otolaryngologie")</f>
        <v>Otolaryngologie</v>
      </c>
      <c r="E63" s="9" t="str">
        <f>IFERROR(__xludf.DUMMYFUNCTION("GOOGLETRANSLATE($A63,""en"",""es"")"),"Otorrinolaringología")</f>
        <v>Otorrinolaringología</v>
      </c>
      <c r="F63" s="9" t="str">
        <f>IFERROR(__xludf.DUMMYFUNCTION("GOOGLETRANSLATE($A63,""en"",""it"")"),"Otorinolaringoiatria")</f>
        <v>Otorinolaringoiatria</v>
      </c>
      <c r="G63" s="9" t="str">
        <f>IFERROR(__xludf.DUMMYFUNCTION("GOOGLETRANSLATE($A63,""en"",""zh-cn"")"),"耳鼻喉科")</f>
        <v>耳鼻喉科</v>
      </c>
      <c r="H63" s="9" t="str">
        <f>IFERROR(__xludf.DUMMYFUNCTION("GOOGLETRANSLATE($A63,""en"",""ja"")"),"耳鼻科")</f>
        <v>耳鼻科</v>
      </c>
      <c r="I63" s="9" t="str">
        <f>IFERROR(__xludf.DUMMYFUNCTION("GOOGLETRANSLATE($A63,""en"",""ko"")"),"이비인후과")</f>
        <v>이비인후과</v>
      </c>
      <c r="J63" s="9" t="str">
        <f>IFERROR(__xludf.DUMMYFUNCTION("GOOGLETRANSLATE($A63,""en"",""pt-BR"")"),"Otorrinolaringologia")</f>
        <v>Otorrinolaringologia</v>
      </c>
    </row>
    <row r="64">
      <c r="A64" s="19" t="str">
        <f>IFERROR(__xludf.DUMMYFUNCTION("""COMPUTED_VALUE"""),"Pain Medicine")</f>
        <v>Pain Medicine</v>
      </c>
      <c r="B64" s="19" t="str">
        <f>IFERROR(__xludf.DUMMYFUNCTION("""COMPUTED_VALUE"""),"pn")</f>
        <v>pn</v>
      </c>
      <c r="C64" s="9" t="str">
        <f>IFERROR(__xludf.DUMMYFUNCTION("GOOGLETRANSLATE($A64,""en"",""de"")"),"Schmerzmedizin")</f>
        <v>Schmerzmedizin</v>
      </c>
      <c r="D64" s="9" t="str">
        <f>IFERROR(__xludf.DUMMYFUNCTION("GOOGLETRANSLATE($A64,""en"",""fr"")"),"Médecine de la douleur")</f>
        <v>Médecine de la douleur</v>
      </c>
      <c r="E64" s="9" t="str">
        <f>IFERROR(__xludf.DUMMYFUNCTION("GOOGLETRANSLATE($A64,""en"",""es"")"),"Medicina para el dolor")</f>
        <v>Medicina para el dolor</v>
      </c>
      <c r="F64" s="9" t="str">
        <f>IFERROR(__xludf.DUMMYFUNCTION("GOOGLETRANSLATE($A64,""en"",""it"")"),"Medicina del dolore")</f>
        <v>Medicina del dolore</v>
      </c>
      <c r="G64" s="9" t="str">
        <f>IFERROR(__xludf.DUMMYFUNCTION("GOOGLETRANSLATE($A64,""en"",""zh-cn"")"),"止痛药")</f>
        <v>止痛药</v>
      </c>
      <c r="H64" s="9" t="str">
        <f>IFERROR(__xludf.DUMMYFUNCTION("GOOGLETRANSLATE($A64,""en"",""ja"")"),"鎮痛剤")</f>
        <v>鎮痛剤</v>
      </c>
      <c r="I64" s="9" t="str">
        <f>IFERROR(__xludf.DUMMYFUNCTION("GOOGLETRANSLATE($A64,""en"",""ko"")"),"통증의학")</f>
        <v>통증의학</v>
      </c>
      <c r="J64" s="9" t="str">
        <f>IFERROR(__xludf.DUMMYFUNCTION("GOOGLETRANSLATE($A64,""en"",""pt-BR"")"),"Remédio para dor")</f>
        <v>Remédio para dor</v>
      </c>
    </row>
    <row r="65">
      <c r="A65" s="19" t="str">
        <f>IFERROR(__xludf.DUMMYFUNCTION("""COMPUTED_VALUE"""),"Palliative Medicine")</f>
        <v>Palliative Medicine</v>
      </c>
      <c r="B65" s="19" t="str">
        <f>IFERROR(__xludf.DUMMYFUNCTION("""COMPUTED_VALUE"""),"pv")</f>
        <v>pv</v>
      </c>
      <c r="C65" s="9" t="str">
        <f>IFERROR(__xludf.DUMMYFUNCTION("GOOGLETRANSLATE($A65,""en"",""de"")"),"Palliativmedizin")</f>
        <v>Palliativmedizin</v>
      </c>
      <c r="D65" s="9" t="str">
        <f>IFERROR(__xludf.DUMMYFUNCTION("GOOGLETRANSLATE($A65,""en"",""fr"")"),"Médecine palliative")</f>
        <v>Médecine palliative</v>
      </c>
      <c r="E65" s="9" t="str">
        <f>IFERROR(__xludf.DUMMYFUNCTION("GOOGLETRANSLATE($A65,""en"",""es"")"),"Medicina paliativa")</f>
        <v>Medicina paliativa</v>
      </c>
      <c r="F65" s="9" t="str">
        <f>IFERROR(__xludf.DUMMYFUNCTION("GOOGLETRANSLATE($A65,""en"",""it"")"),"Medicina palliativa")</f>
        <v>Medicina palliativa</v>
      </c>
      <c r="G65" s="9" t="str">
        <f>IFERROR(__xludf.DUMMYFUNCTION("GOOGLETRANSLATE($A65,""en"",""zh-cn"")"),"姑息医学")</f>
        <v>姑息医学</v>
      </c>
      <c r="H65" s="9" t="str">
        <f>IFERROR(__xludf.DUMMYFUNCTION("GOOGLETRANSLATE($A65,""en"",""ja"")"),"緩和医療")</f>
        <v>緩和医療</v>
      </c>
      <c r="I65" s="9" t="str">
        <f>IFERROR(__xludf.DUMMYFUNCTION("GOOGLETRANSLATE($A65,""en"",""ko"")"),"완화의학")</f>
        <v>완화의학</v>
      </c>
      <c r="J65" s="9" t="str">
        <f>IFERROR(__xludf.DUMMYFUNCTION("GOOGLETRANSLATE($A65,""en"",""pt-BR"")"),"Medicina Paliativa")</f>
        <v>Medicina Paliativa</v>
      </c>
    </row>
    <row r="66">
      <c r="A66" s="19" t="str">
        <f>IFERROR(__xludf.DUMMYFUNCTION("""COMPUTED_VALUE"""),"Pathology")</f>
        <v>Pathology</v>
      </c>
      <c r="B66" s="19" t="str">
        <f>IFERROR(__xludf.DUMMYFUNCTION("""COMPUTED_VALUE"""),"pt")</f>
        <v>pt</v>
      </c>
      <c r="C66" s="9" t="str">
        <f>IFERROR(__xludf.DUMMYFUNCTION("GOOGLETRANSLATE($A66,""en"",""de"")"),"Pathologie")</f>
        <v>Pathologie</v>
      </c>
      <c r="D66" s="9" t="str">
        <f>IFERROR(__xludf.DUMMYFUNCTION("GOOGLETRANSLATE($A66,""en"",""fr"")"),"Pathologie")</f>
        <v>Pathologie</v>
      </c>
      <c r="E66" s="9" t="str">
        <f>IFERROR(__xludf.DUMMYFUNCTION("GOOGLETRANSLATE($A66,""en"",""es"")"),"Patología")</f>
        <v>Patología</v>
      </c>
      <c r="F66" s="9" t="str">
        <f>IFERROR(__xludf.DUMMYFUNCTION("GOOGLETRANSLATE($A66,""en"",""it"")"),"Patologia")</f>
        <v>Patologia</v>
      </c>
      <c r="G66" s="9" t="str">
        <f>IFERROR(__xludf.DUMMYFUNCTION("GOOGLETRANSLATE($A66,""en"",""zh-cn"")"),"病理")</f>
        <v>病理</v>
      </c>
      <c r="H66" s="9" t="str">
        <f>IFERROR(__xludf.DUMMYFUNCTION("GOOGLETRANSLATE($A66,""en"",""ja"")"),"病理学")</f>
        <v>病理学</v>
      </c>
      <c r="I66" s="9" t="str">
        <f>IFERROR(__xludf.DUMMYFUNCTION("GOOGLETRANSLATE($A66,""en"",""ko"")"),"병리학")</f>
        <v>병리학</v>
      </c>
      <c r="J66" s="9" t="str">
        <f>IFERROR(__xludf.DUMMYFUNCTION("GOOGLETRANSLATE($A66,""en"",""pt-BR"")"),"Patologia")</f>
        <v>Patologia</v>
      </c>
    </row>
    <row r="67">
      <c r="A67" s="19" t="str">
        <f>IFERROR(__xludf.DUMMYFUNCTION("""COMPUTED_VALUE"""),"Pediatric Cardiology")</f>
        <v>Pediatric Cardiology</v>
      </c>
      <c r="B67" s="19" t="str">
        <f>IFERROR(__xludf.DUMMYFUNCTION("""COMPUTED_VALUE"""),"pdcd")</f>
        <v>pdcd</v>
      </c>
      <c r="C67" s="9" t="str">
        <f>IFERROR(__xludf.DUMMYFUNCTION("GOOGLETRANSLATE($A67,""en"",""de"")"),"Kinderkardiologie")</f>
        <v>Kinderkardiologie</v>
      </c>
      <c r="D67" s="9" t="str">
        <f>IFERROR(__xludf.DUMMYFUNCTION("GOOGLETRANSLATE($A67,""en"",""fr"")"),"Cardiologie pédiatrique")</f>
        <v>Cardiologie pédiatrique</v>
      </c>
      <c r="E67" s="9" t="str">
        <f>IFERROR(__xludf.DUMMYFUNCTION("GOOGLETRANSLATE($A67,""en"",""es"")"),"Cardiología Pediátrica")</f>
        <v>Cardiología Pediátrica</v>
      </c>
      <c r="F67" s="9" t="str">
        <f>IFERROR(__xludf.DUMMYFUNCTION("GOOGLETRANSLATE($A67,""en"",""it"")"),"Cardiologia Pediatrica")</f>
        <v>Cardiologia Pediatrica</v>
      </c>
      <c r="G67" s="9" t="str">
        <f>IFERROR(__xludf.DUMMYFUNCTION("GOOGLETRANSLATE($A67,""en"",""zh-cn"")"),"小儿心脏病学")</f>
        <v>小儿心脏病学</v>
      </c>
      <c r="H67" s="9" t="str">
        <f>IFERROR(__xludf.DUMMYFUNCTION("GOOGLETRANSLATE($A67,""en"",""ja"")"),"小児心臓病学")</f>
        <v>小児心臓病学</v>
      </c>
      <c r="I67" s="9" t="str">
        <f>IFERROR(__xludf.DUMMYFUNCTION("GOOGLETRANSLATE($A67,""en"",""ko"")"),"소아심장학")</f>
        <v>소아심장학</v>
      </c>
      <c r="J67" s="9" t="str">
        <f>IFERROR(__xludf.DUMMYFUNCTION("GOOGLETRANSLATE($A67,""en"",""pt-BR"")"),"Cardiologia Pediátrica")</f>
        <v>Cardiologia Pediátrica</v>
      </c>
    </row>
    <row r="68">
      <c r="A68" s="19" t="str">
        <f>IFERROR(__xludf.DUMMYFUNCTION("""COMPUTED_VALUE"""),"Pediatric Dentistry")</f>
        <v>Pediatric Dentistry</v>
      </c>
      <c r="B68" s="19" t="str">
        <f>IFERROR(__xludf.DUMMYFUNCTION("""COMPUTED_VALUE"""),"pddt")</f>
        <v>pddt</v>
      </c>
      <c r="C68" s="9" t="str">
        <f>IFERROR(__xludf.DUMMYFUNCTION("GOOGLETRANSLATE($A68,""en"",""de"")"),"Kinderzahnheilkunde")</f>
        <v>Kinderzahnheilkunde</v>
      </c>
      <c r="D68" s="9" t="str">
        <f>IFERROR(__xludf.DUMMYFUNCTION("GOOGLETRANSLATE($A68,""en"",""fr"")"),"Dentisterie pédiatrique")</f>
        <v>Dentisterie pédiatrique</v>
      </c>
      <c r="E68" s="9" t="str">
        <f>IFERROR(__xludf.DUMMYFUNCTION("GOOGLETRANSLATE($A68,""en"",""es"")"),"Odontología pediátrica")</f>
        <v>Odontología pediátrica</v>
      </c>
      <c r="F68" s="9" t="str">
        <f>IFERROR(__xludf.DUMMYFUNCTION("GOOGLETRANSLATE($A68,""en"",""it"")"),"Odontoiatria pediatrica")</f>
        <v>Odontoiatria pediatrica</v>
      </c>
      <c r="G68" s="9" t="str">
        <f>IFERROR(__xludf.DUMMYFUNCTION("GOOGLETRANSLATE($A68,""en"",""zh-cn"")"),"儿童牙科")</f>
        <v>儿童牙科</v>
      </c>
      <c r="H68" s="9" t="str">
        <f>IFERROR(__xludf.DUMMYFUNCTION("GOOGLETRANSLATE($A68,""en"",""ja"")"),"小児歯科")</f>
        <v>小児歯科</v>
      </c>
      <c r="I68" s="9" t="str">
        <f>IFERROR(__xludf.DUMMYFUNCTION("GOOGLETRANSLATE($A68,""en"",""ko"")"),"소아치과")</f>
        <v>소아치과</v>
      </c>
      <c r="J68" s="9" t="str">
        <f>IFERROR(__xludf.DUMMYFUNCTION("GOOGLETRANSLATE($A68,""en"",""pt-BR"")"),"Odontopediatria")</f>
        <v>Odontopediatria</v>
      </c>
    </row>
    <row r="69">
      <c r="A69" s="19" t="str">
        <f>IFERROR(__xludf.DUMMYFUNCTION("""COMPUTED_VALUE"""),"Pediatric Endocrinology")</f>
        <v>Pediatric Endocrinology</v>
      </c>
      <c r="B69" s="19" t="str">
        <f>IFERROR(__xludf.DUMMYFUNCTION("""COMPUTED_VALUE"""),"pded")</f>
        <v>pded</v>
      </c>
      <c r="C69" s="9" t="str">
        <f>IFERROR(__xludf.DUMMYFUNCTION("GOOGLETRANSLATE($A69,""en"",""de"")"),"Pädiatrische Endokrinologie")</f>
        <v>Pädiatrische Endokrinologie</v>
      </c>
      <c r="D69" s="9" t="str">
        <f>IFERROR(__xludf.DUMMYFUNCTION("GOOGLETRANSLATE($A69,""en"",""fr"")"),"Endocrinologie pédiatrique")</f>
        <v>Endocrinologie pédiatrique</v>
      </c>
      <c r="E69" s="9" t="str">
        <f>IFERROR(__xludf.DUMMYFUNCTION("GOOGLETRANSLATE($A69,""en"",""es"")"),"Endocrinología Pediátrica")</f>
        <v>Endocrinología Pediátrica</v>
      </c>
      <c r="F69" s="9" t="str">
        <f>IFERROR(__xludf.DUMMYFUNCTION("GOOGLETRANSLATE($A69,""en"",""it"")"),"Endocrinologia pediatrica")</f>
        <v>Endocrinologia pediatrica</v>
      </c>
      <c r="G69" s="9" t="str">
        <f>IFERROR(__xludf.DUMMYFUNCTION("GOOGLETRANSLATE($A69,""en"",""zh-cn"")"),"小儿内分泌科")</f>
        <v>小儿内分泌科</v>
      </c>
      <c r="H69" s="9" t="str">
        <f>IFERROR(__xludf.DUMMYFUNCTION("GOOGLETRANSLATE($A69,""en"",""ja"")"),"小児内分泌学")</f>
        <v>小児内分泌学</v>
      </c>
      <c r="I69" s="9" t="str">
        <f>IFERROR(__xludf.DUMMYFUNCTION("GOOGLETRANSLATE($A69,""en"",""ko"")"),"소아 내분비학")</f>
        <v>소아 내분비학</v>
      </c>
      <c r="J69" s="9" t="str">
        <f>IFERROR(__xludf.DUMMYFUNCTION("GOOGLETRANSLATE($A69,""en"",""pt-BR"")"),"Endocrinologia Pediátrica")</f>
        <v>Endocrinologia Pediátrica</v>
      </c>
    </row>
    <row r="70">
      <c r="A70" s="19" t="str">
        <f>IFERROR(__xludf.DUMMYFUNCTION("""COMPUTED_VALUE"""),"Pediatric Gastroenterology")</f>
        <v>Pediatric Gastroenterology</v>
      </c>
      <c r="B70" s="19" t="str">
        <f>IFERROR(__xludf.DUMMYFUNCTION("""COMPUTED_VALUE"""),"pdge")</f>
        <v>pdge</v>
      </c>
      <c r="C70" s="9" t="str">
        <f>IFERROR(__xludf.DUMMYFUNCTION("GOOGLETRANSLATE($A70,""en"",""de"")"),"Pädiatrische Gastroenterologie")</f>
        <v>Pädiatrische Gastroenterologie</v>
      </c>
      <c r="D70" s="9" t="str">
        <f>IFERROR(__xludf.DUMMYFUNCTION("GOOGLETRANSLATE($A70,""en"",""fr"")"),"Gastro-entérologie pédiatrique")</f>
        <v>Gastro-entérologie pédiatrique</v>
      </c>
      <c r="E70" s="9" t="str">
        <f>IFERROR(__xludf.DUMMYFUNCTION("GOOGLETRANSLATE($A70,""en"",""es"")"),"Gastroenterología Pediátrica")</f>
        <v>Gastroenterología Pediátrica</v>
      </c>
      <c r="F70" s="9" t="str">
        <f>IFERROR(__xludf.DUMMYFUNCTION("GOOGLETRANSLATE($A70,""en"",""it"")"),"Gastroenterologia pediatrica")</f>
        <v>Gastroenterologia pediatrica</v>
      </c>
      <c r="G70" s="9" t="str">
        <f>IFERROR(__xludf.DUMMYFUNCTION("GOOGLETRANSLATE($A70,""en"",""zh-cn"")"),"儿科胃肠病学")</f>
        <v>儿科胃肠病学</v>
      </c>
      <c r="H70" s="9" t="str">
        <f>IFERROR(__xludf.DUMMYFUNCTION("GOOGLETRANSLATE($A70,""en"",""ja"")"),"小児消化器科")</f>
        <v>小児消化器科</v>
      </c>
      <c r="I70" s="9" t="str">
        <f>IFERROR(__xludf.DUMMYFUNCTION("GOOGLETRANSLATE($A70,""en"",""ko"")"),"소아 위장병학")</f>
        <v>소아 위장병학</v>
      </c>
      <c r="J70" s="9" t="str">
        <f>IFERROR(__xludf.DUMMYFUNCTION("GOOGLETRANSLATE($A70,""en"",""pt-BR"")"),"Gastroenterologia Pediátrica")</f>
        <v>Gastroenterologia Pediátrica</v>
      </c>
    </row>
    <row r="71">
      <c r="A71" s="19" t="str">
        <f>IFERROR(__xludf.DUMMYFUNCTION("""COMPUTED_VALUE"""),"Pediatric Neurology")</f>
        <v>Pediatric Neurology</v>
      </c>
      <c r="B71" s="19" t="str">
        <f>IFERROR(__xludf.DUMMYFUNCTION("""COMPUTED_VALUE"""),"pdny")</f>
        <v>pdny</v>
      </c>
      <c r="C71" s="9" t="str">
        <f>IFERROR(__xludf.DUMMYFUNCTION("GOOGLETRANSLATE($A71,""en"",""de"")"),"Pädiatrische Neurologie")</f>
        <v>Pädiatrische Neurologie</v>
      </c>
      <c r="D71" s="9" t="str">
        <f>IFERROR(__xludf.DUMMYFUNCTION("GOOGLETRANSLATE($A71,""en"",""fr"")"),"Neurologie pédiatrique")</f>
        <v>Neurologie pédiatrique</v>
      </c>
      <c r="E71" s="9" t="str">
        <f>IFERROR(__xludf.DUMMYFUNCTION("GOOGLETRANSLATE($A71,""en"",""es"")"),"Neurología Pediátrica")</f>
        <v>Neurología Pediátrica</v>
      </c>
      <c r="F71" s="9" t="str">
        <f>IFERROR(__xludf.DUMMYFUNCTION("GOOGLETRANSLATE($A71,""en"",""it"")"),"Neurologia pediatrica")</f>
        <v>Neurologia pediatrica</v>
      </c>
      <c r="G71" s="9" t="str">
        <f>IFERROR(__xludf.DUMMYFUNCTION("GOOGLETRANSLATE($A71,""en"",""zh-cn"")"),"小儿神经病学")</f>
        <v>小儿神经病学</v>
      </c>
      <c r="H71" s="9" t="str">
        <f>IFERROR(__xludf.DUMMYFUNCTION("GOOGLETRANSLATE($A71,""en"",""ja"")"),"小児神経学")</f>
        <v>小児神経学</v>
      </c>
      <c r="I71" s="9" t="str">
        <f>IFERROR(__xludf.DUMMYFUNCTION("GOOGLETRANSLATE($A71,""en"",""ko"")"),"소아신경과")</f>
        <v>소아신경과</v>
      </c>
      <c r="J71" s="9" t="str">
        <f>IFERROR(__xludf.DUMMYFUNCTION("GOOGLETRANSLATE($A71,""en"",""pt-BR"")"),"Neurologia Pediátrica")</f>
        <v>Neurologia Pediátrica</v>
      </c>
    </row>
    <row r="72">
      <c r="A72" s="19" t="str">
        <f>IFERROR(__xludf.DUMMYFUNCTION("""COMPUTED_VALUE"""),"Pediatric Oncology")</f>
        <v>Pediatric Oncology</v>
      </c>
      <c r="B72" s="19" t="str">
        <f>IFERROR(__xludf.DUMMYFUNCTION("""COMPUTED_VALUE"""),"pdon")</f>
        <v>pdon</v>
      </c>
      <c r="C72" s="9" t="str">
        <f>IFERROR(__xludf.DUMMYFUNCTION("GOOGLETRANSLATE($A72,""en"",""de"")"),"Pädiatrische Onkologie")</f>
        <v>Pädiatrische Onkologie</v>
      </c>
      <c r="D72" s="9" t="str">
        <f>IFERROR(__xludf.DUMMYFUNCTION("GOOGLETRANSLATE($A72,""en"",""fr"")"),"Oncologie pédiatrique")</f>
        <v>Oncologie pédiatrique</v>
      </c>
      <c r="E72" s="9" t="str">
        <f>IFERROR(__xludf.DUMMYFUNCTION("GOOGLETRANSLATE($A72,""en"",""es"")"),"Oncología Pediátrica")</f>
        <v>Oncología Pediátrica</v>
      </c>
      <c r="F72" s="9" t="str">
        <f>IFERROR(__xludf.DUMMYFUNCTION("GOOGLETRANSLATE($A72,""en"",""it"")"),"Oncologia Pediatrica")</f>
        <v>Oncologia Pediatrica</v>
      </c>
      <c r="G72" s="9" t="str">
        <f>IFERROR(__xludf.DUMMYFUNCTION("GOOGLETRANSLATE($A72,""en"",""zh-cn"")"),"儿科肿瘤科")</f>
        <v>儿科肿瘤科</v>
      </c>
      <c r="H72" s="9" t="str">
        <f>IFERROR(__xludf.DUMMYFUNCTION("GOOGLETRANSLATE($A72,""en"",""ja"")"),"小児腫瘍学")</f>
        <v>小児腫瘍学</v>
      </c>
      <c r="I72" s="9" t="str">
        <f>IFERROR(__xludf.DUMMYFUNCTION("GOOGLETRANSLATE($A72,""en"",""ko"")"),"소아 종양학")</f>
        <v>소아 종양학</v>
      </c>
      <c r="J72" s="9" t="str">
        <f>IFERROR(__xludf.DUMMYFUNCTION("GOOGLETRANSLATE($A72,""en"",""pt-BR"")"),"Oncologia Pediátrica")</f>
        <v>Oncologia Pediátrica</v>
      </c>
    </row>
    <row r="73">
      <c r="A73" s="19" t="str">
        <f>IFERROR(__xludf.DUMMYFUNCTION("""COMPUTED_VALUE"""),"Pediatric Psychiatry")</f>
        <v>Pediatric Psychiatry</v>
      </c>
      <c r="B73" s="19" t="str">
        <f>IFERROR(__xludf.DUMMYFUNCTION("""COMPUTED_VALUE"""),"pdpy")</f>
        <v>pdpy</v>
      </c>
      <c r="C73" s="9" t="str">
        <f>IFERROR(__xludf.DUMMYFUNCTION("GOOGLETRANSLATE($A73,""en"",""de"")"),"Kinderpsychiatrie")</f>
        <v>Kinderpsychiatrie</v>
      </c>
      <c r="D73" s="9" t="str">
        <f>IFERROR(__xludf.DUMMYFUNCTION("GOOGLETRANSLATE($A73,""en"",""fr"")"),"Psychiatrie Pédiatrique")</f>
        <v>Psychiatrie Pédiatrique</v>
      </c>
      <c r="E73" s="9" t="str">
        <f>IFERROR(__xludf.DUMMYFUNCTION("GOOGLETRANSLATE($A73,""en"",""es"")"),"Psiquiatría pediátrica")</f>
        <v>Psiquiatría pediátrica</v>
      </c>
      <c r="F73" s="9" t="str">
        <f>IFERROR(__xludf.DUMMYFUNCTION("GOOGLETRANSLATE($A73,""en"",""it"")"),"Psichiatria pediatrica")</f>
        <v>Psichiatria pediatrica</v>
      </c>
      <c r="G73" s="9" t="str">
        <f>IFERROR(__xludf.DUMMYFUNCTION("GOOGLETRANSLATE($A73,""en"",""zh-cn"")"),"儿科精神病学")</f>
        <v>儿科精神病学</v>
      </c>
      <c r="H73" s="9" t="str">
        <f>IFERROR(__xludf.DUMMYFUNCTION("GOOGLETRANSLATE($A73,""en"",""ja"")"),"小児精神科")</f>
        <v>小児精神科</v>
      </c>
      <c r="I73" s="9" t="str">
        <f>IFERROR(__xludf.DUMMYFUNCTION("GOOGLETRANSLATE($A73,""en"",""ko"")"),"소아정신과")</f>
        <v>소아정신과</v>
      </c>
      <c r="J73" s="9" t="str">
        <f>IFERROR(__xludf.DUMMYFUNCTION("GOOGLETRANSLATE($A73,""en"",""pt-BR"")"),"Psiquiatria Pediátrica")</f>
        <v>Psiquiatria Pediátrica</v>
      </c>
    </row>
    <row r="74">
      <c r="A74" s="19" t="str">
        <f>IFERROR(__xludf.DUMMYFUNCTION("""COMPUTED_VALUE"""),"Pediatric Pulmonology")</f>
        <v>Pediatric Pulmonology</v>
      </c>
      <c r="B74" s="19" t="str">
        <f>IFERROR(__xludf.DUMMYFUNCTION("""COMPUTED_VALUE"""),"pdpl")</f>
        <v>pdpl</v>
      </c>
      <c r="C74" s="9" t="str">
        <f>IFERROR(__xludf.DUMMYFUNCTION("GOOGLETRANSLATE($A74,""en"",""de"")"),"Pädiatrische Pulmonologie")</f>
        <v>Pädiatrische Pulmonologie</v>
      </c>
      <c r="D74" s="9" t="str">
        <f>IFERROR(__xludf.DUMMYFUNCTION("GOOGLETRANSLATE($A74,""en"",""fr"")"),"Pneumologie pédiatrique")</f>
        <v>Pneumologie pédiatrique</v>
      </c>
      <c r="E74" s="9" t="str">
        <f>IFERROR(__xludf.DUMMYFUNCTION("GOOGLETRANSLATE($A74,""en"",""es"")"),"Neumología Pediátrica")</f>
        <v>Neumología Pediátrica</v>
      </c>
      <c r="F74" s="9" t="str">
        <f>IFERROR(__xludf.DUMMYFUNCTION("GOOGLETRANSLATE($A74,""en"",""it"")"),"Pneumologia Pediatrica")</f>
        <v>Pneumologia Pediatrica</v>
      </c>
      <c r="G74" s="9" t="str">
        <f>IFERROR(__xludf.DUMMYFUNCTION("GOOGLETRANSLATE($A74,""en"",""zh-cn"")"),"儿科肺病学")</f>
        <v>儿科肺病学</v>
      </c>
      <c r="H74" s="9" t="str">
        <f>IFERROR(__xludf.DUMMYFUNCTION("GOOGLETRANSLATE($A74,""en"",""ja"")"),"小児呼吸器科")</f>
        <v>小児呼吸器科</v>
      </c>
      <c r="I74" s="9" t="str">
        <f>IFERROR(__xludf.DUMMYFUNCTION("GOOGLETRANSLATE($A74,""en"",""ko"")"),"소아 호흡기내과")</f>
        <v>소아 호흡기내과</v>
      </c>
      <c r="J74" s="9" t="str">
        <f>IFERROR(__xludf.DUMMYFUNCTION("GOOGLETRANSLATE($A74,""en"",""pt-BR"")"),"Pneumologia Pediátrica")</f>
        <v>Pneumologia Pediátrica</v>
      </c>
    </row>
    <row r="75">
      <c r="A75" s="19" t="str">
        <f>IFERROR(__xludf.DUMMYFUNCTION("""COMPUTED_VALUE"""),"Pediatric Surgery")</f>
        <v>Pediatric Surgery</v>
      </c>
      <c r="B75" s="19" t="str">
        <f>IFERROR(__xludf.DUMMYFUNCTION("""COMPUTED_VALUE"""),"pdsu")</f>
        <v>pdsu</v>
      </c>
      <c r="C75" s="9" t="str">
        <f>IFERROR(__xludf.DUMMYFUNCTION("GOOGLETRANSLATE($A75,""en"",""de"")"),"Kinderchirurgie")</f>
        <v>Kinderchirurgie</v>
      </c>
      <c r="D75" s="9" t="str">
        <f>IFERROR(__xludf.DUMMYFUNCTION("GOOGLETRANSLATE($A75,""en"",""fr"")"),"Chirurgie pédiatrique")</f>
        <v>Chirurgie pédiatrique</v>
      </c>
      <c r="E75" s="9" t="str">
        <f>IFERROR(__xludf.DUMMYFUNCTION("GOOGLETRANSLATE($A75,""en"",""es"")"),"Cirugía Pediátrica")</f>
        <v>Cirugía Pediátrica</v>
      </c>
      <c r="F75" s="9" t="str">
        <f>IFERROR(__xludf.DUMMYFUNCTION("GOOGLETRANSLATE($A75,""en"",""it"")"),"Chirurgia Pediatrica")</f>
        <v>Chirurgia Pediatrica</v>
      </c>
      <c r="G75" s="9" t="str">
        <f>IFERROR(__xludf.DUMMYFUNCTION("GOOGLETRANSLATE($A75,""en"",""zh-cn"")"),"小儿外科")</f>
        <v>小儿外科</v>
      </c>
      <c r="H75" s="9" t="str">
        <f>IFERROR(__xludf.DUMMYFUNCTION("GOOGLETRANSLATE($A75,""en"",""ja"")"),"小児外科")</f>
        <v>小児外科</v>
      </c>
      <c r="I75" s="9" t="str">
        <f>IFERROR(__xludf.DUMMYFUNCTION("GOOGLETRANSLATE($A75,""en"",""ko"")"),"소아외과")</f>
        <v>소아외과</v>
      </c>
      <c r="J75" s="9" t="str">
        <f>IFERROR(__xludf.DUMMYFUNCTION("GOOGLETRANSLATE($A75,""en"",""pt-BR"")"),"Cirurgia Pediátrica")</f>
        <v>Cirurgia Pediátrica</v>
      </c>
    </row>
    <row r="76">
      <c r="A76" s="19" t="str">
        <f>IFERROR(__xludf.DUMMYFUNCTION("""COMPUTED_VALUE"""),"Pediatrics")</f>
        <v>Pediatrics</v>
      </c>
      <c r="B76" s="19" t="str">
        <f>IFERROR(__xludf.DUMMYFUNCTION("""COMPUTED_VALUE"""),"pd")</f>
        <v>pd</v>
      </c>
      <c r="C76" s="9" t="str">
        <f>IFERROR(__xludf.DUMMYFUNCTION("GOOGLETRANSLATE($A76,""en"",""de"")"),"Pädiatrie")</f>
        <v>Pädiatrie</v>
      </c>
      <c r="D76" s="9" t="str">
        <f>IFERROR(__xludf.DUMMYFUNCTION("GOOGLETRANSLATE($A76,""en"",""fr"")"),"Pédiatrie")</f>
        <v>Pédiatrie</v>
      </c>
      <c r="E76" s="9" t="str">
        <f>IFERROR(__xludf.DUMMYFUNCTION("GOOGLETRANSLATE($A76,""en"",""es"")"),"Pediatría")</f>
        <v>Pediatría</v>
      </c>
      <c r="F76" s="9" t="str">
        <f>IFERROR(__xludf.DUMMYFUNCTION("GOOGLETRANSLATE($A76,""en"",""it"")"),"Pediatria")</f>
        <v>Pediatria</v>
      </c>
      <c r="G76" s="9" t="str">
        <f>IFERROR(__xludf.DUMMYFUNCTION("GOOGLETRANSLATE($A76,""en"",""zh-cn"")"),"儿科")</f>
        <v>儿科</v>
      </c>
      <c r="H76" s="9" t="str">
        <f>IFERROR(__xludf.DUMMYFUNCTION("GOOGLETRANSLATE($A76,""en"",""ja"")"),"小児科")</f>
        <v>小児科</v>
      </c>
      <c r="I76" s="9" t="str">
        <f>IFERROR(__xludf.DUMMYFUNCTION("GOOGLETRANSLATE($A76,""en"",""ko"")"),"소아과")</f>
        <v>소아과</v>
      </c>
      <c r="J76" s="9" t="str">
        <f>IFERROR(__xludf.DUMMYFUNCTION("GOOGLETRANSLATE($A76,""en"",""pt-BR"")"),"Pediatria")</f>
        <v>Pediatria</v>
      </c>
    </row>
    <row r="77">
      <c r="A77" s="19" t="str">
        <f>IFERROR(__xludf.DUMMYFUNCTION("""COMPUTED_VALUE"""),"Perinatology")</f>
        <v>Perinatology</v>
      </c>
      <c r="B77" s="19" t="str">
        <f>IFERROR(__xludf.DUMMYFUNCTION("""COMPUTED_VALUE"""),"gypi")</f>
        <v>gypi</v>
      </c>
      <c r="C77" s="9" t="str">
        <f>IFERROR(__xludf.DUMMYFUNCTION("GOOGLETRANSLATE($A77,""en"",""de"")"),"Perinatologie")</f>
        <v>Perinatologie</v>
      </c>
      <c r="D77" s="9" t="str">
        <f>IFERROR(__xludf.DUMMYFUNCTION("GOOGLETRANSLATE($A77,""en"",""fr"")"),"Périnatalogie")</f>
        <v>Périnatalogie</v>
      </c>
      <c r="E77" s="9" t="str">
        <f>IFERROR(__xludf.DUMMYFUNCTION("GOOGLETRANSLATE($A77,""en"",""es"")"),"Perinatología")</f>
        <v>Perinatología</v>
      </c>
      <c r="F77" s="9" t="str">
        <f>IFERROR(__xludf.DUMMYFUNCTION("GOOGLETRANSLATE($A77,""en"",""it"")"),"Perinatologia")</f>
        <v>Perinatologia</v>
      </c>
      <c r="G77" s="9" t="str">
        <f>IFERROR(__xludf.DUMMYFUNCTION("GOOGLETRANSLATE($A77,""en"",""zh-cn"")"),"围产期学")</f>
        <v>围产期学</v>
      </c>
      <c r="H77" s="9" t="str">
        <f>IFERROR(__xludf.DUMMYFUNCTION("GOOGLETRANSLATE($A77,""en"",""ja"")"),"周産期学")</f>
        <v>周産期学</v>
      </c>
      <c r="I77" s="9" t="str">
        <f>IFERROR(__xludf.DUMMYFUNCTION("GOOGLETRANSLATE($A77,""en"",""ko"")"),"주산기학")</f>
        <v>주산기학</v>
      </c>
      <c r="J77" s="9" t="str">
        <f>IFERROR(__xludf.DUMMYFUNCTION("GOOGLETRANSLATE($A77,""en"",""pt-BR"")"),"Perinatologia")</f>
        <v>Perinatologia</v>
      </c>
    </row>
    <row r="78">
      <c r="A78" s="19" t="str">
        <f>IFERROR(__xludf.DUMMYFUNCTION("""COMPUTED_VALUE"""),"Pharmacology")</f>
        <v>Pharmacology</v>
      </c>
      <c r="B78" s="19" t="str">
        <f>IFERROR(__xludf.DUMMYFUNCTION("""COMPUTED_VALUE"""),"ph")</f>
        <v>ph</v>
      </c>
      <c r="C78" s="9" t="str">
        <f>IFERROR(__xludf.DUMMYFUNCTION("GOOGLETRANSLATE($A78,""en"",""de"")"),"Pharmakologie")</f>
        <v>Pharmakologie</v>
      </c>
      <c r="D78" s="9" t="str">
        <f>IFERROR(__xludf.DUMMYFUNCTION("GOOGLETRANSLATE($A78,""en"",""fr"")"),"Pharmacologie")</f>
        <v>Pharmacologie</v>
      </c>
      <c r="E78" s="9" t="str">
        <f>IFERROR(__xludf.DUMMYFUNCTION("GOOGLETRANSLATE($A78,""en"",""es"")"),"Farmacología")</f>
        <v>Farmacología</v>
      </c>
      <c r="F78" s="9" t="str">
        <f>IFERROR(__xludf.DUMMYFUNCTION("GOOGLETRANSLATE($A78,""en"",""it"")"),"Farmacologia")</f>
        <v>Farmacologia</v>
      </c>
      <c r="G78" s="9" t="str">
        <f>IFERROR(__xludf.DUMMYFUNCTION("GOOGLETRANSLATE($A78,""en"",""zh-cn"")"),"药理")</f>
        <v>药理</v>
      </c>
      <c r="H78" s="9" t="str">
        <f>IFERROR(__xludf.DUMMYFUNCTION("GOOGLETRANSLATE($A78,""en"",""ja"")"),"薬理学")</f>
        <v>薬理学</v>
      </c>
      <c r="I78" s="9" t="str">
        <f>IFERROR(__xludf.DUMMYFUNCTION("GOOGLETRANSLATE($A78,""en"",""ko"")"),"약리학")</f>
        <v>약리학</v>
      </c>
      <c r="J78" s="9" t="str">
        <f>IFERROR(__xludf.DUMMYFUNCTION("GOOGLETRANSLATE($A78,""en"",""pt-BR"")"),"Farmacologia")</f>
        <v>Farmacologia</v>
      </c>
    </row>
    <row r="79">
      <c r="A79" s="19" t="str">
        <f>IFERROR(__xludf.DUMMYFUNCTION("""COMPUTED_VALUE"""),"Pharmacy Specialty")</f>
        <v>Pharmacy Specialty</v>
      </c>
      <c r="B79" s="19" t="str">
        <f>IFERROR(__xludf.DUMMYFUNCTION("""COMPUTED_VALUE"""),"pc")</f>
        <v>pc</v>
      </c>
      <c r="C79" s="9" t="str">
        <f>IFERROR(__xludf.DUMMYFUNCTION("GOOGLETRANSLATE($A79,""en"",""de"")"),"Spezialgebiet der Apotheke")</f>
        <v>Spezialgebiet der Apotheke</v>
      </c>
      <c r="D79" s="9" t="str">
        <f>IFERROR(__xludf.DUMMYFUNCTION("GOOGLETRANSLATE($A79,""en"",""fr"")"),"Spécialité Pharmacie")</f>
        <v>Spécialité Pharmacie</v>
      </c>
      <c r="E79" s="9" t="str">
        <f>IFERROR(__xludf.DUMMYFUNCTION("GOOGLETRANSLATE($A79,""en"",""es"")"),"Especialidad de Farmacia")</f>
        <v>Especialidad de Farmacia</v>
      </c>
      <c r="F79" s="9" t="str">
        <f>IFERROR(__xludf.DUMMYFUNCTION("GOOGLETRANSLATE($A79,""en"",""it"")"),"Specialità della farmacia")</f>
        <v>Specialità della farmacia</v>
      </c>
      <c r="G79" s="9" t="str">
        <f>IFERROR(__xludf.DUMMYFUNCTION("GOOGLETRANSLATE($A79,""en"",""zh-cn"")"),"药学专业")</f>
        <v>药学专业</v>
      </c>
      <c r="H79" s="9" t="str">
        <f>IFERROR(__xludf.DUMMYFUNCTION("GOOGLETRANSLATE($A79,""en"",""ja"")"),"薬局専門")</f>
        <v>薬局専門</v>
      </c>
      <c r="I79" s="9" t="str">
        <f>IFERROR(__xludf.DUMMYFUNCTION("GOOGLETRANSLATE($A79,""en"",""ko"")"),"약국 전문")</f>
        <v>약국 전문</v>
      </c>
      <c r="J79" s="9" t="str">
        <f>IFERROR(__xludf.DUMMYFUNCTION("GOOGLETRANSLATE($A79,""en"",""pt-BR"")"),"Especialidade em Farmácia")</f>
        <v>Especialidade em Farmácia</v>
      </c>
    </row>
    <row r="80">
      <c r="A80" s="19" t="str">
        <f>IFERROR(__xludf.DUMMYFUNCTION("""COMPUTED_VALUE"""),"Physical Therapy")</f>
        <v>Physical Therapy</v>
      </c>
      <c r="B80" s="19" t="str">
        <f>IFERROR(__xludf.DUMMYFUNCTION("""COMPUTED_VALUE"""),"rmps")</f>
        <v>rmps</v>
      </c>
      <c r="C80" s="9" t="str">
        <f>IFERROR(__xludf.DUMMYFUNCTION("GOOGLETRANSLATE($A80,""en"",""de"")"),"Physiotherapie")</f>
        <v>Physiotherapie</v>
      </c>
      <c r="D80" s="9" t="str">
        <f>IFERROR(__xludf.DUMMYFUNCTION("GOOGLETRANSLATE($A80,""en"",""fr"")"),"Physiothérapie")</f>
        <v>Physiothérapie</v>
      </c>
      <c r="E80" s="9" t="str">
        <f>IFERROR(__xludf.DUMMYFUNCTION("GOOGLETRANSLATE($A80,""en"",""es"")"),"Fisioterapia")</f>
        <v>Fisioterapia</v>
      </c>
      <c r="F80" s="9" t="str">
        <f>IFERROR(__xludf.DUMMYFUNCTION("GOOGLETRANSLATE($A80,""en"",""it"")"),"Terapia fisica")</f>
        <v>Terapia fisica</v>
      </c>
      <c r="G80" s="9" t="str">
        <f>IFERROR(__xludf.DUMMYFUNCTION("GOOGLETRANSLATE($A80,""en"",""zh-cn"")"),"物理治疗")</f>
        <v>物理治疗</v>
      </c>
      <c r="H80" s="9" t="str">
        <f>IFERROR(__xludf.DUMMYFUNCTION("GOOGLETRANSLATE($A80,""en"",""ja"")"),"理学療法")</f>
        <v>理学療法</v>
      </c>
      <c r="I80" s="9" t="str">
        <f>IFERROR(__xludf.DUMMYFUNCTION("GOOGLETRANSLATE($A80,""en"",""ko"")"),"물리치료")</f>
        <v>물리치료</v>
      </c>
      <c r="J80" s="9" t="str">
        <f>IFERROR(__xludf.DUMMYFUNCTION("GOOGLETRANSLATE($A80,""en"",""pt-BR"")"),"Fisioterapia")</f>
        <v>Fisioterapia</v>
      </c>
    </row>
    <row r="81">
      <c r="A81" s="19" t="str">
        <f>IFERROR(__xludf.DUMMYFUNCTION("""COMPUTED_VALUE"""),"Plastic Surgery")</f>
        <v>Plastic Surgery</v>
      </c>
      <c r="B81" s="19" t="str">
        <f>IFERROR(__xludf.DUMMYFUNCTION("""COMPUTED_VALUE"""),"supl")</f>
        <v>supl</v>
      </c>
      <c r="C81" s="9" t="str">
        <f>IFERROR(__xludf.DUMMYFUNCTION("GOOGLETRANSLATE($A81,""en"",""de"")"),"Plastische Chirurgie")</f>
        <v>Plastische Chirurgie</v>
      </c>
      <c r="D81" s="9" t="str">
        <f>IFERROR(__xludf.DUMMYFUNCTION("GOOGLETRANSLATE($A81,""en"",""fr"")"),"Chirurgie plastique")</f>
        <v>Chirurgie plastique</v>
      </c>
      <c r="E81" s="9" t="str">
        <f>IFERROR(__xludf.DUMMYFUNCTION("GOOGLETRANSLATE($A81,""en"",""es"")"),"Cirugía plástica")</f>
        <v>Cirugía plástica</v>
      </c>
      <c r="F81" s="9" t="str">
        <f>IFERROR(__xludf.DUMMYFUNCTION("GOOGLETRANSLATE($A81,""en"",""it"")"),"Chirurgia plastica")</f>
        <v>Chirurgia plastica</v>
      </c>
      <c r="G81" s="9" t="str">
        <f>IFERROR(__xludf.DUMMYFUNCTION("GOOGLETRANSLATE($A81,""en"",""zh-cn"")"),"整形外科")</f>
        <v>整形外科</v>
      </c>
      <c r="H81" s="9" t="str">
        <f>IFERROR(__xludf.DUMMYFUNCTION("GOOGLETRANSLATE($A81,""en"",""ja"")"),"形成外科")</f>
        <v>形成外科</v>
      </c>
      <c r="I81" s="9" t="str">
        <f>IFERROR(__xludf.DUMMYFUNCTION("GOOGLETRANSLATE($A81,""en"",""ko"")"),"성형수술")</f>
        <v>성형수술</v>
      </c>
      <c r="J81" s="9" t="str">
        <f>IFERROR(__xludf.DUMMYFUNCTION("GOOGLETRANSLATE($A81,""en"",""pt-BR"")"),"Cirurgia plástica")</f>
        <v>Cirurgia plástica</v>
      </c>
    </row>
    <row r="82">
      <c r="A82" s="19" t="str">
        <f>IFERROR(__xludf.DUMMYFUNCTION("""COMPUTED_VALUE"""),"Podiatry")</f>
        <v>Podiatry</v>
      </c>
      <c r="B82" s="19" t="str">
        <f>IFERROR(__xludf.DUMMYFUNCTION("""COMPUTED_VALUE"""),"supo")</f>
        <v>supo</v>
      </c>
      <c r="C82" s="9" t="str">
        <f>IFERROR(__xludf.DUMMYFUNCTION("GOOGLETRANSLATE($A82,""en"",""de"")"),"Podologie")</f>
        <v>Podologie</v>
      </c>
      <c r="D82" s="9" t="str">
        <f>IFERROR(__xludf.DUMMYFUNCTION("GOOGLETRANSLATE($A82,""en"",""fr"")"),"Podologie")</f>
        <v>Podologie</v>
      </c>
      <c r="E82" s="9" t="str">
        <f>IFERROR(__xludf.DUMMYFUNCTION("GOOGLETRANSLATE($A82,""en"",""es"")"),"Podología")</f>
        <v>Podología</v>
      </c>
      <c r="F82" s="9" t="str">
        <f>IFERROR(__xludf.DUMMYFUNCTION("GOOGLETRANSLATE($A82,""en"",""it"")"),"Podologia")</f>
        <v>Podologia</v>
      </c>
      <c r="G82" s="9" t="str">
        <f>IFERROR(__xludf.DUMMYFUNCTION("GOOGLETRANSLATE($A82,""en"",""zh-cn"")"),"足病学")</f>
        <v>足病学</v>
      </c>
      <c r="H82" s="9" t="str">
        <f>IFERROR(__xludf.DUMMYFUNCTION("GOOGLETRANSLATE($A82,""en"",""ja"")"),"足病科")</f>
        <v>足病科</v>
      </c>
      <c r="I82" s="9" t="str">
        <f>IFERROR(__xludf.DUMMYFUNCTION("GOOGLETRANSLATE($A82,""en"",""ko"")"),"족병학")</f>
        <v>족병학</v>
      </c>
      <c r="J82" s="9" t="str">
        <f>IFERROR(__xludf.DUMMYFUNCTION("GOOGLETRANSLATE($A82,""en"",""pt-BR"")"),"Podologia")</f>
        <v>Podologia</v>
      </c>
    </row>
    <row r="83">
      <c r="A83" s="19" t="str">
        <f>IFERROR(__xludf.DUMMYFUNCTION("""COMPUTED_VALUE"""),"Preventive Medicine")</f>
        <v>Preventive Medicine</v>
      </c>
      <c r="B83" s="19" t="str">
        <f>IFERROR(__xludf.DUMMYFUNCTION("""COMPUTED_VALUE"""),"pm")</f>
        <v>pm</v>
      </c>
      <c r="C83" s="9" t="str">
        <f>IFERROR(__xludf.DUMMYFUNCTION("GOOGLETRANSLATE($A83,""en"",""de"")"),"Präventive Medizin")</f>
        <v>Präventive Medizin</v>
      </c>
      <c r="D83" s="9" t="str">
        <f>IFERROR(__xludf.DUMMYFUNCTION("GOOGLETRANSLATE($A83,""en"",""fr"")"),"Médecine préventive")</f>
        <v>Médecine préventive</v>
      </c>
      <c r="E83" s="9" t="str">
        <f>IFERROR(__xludf.DUMMYFUNCTION("GOOGLETRANSLATE($A83,""en"",""es"")"),"Medicina preventiva")</f>
        <v>Medicina preventiva</v>
      </c>
      <c r="F83" s="9" t="str">
        <f>IFERROR(__xludf.DUMMYFUNCTION("GOOGLETRANSLATE($A83,""en"",""it"")"),"Medicina preventiva")</f>
        <v>Medicina preventiva</v>
      </c>
      <c r="G83" s="9" t="str">
        <f>IFERROR(__xludf.DUMMYFUNCTION("GOOGLETRANSLATE($A83,""en"",""zh-cn"")"),"预防医学")</f>
        <v>预防医学</v>
      </c>
      <c r="H83" s="9" t="str">
        <f>IFERROR(__xludf.DUMMYFUNCTION("GOOGLETRANSLATE($A83,""en"",""ja"")"),"予防医学")</f>
        <v>予防医学</v>
      </c>
      <c r="I83" s="9" t="str">
        <f>IFERROR(__xludf.DUMMYFUNCTION("GOOGLETRANSLATE($A83,""en"",""ko"")"),"예방약")</f>
        <v>예방약</v>
      </c>
      <c r="J83" s="9" t="str">
        <f>IFERROR(__xludf.DUMMYFUNCTION("GOOGLETRANSLATE($A83,""en"",""pt-BR"")"),"Medicina preventiva")</f>
        <v>Medicina preventiva</v>
      </c>
    </row>
    <row r="84">
      <c r="A84" s="19" t="str">
        <f>IFERROR(__xludf.DUMMYFUNCTION("""COMPUTED_VALUE"""),"Psychiatry")</f>
        <v>Psychiatry</v>
      </c>
      <c r="B84" s="19" t="str">
        <f>IFERROR(__xludf.DUMMYFUNCTION("""COMPUTED_VALUE"""),"py")</f>
        <v>py</v>
      </c>
      <c r="C84" s="9" t="str">
        <f>IFERROR(__xludf.DUMMYFUNCTION("GOOGLETRANSLATE($A84,""en"",""de"")"),"Psychiatrie")</f>
        <v>Psychiatrie</v>
      </c>
      <c r="D84" s="9" t="str">
        <f>IFERROR(__xludf.DUMMYFUNCTION("GOOGLETRANSLATE($A84,""en"",""fr"")"),"Psychiatrie")</f>
        <v>Psychiatrie</v>
      </c>
      <c r="E84" s="9" t="str">
        <f>IFERROR(__xludf.DUMMYFUNCTION("GOOGLETRANSLATE($A84,""en"",""es"")"),"Psiquiatría")</f>
        <v>Psiquiatría</v>
      </c>
      <c r="F84" s="9" t="str">
        <f>IFERROR(__xludf.DUMMYFUNCTION("GOOGLETRANSLATE($A84,""en"",""it"")"),"Psichiatria")</f>
        <v>Psichiatria</v>
      </c>
      <c r="G84" s="9" t="str">
        <f>IFERROR(__xludf.DUMMYFUNCTION("GOOGLETRANSLATE($A84,""en"",""zh-cn"")"),"精神病学")</f>
        <v>精神病学</v>
      </c>
      <c r="H84" s="9" t="str">
        <f>IFERROR(__xludf.DUMMYFUNCTION("GOOGLETRANSLATE($A84,""en"",""ja"")"),"精神科")</f>
        <v>精神科</v>
      </c>
      <c r="I84" s="9" t="str">
        <f>IFERROR(__xludf.DUMMYFUNCTION("GOOGLETRANSLATE($A84,""en"",""ko"")"),"정신과")</f>
        <v>정신과</v>
      </c>
      <c r="J84" s="9" t="str">
        <f>IFERROR(__xludf.DUMMYFUNCTION("GOOGLETRANSLATE($A84,""en"",""pt-BR"")"),"Psiquiatria")</f>
        <v>Psiquiatria</v>
      </c>
    </row>
    <row r="85">
      <c r="A85" s="19" t="str">
        <f>IFERROR(__xludf.DUMMYFUNCTION("""COMPUTED_VALUE"""),"Psychology")</f>
        <v>Psychology</v>
      </c>
      <c r="B85" s="19" t="str">
        <f>IFERROR(__xludf.DUMMYFUNCTION("""COMPUTED_VALUE"""),"pypg")</f>
        <v>pypg</v>
      </c>
      <c r="C85" s="9" t="str">
        <f>IFERROR(__xludf.DUMMYFUNCTION("GOOGLETRANSLATE($A85,""en"",""de"")"),"Psychologie")</f>
        <v>Psychologie</v>
      </c>
      <c r="D85" s="9" t="str">
        <f>IFERROR(__xludf.DUMMYFUNCTION("GOOGLETRANSLATE($A85,""en"",""fr"")"),"Psychologie")</f>
        <v>Psychologie</v>
      </c>
      <c r="E85" s="9" t="str">
        <f>IFERROR(__xludf.DUMMYFUNCTION("GOOGLETRANSLATE($A85,""en"",""es"")"),"Psicología")</f>
        <v>Psicología</v>
      </c>
      <c r="F85" s="9" t="str">
        <f>IFERROR(__xludf.DUMMYFUNCTION("GOOGLETRANSLATE($A85,""en"",""it"")"),"Psicologia")</f>
        <v>Psicologia</v>
      </c>
      <c r="G85" s="9" t="str">
        <f>IFERROR(__xludf.DUMMYFUNCTION("GOOGLETRANSLATE($A85,""en"",""zh-cn"")"),"心理学")</f>
        <v>心理学</v>
      </c>
      <c r="H85" s="9" t="str">
        <f>IFERROR(__xludf.DUMMYFUNCTION("GOOGLETRANSLATE($A85,""en"",""ja"")"),"心理学")</f>
        <v>心理学</v>
      </c>
      <c r="I85" s="9" t="str">
        <f>IFERROR(__xludf.DUMMYFUNCTION("GOOGLETRANSLATE($A85,""en"",""ko"")"),"심리학")</f>
        <v>심리학</v>
      </c>
      <c r="J85" s="9" t="str">
        <f>IFERROR(__xludf.DUMMYFUNCTION("GOOGLETRANSLATE($A85,""en"",""pt-BR"")"),"Psicologia")</f>
        <v>Psicologia</v>
      </c>
    </row>
    <row r="86">
      <c r="A86" s="19" t="str">
        <f>IFERROR(__xludf.DUMMYFUNCTION("""COMPUTED_VALUE"""),"Psychosomatic Medicine")</f>
        <v>Psychosomatic Medicine</v>
      </c>
      <c r="B86" s="19" t="str">
        <f>IFERROR(__xludf.DUMMYFUNCTION("""COMPUTED_VALUE"""),"pypm")</f>
        <v>pypm</v>
      </c>
      <c r="C86" s="9" t="str">
        <f>IFERROR(__xludf.DUMMYFUNCTION("GOOGLETRANSLATE($A86,""en"",""de"")"),"Psychosomatik")</f>
        <v>Psychosomatik</v>
      </c>
      <c r="D86" s="9" t="str">
        <f>IFERROR(__xludf.DUMMYFUNCTION("GOOGLETRANSLATE($A86,""en"",""fr"")"),"Médecine psychosomatique")</f>
        <v>Médecine psychosomatique</v>
      </c>
      <c r="E86" s="9" t="str">
        <f>IFERROR(__xludf.DUMMYFUNCTION("GOOGLETRANSLATE($A86,""en"",""es"")"),"Medicina Psicosomática")</f>
        <v>Medicina Psicosomática</v>
      </c>
      <c r="F86" s="9" t="str">
        <f>IFERROR(__xludf.DUMMYFUNCTION("GOOGLETRANSLATE($A86,""en"",""it"")"),"Medicina Psicosomatica")</f>
        <v>Medicina Psicosomatica</v>
      </c>
      <c r="G86" s="9" t="str">
        <f>IFERROR(__xludf.DUMMYFUNCTION("GOOGLETRANSLATE($A86,""en"",""zh-cn"")"),"心身医学")</f>
        <v>心身医学</v>
      </c>
      <c r="H86" s="9" t="str">
        <f>IFERROR(__xludf.DUMMYFUNCTION("GOOGLETRANSLATE($A86,""en"",""ja"")"),"心療内科")</f>
        <v>心療内科</v>
      </c>
      <c r="I86" s="9" t="str">
        <f>IFERROR(__xludf.DUMMYFUNCTION("GOOGLETRANSLATE($A86,""en"",""ko"")"),"심신의학")</f>
        <v>심신의학</v>
      </c>
      <c r="J86" s="9" t="str">
        <f>IFERROR(__xludf.DUMMYFUNCTION("GOOGLETRANSLATE($A86,""en"",""pt-BR"")"),"Medicina Psicossomática")</f>
        <v>Medicina Psicossomática</v>
      </c>
    </row>
    <row r="87">
      <c r="A87" s="19" t="str">
        <f>IFERROR(__xludf.DUMMYFUNCTION("""COMPUTED_VALUE"""),"Public Health")</f>
        <v>Public Health</v>
      </c>
      <c r="B87" s="19" t="str">
        <f>IFERROR(__xludf.DUMMYFUNCTION("""COMPUTED_VALUE"""),"pmph")</f>
        <v>pmph</v>
      </c>
      <c r="C87" s="9" t="str">
        <f>IFERROR(__xludf.DUMMYFUNCTION("GOOGLETRANSLATE($A87,""en"",""de"")"),"Öffentliche Gesundheit")</f>
        <v>Öffentliche Gesundheit</v>
      </c>
      <c r="D87" s="9" t="str">
        <f>IFERROR(__xludf.DUMMYFUNCTION("GOOGLETRANSLATE($A87,""en"",""fr"")"),"Santé publique")</f>
        <v>Santé publique</v>
      </c>
      <c r="E87" s="9" t="str">
        <f>IFERROR(__xludf.DUMMYFUNCTION("GOOGLETRANSLATE($A87,""en"",""es"")"),"Salud Pública")</f>
        <v>Salud Pública</v>
      </c>
      <c r="F87" s="9" t="str">
        <f>IFERROR(__xludf.DUMMYFUNCTION("GOOGLETRANSLATE($A87,""en"",""it"")"),"Sanità pubblica")</f>
        <v>Sanità pubblica</v>
      </c>
      <c r="G87" s="9" t="str">
        <f>IFERROR(__xludf.DUMMYFUNCTION("GOOGLETRANSLATE($A87,""en"",""zh-cn"")"),"公共卫生")</f>
        <v>公共卫生</v>
      </c>
      <c r="H87" s="9" t="str">
        <f>IFERROR(__xludf.DUMMYFUNCTION("GOOGLETRANSLATE($A87,""en"",""ja"")"),"公衆衛生")</f>
        <v>公衆衛生</v>
      </c>
      <c r="I87" s="9" t="str">
        <f>IFERROR(__xludf.DUMMYFUNCTION("GOOGLETRANSLATE($A87,""en"",""ko"")"),"공중 위생")</f>
        <v>공중 위생</v>
      </c>
      <c r="J87" s="9" t="str">
        <f>IFERROR(__xludf.DUMMYFUNCTION("GOOGLETRANSLATE($A87,""en"",""pt-BR"")"),"Saúde pública")</f>
        <v>Saúde pública</v>
      </c>
    </row>
    <row r="88">
      <c r="A88" s="19" t="str">
        <f>IFERROR(__xludf.DUMMYFUNCTION("""COMPUTED_VALUE"""),"Pulmonology")</f>
        <v>Pulmonology</v>
      </c>
      <c r="B88" s="19" t="str">
        <f>IFERROR(__xludf.DUMMYFUNCTION("""COMPUTED_VALUE"""),"pl")</f>
        <v>pl</v>
      </c>
      <c r="C88" s="9" t="str">
        <f>IFERROR(__xludf.DUMMYFUNCTION("GOOGLETRANSLATE($A88,""en"",""de"")"),"Pulmonologie")</f>
        <v>Pulmonologie</v>
      </c>
      <c r="D88" s="9" t="str">
        <f>IFERROR(__xludf.DUMMYFUNCTION("GOOGLETRANSLATE($A88,""en"",""fr"")"),"Pneumologie")</f>
        <v>Pneumologie</v>
      </c>
      <c r="E88" s="9" t="str">
        <f>IFERROR(__xludf.DUMMYFUNCTION("GOOGLETRANSLATE($A88,""en"",""es"")"),"Neumología")</f>
        <v>Neumología</v>
      </c>
      <c r="F88" s="9" t="str">
        <f>IFERROR(__xludf.DUMMYFUNCTION("GOOGLETRANSLATE($A88,""en"",""it"")"),"Pneumologia")</f>
        <v>Pneumologia</v>
      </c>
      <c r="G88" s="9" t="str">
        <f>IFERROR(__xludf.DUMMYFUNCTION("GOOGLETRANSLATE($A88,""en"",""zh-cn"")"),"肺科")</f>
        <v>肺科</v>
      </c>
      <c r="H88" s="9" t="str">
        <f>IFERROR(__xludf.DUMMYFUNCTION("GOOGLETRANSLATE($A88,""en"",""ja"")"),"呼吸器科")</f>
        <v>呼吸器科</v>
      </c>
      <c r="I88" s="9" t="str">
        <f>IFERROR(__xludf.DUMMYFUNCTION("GOOGLETRANSLATE($A88,""en"",""ko"")"),"호흡기내과")</f>
        <v>호흡기내과</v>
      </c>
      <c r="J88" s="9" t="str">
        <f>IFERROR(__xludf.DUMMYFUNCTION("GOOGLETRANSLATE($A88,""en"",""pt-BR"")"),"Pneumologia")</f>
        <v>Pneumologia</v>
      </c>
    </row>
    <row r="89">
      <c r="A89" s="19" t="str">
        <f>IFERROR(__xludf.DUMMYFUNCTION("""COMPUTED_VALUE"""),"Radiation Oncology")</f>
        <v>Radiation Oncology</v>
      </c>
      <c r="B89" s="19" t="str">
        <f>IFERROR(__xludf.DUMMYFUNCTION("""COMPUTED_VALUE"""),"ryon")</f>
        <v>ryon</v>
      </c>
      <c r="C89" s="9" t="str">
        <f>IFERROR(__xludf.DUMMYFUNCTION("GOOGLETRANSLATE($A89,""en"",""de"")"),"Radioonkologie")</f>
        <v>Radioonkologie</v>
      </c>
      <c r="D89" s="9" t="str">
        <f>IFERROR(__xludf.DUMMYFUNCTION("GOOGLETRANSLATE($A89,""en"",""fr"")"),"Radio-oncologie")</f>
        <v>Radio-oncologie</v>
      </c>
      <c r="E89" s="9" t="str">
        <f>IFERROR(__xludf.DUMMYFUNCTION("GOOGLETRANSLATE($A89,""en"",""es"")"),"Oncología Radioterápica")</f>
        <v>Oncología Radioterápica</v>
      </c>
      <c r="F89" s="9" t="str">
        <f>IFERROR(__xludf.DUMMYFUNCTION("GOOGLETRANSLATE($A89,""en"",""it"")"),"Oncologia delle radiazioni")</f>
        <v>Oncologia delle radiazioni</v>
      </c>
      <c r="G89" s="9" t="str">
        <f>IFERROR(__xludf.DUMMYFUNCTION("GOOGLETRANSLATE($A89,""en"",""zh-cn"")"),"放射肿瘤学")</f>
        <v>放射肿瘤学</v>
      </c>
      <c r="H89" s="9" t="str">
        <f>IFERROR(__xludf.DUMMYFUNCTION("GOOGLETRANSLATE($A89,""en"",""ja"")"),"放射線腫瘍学")</f>
        <v>放射線腫瘍学</v>
      </c>
      <c r="I89" s="9" t="str">
        <f>IFERROR(__xludf.DUMMYFUNCTION("GOOGLETRANSLATE($A89,""en"",""ko"")"),"방사선종양학")</f>
        <v>방사선종양학</v>
      </c>
      <c r="J89" s="9" t="str">
        <f>IFERROR(__xludf.DUMMYFUNCTION("GOOGLETRANSLATE($A89,""en"",""pt-BR"")"),"Oncologia de radiação")</f>
        <v>Oncologia de radiação</v>
      </c>
    </row>
    <row r="90">
      <c r="A90" s="19" t="str">
        <f>IFERROR(__xludf.DUMMYFUNCTION("""COMPUTED_VALUE"""),"Radiology")</f>
        <v>Radiology</v>
      </c>
      <c r="B90" s="19" t="str">
        <f>IFERROR(__xludf.DUMMYFUNCTION("""COMPUTED_VALUE"""),"ry")</f>
        <v>ry</v>
      </c>
      <c r="C90" s="9" t="str">
        <f>IFERROR(__xludf.DUMMYFUNCTION("GOOGLETRANSLATE($A90,""en"",""de"")"),"Radiologie")</f>
        <v>Radiologie</v>
      </c>
      <c r="D90" s="9" t="str">
        <f>IFERROR(__xludf.DUMMYFUNCTION("GOOGLETRANSLATE($A90,""en"",""fr"")"),"Radiologie")</f>
        <v>Radiologie</v>
      </c>
      <c r="E90" s="9" t="str">
        <f>IFERROR(__xludf.DUMMYFUNCTION("GOOGLETRANSLATE($A90,""en"",""es"")"),"Radiología")</f>
        <v>Radiología</v>
      </c>
      <c r="F90" s="9" t="str">
        <f>IFERROR(__xludf.DUMMYFUNCTION("GOOGLETRANSLATE($A90,""en"",""it"")"),"Radiologia")</f>
        <v>Radiologia</v>
      </c>
      <c r="G90" s="9" t="str">
        <f>IFERROR(__xludf.DUMMYFUNCTION("GOOGLETRANSLATE($A90,""en"",""zh-cn"")"),"放射科")</f>
        <v>放射科</v>
      </c>
      <c r="H90" s="9" t="str">
        <f>IFERROR(__xludf.DUMMYFUNCTION("GOOGLETRANSLATE($A90,""en"",""ja"")"),"放射線科")</f>
        <v>放射線科</v>
      </c>
      <c r="I90" s="9" t="str">
        <f>IFERROR(__xludf.DUMMYFUNCTION("GOOGLETRANSLATE($A90,""en"",""ko"")"),"방사선과")</f>
        <v>방사선과</v>
      </c>
      <c r="J90" s="9" t="str">
        <f>IFERROR(__xludf.DUMMYFUNCTION("GOOGLETRANSLATE($A90,""en"",""pt-BR"")"),"Radiologia")</f>
        <v>Radiologia</v>
      </c>
    </row>
    <row r="91">
      <c r="A91" s="19" t="str">
        <f>IFERROR(__xludf.DUMMYFUNCTION("""COMPUTED_VALUE"""),"Rehabilitation Medicine")</f>
        <v>Rehabilitation Medicine</v>
      </c>
      <c r="B91" s="19" t="str">
        <f>IFERROR(__xludf.DUMMYFUNCTION("""COMPUTED_VALUE"""),"rm")</f>
        <v>rm</v>
      </c>
      <c r="C91" s="9" t="str">
        <f>IFERROR(__xludf.DUMMYFUNCTION("GOOGLETRANSLATE($A91,""en"",""de"")"),"Rehabilitationsmedizin")</f>
        <v>Rehabilitationsmedizin</v>
      </c>
      <c r="D91" s="9" t="str">
        <f>IFERROR(__xludf.DUMMYFUNCTION("GOOGLETRANSLATE($A91,""en"",""fr"")"),"Médecine de réadaptation")</f>
        <v>Médecine de réadaptation</v>
      </c>
      <c r="E91" s="9" t="str">
        <f>IFERROR(__xludf.DUMMYFUNCTION("GOOGLETRANSLATE($A91,""en"",""es"")"),"Medicina de rehabilitación")</f>
        <v>Medicina de rehabilitación</v>
      </c>
      <c r="F91" s="9" t="str">
        <f>IFERROR(__xludf.DUMMYFUNCTION("GOOGLETRANSLATE($A91,""en"",""it"")"),"Medicina riabilitativa")</f>
        <v>Medicina riabilitativa</v>
      </c>
      <c r="G91" s="9" t="str">
        <f>IFERROR(__xludf.DUMMYFUNCTION("GOOGLETRANSLATE($A91,""en"",""zh-cn"")"),"康复医学")</f>
        <v>康复医学</v>
      </c>
      <c r="H91" s="9" t="str">
        <f>IFERROR(__xludf.DUMMYFUNCTION("GOOGLETRANSLATE($A91,""en"",""ja"")"),"リハビリテーション医学")</f>
        <v>リハビリテーション医学</v>
      </c>
      <c r="I91" s="9" t="str">
        <f>IFERROR(__xludf.DUMMYFUNCTION("GOOGLETRANSLATE($A91,""en"",""ko"")"),"재활의학")</f>
        <v>재활의학</v>
      </c>
      <c r="J91" s="9" t="str">
        <f>IFERROR(__xludf.DUMMYFUNCTION("GOOGLETRANSLATE($A91,""en"",""pt-BR"")"),"Medicina de Reabilitação")</f>
        <v>Medicina de Reabilitação</v>
      </c>
    </row>
    <row r="92">
      <c r="A92" s="19" t="str">
        <f>IFERROR(__xludf.DUMMYFUNCTION("""COMPUTED_VALUE"""),"Reproductive Medicine")</f>
        <v>Reproductive Medicine</v>
      </c>
      <c r="B92" s="19" t="str">
        <f>IFERROR(__xludf.DUMMYFUNCTION("""COMPUTED_VALUE"""),"rp")</f>
        <v>rp</v>
      </c>
      <c r="C92" s="9" t="str">
        <f>IFERROR(__xludf.DUMMYFUNCTION("GOOGLETRANSLATE($A92,""en"",""de"")"),"Reproduktionsmedizin")</f>
        <v>Reproduktionsmedizin</v>
      </c>
      <c r="D92" s="9" t="str">
        <f>IFERROR(__xludf.DUMMYFUNCTION("GOOGLETRANSLATE($A92,""en"",""fr"")"),"Médecine reproductive")</f>
        <v>Médecine reproductive</v>
      </c>
      <c r="E92" s="9" t="str">
        <f>IFERROR(__xludf.DUMMYFUNCTION("GOOGLETRANSLATE($A92,""en"",""es"")"),"Medicina Reproductiva")</f>
        <v>Medicina Reproductiva</v>
      </c>
      <c r="F92" s="9" t="str">
        <f>IFERROR(__xludf.DUMMYFUNCTION("GOOGLETRANSLATE($A92,""en"",""it"")"),"Medicina riproduttiva")</f>
        <v>Medicina riproduttiva</v>
      </c>
      <c r="G92" s="9" t="str">
        <f>IFERROR(__xludf.DUMMYFUNCTION("GOOGLETRANSLATE($A92,""en"",""zh-cn"")"),"生殖医学")</f>
        <v>生殖医学</v>
      </c>
      <c r="H92" s="9" t="str">
        <f>IFERROR(__xludf.DUMMYFUNCTION("GOOGLETRANSLATE($A92,""en"",""ja"")"),"生殖医療")</f>
        <v>生殖医療</v>
      </c>
      <c r="I92" s="9" t="str">
        <f>IFERROR(__xludf.DUMMYFUNCTION("GOOGLETRANSLATE($A92,""en"",""ko"")"),"생식의학")</f>
        <v>생식의학</v>
      </c>
      <c r="J92" s="9" t="str">
        <f>IFERROR(__xludf.DUMMYFUNCTION("GOOGLETRANSLATE($A92,""en"",""pt-BR"")"),"Medicina Reprodutiva")</f>
        <v>Medicina Reprodutiva</v>
      </c>
    </row>
    <row r="93">
      <c r="A93" s="19" t="str">
        <f>IFERROR(__xludf.DUMMYFUNCTION("""COMPUTED_VALUE"""),"Research and Development")</f>
        <v>Research and Development</v>
      </c>
      <c r="B93" s="19" t="str">
        <f>IFERROR(__xludf.DUMMYFUNCTION("""COMPUTED_VALUE"""),"rd")</f>
        <v>rd</v>
      </c>
      <c r="C93" s="9" t="str">
        <f>IFERROR(__xludf.DUMMYFUNCTION("GOOGLETRANSLATE($A93,""en"",""de"")"),"Forschung und Entwicklung")</f>
        <v>Forschung und Entwicklung</v>
      </c>
      <c r="D93" s="9" t="str">
        <f>IFERROR(__xludf.DUMMYFUNCTION("GOOGLETRANSLATE($A93,""en"",""fr"")"),"Recherche et développement")</f>
        <v>Recherche et développement</v>
      </c>
      <c r="E93" s="9" t="str">
        <f>IFERROR(__xludf.DUMMYFUNCTION("GOOGLETRANSLATE($A93,""en"",""es"")"),"Investigación y desarrollo")</f>
        <v>Investigación y desarrollo</v>
      </c>
      <c r="F93" s="9" t="str">
        <f>IFERROR(__xludf.DUMMYFUNCTION("GOOGLETRANSLATE($A93,""en"",""it"")"),"Ricerca e sviluppo")</f>
        <v>Ricerca e sviluppo</v>
      </c>
      <c r="G93" s="9" t="str">
        <f>IFERROR(__xludf.DUMMYFUNCTION("GOOGLETRANSLATE($A93,""en"",""zh-cn"")"),"研究与开发")</f>
        <v>研究与开发</v>
      </c>
      <c r="H93" s="9" t="str">
        <f>IFERROR(__xludf.DUMMYFUNCTION("GOOGLETRANSLATE($A93,""en"",""ja"")"),"研究開発")</f>
        <v>研究開発</v>
      </c>
      <c r="I93" s="9" t="str">
        <f>IFERROR(__xludf.DUMMYFUNCTION("GOOGLETRANSLATE($A93,""en"",""ko"")"),"연구 및 개발")</f>
        <v>연구 및 개발</v>
      </c>
      <c r="J93" s="9" t="str">
        <f>IFERROR(__xludf.DUMMYFUNCTION("GOOGLETRANSLATE($A93,""en"",""pt-BR"")"),"Pesquisa e Desenvolvimento")</f>
        <v>Pesquisa e Desenvolvimento</v>
      </c>
    </row>
    <row r="94">
      <c r="A94" s="19" t="str">
        <f>IFERROR(__xludf.DUMMYFUNCTION("""COMPUTED_VALUE"""),"Rheumatology")</f>
        <v>Rheumatology</v>
      </c>
      <c r="B94" s="19" t="str">
        <f>IFERROR(__xludf.DUMMYFUNCTION("""COMPUTED_VALUE"""),"rh")</f>
        <v>rh</v>
      </c>
      <c r="C94" s="9" t="str">
        <f>IFERROR(__xludf.DUMMYFUNCTION("GOOGLETRANSLATE($A94,""en"",""de"")"),"Rheumatologie")</f>
        <v>Rheumatologie</v>
      </c>
      <c r="D94" s="9" t="str">
        <f>IFERROR(__xludf.DUMMYFUNCTION("GOOGLETRANSLATE($A94,""en"",""fr"")"),"Rhumatologie")</f>
        <v>Rhumatologie</v>
      </c>
      <c r="E94" s="9" t="str">
        <f>IFERROR(__xludf.DUMMYFUNCTION("GOOGLETRANSLATE($A94,""en"",""es"")"),"Reumatología")</f>
        <v>Reumatología</v>
      </c>
      <c r="F94" s="9" t="str">
        <f>IFERROR(__xludf.DUMMYFUNCTION("GOOGLETRANSLATE($A94,""en"",""it"")"),"Reumatologia")</f>
        <v>Reumatologia</v>
      </c>
      <c r="G94" s="9" t="str">
        <f>IFERROR(__xludf.DUMMYFUNCTION("GOOGLETRANSLATE($A94,""en"",""zh-cn"")"),"风湿病学")</f>
        <v>风湿病学</v>
      </c>
      <c r="H94" s="9" t="str">
        <f>IFERROR(__xludf.DUMMYFUNCTION("GOOGLETRANSLATE($A94,""en"",""ja"")"),"リウマチ科")</f>
        <v>リウマチ科</v>
      </c>
      <c r="I94" s="9" t="str">
        <f>IFERROR(__xludf.DUMMYFUNCTION("GOOGLETRANSLATE($A94,""en"",""ko"")"),"류마티스학")</f>
        <v>류마티스학</v>
      </c>
      <c r="J94" s="9" t="str">
        <f>IFERROR(__xludf.DUMMYFUNCTION("GOOGLETRANSLATE($A94,""en"",""pt-BR"")"),"Reumatologia")</f>
        <v>Reumatologia</v>
      </c>
    </row>
    <row r="95">
      <c r="A95" s="19" t="str">
        <f>IFERROR(__xludf.DUMMYFUNCTION("""COMPUTED_VALUE"""),"Sleep Medicine")</f>
        <v>Sleep Medicine</v>
      </c>
      <c r="B95" s="19" t="str">
        <f>IFERROR(__xludf.DUMMYFUNCTION("""COMPUTED_VALUE"""),"nysm")</f>
        <v>nysm</v>
      </c>
      <c r="C95" s="9" t="str">
        <f>IFERROR(__xludf.DUMMYFUNCTION("GOOGLETRANSLATE($A95,""en"",""de"")"),"Schlafmedizin")</f>
        <v>Schlafmedizin</v>
      </c>
      <c r="D95" s="9" t="str">
        <f>IFERROR(__xludf.DUMMYFUNCTION("GOOGLETRANSLATE($A95,""en"",""fr"")"),"Médecine du sommeil")</f>
        <v>Médecine du sommeil</v>
      </c>
      <c r="E95" s="9" t="str">
        <f>IFERROR(__xludf.DUMMYFUNCTION("GOOGLETRANSLATE($A95,""en"",""es"")"),"Medicina del sueño")</f>
        <v>Medicina del sueño</v>
      </c>
      <c r="F95" s="9" t="str">
        <f>IFERROR(__xludf.DUMMYFUNCTION("GOOGLETRANSLATE($A95,""en"",""it"")"),"Medicina del sonno")</f>
        <v>Medicina del sonno</v>
      </c>
      <c r="G95" s="9" t="str">
        <f>IFERROR(__xludf.DUMMYFUNCTION("GOOGLETRANSLATE($A95,""en"",""zh-cn"")"),"睡眠医学")</f>
        <v>睡眠医学</v>
      </c>
      <c r="H95" s="9" t="str">
        <f>IFERROR(__xludf.DUMMYFUNCTION("GOOGLETRANSLATE($A95,""en"",""ja"")"),"睡眠薬")</f>
        <v>睡眠薬</v>
      </c>
      <c r="I95" s="9" t="str">
        <f>IFERROR(__xludf.DUMMYFUNCTION("GOOGLETRANSLATE($A95,""en"",""ko"")"),"수면의학")</f>
        <v>수면의학</v>
      </c>
      <c r="J95" s="9" t="str">
        <f>IFERROR(__xludf.DUMMYFUNCTION("GOOGLETRANSLATE($A95,""en"",""pt-BR"")"),"Medicina do Sono")</f>
        <v>Medicina do Sono</v>
      </c>
    </row>
    <row r="96">
      <c r="A96" s="19" t="str">
        <f>IFERROR(__xludf.DUMMYFUNCTION("""COMPUTED_VALUE"""),"Spinal Cord Injury Medicine")</f>
        <v>Spinal Cord Injury Medicine</v>
      </c>
      <c r="B96" s="19" t="str">
        <f>IFERROR(__xludf.DUMMYFUNCTION("""COMPUTED_VALUE"""),"rmsc")</f>
        <v>rmsc</v>
      </c>
      <c r="C96" s="9" t="str">
        <f>IFERROR(__xludf.DUMMYFUNCTION("GOOGLETRANSLATE($A96,""en"",""de"")"),"Medizin bei Rückenmarksverletzungen")</f>
        <v>Medizin bei Rückenmarksverletzungen</v>
      </c>
      <c r="D96" s="9" t="str">
        <f>IFERROR(__xludf.DUMMYFUNCTION("GOOGLETRANSLATE($A96,""en"",""fr"")"),"Médecine des lésions de la moelle épinière")</f>
        <v>Médecine des lésions de la moelle épinière</v>
      </c>
      <c r="E96" s="9" t="str">
        <f>IFERROR(__xludf.DUMMYFUNCTION("GOOGLETRANSLATE($A96,""en"",""es"")"),"Medicina para lesiones de la médula espinal")</f>
        <v>Medicina para lesiones de la médula espinal</v>
      </c>
      <c r="F96" s="9" t="str">
        <f>IFERROR(__xludf.DUMMYFUNCTION("GOOGLETRANSLATE($A96,""en"",""it"")"),"Medicina delle lesioni del midollo spinale")</f>
        <v>Medicina delle lesioni del midollo spinale</v>
      </c>
      <c r="G96" s="9" t="str">
        <f>IFERROR(__xludf.DUMMYFUNCTION("GOOGLETRANSLATE($A96,""en"",""zh-cn"")"),"脊髓损伤医学")</f>
        <v>脊髓损伤医学</v>
      </c>
      <c r="H96" s="9" t="str">
        <f>IFERROR(__xludf.DUMMYFUNCTION("GOOGLETRANSLATE($A96,""en"",""ja"")"),"脊髄損傷の医学")</f>
        <v>脊髄損傷の医学</v>
      </c>
      <c r="I96" s="9" t="str">
        <f>IFERROR(__xludf.DUMMYFUNCTION("GOOGLETRANSLATE($A96,""en"",""ko"")"),"척수손상 의학")</f>
        <v>척수손상 의학</v>
      </c>
      <c r="J96" s="9" t="str">
        <f>IFERROR(__xludf.DUMMYFUNCTION("GOOGLETRANSLATE($A96,""en"",""pt-BR"")"),"Medicina para lesões da medula espinhal")</f>
        <v>Medicina para lesões da medula espinhal</v>
      </c>
    </row>
    <row r="97">
      <c r="A97" s="19" t="str">
        <f>IFERROR(__xludf.DUMMYFUNCTION("""COMPUTED_VALUE"""),"Sports Medicine")</f>
        <v>Sports Medicine</v>
      </c>
      <c r="B97" s="19" t="str">
        <f>IFERROR(__xludf.DUMMYFUNCTION("""COMPUTED_VALUE"""),"susp")</f>
        <v>susp</v>
      </c>
      <c r="C97" s="9" t="str">
        <f>IFERROR(__xludf.DUMMYFUNCTION("GOOGLETRANSLATE($A97,""en"",""de"")"),"Sportmedizin")</f>
        <v>Sportmedizin</v>
      </c>
      <c r="D97" s="9" t="str">
        <f>IFERROR(__xludf.DUMMYFUNCTION("GOOGLETRANSLATE($A97,""en"",""fr"")"),"Médecine du sport")</f>
        <v>Médecine du sport</v>
      </c>
      <c r="E97" s="9" t="str">
        <f>IFERROR(__xludf.DUMMYFUNCTION("GOOGLETRANSLATE($A97,""en"",""es"")"),"Medicina deportiva")</f>
        <v>Medicina deportiva</v>
      </c>
      <c r="F97" s="9" t="str">
        <f>IFERROR(__xludf.DUMMYFUNCTION("GOOGLETRANSLATE($A97,""en"",""it"")"),"Medicina dello Sport")</f>
        <v>Medicina dello Sport</v>
      </c>
      <c r="G97" s="9" t="str">
        <f>IFERROR(__xludf.DUMMYFUNCTION("GOOGLETRANSLATE($A97,""en"",""zh-cn"")"),"运动医学")</f>
        <v>运动医学</v>
      </c>
      <c r="H97" s="9" t="str">
        <f>IFERROR(__xludf.DUMMYFUNCTION("GOOGLETRANSLATE($A97,""en"",""ja"")"),"スポーツ医学")</f>
        <v>スポーツ医学</v>
      </c>
      <c r="I97" s="9" t="str">
        <f>IFERROR(__xludf.DUMMYFUNCTION("GOOGLETRANSLATE($A97,""en"",""ko"")"),"스포츠의학")</f>
        <v>스포츠의학</v>
      </c>
      <c r="J97" s="9" t="str">
        <f>IFERROR(__xludf.DUMMYFUNCTION("GOOGLETRANSLATE($A97,""en"",""pt-BR"")"),"Medicina Desportiva")</f>
        <v>Medicina Desportiva</v>
      </c>
    </row>
    <row r="98">
      <c r="A98" s="19" t="str">
        <f>IFERROR(__xludf.DUMMYFUNCTION("""COMPUTED_VALUE"""),"Surgery")</f>
        <v>Surgery</v>
      </c>
      <c r="B98" s="19" t="str">
        <f>IFERROR(__xludf.DUMMYFUNCTION("""COMPUTED_VALUE"""),"su")</f>
        <v>su</v>
      </c>
      <c r="C98" s="9" t="str">
        <f>IFERROR(__xludf.DUMMYFUNCTION("GOOGLETRANSLATE($A98,""en"",""de"")"),"Operation")</f>
        <v>Operation</v>
      </c>
      <c r="D98" s="9" t="str">
        <f>IFERROR(__xludf.DUMMYFUNCTION("GOOGLETRANSLATE($A98,""en"",""fr"")"),"Chirurgie")</f>
        <v>Chirurgie</v>
      </c>
      <c r="E98" s="9" t="str">
        <f>IFERROR(__xludf.DUMMYFUNCTION("GOOGLETRANSLATE($A98,""en"",""es"")"),"Cirugía")</f>
        <v>Cirugía</v>
      </c>
      <c r="F98" s="9" t="str">
        <f>IFERROR(__xludf.DUMMYFUNCTION("GOOGLETRANSLATE($A98,""en"",""it"")"),"Chirurgia")</f>
        <v>Chirurgia</v>
      </c>
      <c r="G98" s="9" t="str">
        <f>IFERROR(__xludf.DUMMYFUNCTION("GOOGLETRANSLATE($A98,""en"",""zh-cn"")"),"外科手术")</f>
        <v>外科手术</v>
      </c>
      <c r="H98" s="9" t="str">
        <f>IFERROR(__xludf.DUMMYFUNCTION("GOOGLETRANSLATE($A98,""en"",""ja"")"),"手術")</f>
        <v>手術</v>
      </c>
      <c r="I98" s="9" t="str">
        <f>IFERROR(__xludf.DUMMYFUNCTION("GOOGLETRANSLATE($A98,""en"",""ko"")"),"수술")</f>
        <v>수술</v>
      </c>
      <c r="J98" s="9" t="str">
        <f>IFERROR(__xludf.DUMMYFUNCTION("GOOGLETRANSLATE($A98,""en"",""pt-BR"")"),"Cirurgia")</f>
        <v>Cirurgia</v>
      </c>
    </row>
    <row r="99">
      <c r="A99" s="19" t="str">
        <f>IFERROR(__xludf.DUMMYFUNCTION("""COMPUTED_VALUE"""),"Surgical Oncology")</f>
        <v>Surgical Oncology</v>
      </c>
      <c r="B99" s="19" t="str">
        <f>IFERROR(__xludf.DUMMYFUNCTION("""COMPUTED_VALUE"""),"suon")</f>
        <v>suon</v>
      </c>
      <c r="C99" s="9" t="str">
        <f>IFERROR(__xludf.DUMMYFUNCTION("GOOGLETRANSLATE($A99,""en"",""de"")"),"Chirurgische Onkologie")</f>
        <v>Chirurgische Onkologie</v>
      </c>
      <c r="D99" s="9" t="str">
        <f>IFERROR(__xludf.DUMMYFUNCTION("GOOGLETRANSLATE($A99,""en"",""fr"")"),"Oncologie chirurgicale")</f>
        <v>Oncologie chirurgicale</v>
      </c>
      <c r="E99" s="9" t="str">
        <f>IFERROR(__xludf.DUMMYFUNCTION("GOOGLETRANSLATE($A99,""en"",""es"")"),"Oncología Quirúrgica")</f>
        <v>Oncología Quirúrgica</v>
      </c>
      <c r="F99" s="9" t="str">
        <f>IFERROR(__xludf.DUMMYFUNCTION("GOOGLETRANSLATE($A99,""en"",""it"")"),"Oncologia chirurgica")</f>
        <v>Oncologia chirurgica</v>
      </c>
      <c r="G99" s="9" t="str">
        <f>IFERROR(__xludf.DUMMYFUNCTION("GOOGLETRANSLATE($A99,""en"",""zh-cn"")"),"肿瘤外科")</f>
        <v>肿瘤外科</v>
      </c>
      <c r="H99" s="9" t="str">
        <f>IFERROR(__xludf.DUMMYFUNCTION("GOOGLETRANSLATE($A99,""en"",""ja"")"),"腫瘍外科")</f>
        <v>腫瘍外科</v>
      </c>
      <c r="I99" s="9" t="str">
        <f>IFERROR(__xludf.DUMMYFUNCTION("GOOGLETRANSLATE($A99,""en"",""ko"")"),"외과 종양학")</f>
        <v>외과 종양학</v>
      </c>
      <c r="J99" s="9" t="str">
        <f>IFERROR(__xludf.DUMMYFUNCTION("GOOGLETRANSLATE($A99,""en"",""pt-BR"")"),"Oncologia Cirúrgica")</f>
        <v>Oncologia Cirúrgica</v>
      </c>
    </row>
    <row r="100">
      <c r="A100" s="19" t="str">
        <f>IFERROR(__xludf.DUMMYFUNCTION("""COMPUTED_VALUE"""),"Tropical Medicine")</f>
        <v>Tropical Medicine</v>
      </c>
      <c r="B100" s="19" t="str">
        <f>IFERROR(__xludf.DUMMYFUNCTION("""COMPUTED_VALUE"""),"idtm")</f>
        <v>idtm</v>
      </c>
      <c r="C100" s="9" t="str">
        <f>IFERROR(__xludf.DUMMYFUNCTION("GOOGLETRANSLATE($A100,""en"",""de"")"),"Tropenmedizin")</f>
        <v>Tropenmedizin</v>
      </c>
      <c r="D100" s="9" t="str">
        <f>IFERROR(__xludf.DUMMYFUNCTION("GOOGLETRANSLATE($A100,""en"",""fr"")"),"Médecine tropicale")</f>
        <v>Médecine tropicale</v>
      </c>
      <c r="E100" s="9" t="str">
        <f>IFERROR(__xludf.DUMMYFUNCTION("GOOGLETRANSLATE($A100,""en"",""es"")"),"Medicina tropical")</f>
        <v>Medicina tropical</v>
      </c>
      <c r="F100" s="9" t="str">
        <f>IFERROR(__xludf.DUMMYFUNCTION("GOOGLETRANSLATE($A100,""en"",""it"")"),"Medicina tropicale")</f>
        <v>Medicina tropicale</v>
      </c>
      <c r="G100" s="9" t="str">
        <f>IFERROR(__xludf.DUMMYFUNCTION("GOOGLETRANSLATE($A100,""en"",""zh-cn"")"),"热带医学")</f>
        <v>热带医学</v>
      </c>
      <c r="H100" s="9" t="str">
        <f>IFERROR(__xludf.DUMMYFUNCTION("GOOGLETRANSLATE($A100,""en"",""ja"")"),"熱帯医学")</f>
        <v>熱帯医学</v>
      </c>
      <c r="I100" s="9" t="str">
        <f>IFERROR(__xludf.DUMMYFUNCTION("GOOGLETRANSLATE($A100,""en"",""ko"")"),"열대의학")</f>
        <v>열대의학</v>
      </c>
      <c r="J100" s="9" t="str">
        <f>IFERROR(__xludf.DUMMYFUNCTION("GOOGLETRANSLATE($A100,""en"",""pt-BR"")"),"Medicina Tropical")</f>
        <v>Medicina Tropical</v>
      </c>
    </row>
    <row r="101">
      <c r="A101" s="19" t="str">
        <f>IFERROR(__xludf.DUMMYFUNCTION("""COMPUTED_VALUE"""),"Urgent Care Medicine")</f>
        <v>Urgent Care Medicine</v>
      </c>
      <c r="B101" s="19" t="str">
        <f>IFERROR(__xludf.DUMMYFUNCTION("""COMPUTED_VALUE"""),"emuc")</f>
        <v>emuc</v>
      </c>
      <c r="C101" s="9" t="str">
        <f>IFERROR(__xludf.DUMMYFUNCTION("GOOGLETRANSLATE($A101,""en"",""de"")"),"Notfallmedizin")</f>
        <v>Notfallmedizin</v>
      </c>
      <c r="D101" s="9" t="str">
        <f>IFERROR(__xludf.DUMMYFUNCTION("GOOGLETRANSLATE($A101,""en"",""fr"")"),"Médecine de soins d'urgence")</f>
        <v>Médecine de soins d'urgence</v>
      </c>
      <c r="E101" s="9" t="str">
        <f>IFERROR(__xludf.DUMMYFUNCTION("GOOGLETRANSLATE($A101,""en"",""es"")"),"Medicina de atención de urgencia")</f>
        <v>Medicina de atención de urgencia</v>
      </c>
      <c r="F101" s="9" t="str">
        <f>IFERROR(__xludf.DUMMYFUNCTION("GOOGLETRANSLATE($A101,""en"",""it"")"),"Medicina d'urgenza")</f>
        <v>Medicina d'urgenza</v>
      </c>
      <c r="G101" s="9" t="str">
        <f>IFERROR(__xludf.DUMMYFUNCTION("GOOGLETRANSLATE($A101,""en"",""zh-cn"")"),"紧急护理医学")</f>
        <v>紧急护理医学</v>
      </c>
      <c r="H101" s="9" t="str">
        <f>IFERROR(__xludf.DUMMYFUNCTION("GOOGLETRANSLATE($A101,""en"",""ja"")"),"救急医療")</f>
        <v>救急医療</v>
      </c>
      <c r="I101" s="9" t="str">
        <f>IFERROR(__xludf.DUMMYFUNCTION("GOOGLETRANSLATE($A101,""en"",""ko"")"),"긴급치료의학")</f>
        <v>긴급치료의학</v>
      </c>
      <c r="J101" s="9" t="str">
        <f>IFERROR(__xludf.DUMMYFUNCTION("GOOGLETRANSLATE($A101,""en"",""pt-BR"")"),"Medicina de Urgência")</f>
        <v>Medicina de Urgência</v>
      </c>
    </row>
    <row r="102">
      <c r="A102" s="19" t="str">
        <f>IFERROR(__xludf.DUMMYFUNCTION("""COMPUTED_VALUE"""),"Urology")</f>
        <v>Urology</v>
      </c>
      <c r="B102" s="19" t="str">
        <f>IFERROR(__xludf.DUMMYFUNCTION("""COMPUTED_VALUE"""),"ur")</f>
        <v>ur</v>
      </c>
      <c r="C102" s="9" t="str">
        <f>IFERROR(__xludf.DUMMYFUNCTION("GOOGLETRANSLATE($A102,""en"",""de"")"),"Urologie")</f>
        <v>Urologie</v>
      </c>
      <c r="D102" s="9" t="str">
        <f>IFERROR(__xludf.DUMMYFUNCTION("GOOGLETRANSLATE($A102,""en"",""fr"")"),"Urologie")</f>
        <v>Urologie</v>
      </c>
      <c r="E102" s="9" t="str">
        <f>IFERROR(__xludf.DUMMYFUNCTION("GOOGLETRANSLATE($A102,""en"",""es"")"),"Urología")</f>
        <v>Urología</v>
      </c>
      <c r="F102" s="9" t="str">
        <f>IFERROR(__xludf.DUMMYFUNCTION("GOOGLETRANSLATE($A102,""en"",""it"")"),"Urologia")</f>
        <v>Urologia</v>
      </c>
      <c r="G102" s="9" t="str">
        <f>IFERROR(__xludf.DUMMYFUNCTION("GOOGLETRANSLATE($A102,""en"",""zh-cn"")"),"泌尿科")</f>
        <v>泌尿科</v>
      </c>
      <c r="H102" s="9" t="str">
        <f>IFERROR(__xludf.DUMMYFUNCTION("GOOGLETRANSLATE($A102,""en"",""ja"")"),"泌尿器科")</f>
        <v>泌尿器科</v>
      </c>
      <c r="I102" s="9" t="str">
        <f>IFERROR(__xludf.DUMMYFUNCTION("GOOGLETRANSLATE($A102,""en"",""ko"")"),"비뇨기과")</f>
        <v>비뇨기과</v>
      </c>
      <c r="J102" s="9" t="str">
        <f>IFERROR(__xludf.DUMMYFUNCTION("GOOGLETRANSLATE($A102,""en"",""pt-BR"")"),"Urologia")</f>
        <v>Urologia</v>
      </c>
    </row>
    <row r="103">
      <c r="A103" s="26" t="str">
        <f>IFERROR(__xludf.DUMMYFUNCTION("""COMPUTED_VALUE"""),"Vascular Surgery")</f>
        <v>Vascular Surgery</v>
      </c>
      <c r="B103" s="26" t="str">
        <f>IFERROR(__xludf.DUMMYFUNCTION("""COMPUTED_VALUE"""),"suvs")</f>
        <v>suvs</v>
      </c>
      <c r="C103" s="9" t="str">
        <f>IFERROR(__xludf.DUMMYFUNCTION("GOOGLETRANSLATE($A103,""en"",""de"")"),"Gefäßchirurgie")</f>
        <v>Gefäßchirurgie</v>
      </c>
      <c r="D103" s="9" t="str">
        <f>IFERROR(__xludf.DUMMYFUNCTION("GOOGLETRANSLATE($A103,""en"",""fr"")"),"Chirurgie vasculaire")</f>
        <v>Chirurgie vasculaire</v>
      </c>
      <c r="E103" s="9" t="str">
        <f>IFERROR(__xludf.DUMMYFUNCTION("GOOGLETRANSLATE($A103,""en"",""es"")"),"Cirugía Vascular")</f>
        <v>Cirugía Vascular</v>
      </c>
      <c r="F103" s="9" t="str">
        <f>IFERROR(__xludf.DUMMYFUNCTION("GOOGLETRANSLATE($A103,""en"",""it"")"),"Chirurgia Vascolare")</f>
        <v>Chirurgia Vascolare</v>
      </c>
      <c r="G103" s="9" t="str">
        <f>IFERROR(__xludf.DUMMYFUNCTION("GOOGLETRANSLATE($A103,""en"",""zh-cn"")"),"血管外科")</f>
        <v>血管外科</v>
      </c>
      <c r="H103" s="9" t="str">
        <f>IFERROR(__xludf.DUMMYFUNCTION("GOOGLETRANSLATE($A103,""en"",""ja"")"),"血管外科")</f>
        <v>血管外科</v>
      </c>
      <c r="I103" s="9" t="str">
        <f>IFERROR(__xludf.DUMMYFUNCTION("GOOGLETRANSLATE($A103,""en"",""ko"")"),"혈관외과")</f>
        <v>혈관외과</v>
      </c>
      <c r="J103" s="9" t="str">
        <f>IFERROR(__xludf.DUMMYFUNCTION("GOOGLETRANSLATE($A103,""en"",""pt-BR"")"),"Cirurgia Vascular")</f>
        <v>Cirurgia Vascular</v>
      </c>
    </row>
    <row r="104">
      <c r="A104" s="26" t="str">
        <f>IFERROR(__xludf.DUMMYFUNCTION("""COMPUTED_VALUE"""),"Veterinary")</f>
        <v>Veterinary</v>
      </c>
      <c r="B104" s="26" t="str">
        <f>IFERROR(__xludf.DUMMYFUNCTION("""COMPUTED_VALUE"""),"vt")</f>
        <v>vt</v>
      </c>
      <c r="C104" s="9" t="str">
        <f>IFERROR(__xludf.DUMMYFUNCTION("GOOGLETRANSLATE($A104,""en"",""de"")"),"Veterinärmedizin")</f>
        <v>Veterinärmedizin</v>
      </c>
      <c r="D104" s="9" t="str">
        <f>IFERROR(__xludf.DUMMYFUNCTION("GOOGLETRANSLATE($A104,""en"",""fr"")"),"Vétérinaire")</f>
        <v>Vétérinaire</v>
      </c>
      <c r="E104" s="9" t="str">
        <f>IFERROR(__xludf.DUMMYFUNCTION("GOOGLETRANSLATE($A104,""en"",""es"")"),"Veterinario")</f>
        <v>Veterinario</v>
      </c>
      <c r="F104" s="9" t="str">
        <f>IFERROR(__xludf.DUMMYFUNCTION("GOOGLETRANSLATE($A104,""en"",""it"")"),"Veterinario")</f>
        <v>Veterinario</v>
      </c>
      <c r="G104" s="9" t="str">
        <f>IFERROR(__xludf.DUMMYFUNCTION("GOOGLETRANSLATE($A104,""en"",""zh-cn"")"),"兽医")</f>
        <v>兽医</v>
      </c>
      <c r="H104" s="9" t="str">
        <f>IFERROR(__xludf.DUMMYFUNCTION("GOOGLETRANSLATE($A104,""en"",""ja"")"),"獣医")</f>
        <v>獣医</v>
      </c>
      <c r="I104" s="9" t="str">
        <f>IFERROR(__xludf.DUMMYFUNCTION("GOOGLETRANSLATE($A104,""en"",""ko"")"),"수의사")</f>
        <v>수의사</v>
      </c>
      <c r="J104" s="9" t="str">
        <f>IFERROR(__xludf.DUMMYFUNCTION("GOOGLETRANSLATE($A104,""en"",""pt-BR"")"),"Veterinário")</f>
        <v>Veterinário</v>
      </c>
    </row>
    <row r="105">
      <c r="A105" s="26"/>
      <c r="B105" s="26"/>
      <c r="C105" s="26"/>
    </row>
    <row r="106">
      <c r="A106" s="26"/>
      <c r="B106" s="26"/>
      <c r="C106" s="26"/>
    </row>
    <row r="107">
      <c r="A107" s="26"/>
      <c r="B107" s="26"/>
      <c r="C107" s="26"/>
    </row>
    <row r="108">
      <c r="A108" s="26"/>
      <c r="B108" s="26"/>
      <c r="C108" s="26"/>
    </row>
    <row r="109">
      <c r="A109" s="26"/>
      <c r="B109" s="26"/>
      <c r="C109" s="26"/>
    </row>
    <row r="110">
      <c r="A110" s="26"/>
      <c r="B110" s="26"/>
      <c r="C110" s="26"/>
    </row>
    <row r="111">
      <c r="A111" s="26"/>
      <c r="B111" s="26"/>
      <c r="C111" s="26"/>
    </row>
    <row r="112">
      <c r="A112" s="26"/>
      <c r="B112" s="26"/>
      <c r="C112" s="26"/>
    </row>
    <row r="113">
      <c r="A113" s="26"/>
      <c r="B113" s="26"/>
      <c r="C113" s="26"/>
    </row>
    <row r="114">
      <c r="A114" s="26"/>
      <c r="B114" s="26"/>
      <c r="C114" s="26"/>
    </row>
    <row r="115">
      <c r="A115" s="26"/>
      <c r="B115" s="26"/>
      <c r="C115" s="26"/>
    </row>
    <row r="116">
      <c r="A116" s="26"/>
      <c r="B116" s="26"/>
      <c r="C116" s="26"/>
    </row>
    <row r="117">
      <c r="A117" s="26"/>
      <c r="B117" s="26"/>
      <c r="C117" s="26"/>
    </row>
    <row r="118">
      <c r="A118" s="26"/>
      <c r="B118" s="26"/>
      <c r="C118" s="26"/>
    </row>
    <row r="119">
      <c r="A119" s="26"/>
      <c r="B119" s="26"/>
      <c r="C119" s="26"/>
    </row>
    <row r="120">
      <c r="A120" s="26"/>
      <c r="B120" s="26"/>
      <c r="C120" s="26"/>
    </row>
    <row r="121">
      <c r="A121" s="26"/>
      <c r="B121" s="26"/>
      <c r="C121" s="26"/>
    </row>
    <row r="122">
      <c r="A122" s="26"/>
      <c r="B122" s="26"/>
      <c r="C122" s="26"/>
    </row>
    <row r="123">
      <c r="A123" s="26"/>
      <c r="B123" s="26"/>
      <c r="C123" s="26"/>
    </row>
    <row r="124">
      <c r="A124" s="26"/>
      <c r="B124" s="26"/>
      <c r="C124" s="26"/>
    </row>
    <row r="125">
      <c r="A125" s="26"/>
      <c r="B125" s="26"/>
      <c r="C125" s="26"/>
    </row>
    <row r="126">
      <c r="A126" s="26"/>
      <c r="B126" s="26"/>
      <c r="C126" s="26"/>
    </row>
    <row r="127">
      <c r="A127" s="26"/>
      <c r="B127" s="26"/>
      <c r="C127" s="26"/>
    </row>
    <row r="128">
      <c r="A128" s="26"/>
      <c r="B128" s="26"/>
      <c r="C128" s="26"/>
    </row>
    <row r="129">
      <c r="A129" s="26"/>
      <c r="B129" s="26"/>
      <c r="C129" s="26"/>
    </row>
    <row r="130">
      <c r="A130" s="26"/>
      <c r="B130" s="26"/>
      <c r="C130" s="26"/>
    </row>
    <row r="131">
      <c r="A131" s="26"/>
      <c r="B131" s="26"/>
      <c r="C131" s="26"/>
    </row>
    <row r="132">
      <c r="A132" s="26"/>
      <c r="B132" s="26"/>
      <c r="C132" s="26"/>
    </row>
    <row r="133">
      <c r="A133" s="26"/>
      <c r="B133" s="26"/>
      <c r="C133" s="26"/>
    </row>
    <row r="134">
      <c r="A134" s="26"/>
      <c r="B134" s="26"/>
      <c r="C134" s="26"/>
    </row>
    <row r="135">
      <c r="A135" s="26"/>
      <c r="B135" s="26"/>
      <c r="C135" s="26"/>
    </row>
    <row r="136">
      <c r="A136" s="26"/>
      <c r="B136" s="26"/>
      <c r="C136" s="26"/>
    </row>
    <row r="137">
      <c r="A137" s="26"/>
      <c r="B137" s="26"/>
      <c r="C137" s="26"/>
    </row>
    <row r="138">
      <c r="A138" s="26"/>
      <c r="B138" s="26"/>
      <c r="C138" s="26"/>
    </row>
    <row r="139">
      <c r="A139" s="26"/>
      <c r="B139" s="26"/>
      <c r="C139" s="26"/>
    </row>
    <row r="140">
      <c r="A140" s="26"/>
      <c r="B140" s="26"/>
      <c r="C140" s="26"/>
    </row>
    <row r="141">
      <c r="A141" s="26"/>
      <c r="B141" s="26"/>
      <c r="C141" s="26"/>
    </row>
    <row r="142">
      <c r="A142" s="26"/>
      <c r="B142" s="26"/>
      <c r="C142" s="26"/>
    </row>
    <row r="143">
      <c r="A143" s="26"/>
      <c r="B143" s="26"/>
      <c r="C143" s="26"/>
    </row>
    <row r="144">
      <c r="A144" s="26"/>
      <c r="B144" s="26"/>
      <c r="C144" s="26"/>
    </row>
    <row r="145">
      <c r="A145" s="26"/>
      <c r="B145" s="26"/>
      <c r="C145" s="26"/>
    </row>
    <row r="146">
      <c r="A146" s="26"/>
      <c r="B146" s="26"/>
      <c r="C146" s="26"/>
    </row>
    <row r="147">
      <c r="A147" s="26"/>
      <c r="B147" s="26"/>
      <c r="C147" s="26"/>
    </row>
    <row r="148">
      <c r="A148" s="26"/>
      <c r="B148" s="26"/>
      <c r="C148" s="26"/>
    </row>
    <row r="149">
      <c r="A149" s="26"/>
      <c r="B149" s="26"/>
      <c r="C149" s="26"/>
    </row>
    <row r="150">
      <c r="A150" s="26"/>
      <c r="B150" s="26"/>
      <c r="C150" s="26"/>
    </row>
    <row r="151">
      <c r="A151" s="26"/>
      <c r="B151" s="26"/>
      <c r="C151" s="26"/>
    </row>
    <row r="152">
      <c r="A152" s="26"/>
      <c r="B152" s="26"/>
      <c r="C152" s="26"/>
    </row>
    <row r="153">
      <c r="A153" s="26"/>
      <c r="B153" s="26"/>
      <c r="C153" s="26"/>
    </row>
    <row r="154">
      <c r="A154" s="26"/>
      <c r="B154" s="26"/>
      <c r="C154" s="26"/>
    </row>
    <row r="155">
      <c r="A155" s="26"/>
      <c r="B155" s="26"/>
      <c r="C155" s="26"/>
    </row>
    <row r="156">
      <c r="A156" s="26"/>
      <c r="B156" s="26"/>
      <c r="C156" s="26"/>
    </row>
    <row r="157">
      <c r="A157" s="26"/>
      <c r="B157" s="26"/>
      <c r="C157" s="26"/>
    </row>
    <row r="158">
      <c r="A158" s="26"/>
      <c r="B158" s="26"/>
      <c r="C158" s="26"/>
    </row>
    <row r="159">
      <c r="A159" s="26"/>
      <c r="B159" s="26"/>
      <c r="C159" s="26"/>
    </row>
    <row r="160">
      <c r="A160" s="26"/>
      <c r="B160" s="26"/>
      <c r="C160" s="26"/>
    </row>
    <row r="161">
      <c r="A161" s="26"/>
      <c r="B161" s="26"/>
      <c r="C161" s="26"/>
    </row>
    <row r="162">
      <c r="A162" s="26"/>
      <c r="B162" s="26"/>
      <c r="C162" s="26"/>
    </row>
    <row r="163">
      <c r="A163" s="26"/>
      <c r="B163" s="26"/>
      <c r="C163" s="26"/>
    </row>
    <row r="164">
      <c r="A164" s="26"/>
      <c r="B164" s="26"/>
      <c r="C164" s="26"/>
    </row>
    <row r="165">
      <c r="A165" s="26"/>
      <c r="B165" s="26"/>
      <c r="C165" s="26"/>
    </row>
    <row r="166">
      <c r="A166" s="26"/>
      <c r="B166" s="26"/>
      <c r="C166" s="26"/>
    </row>
    <row r="167">
      <c r="A167" s="26"/>
      <c r="B167" s="26"/>
      <c r="C167" s="26"/>
    </row>
    <row r="168">
      <c r="A168" s="26"/>
      <c r="B168" s="26"/>
      <c r="C168" s="26"/>
    </row>
    <row r="169">
      <c r="A169" s="26"/>
      <c r="B169" s="26"/>
      <c r="C169" s="26"/>
    </row>
    <row r="170">
      <c r="A170" s="26"/>
      <c r="B170" s="26"/>
      <c r="C170" s="26"/>
    </row>
    <row r="171">
      <c r="A171" s="26"/>
      <c r="B171" s="26"/>
      <c r="C171" s="26"/>
    </row>
    <row r="172">
      <c r="A172" s="26"/>
      <c r="B172" s="26"/>
      <c r="C172" s="26"/>
    </row>
    <row r="173">
      <c r="A173" s="26"/>
      <c r="B173" s="26"/>
      <c r="C173" s="26"/>
    </row>
    <row r="174">
      <c r="A174" s="26"/>
      <c r="B174" s="26"/>
      <c r="C174" s="26"/>
    </row>
    <row r="175">
      <c r="A175" s="26"/>
      <c r="B175" s="26"/>
      <c r="C175" s="26"/>
    </row>
    <row r="176">
      <c r="A176" s="26"/>
      <c r="B176" s="26"/>
      <c r="C176" s="26"/>
    </row>
    <row r="177">
      <c r="A177" s="9"/>
      <c r="B177" s="9"/>
    </row>
    <row r="178">
      <c r="A178" s="9"/>
      <c r="B178" s="9"/>
    </row>
    <row r="179">
      <c r="A179" s="9"/>
      <c r="B179" s="9"/>
    </row>
    <row r="180">
      <c r="A180" s="9"/>
      <c r="B180" s="9"/>
    </row>
    <row r="181">
      <c r="A181" s="9"/>
      <c r="B181" s="9"/>
    </row>
    <row r="182">
      <c r="A182" s="9"/>
      <c r="B182" s="9"/>
    </row>
    <row r="183">
      <c r="A183" s="9"/>
      <c r="B183" s="9"/>
    </row>
    <row r="184">
      <c r="A184" s="9"/>
      <c r="B184" s="9"/>
    </row>
    <row r="185">
      <c r="A185" s="9"/>
      <c r="B185" s="9"/>
    </row>
    <row r="186">
      <c r="A186" s="9"/>
      <c r="B186" s="9"/>
    </row>
    <row r="187">
      <c r="A187" s="9"/>
      <c r="B187" s="9"/>
    </row>
    <row r="188">
      <c r="A188" s="9"/>
      <c r="B188" s="9"/>
    </row>
    <row r="189">
      <c r="A189" s="9"/>
      <c r="B189" s="9"/>
    </row>
    <row r="190">
      <c r="A190" s="9"/>
      <c r="B190" s="9"/>
    </row>
    <row r="191">
      <c r="A191" s="9"/>
      <c r="B191" s="9"/>
    </row>
    <row r="192">
      <c r="A192" s="9"/>
      <c r="B192" s="9"/>
    </row>
    <row r="193">
      <c r="A193" s="9"/>
      <c r="B193" s="9"/>
    </row>
    <row r="194">
      <c r="A194" s="9"/>
      <c r="B194" s="9"/>
    </row>
    <row r="195">
      <c r="A195" s="9"/>
      <c r="B195" s="9"/>
    </row>
    <row r="196">
      <c r="A196" s="9"/>
      <c r="B196" s="9"/>
    </row>
    <row r="197">
      <c r="A197" s="9"/>
      <c r="B197" s="9"/>
    </row>
    <row r="198">
      <c r="A198" s="9"/>
      <c r="B198" s="9"/>
    </row>
    <row r="199">
      <c r="A199" s="9"/>
      <c r="B199" s="9"/>
    </row>
    <row r="200">
      <c r="A200" s="9"/>
      <c r="B200" s="9"/>
    </row>
    <row r="201">
      <c r="A201" s="9"/>
      <c r="B201" s="9"/>
    </row>
    <row r="202">
      <c r="A202" s="9"/>
      <c r="B202" s="9"/>
    </row>
    <row r="203">
      <c r="A203" s="9"/>
      <c r="B203" s="9"/>
    </row>
    <row r="204">
      <c r="A204" s="9"/>
      <c r="B204" s="9"/>
    </row>
    <row r="205">
      <c r="A205" s="9"/>
      <c r="B205" s="9"/>
    </row>
    <row r="206">
      <c r="A206" s="9"/>
      <c r="B206" s="9"/>
    </row>
    <row r="207">
      <c r="A207" s="9"/>
      <c r="B207" s="9"/>
    </row>
    <row r="208">
      <c r="A208" s="9"/>
      <c r="B208" s="9"/>
    </row>
    <row r="209">
      <c r="A209" s="9"/>
      <c r="B209" s="9"/>
    </row>
    <row r="210">
      <c r="A210" s="9"/>
      <c r="B210" s="9"/>
    </row>
    <row r="211">
      <c r="A211" s="9"/>
      <c r="B211" s="9"/>
    </row>
    <row r="212">
      <c r="A212" s="9"/>
      <c r="B212" s="9"/>
    </row>
    <row r="213">
      <c r="A213" s="9"/>
      <c r="B213" s="9"/>
    </row>
    <row r="214">
      <c r="A214" s="9"/>
      <c r="B214" s="9"/>
    </row>
    <row r="215">
      <c r="A215" s="9"/>
      <c r="B215" s="9"/>
    </row>
    <row r="216">
      <c r="A216" s="9"/>
      <c r="B216" s="9"/>
    </row>
    <row r="217">
      <c r="A217" s="9"/>
      <c r="B217" s="9"/>
    </row>
    <row r="218">
      <c r="A218" s="9"/>
      <c r="B218" s="9"/>
    </row>
    <row r="219">
      <c r="A219" s="9"/>
      <c r="B219" s="9"/>
    </row>
    <row r="220">
      <c r="A220" s="9"/>
      <c r="B220" s="9"/>
    </row>
    <row r="221">
      <c r="A221" s="9"/>
      <c r="B221" s="9"/>
    </row>
    <row r="222">
      <c r="A222" s="9"/>
      <c r="B222" s="9"/>
    </row>
    <row r="223">
      <c r="A223" s="9"/>
      <c r="B223" s="9"/>
    </row>
    <row r="224">
      <c r="A224" s="9"/>
      <c r="B224" s="9"/>
    </row>
    <row r="225">
      <c r="A225" s="9"/>
      <c r="B225" s="9"/>
    </row>
    <row r="226">
      <c r="A226" s="9"/>
      <c r="B226" s="9"/>
    </row>
    <row r="227">
      <c r="A227" s="9"/>
      <c r="B227" s="9"/>
    </row>
    <row r="228">
      <c r="A228" s="9"/>
      <c r="B228" s="9"/>
    </row>
    <row r="229">
      <c r="A229" s="9"/>
      <c r="B229" s="9"/>
    </row>
    <row r="230">
      <c r="A230" s="9"/>
      <c r="B230" s="9"/>
    </row>
    <row r="231">
      <c r="A231" s="9"/>
      <c r="B231" s="9"/>
    </row>
    <row r="232">
      <c r="A232" s="9"/>
      <c r="B232" s="9"/>
    </row>
    <row r="233">
      <c r="A233" s="9"/>
      <c r="B233" s="9"/>
    </row>
    <row r="234">
      <c r="A234" s="9"/>
      <c r="B234" s="9"/>
    </row>
    <row r="235">
      <c r="A235" s="9"/>
      <c r="B235" s="9"/>
    </row>
    <row r="236">
      <c r="A236" s="9"/>
      <c r="B236" s="9"/>
    </row>
    <row r="237">
      <c r="A237" s="9"/>
      <c r="B237" s="9"/>
    </row>
    <row r="238">
      <c r="A238" s="9"/>
      <c r="B238" s="9"/>
    </row>
    <row r="239">
      <c r="A239" s="9"/>
      <c r="B239" s="9"/>
    </row>
    <row r="240">
      <c r="A240" s="9"/>
      <c r="B240" s="9"/>
    </row>
    <row r="241">
      <c r="A241" s="9"/>
      <c r="B241" s="9"/>
    </row>
    <row r="242">
      <c r="A242" s="9"/>
      <c r="B242" s="9"/>
    </row>
    <row r="243">
      <c r="A243" s="9"/>
      <c r="B243" s="9"/>
    </row>
    <row r="244">
      <c r="A244" s="9"/>
      <c r="B244" s="9"/>
    </row>
    <row r="245">
      <c r="A245" s="9"/>
      <c r="B245" s="9"/>
    </row>
    <row r="246">
      <c r="A246" s="9"/>
      <c r="B246" s="9"/>
    </row>
    <row r="247">
      <c r="A247" s="9"/>
      <c r="B247" s="9"/>
    </row>
    <row r="248">
      <c r="A248" s="9"/>
      <c r="B248" s="9"/>
    </row>
    <row r="249">
      <c r="A249" s="9"/>
      <c r="B249" s="9"/>
    </row>
    <row r="250">
      <c r="A250" s="9"/>
      <c r="B250" s="9"/>
    </row>
    <row r="251">
      <c r="A251" s="9"/>
      <c r="B251" s="9"/>
    </row>
    <row r="252">
      <c r="A252" s="9"/>
      <c r="B252" s="9"/>
    </row>
    <row r="253">
      <c r="A253" s="9"/>
      <c r="B253" s="9"/>
    </row>
    <row r="254">
      <c r="A254" s="9"/>
      <c r="B254" s="9"/>
    </row>
    <row r="255">
      <c r="A255" s="9"/>
      <c r="B255" s="9"/>
    </row>
    <row r="256">
      <c r="A256" s="9"/>
      <c r="B256" s="9"/>
    </row>
    <row r="257">
      <c r="A257" s="9"/>
      <c r="B257" s="9"/>
    </row>
    <row r="258">
      <c r="A258" s="9"/>
      <c r="B258" s="9"/>
    </row>
    <row r="259">
      <c r="A259" s="9"/>
      <c r="B259" s="9"/>
    </row>
    <row r="260">
      <c r="A260" s="9"/>
      <c r="B260" s="9"/>
    </row>
    <row r="261">
      <c r="A261" s="9"/>
      <c r="B261" s="9"/>
    </row>
    <row r="262">
      <c r="A262" s="9"/>
      <c r="B262" s="9"/>
    </row>
    <row r="263">
      <c r="A263" s="9"/>
      <c r="B263" s="9"/>
    </row>
    <row r="264">
      <c r="A264" s="9"/>
      <c r="B264" s="9"/>
    </row>
    <row r="265">
      <c r="A265" s="9"/>
      <c r="B265" s="9"/>
    </row>
    <row r="266">
      <c r="A266" s="9"/>
      <c r="B266" s="9"/>
    </row>
    <row r="267">
      <c r="A267" s="9"/>
      <c r="B267" s="9"/>
    </row>
    <row r="268">
      <c r="A268" s="9"/>
      <c r="B268" s="9"/>
    </row>
    <row r="269">
      <c r="A269" s="9"/>
      <c r="B269" s="9"/>
    </row>
    <row r="270">
      <c r="A270" s="9"/>
      <c r="B270" s="9"/>
    </row>
    <row r="271">
      <c r="A271" s="9"/>
      <c r="B271" s="9"/>
    </row>
    <row r="272">
      <c r="A272" s="9"/>
      <c r="B272" s="9"/>
    </row>
    <row r="273">
      <c r="A273" s="9"/>
      <c r="B273" s="9"/>
    </row>
    <row r="274">
      <c r="A274" s="9"/>
      <c r="B274" s="9"/>
    </row>
    <row r="275">
      <c r="A275" s="9"/>
      <c r="B275" s="9"/>
    </row>
    <row r="276">
      <c r="A276" s="9"/>
      <c r="B276" s="9"/>
    </row>
    <row r="277">
      <c r="A277" s="9"/>
      <c r="B277" s="9"/>
    </row>
    <row r="278">
      <c r="A278" s="9"/>
      <c r="B278" s="9"/>
    </row>
    <row r="279">
      <c r="A279" s="9"/>
      <c r="B279" s="9"/>
    </row>
    <row r="280">
      <c r="A280" s="9"/>
      <c r="B280" s="9"/>
    </row>
    <row r="281">
      <c r="A281" s="9"/>
      <c r="B281" s="9"/>
    </row>
    <row r="282">
      <c r="A282" s="9"/>
      <c r="B282" s="9"/>
    </row>
    <row r="283">
      <c r="A283" s="9"/>
      <c r="B283" s="9"/>
    </row>
    <row r="284">
      <c r="A284" s="9"/>
      <c r="B284" s="9"/>
    </row>
    <row r="285">
      <c r="A285" s="9"/>
      <c r="B285" s="9"/>
    </row>
    <row r="286">
      <c r="A286" s="9"/>
      <c r="B286" s="9"/>
    </row>
    <row r="287">
      <c r="A287" s="9"/>
      <c r="B287" s="9"/>
    </row>
    <row r="288">
      <c r="A288" s="9"/>
      <c r="B288" s="9"/>
    </row>
    <row r="289">
      <c r="A289" s="9"/>
      <c r="B289" s="9"/>
    </row>
    <row r="290">
      <c r="A290" s="9"/>
      <c r="B290" s="9"/>
    </row>
    <row r="291">
      <c r="A291" s="9"/>
      <c r="B291" s="9"/>
    </row>
    <row r="292">
      <c r="A292" s="9"/>
      <c r="B292" s="9"/>
    </row>
    <row r="293">
      <c r="A293" s="9"/>
      <c r="B293" s="9"/>
    </row>
    <row r="294">
      <c r="A294" s="9"/>
      <c r="B294" s="9"/>
    </row>
    <row r="295">
      <c r="A295" s="9"/>
      <c r="B295" s="9"/>
    </row>
    <row r="296">
      <c r="A296" s="9"/>
      <c r="B296" s="9"/>
    </row>
    <row r="297">
      <c r="A297" s="9"/>
      <c r="B297" s="9"/>
    </row>
    <row r="298">
      <c r="A298" s="9"/>
      <c r="B298" s="9"/>
    </row>
    <row r="299">
      <c r="A299" s="9"/>
      <c r="B299" s="9"/>
    </row>
    <row r="300">
      <c r="A300" s="9"/>
      <c r="B300" s="9"/>
    </row>
    <row r="301">
      <c r="A301" s="9"/>
      <c r="B301" s="9"/>
    </row>
    <row r="302">
      <c r="A302" s="9"/>
      <c r="B302" s="9"/>
    </row>
    <row r="303">
      <c r="A303" s="9"/>
      <c r="B303" s="9"/>
    </row>
    <row r="304">
      <c r="A304" s="9"/>
      <c r="B304" s="9"/>
    </row>
    <row r="305">
      <c r="A305" s="9"/>
      <c r="B305" s="9"/>
    </row>
    <row r="306">
      <c r="A306" s="9"/>
      <c r="B306" s="9"/>
    </row>
    <row r="307">
      <c r="A307" s="9"/>
      <c r="B307" s="9"/>
    </row>
    <row r="308">
      <c r="A308" s="9"/>
      <c r="B308" s="9"/>
    </row>
    <row r="309">
      <c r="A309" s="9"/>
      <c r="B309" s="9"/>
    </row>
    <row r="310">
      <c r="A310" s="9"/>
      <c r="B310" s="9"/>
    </row>
    <row r="311">
      <c r="A311" s="9"/>
      <c r="B311" s="9"/>
    </row>
    <row r="312">
      <c r="A312" s="9"/>
      <c r="B312" s="9"/>
    </row>
    <row r="313">
      <c r="A313" s="9"/>
      <c r="B313" s="9"/>
    </row>
    <row r="314">
      <c r="A314" s="9"/>
      <c r="B314" s="9"/>
    </row>
    <row r="315">
      <c r="A315" s="9"/>
      <c r="B315" s="9"/>
    </row>
    <row r="316">
      <c r="A316" s="9"/>
      <c r="B316" s="9"/>
    </row>
    <row r="317">
      <c r="A317" s="9"/>
      <c r="B317" s="9"/>
    </row>
    <row r="318">
      <c r="A318" s="9"/>
      <c r="B318" s="9"/>
    </row>
    <row r="319">
      <c r="A319" s="9"/>
      <c r="B319" s="9"/>
    </row>
    <row r="320">
      <c r="A320" s="9"/>
      <c r="B320" s="9"/>
    </row>
    <row r="321">
      <c r="A321" s="9"/>
      <c r="B321" s="9"/>
    </row>
    <row r="322">
      <c r="A322" s="9"/>
      <c r="B322" s="9"/>
    </row>
    <row r="323">
      <c r="A323" s="9"/>
      <c r="B323" s="9"/>
    </row>
    <row r="324">
      <c r="A324" s="9"/>
      <c r="B324" s="9"/>
    </row>
    <row r="325">
      <c r="A325" s="9"/>
      <c r="B325" s="9"/>
    </row>
    <row r="326">
      <c r="A326" s="9"/>
      <c r="B326" s="9"/>
    </row>
    <row r="327">
      <c r="A327" s="9"/>
      <c r="B327" s="9"/>
    </row>
    <row r="328">
      <c r="A328" s="9"/>
      <c r="B328" s="9"/>
    </row>
    <row r="329">
      <c r="A329" s="9"/>
      <c r="B329" s="9"/>
    </row>
    <row r="330">
      <c r="A330" s="9"/>
      <c r="B330" s="9"/>
    </row>
    <row r="331">
      <c r="A331" s="9"/>
      <c r="B331" s="9"/>
    </row>
    <row r="332">
      <c r="A332" s="9"/>
      <c r="B332" s="9"/>
    </row>
    <row r="333">
      <c r="A333" s="9"/>
      <c r="B333" s="9"/>
    </row>
    <row r="334">
      <c r="A334" s="9"/>
      <c r="B334" s="9"/>
    </row>
    <row r="335">
      <c r="A335" s="9"/>
      <c r="B335" s="9"/>
    </row>
    <row r="336">
      <c r="A336" s="9"/>
      <c r="B336" s="9"/>
    </row>
    <row r="337">
      <c r="A337" s="9"/>
      <c r="B337" s="9"/>
    </row>
    <row r="338">
      <c r="A338" s="9"/>
      <c r="B338" s="9"/>
    </row>
    <row r="339">
      <c r="A339" s="9"/>
      <c r="B339" s="9"/>
    </row>
    <row r="340">
      <c r="A340" s="9"/>
      <c r="B340" s="9"/>
    </row>
    <row r="341">
      <c r="A341" s="9"/>
      <c r="B341" s="9"/>
    </row>
    <row r="342">
      <c r="A342" s="9"/>
      <c r="B342" s="9"/>
    </row>
    <row r="343">
      <c r="A343" s="9"/>
      <c r="B343" s="9"/>
    </row>
    <row r="344">
      <c r="A344" s="9"/>
      <c r="B344" s="9"/>
    </row>
    <row r="345">
      <c r="A345" s="9"/>
      <c r="B345" s="9"/>
    </row>
    <row r="346">
      <c r="A346" s="9"/>
      <c r="B346" s="9"/>
    </row>
    <row r="347">
      <c r="A347" s="9"/>
      <c r="B347" s="9"/>
    </row>
    <row r="348">
      <c r="A348" s="9"/>
      <c r="B348" s="9"/>
    </row>
    <row r="349">
      <c r="A349" s="9"/>
      <c r="B349" s="9"/>
    </row>
    <row r="350">
      <c r="A350" s="9"/>
      <c r="B350" s="9"/>
    </row>
    <row r="351">
      <c r="A351" s="9"/>
      <c r="B351" s="9"/>
    </row>
    <row r="352">
      <c r="A352" s="9"/>
      <c r="B352" s="9"/>
    </row>
    <row r="353">
      <c r="A353" s="9"/>
      <c r="B353" s="9"/>
    </row>
    <row r="354">
      <c r="A354" s="9"/>
      <c r="B354" s="9"/>
    </row>
    <row r="355">
      <c r="A355" s="9"/>
      <c r="B355" s="9"/>
    </row>
    <row r="356">
      <c r="A356" s="9"/>
      <c r="B356" s="9"/>
    </row>
    <row r="357">
      <c r="A357" s="9"/>
      <c r="B357" s="9"/>
    </row>
    <row r="358">
      <c r="A358" s="9"/>
      <c r="B358" s="9"/>
    </row>
    <row r="359">
      <c r="A359" s="9"/>
      <c r="B359" s="9"/>
    </row>
    <row r="360">
      <c r="A360" s="9"/>
      <c r="B360" s="9"/>
    </row>
    <row r="361">
      <c r="A361" s="9"/>
      <c r="B361" s="9"/>
    </row>
    <row r="362">
      <c r="A362" s="9"/>
      <c r="B362" s="9"/>
    </row>
    <row r="363">
      <c r="A363" s="9"/>
      <c r="B363" s="9"/>
    </row>
    <row r="364">
      <c r="A364" s="9"/>
      <c r="B364" s="9"/>
    </row>
    <row r="365">
      <c r="A365" s="9"/>
      <c r="B365" s="9"/>
    </row>
    <row r="366">
      <c r="A366" s="9"/>
      <c r="B366" s="9"/>
    </row>
    <row r="367">
      <c r="A367" s="9"/>
      <c r="B367" s="9"/>
    </row>
    <row r="368">
      <c r="A368" s="9"/>
      <c r="B368" s="9"/>
    </row>
    <row r="369">
      <c r="A369" s="9"/>
      <c r="B369" s="9"/>
    </row>
    <row r="370">
      <c r="A370" s="9"/>
      <c r="B370" s="9"/>
    </row>
    <row r="371">
      <c r="A371" s="9"/>
      <c r="B371" s="9"/>
    </row>
    <row r="372">
      <c r="A372" s="9"/>
      <c r="B372" s="9"/>
    </row>
    <row r="373">
      <c r="A373" s="9"/>
      <c r="B373" s="9"/>
    </row>
    <row r="374">
      <c r="A374" s="9"/>
      <c r="B374" s="9"/>
    </row>
    <row r="375">
      <c r="A375" s="9"/>
      <c r="B375" s="9"/>
    </row>
    <row r="376">
      <c r="A376" s="9"/>
      <c r="B376" s="9"/>
    </row>
    <row r="377">
      <c r="A377" s="9"/>
      <c r="B377" s="9"/>
    </row>
    <row r="378">
      <c r="A378" s="9"/>
      <c r="B378" s="9"/>
    </row>
    <row r="379">
      <c r="A379" s="9"/>
      <c r="B379" s="9"/>
    </row>
    <row r="380">
      <c r="A380" s="9"/>
      <c r="B380" s="9"/>
    </row>
    <row r="381">
      <c r="A381" s="9"/>
      <c r="B381" s="9"/>
    </row>
    <row r="382">
      <c r="A382" s="9"/>
      <c r="B382" s="9"/>
    </row>
    <row r="383">
      <c r="A383" s="9"/>
      <c r="B383" s="9"/>
    </row>
    <row r="384">
      <c r="A384" s="9"/>
      <c r="B384" s="9"/>
    </row>
    <row r="385">
      <c r="A385" s="9"/>
      <c r="B385" s="9"/>
    </row>
    <row r="386">
      <c r="A386" s="9"/>
      <c r="B386" s="9"/>
    </row>
    <row r="387">
      <c r="A387" s="9"/>
      <c r="B387" s="9"/>
    </row>
    <row r="388">
      <c r="A388" s="9"/>
      <c r="B388" s="9"/>
    </row>
    <row r="389">
      <c r="A389" s="9"/>
      <c r="B389" s="9"/>
    </row>
    <row r="390">
      <c r="A390" s="9"/>
      <c r="B390" s="9"/>
    </row>
    <row r="391">
      <c r="A391" s="9"/>
      <c r="B391" s="9"/>
    </row>
    <row r="392">
      <c r="A392" s="9"/>
      <c r="B392" s="9"/>
    </row>
    <row r="393">
      <c r="A393" s="9"/>
      <c r="B393" s="9"/>
    </row>
    <row r="394">
      <c r="A394" s="9"/>
      <c r="B394" s="9"/>
    </row>
    <row r="395">
      <c r="A395" s="9"/>
      <c r="B395" s="9"/>
    </row>
    <row r="396">
      <c r="A396" s="9"/>
      <c r="B396" s="9"/>
    </row>
    <row r="397">
      <c r="A397" s="9"/>
      <c r="B397" s="9"/>
    </row>
    <row r="398">
      <c r="A398" s="9"/>
      <c r="B398" s="9"/>
    </row>
    <row r="399">
      <c r="A399" s="9"/>
      <c r="B399" s="9"/>
    </row>
    <row r="400">
      <c r="A400" s="9"/>
      <c r="B400" s="9"/>
    </row>
    <row r="401">
      <c r="A401" s="9"/>
      <c r="B401" s="9"/>
    </row>
    <row r="402">
      <c r="A402" s="9"/>
      <c r="B402" s="9"/>
    </row>
    <row r="403">
      <c r="A403" s="9"/>
      <c r="B403" s="9"/>
    </row>
    <row r="404">
      <c r="A404" s="9"/>
      <c r="B404" s="9"/>
    </row>
    <row r="405">
      <c r="A405" s="9"/>
      <c r="B405" s="9"/>
    </row>
    <row r="406">
      <c r="A406" s="9"/>
      <c r="B406" s="9"/>
    </row>
    <row r="407">
      <c r="A407" s="9"/>
      <c r="B407" s="9"/>
    </row>
    <row r="408">
      <c r="A408" s="9"/>
      <c r="B408" s="9"/>
    </row>
    <row r="409">
      <c r="A409" s="9"/>
      <c r="B409" s="9"/>
    </row>
    <row r="410">
      <c r="A410" s="9"/>
      <c r="B410" s="9"/>
    </row>
    <row r="411">
      <c r="A411" s="9"/>
      <c r="B411" s="9"/>
    </row>
    <row r="412">
      <c r="A412" s="9"/>
      <c r="B412" s="9"/>
    </row>
    <row r="413">
      <c r="A413" s="9"/>
      <c r="B413" s="9"/>
    </row>
    <row r="414">
      <c r="A414" s="9"/>
      <c r="B414" s="9"/>
    </row>
    <row r="415">
      <c r="A415" s="9"/>
      <c r="B415" s="9"/>
    </row>
    <row r="416">
      <c r="A416" s="9"/>
      <c r="B416" s="9"/>
    </row>
    <row r="417">
      <c r="A417" s="9"/>
      <c r="B417" s="9"/>
    </row>
    <row r="418">
      <c r="A418" s="9"/>
      <c r="B418" s="9"/>
    </row>
    <row r="419">
      <c r="A419" s="9"/>
      <c r="B419" s="9"/>
    </row>
    <row r="420">
      <c r="A420" s="9"/>
      <c r="B420" s="9"/>
    </row>
    <row r="421">
      <c r="A421" s="9"/>
      <c r="B421" s="9"/>
    </row>
    <row r="422">
      <c r="A422" s="9"/>
      <c r="B422" s="9"/>
    </row>
    <row r="423">
      <c r="A423" s="9"/>
      <c r="B423" s="9"/>
    </row>
    <row r="424">
      <c r="A424" s="9"/>
      <c r="B424" s="9"/>
    </row>
    <row r="425">
      <c r="A425" s="9"/>
      <c r="B425" s="9"/>
    </row>
    <row r="426">
      <c r="A426" s="9"/>
      <c r="B426" s="9"/>
    </row>
    <row r="427">
      <c r="A427" s="9"/>
      <c r="B427" s="9"/>
    </row>
    <row r="428">
      <c r="A428" s="9"/>
      <c r="B428" s="9"/>
    </row>
    <row r="429">
      <c r="A429" s="9"/>
      <c r="B429" s="9"/>
    </row>
    <row r="430">
      <c r="A430" s="9"/>
      <c r="B430" s="9"/>
    </row>
    <row r="431">
      <c r="A431" s="9"/>
      <c r="B431" s="9"/>
    </row>
    <row r="432">
      <c r="A432" s="9"/>
      <c r="B432" s="9"/>
    </row>
    <row r="433">
      <c r="A433" s="9"/>
      <c r="B433" s="9"/>
    </row>
    <row r="434">
      <c r="A434" s="9"/>
      <c r="B434" s="9"/>
    </row>
    <row r="435">
      <c r="A435" s="9"/>
      <c r="B435" s="9"/>
    </row>
    <row r="436">
      <c r="A436" s="9"/>
      <c r="B436" s="9"/>
    </row>
    <row r="437">
      <c r="A437" s="9"/>
      <c r="B437" s="9"/>
    </row>
    <row r="438">
      <c r="A438" s="9"/>
      <c r="B438" s="9"/>
    </row>
    <row r="439">
      <c r="A439" s="9"/>
      <c r="B439" s="9"/>
    </row>
    <row r="440">
      <c r="A440" s="9"/>
      <c r="B440" s="9"/>
    </row>
    <row r="441">
      <c r="A441" s="9"/>
      <c r="B441" s="9"/>
    </row>
    <row r="442">
      <c r="A442" s="9"/>
      <c r="B442" s="9"/>
    </row>
    <row r="443">
      <c r="A443" s="9"/>
      <c r="B443" s="9"/>
    </row>
    <row r="444">
      <c r="A444" s="9"/>
      <c r="B444" s="9"/>
    </row>
    <row r="445">
      <c r="A445" s="9"/>
      <c r="B445" s="9"/>
    </row>
    <row r="446">
      <c r="A446" s="9"/>
      <c r="B446" s="9"/>
    </row>
    <row r="447">
      <c r="A447" s="9"/>
      <c r="B447" s="9"/>
    </row>
    <row r="448">
      <c r="A448" s="9"/>
      <c r="B448" s="9"/>
    </row>
    <row r="449">
      <c r="A449" s="9"/>
      <c r="B449" s="9"/>
    </row>
    <row r="450">
      <c r="A450" s="9"/>
      <c r="B450" s="9"/>
    </row>
    <row r="451">
      <c r="A451" s="9"/>
      <c r="B451" s="9"/>
    </row>
    <row r="452">
      <c r="A452" s="9"/>
      <c r="B452" s="9"/>
    </row>
    <row r="453">
      <c r="A453" s="9"/>
      <c r="B453" s="9"/>
    </row>
    <row r="454">
      <c r="A454" s="9"/>
      <c r="B454" s="9"/>
    </row>
    <row r="455">
      <c r="A455" s="9"/>
      <c r="B455" s="9"/>
    </row>
    <row r="456">
      <c r="A456" s="9"/>
      <c r="B456" s="9"/>
    </row>
    <row r="457">
      <c r="A457" s="9"/>
      <c r="B457" s="9"/>
    </row>
    <row r="458">
      <c r="A458" s="9"/>
      <c r="B458" s="9"/>
    </row>
    <row r="459">
      <c r="A459" s="9"/>
      <c r="B459" s="9"/>
    </row>
    <row r="460">
      <c r="A460" s="9"/>
      <c r="B460" s="9"/>
    </row>
    <row r="461">
      <c r="A461" s="9"/>
      <c r="B461" s="9"/>
    </row>
    <row r="462">
      <c r="A462" s="9"/>
      <c r="B462" s="9"/>
    </row>
    <row r="463">
      <c r="A463" s="9"/>
      <c r="B463" s="9"/>
    </row>
    <row r="464">
      <c r="A464" s="9"/>
      <c r="B464" s="9"/>
    </row>
    <row r="465">
      <c r="A465" s="9"/>
      <c r="B465" s="9"/>
    </row>
    <row r="466">
      <c r="A466" s="9"/>
      <c r="B466" s="9"/>
    </row>
    <row r="467">
      <c r="A467" s="9"/>
      <c r="B467" s="9"/>
    </row>
    <row r="468">
      <c r="A468" s="9"/>
      <c r="B468" s="9"/>
    </row>
    <row r="469">
      <c r="A469" s="9"/>
      <c r="B469" s="9"/>
    </row>
    <row r="470">
      <c r="A470" s="9"/>
      <c r="B470" s="9"/>
    </row>
    <row r="471">
      <c r="A471" s="9"/>
      <c r="B471" s="9"/>
    </row>
    <row r="472">
      <c r="A472" s="9"/>
      <c r="B472" s="9"/>
    </row>
    <row r="473">
      <c r="A473" s="9"/>
      <c r="B473" s="9"/>
    </row>
    <row r="474">
      <c r="A474" s="9"/>
      <c r="B474" s="9"/>
    </row>
    <row r="475">
      <c r="A475" s="9"/>
      <c r="B475" s="9"/>
    </row>
    <row r="476">
      <c r="A476" s="9"/>
      <c r="B476" s="9"/>
    </row>
    <row r="477">
      <c r="A477" s="9"/>
      <c r="B477" s="9"/>
    </row>
    <row r="478">
      <c r="A478" s="9"/>
      <c r="B478" s="9"/>
    </row>
    <row r="479">
      <c r="A479" s="9"/>
      <c r="B479" s="9"/>
    </row>
    <row r="480">
      <c r="A480" s="9"/>
      <c r="B480" s="9"/>
    </row>
    <row r="481">
      <c r="A481" s="9"/>
      <c r="B481" s="9"/>
    </row>
    <row r="482">
      <c r="A482" s="9"/>
      <c r="B482" s="9"/>
    </row>
    <row r="483">
      <c r="A483" s="9"/>
      <c r="B483" s="9"/>
    </row>
    <row r="484">
      <c r="A484" s="9"/>
      <c r="B484" s="9"/>
    </row>
    <row r="485">
      <c r="A485" s="9"/>
      <c r="B485" s="9"/>
    </row>
    <row r="486">
      <c r="A486" s="9"/>
      <c r="B486" s="9"/>
    </row>
    <row r="487">
      <c r="A487" s="9"/>
      <c r="B487" s="9"/>
    </row>
    <row r="488">
      <c r="A488" s="9"/>
      <c r="B488" s="9"/>
    </row>
    <row r="489">
      <c r="A489" s="9"/>
      <c r="B489" s="9"/>
    </row>
    <row r="490">
      <c r="A490" s="9"/>
      <c r="B490" s="9"/>
    </row>
    <row r="491">
      <c r="A491" s="9"/>
      <c r="B491" s="9"/>
    </row>
    <row r="492">
      <c r="A492" s="9"/>
      <c r="B492" s="9"/>
    </row>
    <row r="493">
      <c r="A493" s="9"/>
      <c r="B493" s="9"/>
    </row>
    <row r="494">
      <c r="A494" s="9"/>
      <c r="B494" s="9"/>
    </row>
    <row r="495">
      <c r="A495" s="9"/>
      <c r="B495" s="9"/>
    </row>
    <row r="496">
      <c r="A496" s="9"/>
      <c r="B496" s="9"/>
    </row>
    <row r="497">
      <c r="A497" s="9"/>
      <c r="B497" s="9"/>
    </row>
    <row r="498">
      <c r="A498" s="9"/>
      <c r="B498" s="9"/>
    </row>
    <row r="499">
      <c r="A499" s="9"/>
      <c r="B499" s="9"/>
    </row>
    <row r="500">
      <c r="A500" s="9"/>
      <c r="B500" s="9"/>
    </row>
    <row r="501">
      <c r="A501" s="9"/>
      <c r="B501" s="9"/>
    </row>
    <row r="502">
      <c r="A502" s="9"/>
      <c r="B502" s="9"/>
    </row>
    <row r="503">
      <c r="A503" s="9"/>
      <c r="B503" s="9"/>
    </row>
    <row r="504">
      <c r="A504" s="9"/>
      <c r="B504" s="9"/>
    </row>
    <row r="505">
      <c r="A505" s="9"/>
      <c r="B505" s="9"/>
    </row>
    <row r="506">
      <c r="A506" s="9"/>
      <c r="B506" s="9"/>
    </row>
    <row r="507">
      <c r="A507" s="9"/>
      <c r="B507" s="9"/>
    </row>
    <row r="508">
      <c r="A508" s="9"/>
      <c r="B508" s="9"/>
    </row>
    <row r="509">
      <c r="A509" s="9"/>
      <c r="B509" s="9"/>
    </row>
    <row r="510">
      <c r="A510" s="9"/>
      <c r="B510" s="9"/>
    </row>
    <row r="511">
      <c r="A511" s="9"/>
      <c r="B511" s="9"/>
    </row>
    <row r="512">
      <c r="A512" s="9"/>
      <c r="B512" s="9"/>
    </row>
    <row r="513">
      <c r="A513" s="9"/>
      <c r="B513" s="9"/>
    </row>
    <row r="514">
      <c r="A514" s="9"/>
      <c r="B514" s="9"/>
    </row>
    <row r="515">
      <c r="A515" s="9"/>
      <c r="B515" s="9"/>
    </row>
    <row r="516">
      <c r="A516" s="9"/>
      <c r="B516" s="9"/>
    </row>
    <row r="517">
      <c r="A517" s="9"/>
      <c r="B517" s="9"/>
    </row>
    <row r="518">
      <c r="A518" s="9"/>
      <c r="B518" s="9"/>
    </row>
    <row r="519">
      <c r="A519" s="9"/>
      <c r="B519" s="9"/>
    </row>
    <row r="520">
      <c r="A520" s="9"/>
      <c r="B520" s="9"/>
    </row>
    <row r="521">
      <c r="A521" s="9"/>
      <c r="B521" s="9"/>
    </row>
    <row r="522">
      <c r="A522" s="9"/>
      <c r="B522" s="9"/>
    </row>
    <row r="523">
      <c r="A523" s="9"/>
      <c r="B523" s="9"/>
    </row>
    <row r="524">
      <c r="A524" s="9"/>
      <c r="B524" s="9"/>
    </row>
    <row r="525">
      <c r="A525" s="9"/>
      <c r="B525" s="9"/>
    </row>
    <row r="526">
      <c r="A526" s="9"/>
      <c r="B526" s="9"/>
    </row>
    <row r="527">
      <c r="A527" s="9"/>
      <c r="B527" s="9"/>
    </row>
    <row r="528">
      <c r="A528" s="9"/>
      <c r="B528" s="9"/>
    </row>
    <row r="529">
      <c r="A529" s="9"/>
      <c r="B529" s="9"/>
    </row>
    <row r="530">
      <c r="A530" s="9"/>
      <c r="B530" s="9"/>
    </row>
    <row r="531">
      <c r="A531" s="9"/>
      <c r="B531" s="9"/>
    </row>
    <row r="532">
      <c r="A532" s="9"/>
      <c r="B532" s="9"/>
    </row>
    <row r="533">
      <c r="A533" s="9"/>
      <c r="B533" s="9"/>
    </row>
    <row r="534">
      <c r="A534" s="9"/>
      <c r="B534" s="9"/>
    </row>
    <row r="535">
      <c r="A535" s="9"/>
      <c r="B535" s="9"/>
    </row>
    <row r="536">
      <c r="A536" s="9"/>
      <c r="B536" s="9"/>
    </row>
    <row r="537">
      <c r="A537" s="9"/>
      <c r="B537" s="9"/>
    </row>
    <row r="538">
      <c r="A538" s="9"/>
      <c r="B538" s="9"/>
    </row>
    <row r="539">
      <c r="A539" s="9"/>
      <c r="B539" s="9"/>
    </row>
    <row r="540">
      <c r="A540" s="9"/>
      <c r="B540" s="9"/>
    </row>
    <row r="541">
      <c r="A541" s="9"/>
      <c r="B541" s="9"/>
    </row>
    <row r="542">
      <c r="A542" s="9"/>
      <c r="B542" s="9"/>
    </row>
    <row r="543">
      <c r="A543" s="9"/>
      <c r="B543" s="9"/>
    </row>
    <row r="544">
      <c r="A544" s="9"/>
      <c r="B544" s="9"/>
    </row>
    <row r="545">
      <c r="A545" s="9"/>
      <c r="B545" s="9"/>
    </row>
    <row r="546">
      <c r="A546" s="9"/>
      <c r="B546" s="9"/>
    </row>
    <row r="547">
      <c r="A547" s="9"/>
      <c r="B547" s="9"/>
    </row>
    <row r="548">
      <c r="A548" s="9"/>
      <c r="B548" s="9"/>
    </row>
    <row r="549">
      <c r="A549" s="9"/>
      <c r="B549" s="9"/>
    </row>
    <row r="550">
      <c r="A550" s="9"/>
      <c r="B550" s="9"/>
    </row>
    <row r="551">
      <c r="A551" s="9"/>
      <c r="B551" s="9"/>
    </row>
    <row r="552">
      <c r="A552" s="9"/>
      <c r="B552" s="9"/>
    </row>
    <row r="553">
      <c r="A553" s="9"/>
      <c r="B553" s="9"/>
    </row>
    <row r="554">
      <c r="A554" s="9"/>
      <c r="B554" s="9"/>
    </row>
    <row r="555">
      <c r="A555" s="9"/>
      <c r="B555" s="9"/>
    </row>
    <row r="556">
      <c r="A556" s="9"/>
      <c r="B556" s="9"/>
    </row>
    <row r="557">
      <c r="A557" s="9"/>
      <c r="B557" s="9"/>
    </row>
    <row r="558">
      <c r="A558" s="9"/>
      <c r="B558" s="9"/>
    </row>
    <row r="559">
      <c r="A559" s="9"/>
      <c r="B559" s="9"/>
    </row>
    <row r="560">
      <c r="A560" s="9"/>
      <c r="B560" s="9"/>
    </row>
    <row r="561">
      <c r="A561" s="9"/>
      <c r="B561" s="9"/>
    </row>
    <row r="562">
      <c r="A562" s="9"/>
      <c r="B562" s="9"/>
    </row>
    <row r="563">
      <c r="A563" s="9"/>
      <c r="B563" s="9"/>
    </row>
    <row r="564">
      <c r="A564" s="9"/>
      <c r="B564" s="9"/>
    </row>
    <row r="565">
      <c r="A565" s="9"/>
      <c r="B565" s="9"/>
    </row>
    <row r="566">
      <c r="A566" s="9"/>
      <c r="B566" s="9"/>
    </row>
    <row r="567">
      <c r="A567" s="9"/>
      <c r="B567" s="9"/>
    </row>
    <row r="568">
      <c r="A568" s="9"/>
      <c r="B568" s="9"/>
    </row>
    <row r="569">
      <c r="A569" s="9"/>
      <c r="B569" s="9"/>
    </row>
    <row r="570">
      <c r="A570" s="9"/>
      <c r="B570" s="9"/>
    </row>
    <row r="571">
      <c r="A571" s="9"/>
      <c r="B571" s="9"/>
    </row>
    <row r="572">
      <c r="A572" s="9"/>
      <c r="B572" s="9"/>
    </row>
    <row r="573">
      <c r="A573" s="9"/>
      <c r="B573" s="9"/>
    </row>
    <row r="574">
      <c r="A574" s="9"/>
      <c r="B574" s="9"/>
    </row>
    <row r="575">
      <c r="A575" s="9"/>
      <c r="B575" s="9"/>
    </row>
    <row r="576">
      <c r="A576" s="9"/>
      <c r="B576" s="9"/>
    </row>
    <row r="577">
      <c r="A577" s="9"/>
      <c r="B577" s="9"/>
    </row>
    <row r="578">
      <c r="A578" s="9"/>
      <c r="B578" s="9"/>
    </row>
    <row r="579">
      <c r="A579" s="9"/>
      <c r="B579" s="9"/>
    </row>
    <row r="580">
      <c r="A580" s="9"/>
      <c r="B580" s="9"/>
    </row>
    <row r="581">
      <c r="A581" s="9"/>
      <c r="B581" s="9"/>
    </row>
    <row r="582">
      <c r="A582" s="9"/>
      <c r="B582" s="9"/>
    </row>
    <row r="583">
      <c r="A583" s="9"/>
      <c r="B583" s="9"/>
    </row>
    <row r="584">
      <c r="A584" s="9"/>
      <c r="B584" s="9"/>
    </row>
    <row r="585">
      <c r="A585" s="9"/>
      <c r="B585" s="9"/>
    </row>
    <row r="586">
      <c r="A586" s="9"/>
      <c r="B586" s="9"/>
    </row>
    <row r="587">
      <c r="A587" s="9"/>
      <c r="B587" s="9"/>
    </row>
    <row r="588">
      <c r="A588" s="9"/>
      <c r="B588" s="9"/>
    </row>
    <row r="589">
      <c r="A589" s="9"/>
      <c r="B589" s="9"/>
    </row>
    <row r="590">
      <c r="A590" s="9"/>
      <c r="B590" s="9"/>
    </row>
    <row r="591">
      <c r="A591" s="9"/>
      <c r="B591" s="9"/>
    </row>
    <row r="592">
      <c r="A592" s="9"/>
      <c r="B592" s="9"/>
    </row>
    <row r="593">
      <c r="A593" s="9"/>
      <c r="B593" s="9"/>
    </row>
    <row r="594">
      <c r="A594" s="9"/>
      <c r="B594" s="9"/>
    </row>
    <row r="595">
      <c r="A595" s="9"/>
      <c r="B595" s="9"/>
    </row>
    <row r="596">
      <c r="A596" s="9"/>
      <c r="B596" s="9"/>
    </row>
    <row r="597">
      <c r="A597" s="9"/>
      <c r="B597" s="9"/>
    </row>
    <row r="598">
      <c r="A598" s="9"/>
      <c r="B598" s="9"/>
    </row>
    <row r="599">
      <c r="A599" s="9"/>
      <c r="B599" s="9"/>
    </row>
    <row r="600">
      <c r="A600" s="9"/>
      <c r="B600" s="9"/>
    </row>
    <row r="601">
      <c r="A601" s="9"/>
      <c r="B601" s="9"/>
    </row>
    <row r="602">
      <c r="A602" s="9"/>
      <c r="B602" s="9"/>
    </row>
    <row r="603">
      <c r="A603" s="9"/>
      <c r="B603" s="9"/>
    </row>
    <row r="604">
      <c r="A604" s="9"/>
      <c r="B604" s="9"/>
    </row>
    <row r="605">
      <c r="A605" s="9"/>
      <c r="B605" s="9"/>
    </row>
    <row r="606">
      <c r="A606" s="9"/>
      <c r="B606" s="9"/>
    </row>
    <row r="607">
      <c r="A607" s="9"/>
      <c r="B607" s="9"/>
    </row>
    <row r="608">
      <c r="A608" s="9"/>
      <c r="B608" s="9"/>
    </row>
    <row r="609">
      <c r="A609" s="9"/>
      <c r="B609" s="9"/>
    </row>
    <row r="610">
      <c r="A610" s="9"/>
      <c r="B610" s="9"/>
    </row>
    <row r="611">
      <c r="A611" s="9"/>
      <c r="B611" s="9"/>
    </row>
    <row r="612">
      <c r="A612" s="9"/>
      <c r="B612" s="9"/>
    </row>
    <row r="613">
      <c r="A613" s="9"/>
      <c r="B613" s="9"/>
    </row>
    <row r="614">
      <c r="A614" s="9"/>
      <c r="B614" s="9"/>
    </row>
    <row r="615">
      <c r="A615" s="9"/>
      <c r="B615" s="9"/>
    </row>
    <row r="616">
      <c r="A616" s="9"/>
      <c r="B616" s="9"/>
    </row>
    <row r="617">
      <c r="A617" s="9"/>
      <c r="B617" s="9"/>
    </row>
    <row r="618">
      <c r="A618" s="9"/>
      <c r="B618" s="9"/>
    </row>
    <row r="619">
      <c r="A619" s="9"/>
      <c r="B619" s="9"/>
    </row>
    <row r="620">
      <c r="A620" s="9"/>
      <c r="B620" s="9"/>
    </row>
    <row r="621">
      <c r="A621" s="9"/>
      <c r="B621" s="9"/>
    </row>
    <row r="622">
      <c r="A622" s="9"/>
      <c r="B622" s="9"/>
    </row>
    <row r="623">
      <c r="A623" s="9"/>
      <c r="B623" s="9"/>
    </row>
    <row r="624">
      <c r="A624" s="9"/>
      <c r="B624" s="9"/>
    </row>
    <row r="625">
      <c r="A625" s="9"/>
      <c r="B625" s="9"/>
    </row>
    <row r="626">
      <c r="A626" s="9"/>
      <c r="B626" s="9"/>
    </row>
    <row r="627">
      <c r="A627" s="9"/>
      <c r="B627" s="9"/>
    </row>
    <row r="628">
      <c r="A628" s="9"/>
      <c r="B628" s="9"/>
    </row>
    <row r="629">
      <c r="A629" s="9"/>
      <c r="B629" s="9"/>
    </row>
    <row r="630">
      <c r="A630" s="9"/>
      <c r="B630" s="9"/>
    </row>
    <row r="631">
      <c r="A631" s="9"/>
      <c r="B631" s="9"/>
    </row>
    <row r="632">
      <c r="A632" s="9"/>
      <c r="B632" s="9"/>
    </row>
    <row r="633">
      <c r="A633" s="9"/>
      <c r="B633" s="9"/>
    </row>
    <row r="634">
      <c r="A634" s="9"/>
      <c r="B634" s="9"/>
    </row>
    <row r="635">
      <c r="A635" s="9"/>
      <c r="B635" s="9"/>
    </row>
    <row r="636">
      <c r="A636" s="9"/>
      <c r="B636" s="9"/>
    </row>
    <row r="637">
      <c r="A637" s="9"/>
      <c r="B637" s="9"/>
    </row>
    <row r="638">
      <c r="A638" s="9"/>
      <c r="B638" s="9"/>
    </row>
    <row r="639">
      <c r="A639" s="9"/>
      <c r="B639" s="9"/>
    </row>
    <row r="640">
      <c r="A640" s="9"/>
      <c r="B640" s="9"/>
    </row>
    <row r="641">
      <c r="A641" s="9"/>
      <c r="B641" s="9"/>
    </row>
    <row r="642">
      <c r="A642" s="9"/>
      <c r="B642" s="9"/>
    </row>
    <row r="643">
      <c r="A643" s="9"/>
      <c r="B643" s="9"/>
    </row>
    <row r="644">
      <c r="A644" s="9"/>
      <c r="B644" s="9"/>
    </row>
    <row r="645">
      <c r="A645" s="9"/>
      <c r="B645" s="9"/>
    </row>
    <row r="646">
      <c r="A646" s="9"/>
      <c r="B646" s="9"/>
    </row>
    <row r="647">
      <c r="A647" s="9"/>
      <c r="B647" s="9"/>
    </row>
    <row r="648">
      <c r="A648" s="9"/>
      <c r="B648" s="9"/>
    </row>
    <row r="649">
      <c r="A649" s="9"/>
      <c r="B649" s="9"/>
    </row>
    <row r="650">
      <c r="A650" s="9"/>
      <c r="B650" s="9"/>
    </row>
    <row r="651">
      <c r="A651" s="9"/>
      <c r="B651" s="9"/>
    </row>
    <row r="652">
      <c r="A652" s="9"/>
      <c r="B652" s="9"/>
    </row>
    <row r="653">
      <c r="A653" s="9"/>
      <c r="B653" s="9"/>
    </row>
    <row r="654">
      <c r="A654" s="9"/>
      <c r="B654" s="9"/>
    </row>
    <row r="655">
      <c r="A655" s="9"/>
      <c r="B655" s="9"/>
    </row>
    <row r="656">
      <c r="A656" s="9"/>
      <c r="B656" s="9"/>
    </row>
    <row r="657">
      <c r="A657" s="9"/>
      <c r="B657" s="9"/>
    </row>
    <row r="658">
      <c r="A658" s="9"/>
      <c r="B658" s="9"/>
    </row>
    <row r="659">
      <c r="A659" s="9"/>
      <c r="B659" s="9"/>
    </row>
    <row r="660">
      <c r="A660" s="9"/>
      <c r="B660" s="9"/>
    </row>
    <row r="661">
      <c r="A661" s="9"/>
      <c r="B661" s="9"/>
    </row>
    <row r="662">
      <c r="A662" s="9"/>
      <c r="B662" s="9"/>
    </row>
    <row r="663">
      <c r="A663" s="9"/>
      <c r="B663" s="9"/>
    </row>
    <row r="664">
      <c r="A664" s="9"/>
      <c r="B664" s="9"/>
    </row>
    <row r="665">
      <c r="A665" s="9"/>
      <c r="B665" s="9"/>
    </row>
    <row r="666">
      <c r="A666" s="9"/>
      <c r="B666" s="9"/>
    </row>
    <row r="667">
      <c r="A667" s="9"/>
      <c r="B667" s="9"/>
    </row>
    <row r="668">
      <c r="A668" s="9"/>
      <c r="B668" s="9"/>
    </row>
    <row r="669">
      <c r="A669" s="9"/>
      <c r="B669" s="9"/>
    </row>
    <row r="670">
      <c r="A670" s="9"/>
      <c r="B670" s="9"/>
    </row>
    <row r="671">
      <c r="A671" s="9"/>
      <c r="B671" s="9"/>
    </row>
    <row r="672">
      <c r="A672" s="9"/>
      <c r="B672" s="9"/>
    </row>
    <row r="673">
      <c r="A673" s="9"/>
      <c r="B673" s="9"/>
    </row>
    <row r="674">
      <c r="A674" s="9"/>
      <c r="B674" s="9"/>
    </row>
    <row r="675">
      <c r="A675" s="9"/>
      <c r="B675" s="9"/>
    </row>
    <row r="676">
      <c r="A676" s="9"/>
      <c r="B676" s="9"/>
    </row>
    <row r="677">
      <c r="A677" s="9"/>
      <c r="B677" s="9"/>
    </row>
    <row r="678">
      <c r="A678" s="9"/>
      <c r="B678" s="9"/>
    </row>
    <row r="679">
      <c r="A679" s="9"/>
      <c r="B679" s="9"/>
    </row>
    <row r="680">
      <c r="A680" s="9"/>
      <c r="B680" s="9"/>
    </row>
    <row r="681">
      <c r="A681" s="9"/>
      <c r="B681" s="9"/>
    </row>
    <row r="682">
      <c r="A682" s="9"/>
      <c r="B682" s="9"/>
    </row>
    <row r="683">
      <c r="A683" s="9"/>
      <c r="B683" s="9"/>
    </row>
    <row r="684">
      <c r="A684" s="9"/>
      <c r="B684" s="9"/>
    </row>
    <row r="685">
      <c r="A685" s="9"/>
      <c r="B685" s="9"/>
    </row>
    <row r="686">
      <c r="A686" s="9"/>
      <c r="B686" s="9"/>
    </row>
    <row r="687">
      <c r="A687" s="9"/>
      <c r="B687" s="9"/>
    </row>
    <row r="688">
      <c r="A688" s="9"/>
      <c r="B688" s="9"/>
    </row>
    <row r="689">
      <c r="A689" s="9"/>
      <c r="B689" s="9"/>
    </row>
    <row r="690">
      <c r="A690" s="9"/>
      <c r="B690" s="9"/>
    </row>
    <row r="691">
      <c r="A691" s="9"/>
      <c r="B691" s="9"/>
    </row>
    <row r="692">
      <c r="A692" s="9"/>
      <c r="B692" s="9"/>
    </row>
    <row r="693">
      <c r="A693" s="9"/>
      <c r="B693" s="9"/>
    </row>
    <row r="694">
      <c r="A694" s="9"/>
      <c r="B694" s="9"/>
    </row>
    <row r="695">
      <c r="A695" s="9"/>
      <c r="B695" s="9"/>
    </row>
    <row r="696">
      <c r="A696" s="9"/>
      <c r="B696" s="9"/>
    </row>
    <row r="697">
      <c r="A697" s="9"/>
      <c r="B697" s="9"/>
    </row>
    <row r="698">
      <c r="A698" s="9"/>
      <c r="B698" s="9"/>
    </row>
    <row r="699">
      <c r="A699" s="9"/>
      <c r="B699" s="9"/>
    </row>
    <row r="700">
      <c r="A700" s="9"/>
      <c r="B700" s="9"/>
    </row>
    <row r="701">
      <c r="A701" s="9"/>
      <c r="B701" s="9"/>
    </row>
    <row r="702">
      <c r="A702" s="9"/>
      <c r="B702" s="9"/>
    </row>
    <row r="703">
      <c r="A703" s="9"/>
      <c r="B703" s="9"/>
    </row>
    <row r="704">
      <c r="A704" s="9"/>
      <c r="B704" s="9"/>
    </row>
    <row r="705">
      <c r="A705" s="9"/>
      <c r="B705" s="9"/>
    </row>
    <row r="706">
      <c r="A706" s="9"/>
      <c r="B706" s="9"/>
    </row>
    <row r="707">
      <c r="A707" s="9"/>
      <c r="B707" s="9"/>
    </row>
    <row r="708">
      <c r="A708" s="9"/>
      <c r="B708" s="9"/>
    </row>
    <row r="709">
      <c r="A709" s="9"/>
      <c r="B709" s="9"/>
    </row>
    <row r="710">
      <c r="A710" s="9"/>
      <c r="B710" s="9"/>
    </row>
    <row r="711">
      <c r="A711" s="9"/>
      <c r="B711" s="9"/>
    </row>
    <row r="712">
      <c r="A712" s="9"/>
      <c r="B712" s="9"/>
    </row>
    <row r="713">
      <c r="A713" s="9"/>
      <c r="B713" s="9"/>
    </row>
    <row r="714">
      <c r="A714" s="9"/>
      <c r="B714" s="9"/>
    </row>
    <row r="715">
      <c r="A715" s="9"/>
      <c r="B715" s="9"/>
    </row>
    <row r="716">
      <c r="A716" s="9"/>
      <c r="B716" s="9"/>
    </row>
    <row r="717">
      <c r="A717" s="9"/>
      <c r="B717" s="9"/>
    </row>
    <row r="718">
      <c r="A718" s="9"/>
      <c r="B718" s="9"/>
    </row>
    <row r="719">
      <c r="A719" s="9"/>
      <c r="B719" s="9"/>
    </row>
    <row r="720">
      <c r="A720" s="9"/>
      <c r="B720" s="9"/>
    </row>
    <row r="721">
      <c r="A721" s="9"/>
      <c r="B721" s="9"/>
    </row>
    <row r="722">
      <c r="A722" s="9"/>
      <c r="B722" s="9"/>
    </row>
    <row r="723">
      <c r="A723" s="9"/>
      <c r="B723" s="9"/>
    </row>
    <row r="724">
      <c r="A724" s="9"/>
      <c r="B724" s="9"/>
    </row>
    <row r="725">
      <c r="A725" s="9"/>
      <c r="B725" s="9"/>
    </row>
    <row r="726">
      <c r="A726" s="9"/>
      <c r="B726" s="9"/>
    </row>
    <row r="727">
      <c r="A727" s="9"/>
      <c r="B727" s="9"/>
    </row>
    <row r="728">
      <c r="A728" s="9"/>
      <c r="B728" s="9"/>
    </row>
    <row r="729">
      <c r="A729" s="9"/>
      <c r="B729" s="9"/>
    </row>
    <row r="730">
      <c r="A730" s="9"/>
      <c r="B730" s="9"/>
    </row>
    <row r="731">
      <c r="A731" s="9"/>
      <c r="B731" s="9"/>
    </row>
    <row r="732">
      <c r="A732" s="9"/>
      <c r="B732" s="9"/>
    </row>
    <row r="733">
      <c r="A733" s="9"/>
      <c r="B733" s="9"/>
    </row>
    <row r="734">
      <c r="A734" s="9"/>
      <c r="B734" s="9"/>
    </row>
    <row r="735">
      <c r="A735" s="9"/>
      <c r="B735" s="9"/>
    </row>
    <row r="736">
      <c r="A736" s="9"/>
      <c r="B736" s="9"/>
    </row>
    <row r="737">
      <c r="A737" s="9"/>
      <c r="B737" s="9"/>
    </row>
    <row r="738">
      <c r="A738" s="9"/>
      <c r="B738" s="9"/>
    </row>
    <row r="739">
      <c r="A739" s="9"/>
      <c r="B739" s="9"/>
    </row>
    <row r="740">
      <c r="A740" s="9"/>
      <c r="B740" s="9"/>
    </row>
    <row r="741">
      <c r="A741" s="9"/>
      <c r="B741" s="9"/>
    </row>
    <row r="742">
      <c r="A742" s="9"/>
      <c r="B742" s="9"/>
    </row>
    <row r="743">
      <c r="A743" s="9"/>
      <c r="B743" s="9"/>
    </row>
    <row r="744">
      <c r="A744" s="9"/>
      <c r="B744" s="9"/>
    </row>
    <row r="745">
      <c r="A745" s="9"/>
      <c r="B745" s="9"/>
    </row>
    <row r="746">
      <c r="A746" s="9"/>
      <c r="B746" s="9"/>
    </row>
    <row r="747">
      <c r="A747" s="9"/>
      <c r="B747" s="9"/>
    </row>
    <row r="748">
      <c r="A748" s="9"/>
      <c r="B748" s="9"/>
    </row>
    <row r="749">
      <c r="A749" s="9"/>
      <c r="B749" s="9"/>
    </row>
    <row r="750">
      <c r="A750" s="9"/>
      <c r="B750" s="9"/>
    </row>
    <row r="751">
      <c r="A751" s="9"/>
      <c r="B751" s="9"/>
    </row>
    <row r="752">
      <c r="A752" s="9"/>
      <c r="B752" s="9"/>
    </row>
    <row r="753">
      <c r="A753" s="9"/>
      <c r="B753" s="9"/>
    </row>
    <row r="754">
      <c r="A754" s="9"/>
      <c r="B754" s="9"/>
    </row>
    <row r="755">
      <c r="A755" s="9"/>
      <c r="B755" s="9"/>
    </row>
    <row r="756">
      <c r="A756" s="9"/>
      <c r="B756" s="9"/>
    </row>
    <row r="757">
      <c r="A757" s="9"/>
      <c r="B757" s="9"/>
    </row>
    <row r="758">
      <c r="A758" s="9"/>
      <c r="B758" s="9"/>
    </row>
    <row r="759">
      <c r="A759" s="9"/>
      <c r="B759" s="9"/>
    </row>
    <row r="760">
      <c r="A760" s="9"/>
      <c r="B760" s="9"/>
    </row>
    <row r="761">
      <c r="A761" s="9"/>
      <c r="B761" s="9"/>
    </row>
    <row r="762">
      <c r="A762" s="9"/>
      <c r="B762" s="9"/>
    </row>
    <row r="763">
      <c r="A763" s="9"/>
      <c r="B763" s="9"/>
    </row>
    <row r="764">
      <c r="A764" s="9"/>
      <c r="B764" s="9"/>
    </row>
    <row r="765">
      <c r="A765" s="9"/>
      <c r="B765" s="9"/>
    </row>
    <row r="766">
      <c r="A766" s="9"/>
      <c r="B766" s="9"/>
    </row>
    <row r="767">
      <c r="A767" s="9"/>
      <c r="B767" s="9"/>
    </row>
    <row r="768">
      <c r="A768" s="9"/>
      <c r="B768" s="9"/>
    </row>
    <row r="769">
      <c r="A769" s="9"/>
      <c r="B769" s="9"/>
    </row>
    <row r="770">
      <c r="A770" s="9"/>
      <c r="B770" s="9"/>
    </row>
    <row r="771">
      <c r="A771" s="9"/>
      <c r="B771" s="9"/>
    </row>
    <row r="772">
      <c r="A772" s="9"/>
      <c r="B772" s="9"/>
    </row>
    <row r="773">
      <c r="A773" s="9"/>
      <c r="B773" s="9"/>
    </row>
    <row r="774">
      <c r="A774" s="9"/>
      <c r="B774" s="9"/>
    </row>
    <row r="775">
      <c r="A775" s="9"/>
      <c r="B775" s="9"/>
    </row>
    <row r="776">
      <c r="A776" s="9"/>
      <c r="B776" s="9"/>
    </row>
    <row r="777">
      <c r="A777" s="9"/>
      <c r="B777" s="9"/>
    </row>
    <row r="778">
      <c r="A778" s="9"/>
      <c r="B778" s="9"/>
    </row>
    <row r="779">
      <c r="A779" s="9"/>
      <c r="B779" s="9"/>
    </row>
    <row r="780">
      <c r="A780" s="9"/>
      <c r="B780" s="9"/>
    </row>
    <row r="781">
      <c r="A781" s="9"/>
      <c r="B781" s="9"/>
    </row>
    <row r="782">
      <c r="A782" s="9"/>
      <c r="B782" s="9"/>
    </row>
    <row r="783">
      <c r="A783" s="9"/>
      <c r="B783" s="9"/>
    </row>
    <row r="784">
      <c r="A784" s="9"/>
      <c r="B784" s="9"/>
    </row>
    <row r="785">
      <c r="A785" s="9"/>
      <c r="B785" s="9"/>
    </row>
    <row r="786">
      <c r="A786" s="9"/>
      <c r="B786" s="9"/>
    </row>
    <row r="787">
      <c r="A787" s="9"/>
      <c r="B787" s="9"/>
    </row>
    <row r="788">
      <c r="A788" s="9"/>
      <c r="B788" s="9"/>
    </row>
    <row r="789">
      <c r="A789" s="9"/>
      <c r="B789" s="9"/>
    </row>
    <row r="790">
      <c r="A790" s="9"/>
      <c r="B790" s="9"/>
    </row>
    <row r="791">
      <c r="A791" s="9"/>
      <c r="B791" s="9"/>
    </row>
    <row r="792">
      <c r="A792" s="9"/>
      <c r="B792" s="9"/>
    </row>
    <row r="793">
      <c r="A793" s="9"/>
      <c r="B793" s="9"/>
    </row>
    <row r="794">
      <c r="A794" s="9"/>
      <c r="B794" s="9"/>
    </row>
    <row r="795">
      <c r="A795" s="9"/>
      <c r="B795" s="9"/>
    </row>
    <row r="796">
      <c r="A796" s="9"/>
      <c r="B796" s="9"/>
    </row>
    <row r="797">
      <c r="A797" s="9"/>
      <c r="B797" s="9"/>
    </row>
    <row r="798">
      <c r="A798" s="9"/>
      <c r="B798" s="9"/>
    </row>
    <row r="799">
      <c r="A799" s="9"/>
      <c r="B799" s="9"/>
    </row>
    <row r="800">
      <c r="A800" s="9"/>
      <c r="B800" s="9"/>
    </row>
    <row r="801">
      <c r="A801" s="9"/>
      <c r="B801" s="9"/>
    </row>
    <row r="802">
      <c r="A802" s="9"/>
      <c r="B802" s="9"/>
    </row>
    <row r="803">
      <c r="A803" s="9"/>
      <c r="B803" s="9"/>
    </row>
    <row r="804">
      <c r="A804" s="9"/>
      <c r="B804" s="9"/>
    </row>
    <row r="805">
      <c r="A805" s="9"/>
      <c r="B805" s="9"/>
    </row>
    <row r="806">
      <c r="A806" s="9"/>
      <c r="B806" s="9"/>
    </row>
    <row r="807">
      <c r="A807" s="9"/>
      <c r="B807" s="9"/>
    </row>
    <row r="808">
      <c r="A808" s="9"/>
      <c r="B808" s="9"/>
    </row>
    <row r="809">
      <c r="A809" s="9"/>
      <c r="B809" s="9"/>
    </row>
    <row r="810">
      <c r="A810" s="9"/>
      <c r="B810" s="9"/>
    </row>
    <row r="811">
      <c r="A811" s="9"/>
      <c r="B811" s="9"/>
    </row>
    <row r="812">
      <c r="A812" s="9"/>
      <c r="B812" s="9"/>
    </row>
    <row r="813">
      <c r="A813" s="9"/>
      <c r="B813" s="9"/>
    </row>
    <row r="814">
      <c r="A814" s="9"/>
      <c r="B814" s="9"/>
    </row>
    <row r="815">
      <c r="A815" s="9"/>
      <c r="B815" s="9"/>
    </row>
    <row r="816">
      <c r="A816" s="9"/>
      <c r="B816" s="9"/>
    </row>
    <row r="817">
      <c r="A817" s="9"/>
      <c r="B817" s="9"/>
    </row>
    <row r="818">
      <c r="A818" s="9"/>
      <c r="B818" s="9"/>
    </row>
    <row r="819">
      <c r="A819" s="9"/>
      <c r="B819" s="9"/>
    </row>
    <row r="820">
      <c r="A820" s="9"/>
      <c r="B820" s="9"/>
    </row>
    <row r="821">
      <c r="A821" s="9"/>
      <c r="B821" s="9"/>
    </row>
    <row r="822">
      <c r="A822" s="9"/>
      <c r="B822" s="9"/>
    </row>
    <row r="823">
      <c r="A823" s="9"/>
      <c r="B823" s="9"/>
    </row>
    <row r="824">
      <c r="A824" s="9"/>
      <c r="B824" s="9"/>
    </row>
    <row r="825">
      <c r="A825" s="9"/>
      <c r="B825" s="9"/>
    </row>
    <row r="826">
      <c r="A826" s="9"/>
      <c r="B826" s="9"/>
    </row>
    <row r="827">
      <c r="A827" s="9"/>
      <c r="B827" s="9"/>
    </row>
    <row r="828">
      <c r="A828" s="9"/>
      <c r="B828" s="9"/>
    </row>
    <row r="829">
      <c r="A829" s="9"/>
      <c r="B829" s="9"/>
    </row>
    <row r="830">
      <c r="A830" s="9"/>
      <c r="B830" s="9"/>
    </row>
    <row r="831">
      <c r="A831" s="9"/>
      <c r="B831" s="9"/>
    </row>
    <row r="832">
      <c r="A832" s="9"/>
      <c r="B832" s="9"/>
    </row>
    <row r="833">
      <c r="A833" s="9"/>
      <c r="B833" s="9"/>
    </row>
    <row r="834">
      <c r="A834" s="9"/>
      <c r="B834" s="9"/>
    </row>
    <row r="835">
      <c r="A835" s="9"/>
      <c r="B835" s="9"/>
    </row>
    <row r="836">
      <c r="A836" s="9"/>
      <c r="B836" s="9"/>
    </row>
    <row r="837">
      <c r="A837" s="9"/>
      <c r="B837" s="9"/>
    </row>
    <row r="838">
      <c r="A838" s="9"/>
      <c r="B838" s="9"/>
    </row>
    <row r="839">
      <c r="A839" s="9"/>
      <c r="B839" s="9"/>
    </row>
    <row r="840">
      <c r="A840" s="9"/>
      <c r="B840" s="9"/>
    </row>
    <row r="841">
      <c r="A841" s="9"/>
      <c r="B841" s="9"/>
    </row>
    <row r="842">
      <c r="A842" s="9"/>
      <c r="B842" s="9"/>
    </row>
    <row r="843">
      <c r="A843" s="9"/>
      <c r="B843" s="9"/>
    </row>
    <row r="844">
      <c r="A844" s="9"/>
      <c r="B844" s="9"/>
    </row>
    <row r="845">
      <c r="A845" s="9"/>
      <c r="B845" s="9"/>
    </row>
    <row r="846">
      <c r="A846" s="9"/>
      <c r="B846" s="9"/>
    </row>
    <row r="847">
      <c r="A847" s="9"/>
      <c r="B847" s="9"/>
    </row>
    <row r="848">
      <c r="A848" s="9"/>
      <c r="B848" s="9"/>
    </row>
    <row r="849">
      <c r="A849" s="9"/>
      <c r="B849" s="9"/>
    </row>
    <row r="850">
      <c r="A850" s="9"/>
      <c r="B850" s="9"/>
    </row>
    <row r="851">
      <c r="A851" s="9"/>
      <c r="B851" s="9"/>
    </row>
    <row r="852">
      <c r="A852" s="9"/>
      <c r="B852" s="9"/>
    </row>
    <row r="853">
      <c r="A853" s="9"/>
      <c r="B853" s="9"/>
    </row>
    <row r="854">
      <c r="A854" s="9"/>
      <c r="B854" s="9"/>
    </row>
    <row r="855">
      <c r="A855" s="9"/>
      <c r="B855" s="9"/>
    </row>
    <row r="856">
      <c r="A856" s="9"/>
      <c r="B856" s="9"/>
    </row>
    <row r="857">
      <c r="A857" s="9"/>
      <c r="B857" s="9"/>
    </row>
    <row r="858">
      <c r="A858" s="9"/>
      <c r="B858" s="9"/>
    </row>
    <row r="859">
      <c r="A859" s="9"/>
      <c r="B859" s="9"/>
    </row>
    <row r="860">
      <c r="A860" s="9"/>
      <c r="B860" s="9"/>
    </row>
    <row r="861">
      <c r="A861" s="9"/>
      <c r="B861" s="9"/>
    </row>
    <row r="862">
      <c r="A862" s="9"/>
      <c r="B862" s="9"/>
    </row>
    <row r="863">
      <c r="A863" s="9"/>
      <c r="B863" s="9"/>
    </row>
    <row r="864">
      <c r="A864" s="9"/>
      <c r="B864" s="9"/>
    </row>
    <row r="865">
      <c r="A865" s="9"/>
      <c r="B865" s="9"/>
    </row>
    <row r="866">
      <c r="A866" s="9"/>
      <c r="B866" s="9"/>
    </row>
    <row r="867">
      <c r="A867" s="9"/>
      <c r="B867" s="9"/>
    </row>
    <row r="868">
      <c r="A868" s="9"/>
      <c r="B868" s="9"/>
    </row>
    <row r="869">
      <c r="A869" s="9"/>
      <c r="B869" s="9"/>
    </row>
    <row r="870">
      <c r="A870" s="9"/>
      <c r="B870" s="9"/>
    </row>
    <row r="871">
      <c r="A871" s="9"/>
      <c r="B871" s="9"/>
    </row>
    <row r="872">
      <c r="A872" s="9"/>
      <c r="B872" s="9"/>
    </row>
    <row r="873">
      <c r="A873" s="9"/>
      <c r="B873" s="9"/>
    </row>
    <row r="874">
      <c r="A874" s="9"/>
      <c r="B874" s="9"/>
    </row>
    <row r="875">
      <c r="A875" s="9"/>
      <c r="B875" s="9"/>
    </row>
    <row r="876">
      <c r="A876" s="9"/>
      <c r="B876" s="9"/>
    </row>
    <row r="877">
      <c r="A877" s="9"/>
      <c r="B877" s="9"/>
    </row>
    <row r="878">
      <c r="A878" s="9"/>
      <c r="B878" s="9"/>
    </row>
    <row r="879">
      <c r="A879" s="9"/>
      <c r="B879" s="9"/>
    </row>
    <row r="880">
      <c r="A880" s="9"/>
      <c r="B880" s="9"/>
    </row>
    <row r="881">
      <c r="A881" s="9"/>
      <c r="B881" s="9"/>
    </row>
    <row r="882">
      <c r="A882" s="9"/>
      <c r="B882" s="9"/>
    </row>
    <row r="883">
      <c r="A883" s="9"/>
      <c r="B883" s="9"/>
    </row>
    <row r="884">
      <c r="A884" s="9"/>
      <c r="B884" s="9"/>
    </row>
    <row r="885">
      <c r="A885" s="9"/>
      <c r="B885" s="9"/>
    </row>
    <row r="886">
      <c r="A886" s="9"/>
      <c r="B886" s="9"/>
    </row>
    <row r="887">
      <c r="A887" s="9"/>
      <c r="B887" s="9"/>
    </row>
    <row r="888">
      <c r="A888" s="9"/>
      <c r="B888" s="9"/>
    </row>
    <row r="889">
      <c r="A889" s="9"/>
      <c r="B889" s="9"/>
    </row>
    <row r="890">
      <c r="A890" s="9"/>
      <c r="B890" s="9"/>
    </row>
    <row r="891">
      <c r="A891" s="9"/>
      <c r="B891" s="9"/>
    </row>
    <row r="892">
      <c r="A892" s="9"/>
      <c r="B892" s="9"/>
    </row>
    <row r="893">
      <c r="A893" s="9"/>
      <c r="B893" s="9"/>
    </row>
    <row r="894">
      <c r="A894" s="9"/>
      <c r="B894" s="9"/>
    </row>
    <row r="895">
      <c r="A895" s="9"/>
      <c r="B895" s="9"/>
    </row>
    <row r="896">
      <c r="A896" s="9"/>
      <c r="B896" s="9"/>
    </row>
    <row r="897">
      <c r="A897" s="9"/>
      <c r="B897" s="9"/>
    </row>
    <row r="898">
      <c r="A898" s="9"/>
      <c r="B898" s="9"/>
    </row>
    <row r="899">
      <c r="A899" s="9"/>
      <c r="B899" s="9"/>
    </row>
    <row r="900">
      <c r="A900" s="9"/>
      <c r="B900" s="9"/>
    </row>
    <row r="901">
      <c r="A901" s="9"/>
      <c r="B901" s="9"/>
    </row>
    <row r="902">
      <c r="A902" s="9"/>
      <c r="B902" s="9"/>
    </row>
    <row r="903">
      <c r="A903" s="9"/>
      <c r="B903" s="9"/>
    </row>
    <row r="904">
      <c r="A904" s="9"/>
      <c r="B904" s="9"/>
    </row>
    <row r="905">
      <c r="A905" s="9"/>
      <c r="B905" s="9"/>
    </row>
    <row r="906">
      <c r="A906" s="9"/>
      <c r="B906" s="9"/>
    </row>
    <row r="907">
      <c r="A907" s="9"/>
      <c r="B907" s="9"/>
    </row>
    <row r="908">
      <c r="A908" s="9"/>
      <c r="B908" s="9"/>
    </row>
    <row r="909">
      <c r="A909" s="9"/>
      <c r="B909" s="9"/>
    </row>
    <row r="910">
      <c r="A910" s="9"/>
      <c r="B910" s="9"/>
    </row>
    <row r="911">
      <c r="A911" s="9"/>
      <c r="B911" s="9"/>
    </row>
    <row r="912">
      <c r="A912" s="9"/>
      <c r="B912" s="9"/>
    </row>
    <row r="913">
      <c r="A913" s="9"/>
      <c r="B913" s="9"/>
    </row>
    <row r="914">
      <c r="A914" s="9"/>
      <c r="B914" s="9"/>
    </row>
    <row r="915">
      <c r="A915" s="9"/>
      <c r="B915" s="9"/>
    </row>
    <row r="916">
      <c r="A916" s="9"/>
      <c r="B916" s="9"/>
    </row>
    <row r="917">
      <c r="A917" s="9"/>
      <c r="B917" s="9"/>
    </row>
    <row r="918">
      <c r="A918" s="9"/>
      <c r="B918" s="9"/>
    </row>
    <row r="919">
      <c r="A919" s="9"/>
      <c r="B919" s="9"/>
    </row>
    <row r="920">
      <c r="A920" s="9"/>
      <c r="B920" s="9"/>
    </row>
    <row r="921">
      <c r="A921" s="9"/>
      <c r="B921" s="9"/>
    </row>
    <row r="922">
      <c r="A922" s="9"/>
      <c r="B922" s="9"/>
    </row>
    <row r="923">
      <c r="A923" s="9"/>
      <c r="B923" s="9"/>
    </row>
    <row r="924">
      <c r="A924" s="9"/>
      <c r="B924" s="9"/>
    </row>
    <row r="925">
      <c r="A925" s="9"/>
      <c r="B925" s="9"/>
    </row>
    <row r="926">
      <c r="A926" s="9"/>
      <c r="B926" s="9"/>
    </row>
    <row r="927">
      <c r="A927" s="9"/>
      <c r="B927" s="9"/>
    </row>
    <row r="928">
      <c r="A928" s="9"/>
      <c r="B928" s="9"/>
    </row>
    <row r="929">
      <c r="A929" s="9"/>
      <c r="B929" s="9"/>
    </row>
    <row r="930">
      <c r="A930" s="9"/>
      <c r="B930" s="9"/>
    </row>
    <row r="931">
      <c r="A931" s="9"/>
      <c r="B931" s="9"/>
    </row>
    <row r="932">
      <c r="A932" s="9"/>
      <c r="B932" s="9"/>
    </row>
    <row r="933">
      <c r="A933" s="9"/>
      <c r="B933" s="9"/>
    </row>
    <row r="934">
      <c r="A934" s="9"/>
      <c r="B934" s="9"/>
    </row>
    <row r="935">
      <c r="A935" s="9"/>
      <c r="B935" s="9"/>
    </row>
    <row r="936">
      <c r="A936" s="9"/>
      <c r="B936" s="9"/>
    </row>
    <row r="937">
      <c r="A937" s="9"/>
      <c r="B937" s="9"/>
    </row>
    <row r="938">
      <c r="A938" s="9"/>
      <c r="B938" s="9"/>
    </row>
    <row r="939">
      <c r="A939" s="9"/>
      <c r="B939" s="9"/>
    </row>
    <row r="940">
      <c r="A940" s="9"/>
      <c r="B940" s="9"/>
    </row>
    <row r="941">
      <c r="A941" s="9"/>
      <c r="B941" s="9"/>
    </row>
    <row r="942">
      <c r="A942" s="9"/>
      <c r="B942" s="9"/>
    </row>
    <row r="943">
      <c r="A943" s="9"/>
      <c r="B943" s="9"/>
    </row>
    <row r="944">
      <c r="A944" s="9"/>
      <c r="B944" s="9"/>
    </row>
    <row r="945">
      <c r="A945" s="9"/>
      <c r="B945" s="9"/>
    </row>
    <row r="946">
      <c r="A946" s="9"/>
      <c r="B946" s="9"/>
    </row>
    <row r="947">
      <c r="A947" s="9"/>
      <c r="B947" s="9"/>
    </row>
    <row r="948">
      <c r="A948" s="9"/>
      <c r="B948" s="9"/>
    </row>
    <row r="949">
      <c r="A949" s="9"/>
      <c r="B949" s="9"/>
    </row>
    <row r="950">
      <c r="A950" s="9"/>
      <c r="B950" s="9"/>
    </row>
    <row r="951">
      <c r="A951" s="9"/>
      <c r="B951" s="9"/>
    </row>
    <row r="952">
      <c r="A952" s="9"/>
      <c r="B952" s="9"/>
    </row>
    <row r="953">
      <c r="A953" s="9"/>
      <c r="B953" s="9"/>
    </row>
    <row r="954">
      <c r="A954" s="9"/>
      <c r="B954" s="9"/>
    </row>
    <row r="955">
      <c r="A955" s="9"/>
      <c r="B955" s="9"/>
    </row>
    <row r="956">
      <c r="A956" s="9"/>
      <c r="B956" s="9"/>
    </row>
    <row r="957">
      <c r="A957" s="9"/>
      <c r="B957" s="9"/>
    </row>
    <row r="958">
      <c r="A958" s="9"/>
      <c r="B958" s="9"/>
    </row>
    <row r="959">
      <c r="A959" s="9"/>
      <c r="B959" s="9"/>
    </row>
    <row r="960">
      <c r="A960" s="9"/>
      <c r="B960" s="9"/>
    </row>
    <row r="961">
      <c r="A961" s="9"/>
      <c r="B961" s="9"/>
    </row>
    <row r="962">
      <c r="A962" s="9"/>
      <c r="B962" s="9"/>
    </row>
    <row r="963">
      <c r="A963" s="9"/>
      <c r="B963" s="9"/>
    </row>
    <row r="964">
      <c r="A964" s="9"/>
      <c r="B964" s="9"/>
    </row>
    <row r="965">
      <c r="A965" s="9"/>
      <c r="B965" s="9"/>
    </row>
    <row r="966">
      <c r="A966" s="9"/>
      <c r="B966" s="9"/>
    </row>
    <row r="967">
      <c r="A967" s="9"/>
      <c r="B967" s="9"/>
    </row>
    <row r="968">
      <c r="A968" s="9"/>
      <c r="B968" s="9"/>
    </row>
    <row r="969">
      <c r="A969" s="9"/>
      <c r="B969" s="9"/>
    </row>
    <row r="970">
      <c r="A970" s="9"/>
      <c r="B970" s="9"/>
    </row>
    <row r="971">
      <c r="A971" s="9"/>
      <c r="B971" s="9"/>
    </row>
    <row r="972">
      <c r="A972" s="9"/>
      <c r="B972" s="9"/>
    </row>
    <row r="973">
      <c r="A973" s="9"/>
      <c r="B973" s="9"/>
    </row>
    <row r="974">
      <c r="A974" s="9"/>
      <c r="B974" s="9"/>
    </row>
    <row r="975">
      <c r="A975" s="9"/>
      <c r="B975" s="9"/>
    </row>
    <row r="976">
      <c r="A976" s="9"/>
      <c r="B976" s="9"/>
    </row>
    <row r="977">
      <c r="A977" s="9"/>
      <c r="B977" s="9"/>
    </row>
    <row r="978">
      <c r="A978" s="9"/>
      <c r="B978" s="9"/>
    </row>
    <row r="979">
      <c r="A979" s="9"/>
      <c r="B979" s="9"/>
    </row>
    <row r="980">
      <c r="A980" s="9"/>
      <c r="B980" s="9"/>
    </row>
    <row r="981">
      <c r="A981" s="9"/>
      <c r="B981" s="9"/>
    </row>
  </sheetData>
  <hyperlinks>
    <hyperlink r:id="rId1" ref="A3"/>
  </hyperlinks>
  <drawing r:id="rId2"/>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6.38"/>
    <col customWidth="1" min="2" max="2" width="11.75"/>
    <col customWidth="1" min="3" max="3" width="26.63"/>
    <col customWidth="1" min="4" max="11" width="23.88"/>
  </cols>
  <sheetData>
    <row r="1">
      <c r="A1" s="12" t="str">
        <f>Entities!A1</f>
        <v>CDA.LS.HCP Kernel Translations, Version 24.8, August 30, 2024</v>
      </c>
      <c r="B1" s="3"/>
      <c r="C1" s="3"/>
      <c r="D1" s="2"/>
      <c r="E1" s="2"/>
      <c r="F1" s="3"/>
      <c r="G1" s="3"/>
      <c r="H1" s="4"/>
      <c r="I1" s="4"/>
      <c r="J1" s="4"/>
      <c r="K1" s="4"/>
      <c r="L1" s="4"/>
      <c r="M1" s="4"/>
      <c r="N1" s="4"/>
      <c r="O1" s="4"/>
      <c r="P1" s="4"/>
      <c r="Q1" s="4"/>
      <c r="R1" s="4"/>
      <c r="S1" s="4"/>
      <c r="T1" s="4"/>
      <c r="U1" s="4"/>
      <c r="V1" s="4"/>
      <c r="W1" s="4"/>
      <c r="X1" s="4"/>
      <c r="Y1" s="4"/>
    </row>
    <row r="2">
      <c r="A2" s="5" t="s">
        <v>53</v>
      </c>
      <c r="B2" s="3"/>
      <c r="C2" s="3"/>
      <c r="D2" s="2"/>
      <c r="E2" s="2"/>
      <c r="F2" s="3"/>
      <c r="G2" s="3"/>
      <c r="H2" s="4"/>
      <c r="I2" s="4"/>
      <c r="J2" s="4"/>
      <c r="K2" s="4"/>
      <c r="L2" s="4"/>
      <c r="M2" s="4"/>
      <c r="N2" s="4"/>
      <c r="O2" s="4"/>
      <c r="P2" s="4"/>
      <c r="Q2" s="4"/>
      <c r="R2" s="4"/>
      <c r="S2" s="4"/>
      <c r="T2" s="4"/>
      <c r="U2" s="4"/>
      <c r="V2" s="4"/>
      <c r="W2" s="4"/>
      <c r="X2" s="4"/>
      <c r="Y2" s="4"/>
    </row>
    <row r="3">
      <c r="A3" s="6" t="s">
        <v>26</v>
      </c>
      <c r="B3" s="6" t="s">
        <v>3</v>
      </c>
      <c r="C3" s="6" t="s">
        <v>4</v>
      </c>
      <c r="D3" s="6" t="s">
        <v>5</v>
      </c>
      <c r="E3" s="6" t="s">
        <v>6</v>
      </c>
      <c r="F3" s="6" t="s">
        <v>7</v>
      </c>
      <c r="G3" s="6" t="s">
        <v>8</v>
      </c>
      <c r="H3" s="6" t="s">
        <v>9</v>
      </c>
      <c r="I3" s="6" t="s">
        <v>10</v>
      </c>
      <c r="J3" s="6" t="s">
        <v>11</v>
      </c>
      <c r="K3" s="6"/>
      <c r="L3" s="6"/>
      <c r="M3" s="6"/>
      <c r="N3" s="6"/>
      <c r="O3" s="6"/>
      <c r="P3" s="6"/>
      <c r="Q3" s="6"/>
      <c r="R3" s="6"/>
      <c r="S3" s="6"/>
      <c r="T3" s="6"/>
      <c r="U3" s="6"/>
      <c r="V3" s="6"/>
      <c r="W3" s="6"/>
      <c r="X3" s="18"/>
      <c r="Y3" s="18"/>
      <c r="Z3" s="18"/>
    </row>
    <row r="4">
      <c r="A4" s="8" t="str">
        <f>IFERROR(__xludf.DUMMYFUNCTION("IMPORTRANGE(""https://docs.google.com/spreadsheets/d/1ZIx3-wJv76bPGccT5CZZ4g3Sy52i_iEnaWf6C0L_ST0/edit#gid=832844626"",""Specialty Group Items!A4:A"")"),"Addiction Medicine")</f>
        <v>Addiction Medicine</v>
      </c>
      <c r="B4" s="8" t="str">
        <f>IFERROR(__xludf.DUMMYFUNCTION("IMPORTRANGE(""https://docs.google.com/spreadsheets/d/1ZIx3-wJv76bPGccT5CZZ4g3Sy52i_iEnaWf6C0L_ST0/edit#gid=832844626"",""Specialty Group Items!B4:B"")"),"am")</f>
        <v>am</v>
      </c>
      <c r="C4" s="9" t="str">
        <f>IFERROR(__xludf.DUMMYFUNCTION("GOOGLETRANSLATE($A4,""en"",""de"")"),"Suchtmedizin")</f>
        <v>Suchtmedizin</v>
      </c>
      <c r="D4" s="9" t="str">
        <f>IFERROR(__xludf.DUMMYFUNCTION("GOOGLETRANSLATE($A4,""en"",""fr"")"),"Médecine de la toxicomanie")</f>
        <v>Médecine de la toxicomanie</v>
      </c>
      <c r="E4" s="9" t="str">
        <f>IFERROR(__xludf.DUMMYFUNCTION("GOOGLETRANSLATE($A4,""en"",""es"")"),"Medicina de adicción")</f>
        <v>Medicina de adicción</v>
      </c>
      <c r="F4" s="9" t="str">
        <f>IFERROR(__xludf.DUMMYFUNCTION("GOOGLETRANSLATE($A4,""en"",""it"")"),"Medicina delle dipendenze")</f>
        <v>Medicina delle dipendenze</v>
      </c>
      <c r="G4" s="9" t="str">
        <f>IFERROR(__xludf.DUMMYFUNCTION("GOOGLETRANSLATE($A4,""en"",""zh-cn"")"),"成瘾医学")</f>
        <v>成瘾医学</v>
      </c>
      <c r="H4" s="9" t="str">
        <f>IFERROR(__xludf.DUMMYFUNCTION("GOOGLETRANSLATE($A4,""en"",""ja"")"),"依存症の薬")</f>
        <v>依存症の薬</v>
      </c>
      <c r="I4" s="9" t="str">
        <f>IFERROR(__xludf.DUMMYFUNCTION("GOOGLETRANSLATE($A4,""en"",""ko"")"),"중독 의학")</f>
        <v>중독 의학</v>
      </c>
      <c r="J4" s="9" t="str">
        <f>IFERROR(__xludf.DUMMYFUNCTION("GOOGLETRANSLATE($A4,""en"",""pt-BR"")"),"Remédio para Dependência")</f>
        <v>Remédio para Dependência</v>
      </c>
    </row>
    <row r="5">
      <c r="A5" s="19" t="str">
        <f>IFERROR(__xludf.DUMMYFUNCTION("""COMPUTED_VALUE"""),"Administrative Medicine")</f>
        <v>Administrative Medicine</v>
      </c>
      <c r="B5" s="19" t="str">
        <f>IFERROR(__xludf.DUMMYFUNCTION("""COMPUTED_VALUE"""),"ad")</f>
        <v>ad</v>
      </c>
      <c r="C5" s="9" t="str">
        <f>IFERROR(__xludf.DUMMYFUNCTION("GOOGLETRANSLATE($A5,""en"",""de"")"),"Verwaltungsmedizin")</f>
        <v>Verwaltungsmedizin</v>
      </c>
      <c r="D5" s="9" t="str">
        <f>IFERROR(__xludf.DUMMYFUNCTION("GOOGLETRANSLATE($A5,""en"",""fr"")"),"Médecine administrative")</f>
        <v>Médecine administrative</v>
      </c>
      <c r="E5" s="9" t="str">
        <f>IFERROR(__xludf.DUMMYFUNCTION("GOOGLETRANSLATE($A5,""en"",""es"")"),"Medicina Administrativa")</f>
        <v>Medicina Administrativa</v>
      </c>
      <c r="F5" s="9" t="str">
        <f>IFERROR(__xludf.DUMMYFUNCTION("GOOGLETRANSLATE($A5,""en"",""it"")"),"Medicina Amministrativa")</f>
        <v>Medicina Amministrativa</v>
      </c>
      <c r="G5" s="9" t="str">
        <f>IFERROR(__xludf.DUMMYFUNCTION("GOOGLETRANSLATE($A5,""en"",""zh-cn"")"),"行政医学")</f>
        <v>行政医学</v>
      </c>
      <c r="H5" s="9" t="str">
        <f>IFERROR(__xludf.DUMMYFUNCTION("GOOGLETRANSLATE($A5,""en"",""ja"")"),"管理医学")</f>
        <v>管理医学</v>
      </c>
      <c r="I5" s="9" t="str">
        <f>IFERROR(__xludf.DUMMYFUNCTION("GOOGLETRANSLATE($A5,""en"",""ko"")"),"행정의학")</f>
        <v>행정의학</v>
      </c>
      <c r="J5" s="9" t="str">
        <f>IFERROR(__xludf.DUMMYFUNCTION("GOOGLETRANSLATE($A5,""en"",""pt-BR"")"),"Medicina Administrativa")</f>
        <v>Medicina Administrativa</v>
      </c>
    </row>
    <row r="6">
      <c r="A6" s="19" t="str">
        <f>IFERROR(__xludf.DUMMYFUNCTION("""COMPUTED_VALUE"""),"Alternative Medicine")</f>
        <v>Alternative Medicine</v>
      </c>
      <c r="B6" s="19" t="str">
        <f>IFERROR(__xludf.DUMMYFUNCTION("""COMPUTED_VALUE"""),"al")</f>
        <v>al</v>
      </c>
      <c r="C6" s="9" t="str">
        <f>IFERROR(__xludf.DUMMYFUNCTION("GOOGLETRANSLATE($A6,""en"",""de"")"),"Alternative Medizin")</f>
        <v>Alternative Medizin</v>
      </c>
      <c r="D6" s="9" t="str">
        <f>IFERROR(__xludf.DUMMYFUNCTION("GOOGLETRANSLATE($A6,""en"",""fr"")"),"Médecine alternative")</f>
        <v>Médecine alternative</v>
      </c>
      <c r="E6" s="9" t="str">
        <f>IFERROR(__xludf.DUMMYFUNCTION("GOOGLETRANSLATE($A6,""en"",""es"")"),"Medicina alternativa")</f>
        <v>Medicina alternativa</v>
      </c>
      <c r="F6" s="9" t="str">
        <f>IFERROR(__xludf.DUMMYFUNCTION("GOOGLETRANSLATE($A6,""en"",""it"")"),"Medicina alternativa")</f>
        <v>Medicina alternativa</v>
      </c>
      <c r="G6" s="9" t="str">
        <f>IFERROR(__xludf.DUMMYFUNCTION("GOOGLETRANSLATE($A6,""en"",""zh-cn"")"),"替代医学")</f>
        <v>替代医学</v>
      </c>
      <c r="H6" s="9" t="str">
        <f>IFERROR(__xludf.DUMMYFUNCTION("GOOGLETRANSLATE($A6,""en"",""ja"")"),"代替医療")</f>
        <v>代替医療</v>
      </c>
      <c r="I6" s="9" t="str">
        <f>IFERROR(__xludf.DUMMYFUNCTION("GOOGLETRANSLATE($A6,""en"",""ko"")"),"대체의학")</f>
        <v>대체의학</v>
      </c>
      <c r="J6" s="9" t="str">
        <f>IFERROR(__xludf.DUMMYFUNCTION("GOOGLETRANSLATE($A6,""en"",""pt-BR"")"),"Medicina Alternativa")</f>
        <v>Medicina Alternativa</v>
      </c>
    </row>
    <row r="7">
      <c r="A7" s="28" t="str">
        <f>IFERROR(__xludf.DUMMYFUNCTION("""COMPUTED_VALUE"""),"Anesthesiology")</f>
        <v>Anesthesiology</v>
      </c>
      <c r="B7" s="19" t="str">
        <f>IFERROR(__xludf.DUMMYFUNCTION("""COMPUTED_VALUE"""),"ae")</f>
        <v>ae</v>
      </c>
      <c r="C7" s="9" t="str">
        <f>IFERROR(__xludf.DUMMYFUNCTION("GOOGLETRANSLATE($A7,""en"",""de"")"),"Anästhesiologie")</f>
        <v>Anästhesiologie</v>
      </c>
      <c r="D7" s="9" t="str">
        <f>IFERROR(__xludf.DUMMYFUNCTION("GOOGLETRANSLATE($A7,""en"",""fr"")"),"Anesthésiologie")</f>
        <v>Anesthésiologie</v>
      </c>
      <c r="E7" s="9" t="str">
        <f>IFERROR(__xludf.DUMMYFUNCTION("GOOGLETRANSLATE($A7,""en"",""es"")"),"Anestesiología")</f>
        <v>Anestesiología</v>
      </c>
      <c r="F7" s="9" t="str">
        <f>IFERROR(__xludf.DUMMYFUNCTION("GOOGLETRANSLATE($A7,""en"",""it"")"),"Anestesiologia")</f>
        <v>Anestesiologia</v>
      </c>
      <c r="G7" s="9" t="str">
        <f>IFERROR(__xludf.DUMMYFUNCTION("GOOGLETRANSLATE($A7,""en"",""zh-cn"")"),"麻醉学")</f>
        <v>麻醉学</v>
      </c>
      <c r="H7" s="9" t="str">
        <f>IFERROR(__xludf.DUMMYFUNCTION("GOOGLETRANSLATE($A7,""en"",""ja"")"),"麻酔学")</f>
        <v>麻酔学</v>
      </c>
      <c r="I7" s="9" t="str">
        <f>IFERROR(__xludf.DUMMYFUNCTION("GOOGLETRANSLATE($A7,""en"",""ko"")"),"마취학")</f>
        <v>마취학</v>
      </c>
      <c r="J7" s="9" t="str">
        <f>IFERROR(__xludf.DUMMYFUNCTION("GOOGLETRANSLATE($A7,""en"",""pt-BR"")"),"Anestesiologia")</f>
        <v>Anestesiologia</v>
      </c>
    </row>
    <row r="8">
      <c r="A8" s="19" t="str">
        <f>IFERROR(__xludf.DUMMYFUNCTION("""COMPUTED_VALUE"""),"Cardiology")</f>
        <v>Cardiology</v>
      </c>
      <c r="B8" s="19" t="str">
        <f>IFERROR(__xludf.DUMMYFUNCTION("""COMPUTED_VALUE"""),"cd")</f>
        <v>cd</v>
      </c>
      <c r="C8" s="9" t="str">
        <f>IFERROR(__xludf.DUMMYFUNCTION("GOOGLETRANSLATE($A8,""en"",""de"")"),"Kardiologie")</f>
        <v>Kardiologie</v>
      </c>
      <c r="D8" s="9" t="str">
        <f>IFERROR(__xludf.DUMMYFUNCTION("GOOGLETRANSLATE($A8,""en"",""fr"")"),"Cardiologie")</f>
        <v>Cardiologie</v>
      </c>
      <c r="E8" s="9" t="str">
        <f>IFERROR(__xludf.DUMMYFUNCTION("GOOGLETRANSLATE($A8,""en"",""es"")"),"Cardiología")</f>
        <v>Cardiología</v>
      </c>
      <c r="F8" s="9" t="str">
        <f>IFERROR(__xludf.DUMMYFUNCTION("GOOGLETRANSLATE($A8,""en"",""it"")"),"Cardiologia")</f>
        <v>Cardiologia</v>
      </c>
      <c r="G8" s="9" t="str">
        <f>IFERROR(__xludf.DUMMYFUNCTION("GOOGLETRANSLATE($A8,""en"",""zh-cn"")"),"心脏病学")</f>
        <v>心脏病学</v>
      </c>
      <c r="H8" s="9" t="str">
        <f>IFERROR(__xludf.DUMMYFUNCTION("GOOGLETRANSLATE($A8,""en"",""ja"")"),"心臓病学")</f>
        <v>心臓病学</v>
      </c>
      <c r="I8" s="9" t="str">
        <f>IFERROR(__xludf.DUMMYFUNCTION("GOOGLETRANSLATE($A8,""en"",""ko"")"),"심장학")</f>
        <v>심장학</v>
      </c>
      <c r="J8" s="9" t="str">
        <f>IFERROR(__xludf.DUMMYFUNCTION("GOOGLETRANSLATE($A8,""en"",""pt-BR"")"),"Cardiologia")</f>
        <v>Cardiologia</v>
      </c>
    </row>
    <row r="9">
      <c r="A9" s="28" t="str">
        <f>IFERROR(__xludf.DUMMYFUNCTION("""COMPUTED_VALUE"""),"Dentistry")</f>
        <v>Dentistry</v>
      </c>
      <c r="B9" s="19" t="str">
        <f>IFERROR(__xludf.DUMMYFUNCTION("""COMPUTED_VALUE"""),"dt")</f>
        <v>dt</v>
      </c>
      <c r="C9" s="9" t="str">
        <f>IFERROR(__xludf.DUMMYFUNCTION("GOOGLETRANSLATE($A9,""en"",""de"")"),"Zahnheilkunde")</f>
        <v>Zahnheilkunde</v>
      </c>
      <c r="D9" s="9" t="str">
        <f>IFERROR(__xludf.DUMMYFUNCTION("GOOGLETRANSLATE($A9,""en"",""fr"")"),"Dentisterie")</f>
        <v>Dentisterie</v>
      </c>
      <c r="E9" s="9" t="str">
        <f>IFERROR(__xludf.DUMMYFUNCTION("GOOGLETRANSLATE($A9,""en"",""es"")"),"Odontología")</f>
        <v>Odontología</v>
      </c>
      <c r="F9" s="9" t="str">
        <f>IFERROR(__xludf.DUMMYFUNCTION("GOOGLETRANSLATE($A9,""en"",""it"")"),"Odontoiatria")</f>
        <v>Odontoiatria</v>
      </c>
      <c r="G9" s="9" t="str">
        <f>IFERROR(__xludf.DUMMYFUNCTION("GOOGLETRANSLATE($A9,""en"",""zh-cn"")"),"牙科")</f>
        <v>牙科</v>
      </c>
      <c r="H9" s="9" t="str">
        <f>IFERROR(__xludf.DUMMYFUNCTION("GOOGLETRANSLATE($A9,""en"",""ja"")"),"歯科")</f>
        <v>歯科</v>
      </c>
      <c r="I9" s="9" t="str">
        <f>IFERROR(__xludf.DUMMYFUNCTION("GOOGLETRANSLATE($A9,""en"",""ko"")"),"치과")</f>
        <v>치과</v>
      </c>
      <c r="J9" s="9" t="str">
        <f>IFERROR(__xludf.DUMMYFUNCTION("GOOGLETRANSLATE($A9,""en"",""pt-BR"")"),"Odontologia")</f>
        <v>Odontologia</v>
      </c>
    </row>
    <row r="10">
      <c r="A10" s="28" t="str">
        <f>IFERROR(__xludf.DUMMYFUNCTION("""COMPUTED_VALUE"""),"Dermatology")</f>
        <v>Dermatology</v>
      </c>
      <c r="B10" s="19" t="str">
        <f>IFERROR(__xludf.DUMMYFUNCTION("""COMPUTED_VALUE"""),"dm")</f>
        <v>dm</v>
      </c>
      <c r="C10" s="9" t="str">
        <f>IFERROR(__xludf.DUMMYFUNCTION("GOOGLETRANSLATE($A10,""en"",""de"")"),"Dermatologie")</f>
        <v>Dermatologie</v>
      </c>
      <c r="D10" s="9" t="str">
        <f>IFERROR(__xludf.DUMMYFUNCTION("GOOGLETRANSLATE($A10,""en"",""fr"")"),"Dermatologie")</f>
        <v>Dermatologie</v>
      </c>
      <c r="E10" s="9" t="str">
        <f>IFERROR(__xludf.DUMMYFUNCTION("GOOGLETRANSLATE($A10,""en"",""es"")"),"Dermatología")</f>
        <v>Dermatología</v>
      </c>
      <c r="F10" s="9" t="str">
        <f>IFERROR(__xludf.DUMMYFUNCTION("GOOGLETRANSLATE($A10,""en"",""it"")"),"Dermatologia")</f>
        <v>Dermatologia</v>
      </c>
      <c r="G10" s="9" t="str">
        <f>IFERROR(__xludf.DUMMYFUNCTION("GOOGLETRANSLATE($A10,""en"",""zh-cn"")"),"皮肤科")</f>
        <v>皮肤科</v>
      </c>
      <c r="H10" s="9" t="str">
        <f>IFERROR(__xludf.DUMMYFUNCTION("GOOGLETRANSLATE($A10,""en"",""ja"")"),"皮膚科")</f>
        <v>皮膚科</v>
      </c>
      <c r="I10" s="9" t="str">
        <f>IFERROR(__xludf.DUMMYFUNCTION("GOOGLETRANSLATE($A10,""en"",""ko"")"),"피부과")</f>
        <v>피부과</v>
      </c>
      <c r="J10" s="9" t="str">
        <f>IFERROR(__xludf.DUMMYFUNCTION("GOOGLETRANSLATE($A10,""en"",""pt-BR"")"),"Dermatologia")</f>
        <v>Dermatologia</v>
      </c>
    </row>
    <row r="11">
      <c r="A11" s="28" t="str">
        <f>IFERROR(__xludf.DUMMYFUNCTION("""COMPUTED_VALUE"""),"Emergency Medicine")</f>
        <v>Emergency Medicine</v>
      </c>
      <c r="B11" s="19" t="str">
        <f>IFERROR(__xludf.DUMMYFUNCTION("""COMPUTED_VALUE"""),"em")</f>
        <v>em</v>
      </c>
      <c r="C11" s="9" t="str">
        <f>IFERROR(__xludf.DUMMYFUNCTION("GOOGLETRANSLATE($A11,""en"",""de"")"),"Notfallmedizin")</f>
        <v>Notfallmedizin</v>
      </c>
      <c r="D11" s="9" t="str">
        <f>IFERROR(__xludf.DUMMYFUNCTION("GOOGLETRANSLATE($A11,""en"",""fr"")"),"Médecine d'urgence")</f>
        <v>Médecine d'urgence</v>
      </c>
      <c r="E11" s="9" t="str">
        <f>IFERROR(__xludf.DUMMYFUNCTION("GOOGLETRANSLATE($A11,""en"",""es"")"),"Medicina de emergencia")</f>
        <v>Medicina de emergencia</v>
      </c>
      <c r="F11" s="9" t="str">
        <f>IFERROR(__xludf.DUMMYFUNCTION("GOOGLETRANSLATE($A11,""en"",""it"")"),"Medicina d'urgenza")</f>
        <v>Medicina d'urgenza</v>
      </c>
      <c r="G11" s="9" t="str">
        <f>IFERROR(__xludf.DUMMYFUNCTION("GOOGLETRANSLATE($A11,""en"",""zh-cn"")"),"急诊医学")</f>
        <v>急诊医学</v>
      </c>
      <c r="H11" s="9" t="str">
        <f>IFERROR(__xludf.DUMMYFUNCTION("GOOGLETRANSLATE($A11,""en"",""ja"")"),"救急医療")</f>
        <v>救急医療</v>
      </c>
      <c r="I11" s="9" t="str">
        <f>IFERROR(__xludf.DUMMYFUNCTION("GOOGLETRANSLATE($A11,""en"",""ko"")"),"응급의학")</f>
        <v>응급의학</v>
      </c>
      <c r="J11" s="9" t="str">
        <f>IFERROR(__xludf.DUMMYFUNCTION("GOOGLETRANSLATE($A11,""en"",""pt-BR"")"),"Medicina de Emergência")</f>
        <v>Medicina de Emergência</v>
      </c>
    </row>
    <row r="12">
      <c r="A12" s="19" t="str">
        <f>IFERROR(__xludf.DUMMYFUNCTION("""COMPUTED_VALUE"""),"Endocrinology")</f>
        <v>Endocrinology</v>
      </c>
      <c r="B12" s="19" t="str">
        <f>IFERROR(__xludf.DUMMYFUNCTION("""COMPUTED_VALUE"""),"ed")</f>
        <v>ed</v>
      </c>
      <c r="C12" s="9" t="str">
        <f>IFERROR(__xludf.DUMMYFUNCTION("GOOGLETRANSLATE($A12,""en"",""de"")"),"Endokrinologie")</f>
        <v>Endokrinologie</v>
      </c>
      <c r="D12" s="9" t="str">
        <f>IFERROR(__xludf.DUMMYFUNCTION("GOOGLETRANSLATE($A12,""en"",""fr"")"),"Endocrinologie")</f>
        <v>Endocrinologie</v>
      </c>
      <c r="E12" s="9" t="str">
        <f>IFERROR(__xludf.DUMMYFUNCTION("GOOGLETRANSLATE($A12,""en"",""es"")"),"Endocrinología")</f>
        <v>Endocrinología</v>
      </c>
      <c r="F12" s="9" t="str">
        <f>IFERROR(__xludf.DUMMYFUNCTION("GOOGLETRANSLATE($A12,""en"",""it"")"),"Endocrinologia")</f>
        <v>Endocrinologia</v>
      </c>
      <c r="G12" s="9" t="str">
        <f>IFERROR(__xludf.DUMMYFUNCTION("GOOGLETRANSLATE($A12,""en"",""zh-cn"")"),"内分泌科")</f>
        <v>内分泌科</v>
      </c>
      <c r="H12" s="9" t="str">
        <f>IFERROR(__xludf.DUMMYFUNCTION("GOOGLETRANSLATE($A12,""en"",""ja"")"),"内分泌学")</f>
        <v>内分泌学</v>
      </c>
      <c r="I12" s="9" t="str">
        <f>IFERROR(__xludf.DUMMYFUNCTION("GOOGLETRANSLATE($A12,""en"",""ko"")"),"내분비학")</f>
        <v>내분비학</v>
      </c>
      <c r="J12" s="9" t="str">
        <f>IFERROR(__xludf.DUMMYFUNCTION("GOOGLETRANSLATE($A12,""en"",""pt-BR"")"),"Endocrinologia")</f>
        <v>Endocrinologia</v>
      </c>
    </row>
    <row r="13">
      <c r="A13" s="28" t="str">
        <f>IFERROR(__xludf.DUMMYFUNCTION("""COMPUTED_VALUE"""),"Gastroenterology")</f>
        <v>Gastroenterology</v>
      </c>
      <c r="B13" s="19" t="str">
        <f>IFERROR(__xludf.DUMMYFUNCTION("""COMPUTED_VALUE"""),"ge")</f>
        <v>ge</v>
      </c>
      <c r="C13" s="9" t="str">
        <f>IFERROR(__xludf.DUMMYFUNCTION("GOOGLETRANSLATE($A13,""en"",""de"")"),"Gastroenterologie")</f>
        <v>Gastroenterologie</v>
      </c>
      <c r="D13" s="9" t="str">
        <f>IFERROR(__xludf.DUMMYFUNCTION("GOOGLETRANSLATE($A13,""en"",""fr"")"),"Gastro-entérologie")</f>
        <v>Gastro-entérologie</v>
      </c>
      <c r="E13" s="9" t="str">
        <f>IFERROR(__xludf.DUMMYFUNCTION("GOOGLETRANSLATE($A13,""en"",""es"")"),"Gastroenterología")</f>
        <v>Gastroenterología</v>
      </c>
      <c r="F13" s="9" t="str">
        <f>IFERROR(__xludf.DUMMYFUNCTION("GOOGLETRANSLATE($A13,""en"",""it"")"),"Gastroenterologia")</f>
        <v>Gastroenterologia</v>
      </c>
      <c r="G13" s="9" t="str">
        <f>IFERROR(__xludf.DUMMYFUNCTION("GOOGLETRANSLATE($A13,""en"",""zh-cn"")"),"胃肠病学")</f>
        <v>胃肠病学</v>
      </c>
      <c r="H13" s="9" t="str">
        <f>IFERROR(__xludf.DUMMYFUNCTION("GOOGLETRANSLATE($A13,""en"",""ja"")"),"消化器科")</f>
        <v>消化器科</v>
      </c>
      <c r="I13" s="9" t="str">
        <f>IFERROR(__xludf.DUMMYFUNCTION("GOOGLETRANSLATE($A13,""en"",""ko"")"),"위장병학")</f>
        <v>위장병학</v>
      </c>
      <c r="J13" s="9" t="str">
        <f>IFERROR(__xludf.DUMMYFUNCTION("GOOGLETRANSLATE($A13,""en"",""pt-BR"")"),"Gastroenterologia")</f>
        <v>Gastroenterologia</v>
      </c>
    </row>
    <row r="14">
      <c r="A14" s="19" t="str">
        <f>IFERROR(__xludf.DUMMYFUNCTION("""COMPUTED_VALUE"""),"General Practice")</f>
        <v>General Practice</v>
      </c>
      <c r="B14" s="19" t="str">
        <f>IFERROR(__xludf.DUMMYFUNCTION("""COMPUTED_VALUE"""),"gp")</f>
        <v>gp</v>
      </c>
      <c r="C14" s="9" t="str">
        <f>IFERROR(__xludf.DUMMYFUNCTION("GOOGLETRANSLATE($A14,""en"",""de"")"),"Allgemeinmedizin")</f>
        <v>Allgemeinmedizin</v>
      </c>
      <c r="D14" s="9" t="str">
        <f>IFERROR(__xludf.DUMMYFUNCTION("GOOGLETRANSLATE($A14,""en"",""fr"")"),"Médecine générale")</f>
        <v>Médecine générale</v>
      </c>
      <c r="E14" s="9" t="str">
        <f>IFERROR(__xludf.DUMMYFUNCTION("GOOGLETRANSLATE($A14,""en"",""es"")"),"Práctica general")</f>
        <v>Práctica general</v>
      </c>
      <c r="F14" s="9" t="str">
        <f>IFERROR(__xludf.DUMMYFUNCTION("GOOGLETRANSLATE($A14,""en"",""it"")"),"Pratica generale")</f>
        <v>Pratica generale</v>
      </c>
      <c r="G14" s="9" t="str">
        <f>IFERROR(__xludf.DUMMYFUNCTION("GOOGLETRANSLATE($A14,""en"",""zh-cn"")"),"一般实践")</f>
        <v>一般实践</v>
      </c>
      <c r="H14" s="9" t="str">
        <f>IFERROR(__xludf.DUMMYFUNCTION("GOOGLETRANSLATE($A14,""en"",""ja"")"),"一般診療")</f>
        <v>一般診療</v>
      </c>
      <c r="I14" s="9" t="str">
        <f>IFERROR(__xludf.DUMMYFUNCTION("GOOGLETRANSLATE($A14,""en"",""ko"")"),"일반 실습")</f>
        <v>일반 실습</v>
      </c>
      <c r="J14" s="9" t="str">
        <f>IFERROR(__xludf.DUMMYFUNCTION("GOOGLETRANSLATE($A14,""en"",""pt-BR"")"),"Clínica Geral")</f>
        <v>Clínica Geral</v>
      </c>
    </row>
    <row r="15">
      <c r="A15" s="28" t="str">
        <f>IFERROR(__xludf.DUMMYFUNCTION("""COMPUTED_VALUE"""),"Genetics")</f>
        <v>Genetics</v>
      </c>
      <c r="B15" s="19" t="str">
        <f>IFERROR(__xludf.DUMMYFUNCTION("""COMPUTED_VALUE"""),"gn")</f>
        <v>gn</v>
      </c>
      <c r="C15" s="9" t="str">
        <f>IFERROR(__xludf.DUMMYFUNCTION("GOOGLETRANSLATE($A15,""en"",""de"")"),"Genetik")</f>
        <v>Genetik</v>
      </c>
      <c r="D15" s="9" t="str">
        <f>IFERROR(__xludf.DUMMYFUNCTION("GOOGLETRANSLATE($A15,""en"",""fr"")"),"Génétique")</f>
        <v>Génétique</v>
      </c>
      <c r="E15" s="9" t="str">
        <f>IFERROR(__xludf.DUMMYFUNCTION("GOOGLETRANSLATE($A15,""en"",""es"")"),"Genética")</f>
        <v>Genética</v>
      </c>
      <c r="F15" s="9" t="str">
        <f>IFERROR(__xludf.DUMMYFUNCTION("GOOGLETRANSLATE($A15,""en"",""it"")"),"Genetica")</f>
        <v>Genetica</v>
      </c>
      <c r="G15" s="9" t="str">
        <f>IFERROR(__xludf.DUMMYFUNCTION("GOOGLETRANSLATE($A15,""en"",""zh-cn"")"),"遗传学")</f>
        <v>遗传学</v>
      </c>
      <c r="H15" s="9" t="str">
        <f>IFERROR(__xludf.DUMMYFUNCTION("GOOGLETRANSLATE($A15,""en"",""ja"")"),"遺伝学")</f>
        <v>遺伝学</v>
      </c>
      <c r="I15" s="9" t="str">
        <f>IFERROR(__xludf.DUMMYFUNCTION("GOOGLETRANSLATE($A15,""en"",""ko"")"),"유전학")</f>
        <v>유전학</v>
      </c>
      <c r="J15" s="9" t="str">
        <f>IFERROR(__xludf.DUMMYFUNCTION("GOOGLETRANSLATE($A15,""en"",""pt-BR"")"),"Genética")</f>
        <v>Genética</v>
      </c>
    </row>
    <row r="16">
      <c r="A16" s="28" t="str">
        <f>IFERROR(__xludf.DUMMYFUNCTION("""COMPUTED_VALUE"""),"Geriatrics")</f>
        <v>Geriatrics</v>
      </c>
      <c r="B16" s="19" t="str">
        <f>IFERROR(__xludf.DUMMYFUNCTION("""COMPUTED_VALUE"""),"gr")</f>
        <v>gr</v>
      </c>
      <c r="C16" s="9" t="str">
        <f>IFERROR(__xludf.DUMMYFUNCTION("GOOGLETRANSLATE($A16,""en"",""de"")"),"Geriatrie")</f>
        <v>Geriatrie</v>
      </c>
      <c r="D16" s="9" t="str">
        <f>IFERROR(__xludf.DUMMYFUNCTION("GOOGLETRANSLATE($A16,""en"",""fr"")"),"Gériatrie")</f>
        <v>Gériatrie</v>
      </c>
      <c r="E16" s="9" t="str">
        <f>IFERROR(__xludf.DUMMYFUNCTION("GOOGLETRANSLATE($A16,""en"",""es"")"),"Geriatría")</f>
        <v>Geriatría</v>
      </c>
      <c r="F16" s="9" t="str">
        <f>IFERROR(__xludf.DUMMYFUNCTION("GOOGLETRANSLATE($A16,""en"",""it"")"),"Geriatria")</f>
        <v>Geriatria</v>
      </c>
      <c r="G16" s="9" t="str">
        <f>IFERROR(__xludf.DUMMYFUNCTION("GOOGLETRANSLATE($A16,""en"",""zh-cn"")"),"老年医学")</f>
        <v>老年医学</v>
      </c>
      <c r="H16" s="9" t="str">
        <f>IFERROR(__xludf.DUMMYFUNCTION("GOOGLETRANSLATE($A16,""en"",""ja"")"),"老人医学")</f>
        <v>老人医学</v>
      </c>
      <c r="I16" s="9" t="str">
        <f>IFERROR(__xludf.DUMMYFUNCTION("GOOGLETRANSLATE($A16,""en"",""ko"")"),"노인의학")</f>
        <v>노인의학</v>
      </c>
      <c r="J16" s="9" t="str">
        <f>IFERROR(__xludf.DUMMYFUNCTION("GOOGLETRANSLATE($A16,""en"",""pt-BR"")"),"Geriatria")</f>
        <v>Geriatria</v>
      </c>
    </row>
    <row r="17">
      <c r="A17" s="28" t="str">
        <f>IFERROR(__xludf.DUMMYFUNCTION("""COMPUTED_VALUE"""),"Gynecology")</f>
        <v>Gynecology</v>
      </c>
      <c r="B17" s="19" t="str">
        <f>IFERROR(__xludf.DUMMYFUNCTION("""COMPUTED_VALUE"""),"gy")</f>
        <v>gy</v>
      </c>
      <c r="C17" s="9" t="str">
        <f>IFERROR(__xludf.DUMMYFUNCTION("GOOGLETRANSLATE($A17,""en"",""de"")"),"Gynäkologie")</f>
        <v>Gynäkologie</v>
      </c>
      <c r="D17" s="9" t="str">
        <f>IFERROR(__xludf.DUMMYFUNCTION("GOOGLETRANSLATE($A17,""en"",""fr"")"),"Gynécologie")</f>
        <v>Gynécologie</v>
      </c>
      <c r="E17" s="9" t="str">
        <f>IFERROR(__xludf.DUMMYFUNCTION("GOOGLETRANSLATE($A17,""en"",""es"")"),"Ginecología")</f>
        <v>Ginecología</v>
      </c>
      <c r="F17" s="9" t="str">
        <f>IFERROR(__xludf.DUMMYFUNCTION("GOOGLETRANSLATE($A17,""en"",""it"")"),"Ginecologia")</f>
        <v>Ginecologia</v>
      </c>
      <c r="G17" s="9" t="str">
        <f>IFERROR(__xludf.DUMMYFUNCTION("GOOGLETRANSLATE($A17,""en"",""zh-cn"")"),"妇科")</f>
        <v>妇科</v>
      </c>
      <c r="H17" s="9" t="str">
        <f>IFERROR(__xludf.DUMMYFUNCTION("GOOGLETRANSLATE($A17,""en"",""ja"")"),"婦人科")</f>
        <v>婦人科</v>
      </c>
      <c r="I17" s="9" t="str">
        <f>IFERROR(__xludf.DUMMYFUNCTION("GOOGLETRANSLATE($A17,""en"",""ko"")"),"산부인과")</f>
        <v>산부인과</v>
      </c>
      <c r="J17" s="9" t="str">
        <f>IFERROR(__xludf.DUMMYFUNCTION("GOOGLETRANSLATE($A17,""en"",""pt-BR"")"),"Ginecologia")</f>
        <v>Ginecologia</v>
      </c>
    </row>
    <row r="18">
      <c r="A18" s="28" t="str">
        <f>IFERROR(__xludf.DUMMYFUNCTION("""COMPUTED_VALUE"""),"Hematology")</f>
        <v>Hematology</v>
      </c>
      <c r="B18" s="19" t="str">
        <f>IFERROR(__xludf.DUMMYFUNCTION("""COMPUTED_VALUE"""),"hm")</f>
        <v>hm</v>
      </c>
      <c r="C18" s="9" t="str">
        <f>IFERROR(__xludf.DUMMYFUNCTION("GOOGLETRANSLATE($A18,""en"",""de"")"),"Hämatologie")</f>
        <v>Hämatologie</v>
      </c>
      <c r="D18" s="9" t="str">
        <f>IFERROR(__xludf.DUMMYFUNCTION("GOOGLETRANSLATE($A18,""en"",""fr"")"),"Hématologie")</f>
        <v>Hématologie</v>
      </c>
      <c r="E18" s="9" t="str">
        <f>IFERROR(__xludf.DUMMYFUNCTION("GOOGLETRANSLATE($A18,""en"",""es"")"),"Hematología")</f>
        <v>Hematología</v>
      </c>
      <c r="F18" s="9" t="str">
        <f>IFERROR(__xludf.DUMMYFUNCTION("GOOGLETRANSLATE($A18,""en"",""it"")"),"Ematologia")</f>
        <v>Ematologia</v>
      </c>
      <c r="G18" s="9" t="str">
        <f>IFERROR(__xludf.DUMMYFUNCTION("GOOGLETRANSLATE($A18,""en"",""zh-cn"")"),"血液学")</f>
        <v>血液学</v>
      </c>
      <c r="H18" s="9" t="str">
        <f>IFERROR(__xludf.DUMMYFUNCTION("GOOGLETRANSLATE($A18,""en"",""ja"")"),"血液学")</f>
        <v>血液学</v>
      </c>
      <c r="I18" s="9" t="str">
        <f>IFERROR(__xludf.DUMMYFUNCTION("GOOGLETRANSLATE($A18,""en"",""ko"")"),"혈액학")</f>
        <v>혈액학</v>
      </c>
      <c r="J18" s="9" t="str">
        <f>IFERROR(__xludf.DUMMYFUNCTION("GOOGLETRANSLATE($A18,""en"",""pt-BR"")"),"Hematologia")</f>
        <v>Hematologia</v>
      </c>
    </row>
    <row r="19">
      <c r="A19" s="28" t="str">
        <f>IFERROR(__xludf.DUMMYFUNCTION("""COMPUTED_VALUE"""),"Immunology")</f>
        <v>Immunology</v>
      </c>
      <c r="B19" s="19" t="str">
        <f>IFERROR(__xludf.DUMMYFUNCTION("""COMPUTED_VALUE"""),"iy")</f>
        <v>iy</v>
      </c>
      <c r="C19" s="9" t="str">
        <f>IFERROR(__xludf.DUMMYFUNCTION("GOOGLETRANSLATE($A19,""en"",""de"")"),"Immunologie")</f>
        <v>Immunologie</v>
      </c>
      <c r="D19" s="9" t="str">
        <f>IFERROR(__xludf.DUMMYFUNCTION("GOOGLETRANSLATE($A19,""en"",""fr"")"),"Immunologie")</f>
        <v>Immunologie</v>
      </c>
      <c r="E19" s="9" t="str">
        <f>IFERROR(__xludf.DUMMYFUNCTION("GOOGLETRANSLATE($A19,""en"",""es"")"),"Inmunología")</f>
        <v>Inmunología</v>
      </c>
      <c r="F19" s="9" t="str">
        <f>IFERROR(__xludf.DUMMYFUNCTION("GOOGLETRANSLATE($A19,""en"",""it"")"),"Immunologia")</f>
        <v>Immunologia</v>
      </c>
      <c r="G19" s="9" t="str">
        <f>IFERROR(__xludf.DUMMYFUNCTION("GOOGLETRANSLATE($A19,""en"",""zh-cn"")"),"免疫学")</f>
        <v>免疫学</v>
      </c>
      <c r="H19" s="9" t="str">
        <f>IFERROR(__xludf.DUMMYFUNCTION("GOOGLETRANSLATE($A19,""en"",""ja"")"),"免疫学")</f>
        <v>免疫学</v>
      </c>
      <c r="I19" s="9" t="str">
        <f>IFERROR(__xludf.DUMMYFUNCTION("GOOGLETRANSLATE($A19,""en"",""ko"")"),"면역학")</f>
        <v>면역학</v>
      </c>
      <c r="J19" s="9" t="str">
        <f>IFERROR(__xludf.DUMMYFUNCTION("GOOGLETRANSLATE($A19,""en"",""pt-BR"")"),"Imunologia")</f>
        <v>Imunologia</v>
      </c>
    </row>
    <row r="20">
      <c r="A20" s="28" t="str">
        <f>IFERROR(__xludf.DUMMYFUNCTION("""COMPUTED_VALUE"""),"Infectious Diseases")</f>
        <v>Infectious Diseases</v>
      </c>
      <c r="B20" s="19" t="str">
        <f>IFERROR(__xludf.DUMMYFUNCTION("""COMPUTED_VALUE"""),"id")</f>
        <v>id</v>
      </c>
      <c r="C20" s="9" t="str">
        <f>IFERROR(__xludf.DUMMYFUNCTION("GOOGLETRANSLATE($A20,""en"",""de"")"),"Infektionskrankheiten")</f>
        <v>Infektionskrankheiten</v>
      </c>
      <c r="D20" s="9" t="str">
        <f>IFERROR(__xludf.DUMMYFUNCTION("GOOGLETRANSLATE($A20,""en"",""fr"")"),"Maladies infectieuses")</f>
        <v>Maladies infectieuses</v>
      </c>
      <c r="E20" s="9" t="str">
        <f>IFERROR(__xludf.DUMMYFUNCTION("GOOGLETRANSLATE($A20,""en"",""es"")"),"Enfermedades infecciosas")</f>
        <v>Enfermedades infecciosas</v>
      </c>
      <c r="F20" s="9" t="str">
        <f>IFERROR(__xludf.DUMMYFUNCTION("GOOGLETRANSLATE($A20,""en"",""it"")"),"Malattie infettive")</f>
        <v>Malattie infettive</v>
      </c>
      <c r="G20" s="9" t="str">
        <f>IFERROR(__xludf.DUMMYFUNCTION("GOOGLETRANSLATE($A20,""en"",""zh-cn"")"),"传染病")</f>
        <v>传染病</v>
      </c>
      <c r="H20" s="9" t="str">
        <f>IFERROR(__xludf.DUMMYFUNCTION("GOOGLETRANSLATE($A20,""en"",""ja"")"),"感染症")</f>
        <v>感染症</v>
      </c>
      <c r="I20" s="9" t="str">
        <f>IFERROR(__xludf.DUMMYFUNCTION("GOOGLETRANSLATE($A20,""en"",""ko"")"),"전염병")</f>
        <v>전염병</v>
      </c>
      <c r="J20" s="9" t="str">
        <f>IFERROR(__xludf.DUMMYFUNCTION("GOOGLETRANSLATE($A20,""en"",""pt-BR"")"),"Doenças Infecciosas")</f>
        <v>Doenças Infecciosas</v>
      </c>
    </row>
    <row r="21">
      <c r="A21" s="28" t="str">
        <f>IFERROR(__xludf.DUMMYFUNCTION("""COMPUTED_VALUE"""),"Internal Medicine")</f>
        <v>Internal Medicine</v>
      </c>
      <c r="B21" s="19" t="str">
        <f>IFERROR(__xludf.DUMMYFUNCTION("""COMPUTED_VALUE"""),"im")</f>
        <v>im</v>
      </c>
      <c r="C21" s="9" t="str">
        <f>IFERROR(__xludf.DUMMYFUNCTION("GOOGLETRANSLATE($A21,""en"",""de"")"),"Innere Medizin")</f>
        <v>Innere Medizin</v>
      </c>
      <c r="D21" s="9" t="str">
        <f>IFERROR(__xludf.DUMMYFUNCTION("GOOGLETRANSLATE($A21,""en"",""fr"")"),"Médecine interne")</f>
        <v>Médecine interne</v>
      </c>
      <c r="E21" s="9" t="str">
        <f>IFERROR(__xludf.DUMMYFUNCTION("GOOGLETRANSLATE($A21,""en"",""es"")"),"Medicina interna")</f>
        <v>Medicina interna</v>
      </c>
      <c r="F21" s="9" t="str">
        <f>IFERROR(__xludf.DUMMYFUNCTION("GOOGLETRANSLATE($A21,""en"",""it"")"),"Medicina interna")</f>
        <v>Medicina interna</v>
      </c>
      <c r="G21" s="9" t="str">
        <f>IFERROR(__xludf.DUMMYFUNCTION("GOOGLETRANSLATE($A21,""en"",""zh-cn"")"),"内科")</f>
        <v>内科</v>
      </c>
      <c r="H21" s="9" t="str">
        <f>IFERROR(__xludf.DUMMYFUNCTION("GOOGLETRANSLATE($A21,""en"",""ja"")"),"内科")</f>
        <v>内科</v>
      </c>
      <c r="I21" s="9" t="str">
        <f>IFERROR(__xludf.DUMMYFUNCTION("GOOGLETRANSLATE($A21,""en"",""ko"")"),"내과")</f>
        <v>내과</v>
      </c>
      <c r="J21" s="9" t="str">
        <f>IFERROR(__xludf.DUMMYFUNCTION("GOOGLETRANSLATE($A21,""en"",""pt-BR"")"),"Medicina interna")</f>
        <v>Medicina interna</v>
      </c>
    </row>
    <row r="22">
      <c r="A22" s="28" t="str">
        <f>IFERROR(__xludf.DUMMYFUNCTION("""COMPUTED_VALUE"""),"Nephrology")</f>
        <v>Nephrology</v>
      </c>
      <c r="B22" s="19" t="str">
        <f>IFERROR(__xludf.DUMMYFUNCTION("""COMPUTED_VALUE"""),"np")</f>
        <v>np</v>
      </c>
      <c r="C22" s="9" t="str">
        <f>IFERROR(__xludf.DUMMYFUNCTION("GOOGLETRANSLATE($A22,""en"",""de"")"),"Nephrologie")</f>
        <v>Nephrologie</v>
      </c>
      <c r="D22" s="9" t="str">
        <f>IFERROR(__xludf.DUMMYFUNCTION("GOOGLETRANSLATE($A22,""en"",""fr"")"),"Néphrologie")</f>
        <v>Néphrologie</v>
      </c>
      <c r="E22" s="9" t="str">
        <f>IFERROR(__xludf.DUMMYFUNCTION("GOOGLETRANSLATE($A22,""en"",""es"")"),"Nefrología")</f>
        <v>Nefrología</v>
      </c>
      <c r="F22" s="9" t="str">
        <f>IFERROR(__xludf.DUMMYFUNCTION("GOOGLETRANSLATE($A22,""en"",""it"")"),"Nefrologia")</f>
        <v>Nefrologia</v>
      </c>
      <c r="G22" s="9" t="str">
        <f>IFERROR(__xludf.DUMMYFUNCTION("GOOGLETRANSLATE($A22,""en"",""zh-cn"")"),"肾脏病学")</f>
        <v>肾脏病学</v>
      </c>
      <c r="H22" s="9" t="str">
        <f>IFERROR(__xludf.DUMMYFUNCTION("GOOGLETRANSLATE($A22,""en"",""ja"")"),"腎臓学")</f>
        <v>腎臓学</v>
      </c>
      <c r="I22" s="9" t="str">
        <f>IFERROR(__xludf.DUMMYFUNCTION("GOOGLETRANSLATE($A22,""en"",""ko"")"),"신장학")</f>
        <v>신장학</v>
      </c>
      <c r="J22" s="9" t="str">
        <f>IFERROR(__xludf.DUMMYFUNCTION("GOOGLETRANSLATE($A22,""en"",""pt-BR"")"),"Nefrologia")</f>
        <v>Nefrologia</v>
      </c>
    </row>
    <row r="23">
      <c r="A23" s="19" t="str">
        <f>IFERROR(__xludf.DUMMYFUNCTION("""COMPUTED_VALUE"""),"Neurology")</f>
        <v>Neurology</v>
      </c>
      <c r="B23" s="19" t="str">
        <f>IFERROR(__xludf.DUMMYFUNCTION("""COMPUTED_VALUE"""),"ny")</f>
        <v>ny</v>
      </c>
      <c r="C23" s="9" t="str">
        <f>IFERROR(__xludf.DUMMYFUNCTION("GOOGLETRANSLATE($A23,""en"",""de"")"),"Neurologie")</f>
        <v>Neurologie</v>
      </c>
      <c r="D23" s="9" t="str">
        <f>IFERROR(__xludf.DUMMYFUNCTION("GOOGLETRANSLATE($A23,""en"",""fr"")"),"Neurologie")</f>
        <v>Neurologie</v>
      </c>
      <c r="E23" s="9" t="str">
        <f>IFERROR(__xludf.DUMMYFUNCTION("GOOGLETRANSLATE($A23,""en"",""es"")"),"Neurología")</f>
        <v>Neurología</v>
      </c>
      <c r="F23" s="9" t="str">
        <f>IFERROR(__xludf.DUMMYFUNCTION("GOOGLETRANSLATE($A23,""en"",""it"")"),"Neurologia")</f>
        <v>Neurologia</v>
      </c>
      <c r="G23" s="9" t="str">
        <f>IFERROR(__xludf.DUMMYFUNCTION("GOOGLETRANSLATE($A23,""en"",""zh-cn"")"),"神经病学")</f>
        <v>神经病学</v>
      </c>
      <c r="H23" s="9" t="str">
        <f>IFERROR(__xludf.DUMMYFUNCTION("GOOGLETRANSLATE($A23,""en"",""ja"")"),"神経内科")</f>
        <v>神経内科</v>
      </c>
      <c r="I23" s="9" t="str">
        <f>IFERROR(__xludf.DUMMYFUNCTION("GOOGLETRANSLATE($A23,""en"",""ko"")"),"신경학")</f>
        <v>신경학</v>
      </c>
      <c r="J23" s="9" t="str">
        <f>IFERROR(__xludf.DUMMYFUNCTION("GOOGLETRANSLATE($A23,""en"",""pt-BR"")"),"Neurologia")</f>
        <v>Neurologia</v>
      </c>
    </row>
    <row r="24">
      <c r="A24" s="28" t="str">
        <f>IFERROR(__xludf.DUMMYFUNCTION("""COMPUTED_VALUE"""),"Nursing")</f>
        <v>Nursing</v>
      </c>
      <c r="B24" s="19" t="str">
        <f>IFERROR(__xludf.DUMMYFUNCTION("""COMPUTED_VALUE"""),"nu")</f>
        <v>nu</v>
      </c>
      <c r="C24" s="9" t="str">
        <f>IFERROR(__xludf.DUMMYFUNCTION("GOOGLETRANSLATE($A24,""en"",""de"")"),"Pflege")</f>
        <v>Pflege</v>
      </c>
      <c r="D24" s="9" t="str">
        <f>IFERROR(__xludf.DUMMYFUNCTION("GOOGLETRANSLATE($A24,""en"",""fr"")"),"Allaitement")</f>
        <v>Allaitement</v>
      </c>
      <c r="E24" s="9" t="str">
        <f>IFERROR(__xludf.DUMMYFUNCTION("GOOGLETRANSLATE($A24,""en"",""es"")"),"Enfermería")</f>
        <v>Enfermería</v>
      </c>
      <c r="F24" s="9" t="str">
        <f>IFERROR(__xludf.DUMMYFUNCTION("GOOGLETRANSLATE($A24,""en"",""it"")"),"Assistenza infermieristica")</f>
        <v>Assistenza infermieristica</v>
      </c>
      <c r="G24" s="9" t="str">
        <f>IFERROR(__xludf.DUMMYFUNCTION("GOOGLETRANSLATE($A24,""en"",""zh-cn"")"),"护理")</f>
        <v>护理</v>
      </c>
      <c r="H24" s="9" t="str">
        <f>IFERROR(__xludf.DUMMYFUNCTION("GOOGLETRANSLATE($A24,""en"",""ja"")"),"看護")</f>
        <v>看護</v>
      </c>
      <c r="I24" s="9" t="str">
        <f>IFERROR(__xludf.DUMMYFUNCTION("GOOGLETRANSLATE($A24,""en"",""ko"")"),"육아")</f>
        <v>육아</v>
      </c>
      <c r="J24" s="9" t="str">
        <f>IFERROR(__xludf.DUMMYFUNCTION("GOOGLETRANSLATE($A24,""en"",""pt-BR"")"),"Enfermagem")</f>
        <v>Enfermagem</v>
      </c>
    </row>
    <row r="25">
      <c r="A25" s="19" t="str">
        <f>IFERROR(__xludf.DUMMYFUNCTION("""COMPUTED_VALUE"""),"Oncology")</f>
        <v>Oncology</v>
      </c>
      <c r="B25" s="19" t="str">
        <f>IFERROR(__xludf.DUMMYFUNCTION("""COMPUTED_VALUE"""),"on")</f>
        <v>on</v>
      </c>
      <c r="C25" s="9" t="str">
        <f>IFERROR(__xludf.DUMMYFUNCTION("GOOGLETRANSLATE($A25,""en"",""de"")"),"Onkologie")</f>
        <v>Onkologie</v>
      </c>
      <c r="D25" s="9" t="str">
        <f>IFERROR(__xludf.DUMMYFUNCTION("GOOGLETRANSLATE($A25,""en"",""fr"")"),"Oncologie")</f>
        <v>Oncologie</v>
      </c>
      <c r="E25" s="9" t="str">
        <f>IFERROR(__xludf.DUMMYFUNCTION("GOOGLETRANSLATE($A25,""en"",""es"")"),"Oncología")</f>
        <v>Oncología</v>
      </c>
      <c r="F25" s="9" t="str">
        <f>IFERROR(__xludf.DUMMYFUNCTION("GOOGLETRANSLATE($A25,""en"",""it"")"),"Oncologia")</f>
        <v>Oncologia</v>
      </c>
      <c r="G25" s="9" t="str">
        <f>IFERROR(__xludf.DUMMYFUNCTION("GOOGLETRANSLATE($A25,""en"",""zh-cn"")"),"肿瘤学")</f>
        <v>肿瘤学</v>
      </c>
      <c r="H25" s="9" t="str">
        <f>IFERROR(__xludf.DUMMYFUNCTION("GOOGLETRANSLATE($A25,""en"",""ja"")"),"腫瘍学")</f>
        <v>腫瘍学</v>
      </c>
      <c r="I25" s="9" t="str">
        <f>IFERROR(__xludf.DUMMYFUNCTION("GOOGLETRANSLATE($A25,""en"",""ko"")"),"종양학")</f>
        <v>종양학</v>
      </c>
      <c r="J25" s="9" t="str">
        <f>IFERROR(__xludf.DUMMYFUNCTION("GOOGLETRANSLATE($A25,""en"",""pt-BR"")"),"Oncologia")</f>
        <v>Oncologia</v>
      </c>
    </row>
    <row r="26">
      <c r="A26" s="29" t="str">
        <f>IFERROR(__xludf.DUMMYFUNCTION("""COMPUTED_VALUE"""),"Ophthalmology")</f>
        <v>Ophthalmology</v>
      </c>
      <c r="B26" s="19" t="str">
        <f>IFERROR(__xludf.DUMMYFUNCTION("""COMPUTED_VALUE"""),"oh")</f>
        <v>oh</v>
      </c>
      <c r="C26" s="9" t="str">
        <f>IFERROR(__xludf.DUMMYFUNCTION("GOOGLETRANSLATE($A26,""en"",""de"")"),"Augenheilkunde")</f>
        <v>Augenheilkunde</v>
      </c>
      <c r="D26" s="9" t="str">
        <f>IFERROR(__xludf.DUMMYFUNCTION("GOOGLETRANSLATE($A26,""en"",""fr"")"),"Ophtalmologie")</f>
        <v>Ophtalmologie</v>
      </c>
      <c r="E26" s="9" t="str">
        <f>IFERROR(__xludf.DUMMYFUNCTION("GOOGLETRANSLATE($A26,""en"",""es"")"),"Oftalmología")</f>
        <v>Oftalmología</v>
      </c>
      <c r="F26" s="9" t="str">
        <f>IFERROR(__xludf.DUMMYFUNCTION("GOOGLETRANSLATE($A26,""en"",""it"")"),"Oftalmologia")</f>
        <v>Oftalmologia</v>
      </c>
      <c r="G26" s="9" t="str">
        <f>IFERROR(__xludf.DUMMYFUNCTION("GOOGLETRANSLATE($A26,""en"",""zh-cn"")"),"眼科")</f>
        <v>眼科</v>
      </c>
      <c r="H26" s="9" t="str">
        <f>IFERROR(__xludf.DUMMYFUNCTION("GOOGLETRANSLATE($A26,""en"",""ja"")"),"眼科")</f>
        <v>眼科</v>
      </c>
      <c r="I26" s="9" t="str">
        <f>IFERROR(__xludf.DUMMYFUNCTION("GOOGLETRANSLATE($A26,""en"",""ko"")"),"안과학")</f>
        <v>안과학</v>
      </c>
      <c r="J26" s="9" t="str">
        <f>IFERROR(__xludf.DUMMYFUNCTION("GOOGLETRANSLATE($A26,""en"",""pt-BR"")"),"Oftalmologia")</f>
        <v>Oftalmologia</v>
      </c>
    </row>
    <row r="27">
      <c r="A27" s="19" t="str">
        <f>IFERROR(__xludf.DUMMYFUNCTION("""COMPUTED_VALUE"""),"Otolaryngology")</f>
        <v>Otolaryngology</v>
      </c>
      <c r="B27" s="19" t="str">
        <f>IFERROR(__xludf.DUMMYFUNCTION("""COMPUTED_VALUE"""),"ot")</f>
        <v>ot</v>
      </c>
      <c r="C27" s="9" t="str">
        <f>IFERROR(__xludf.DUMMYFUNCTION("GOOGLETRANSLATE($A27,""en"",""de"")"),"HNO-Heilkunde")</f>
        <v>HNO-Heilkunde</v>
      </c>
      <c r="D27" s="9" t="str">
        <f>IFERROR(__xludf.DUMMYFUNCTION("GOOGLETRANSLATE($A27,""en"",""fr"")"),"Otolaryngologie")</f>
        <v>Otolaryngologie</v>
      </c>
      <c r="E27" s="9" t="str">
        <f>IFERROR(__xludf.DUMMYFUNCTION("GOOGLETRANSLATE($A27,""en"",""es"")"),"Otorrinolaringología")</f>
        <v>Otorrinolaringología</v>
      </c>
      <c r="F27" s="9" t="str">
        <f>IFERROR(__xludf.DUMMYFUNCTION("GOOGLETRANSLATE($A27,""en"",""it"")"),"Otorinolaringoiatria")</f>
        <v>Otorinolaringoiatria</v>
      </c>
      <c r="G27" s="9" t="str">
        <f>IFERROR(__xludf.DUMMYFUNCTION("GOOGLETRANSLATE($A27,""en"",""zh-cn"")"),"耳鼻喉科")</f>
        <v>耳鼻喉科</v>
      </c>
      <c r="H27" s="9" t="str">
        <f>IFERROR(__xludf.DUMMYFUNCTION("GOOGLETRANSLATE($A27,""en"",""ja"")"),"耳鼻科")</f>
        <v>耳鼻科</v>
      </c>
      <c r="I27" s="9" t="str">
        <f>IFERROR(__xludf.DUMMYFUNCTION("GOOGLETRANSLATE($A27,""en"",""ko"")"),"이비인후과")</f>
        <v>이비인후과</v>
      </c>
      <c r="J27" s="9" t="str">
        <f>IFERROR(__xludf.DUMMYFUNCTION("GOOGLETRANSLATE($A27,""en"",""pt-BR"")"),"Otorrinolaringologia")</f>
        <v>Otorrinolaringologia</v>
      </c>
    </row>
    <row r="28">
      <c r="A28" s="28" t="str">
        <f>IFERROR(__xludf.DUMMYFUNCTION("""COMPUTED_VALUE"""),"Pain Medicine")</f>
        <v>Pain Medicine</v>
      </c>
      <c r="B28" s="19" t="str">
        <f>IFERROR(__xludf.DUMMYFUNCTION("""COMPUTED_VALUE"""),"pn")</f>
        <v>pn</v>
      </c>
      <c r="C28" s="9" t="str">
        <f>IFERROR(__xludf.DUMMYFUNCTION("GOOGLETRANSLATE($A28,""en"",""de"")"),"Schmerzmedizin")</f>
        <v>Schmerzmedizin</v>
      </c>
      <c r="D28" s="9" t="str">
        <f>IFERROR(__xludf.DUMMYFUNCTION("GOOGLETRANSLATE($A28,""en"",""fr"")"),"Médecine de la douleur")</f>
        <v>Médecine de la douleur</v>
      </c>
      <c r="E28" s="9" t="str">
        <f>IFERROR(__xludf.DUMMYFUNCTION("GOOGLETRANSLATE($A28,""en"",""es"")"),"Medicina para el dolor")</f>
        <v>Medicina para el dolor</v>
      </c>
      <c r="F28" s="9" t="str">
        <f>IFERROR(__xludf.DUMMYFUNCTION("GOOGLETRANSLATE($A28,""en"",""it"")"),"Medicina del dolore")</f>
        <v>Medicina del dolore</v>
      </c>
      <c r="G28" s="9" t="str">
        <f>IFERROR(__xludf.DUMMYFUNCTION("GOOGLETRANSLATE($A28,""en"",""zh-cn"")"),"止痛药")</f>
        <v>止痛药</v>
      </c>
      <c r="H28" s="9" t="str">
        <f>IFERROR(__xludf.DUMMYFUNCTION("GOOGLETRANSLATE($A28,""en"",""ja"")"),"鎮痛剤")</f>
        <v>鎮痛剤</v>
      </c>
      <c r="I28" s="9" t="str">
        <f>IFERROR(__xludf.DUMMYFUNCTION("GOOGLETRANSLATE($A28,""en"",""ko"")"),"통증의학")</f>
        <v>통증의학</v>
      </c>
      <c r="J28" s="9" t="str">
        <f>IFERROR(__xludf.DUMMYFUNCTION("GOOGLETRANSLATE($A28,""en"",""pt-BR"")"),"Remédio para dor")</f>
        <v>Remédio para dor</v>
      </c>
    </row>
    <row r="29">
      <c r="A29" s="28" t="str">
        <f>IFERROR(__xludf.DUMMYFUNCTION("""COMPUTED_VALUE"""),"Palliative Medicine")</f>
        <v>Palliative Medicine</v>
      </c>
      <c r="B29" s="19" t="str">
        <f>IFERROR(__xludf.DUMMYFUNCTION("""COMPUTED_VALUE"""),"pv")</f>
        <v>pv</v>
      </c>
      <c r="C29" s="9" t="str">
        <f>IFERROR(__xludf.DUMMYFUNCTION("GOOGLETRANSLATE($A29,""en"",""de"")"),"Palliativmedizin")</f>
        <v>Palliativmedizin</v>
      </c>
      <c r="D29" s="9" t="str">
        <f>IFERROR(__xludf.DUMMYFUNCTION("GOOGLETRANSLATE($A29,""en"",""fr"")"),"Médecine palliative")</f>
        <v>Médecine palliative</v>
      </c>
      <c r="E29" s="9" t="str">
        <f>IFERROR(__xludf.DUMMYFUNCTION("GOOGLETRANSLATE($A29,""en"",""es"")"),"Medicina paliativa")</f>
        <v>Medicina paliativa</v>
      </c>
      <c r="F29" s="9" t="str">
        <f>IFERROR(__xludf.DUMMYFUNCTION("GOOGLETRANSLATE($A29,""en"",""it"")"),"Medicina palliativa")</f>
        <v>Medicina palliativa</v>
      </c>
      <c r="G29" s="9" t="str">
        <f>IFERROR(__xludf.DUMMYFUNCTION("GOOGLETRANSLATE($A29,""en"",""zh-cn"")"),"姑息医学")</f>
        <v>姑息医学</v>
      </c>
      <c r="H29" s="9" t="str">
        <f>IFERROR(__xludf.DUMMYFUNCTION("GOOGLETRANSLATE($A29,""en"",""ja"")"),"緩和医療")</f>
        <v>緩和医療</v>
      </c>
      <c r="I29" s="9" t="str">
        <f>IFERROR(__xludf.DUMMYFUNCTION("GOOGLETRANSLATE($A29,""en"",""ko"")"),"완화의학")</f>
        <v>완화의학</v>
      </c>
      <c r="J29" s="9" t="str">
        <f>IFERROR(__xludf.DUMMYFUNCTION("GOOGLETRANSLATE($A29,""en"",""pt-BR"")"),"Medicina Paliativa")</f>
        <v>Medicina Paliativa</v>
      </c>
    </row>
    <row r="30">
      <c r="A30" s="28" t="str">
        <f>IFERROR(__xludf.DUMMYFUNCTION("""COMPUTED_VALUE"""),"Pathology")</f>
        <v>Pathology</v>
      </c>
      <c r="B30" s="19" t="str">
        <f>IFERROR(__xludf.DUMMYFUNCTION("""COMPUTED_VALUE"""),"pt")</f>
        <v>pt</v>
      </c>
      <c r="C30" s="9" t="str">
        <f>IFERROR(__xludf.DUMMYFUNCTION("GOOGLETRANSLATE($A30,""en"",""de"")"),"Pathologie")</f>
        <v>Pathologie</v>
      </c>
      <c r="D30" s="9" t="str">
        <f>IFERROR(__xludf.DUMMYFUNCTION("GOOGLETRANSLATE($A30,""en"",""fr"")"),"Pathologie")</f>
        <v>Pathologie</v>
      </c>
      <c r="E30" s="9" t="str">
        <f>IFERROR(__xludf.DUMMYFUNCTION("GOOGLETRANSLATE($A30,""en"",""es"")"),"Patología")</f>
        <v>Patología</v>
      </c>
      <c r="F30" s="9" t="str">
        <f>IFERROR(__xludf.DUMMYFUNCTION("GOOGLETRANSLATE($A30,""en"",""it"")"),"Patologia")</f>
        <v>Patologia</v>
      </c>
      <c r="G30" s="9" t="str">
        <f>IFERROR(__xludf.DUMMYFUNCTION("GOOGLETRANSLATE($A30,""en"",""zh-cn"")"),"病理")</f>
        <v>病理</v>
      </c>
      <c r="H30" s="9" t="str">
        <f>IFERROR(__xludf.DUMMYFUNCTION("GOOGLETRANSLATE($A30,""en"",""ja"")"),"病理学")</f>
        <v>病理学</v>
      </c>
      <c r="I30" s="9" t="str">
        <f>IFERROR(__xludf.DUMMYFUNCTION("GOOGLETRANSLATE($A30,""en"",""ko"")"),"병리학")</f>
        <v>병리학</v>
      </c>
      <c r="J30" s="9" t="str">
        <f>IFERROR(__xludf.DUMMYFUNCTION("GOOGLETRANSLATE($A30,""en"",""pt-BR"")"),"Patologia")</f>
        <v>Patologia</v>
      </c>
    </row>
    <row r="31">
      <c r="A31" s="28" t="str">
        <f>IFERROR(__xludf.DUMMYFUNCTION("""COMPUTED_VALUE"""),"Pediatrics")</f>
        <v>Pediatrics</v>
      </c>
      <c r="B31" s="19" t="str">
        <f>IFERROR(__xludf.DUMMYFUNCTION("""COMPUTED_VALUE"""),"pd")</f>
        <v>pd</v>
      </c>
      <c r="C31" s="9" t="str">
        <f>IFERROR(__xludf.DUMMYFUNCTION("GOOGLETRANSLATE($A31,""en"",""de"")"),"Pädiatrie")</f>
        <v>Pädiatrie</v>
      </c>
      <c r="D31" s="9" t="str">
        <f>IFERROR(__xludf.DUMMYFUNCTION("GOOGLETRANSLATE($A31,""en"",""fr"")"),"Pédiatrie")</f>
        <v>Pédiatrie</v>
      </c>
      <c r="E31" s="9" t="str">
        <f>IFERROR(__xludf.DUMMYFUNCTION("GOOGLETRANSLATE($A31,""en"",""es"")"),"Pediatría")</f>
        <v>Pediatría</v>
      </c>
      <c r="F31" s="9" t="str">
        <f>IFERROR(__xludf.DUMMYFUNCTION("GOOGLETRANSLATE($A31,""en"",""it"")"),"Pediatria")</f>
        <v>Pediatria</v>
      </c>
      <c r="G31" s="9" t="str">
        <f>IFERROR(__xludf.DUMMYFUNCTION("GOOGLETRANSLATE($A31,""en"",""zh-cn"")"),"儿科")</f>
        <v>儿科</v>
      </c>
      <c r="H31" s="9" t="str">
        <f>IFERROR(__xludf.DUMMYFUNCTION("GOOGLETRANSLATE($A31,""en"",""ja"")"),"小児科")</f>
        <v>小児科</v>
      </c>
      <c r="I31" s="9" t="str">
        <f>IFERROR(__xludf.DUMMYFUNCTION("GOOGLETRANSLATE($A31,""en"",""ko"")"),"소아과")</f>
        <v>소아과</v>
      </c>
      <c r="J31" s="9" t="str">
        <f>IFERROR(__xludf.DUMMYFUNCTION("GOOGLETRANSLATE($A31,""en"",""pt-BR"")"),"Pediatria")</f>
        <v>Pediatria</v>
      </c>
    </row>
    <row r="32">
      <c r="A32" s="19" t="str">
        <f>IFERROR(__xludf.DUMMYFUNCTION("""COMPUTED_VALUE"""),"Pharmacology")</f>
        <v>Pharmacology</v>
      </c>
      <c r="B32" s="19" t="str">
        <f>IFERROR(__xludf.DUMMYFUNCTION("""COMPUTED_VALUE"""),"ph")</f>
        <v>ph</v>
      </c>
      <c r="C32" s="9" t="str">
        <f>IFERROR(__xludf.DUMMYFUNCTION("GOOGLETRANSLATE($A32,""en"",""de"")"),"Pharmakologie")</f>
        <v>Pharmakologie</v>
      </c>
      <c r="D32" s="9" t="str">
        <f>IFERROR(__xludf.DUMMYFUNCTION("GOOGLETRANSLATE($A32,""en"",""fr"")"),"Pharmacologie")</f>
        <v>Pharmacologie</v>
      </c>
      <c r="E32" s="9" t="str">
        <f>IFERROR(__xludf.DUMMYFUNCTION("GOOGLETRANSLATE($A32,""en"",""es"")"),"Farmacología")</f>
        <v>Farmacología</v>
      </c>
      <c r="F32" s="9" t="str">
        <f>IFERROR(__xludf.DUMMYFUNCTION("GOOGLETRANSLATE($A32,""en"",""it"")"),"Farmacologia")</f>
        <v>Farmacologia</v>
      </c>
      <c r="G32" s="9" t="str">
        <f>IFERROR(__xludf.DUMMYFUNCTION("GOOGLETRANSLATE($A32,""en"",""zh-cn"")"),"药理")</f>
        <v>药理</v>
      </c>
      <c r="H32" s="9" t="str">
        <f>IFERROR(__xludf.DUMMYFUNCTION("GOOGLETRANSLATE($A32,""en"",""ja"")"),"薬理学")</f>
        <v>薬理学</v>
      </c>
      <c r="I32" s="9" t="str">
        <f>IFERROR(__xludf.DUMMYFUNCTION("GOOGLETRANSLATE($A32,""en"",""ko"")"),"약리학")</f>
        <v>약리학</v>
      </c>
      <c r="J32" s="9" t="str">
        <f>IFERROR(__xludf.DUMMYFUNCTION("GOOGLETRANSLATE($A32,""en"",""pt-BR"")"),"Farmacologia")</f>
        <v>Farmacologia</v>
      </c>
    </row>
    <row r="33">
      <c r="A33" s="19" t="str">
        <f>IFERROR(__xludf.DUMMYFUNCTION("""COMPUTED_VALUE"""),"Pharmacy Specialty")</f>
        <v>Pharmacy Specialty</v>
      </c>
      <c r="B33" s="19" t="str">
        <f>IFERROR(__xludf.DUMMYFUNCTION("""COMPUTED_VALUE"""),"pc")</f>
        <v>pc</v>
      </c>
      <c r="C33" s="9" t="str">
        <f>IFERROR(__xludf.DUMMYFUNCTION("GOOGLETRANSLATE($A33,""en"",""de"")"),"Spezialgebiet der Apotheke")</f>
        <v>Spezialgebiet der Apotheke</v>
      </c>
      <c r="D33" s="9" t="str">
        <f>IFERROR(__xludf.DUMMYFUNCTION("GOOGLETRANSLATE($A33,""en"",""fr"")"),"Spécialité Pharmacie")</f>
        <v>Spécialité Pharmacie</v>
      </c>
      <c r="E33" s="9" t="str">
        <f>IFERROR(__xludf.DUMMYFUNCTION("GOOGLETRANSLATE($A33,""en"",""es"")"),"Especialidad de Farmacia")</f>
        <v>Especialidad de Farmacia</v>
      </c>
      <c r="F33" s="9" t="str">
        <f>IFERROR(__xludf.DUMMYFUNCTION("GOOGLETRANSLATE($A33,""en"",""it"")"),"Specialità della farmacia")</f>
        <v>Specialità della farmacia</v>
      </c>
      <c r="G33" s="9" t="str">
        <f>IFERROR(__xludf.DUMMYFUNCTION("GOOGLETRANSLATE($A33,""en"",""zh-cn"")"),"药学专业")</f>
        <v>药学专业</v>
      </c>
      <c r="H33" s="9" t="str">
        <f>IFERROR(__xludf.DUMMYFUNCTION("GOOGLETRANSLATE($A33,""en"",""ja"")"),"薬局専門")</f>
        <v>薬局専門</v>
      </c>
      <c r="I33" s="9" t="str">
        <f>IFERROR(__xludf.DUMMYFUNCTION("GOOGLETRANSLATE($A33,""en"",""ko"")"),"약국 전문")</f>
        <v>약국 전문</v>
      </c>
      <c r="J33" s="9" t="str">
        <f>IFERROR(__xludf.DUMMYFUNCTION("GOOGLETRANSLATE($A33,""en"",""pt-BR"")"),"Especialidade em Farmácia")</f>
        <v>Especialidade em Farmácia</v>
      </c>
    </row>
    <row r="34">
      <c r="A34" s="28" t="str">
        <f>IFERROR(__xludf.DUMMYFUNCTION("""COMPUTED_VALUE"""),"Preventive Medicine")</f>
        <v>Preventive Medicine</v>
      </c>
      <c r="B34" s="19" t="str">
        <f>IFERROR(__xludf.DUMMYFUNCTION("""COMPUTED_VALUE"""),"pm")</f>
        <v>pm</v>
      </c>
      <c r="C34" s="9" t="str">
        <f>IFERROR(__xludf.DUMMYFUNCTION("GOOGLETRANSLATE($A34,""en"",""de"")"),"Präventive Medizin")</f>
        <v>Präventive Medizin</v>
      </c>
      <c r="D34" s="9" t="str">
        <f>IFERROR(__xludf.DUMMYFUNCTION("GOOGLETRANSLATE($A34,""en"",""fr"")"),"Médecine préventive")</f>
        <v>Médecine préventive</v>
      </c>
      <c r="E34" s="9" t="str">
        <f>IFERROR(__xludf.DUMMYFUNCTION("GOOGLETRANSLATE($A34,""en"",""es"")"),"Medicina preventiva")</f>
        <v>Medicina preventiva</v>
      </c>
      <c r="F34" s="9" t="str">
        <f>IFERROR(__xludf.DUMMYFUNCTION("GOOGLETRANSLATE($A34,""en"",""it"")"),"Medicina preventiva")</f>
        <v>Medicina preventiva</v>
      </c>
      <c r="G34" s="9" t="str">
        <f>IFERROR(__xludf.DUMMYFUNCTION("GOOGLETRANSLATE($A34,""en"",""zh-cn"")"),"预防医学")</f>
        <v>预防医学</v>
      </c>
      <c r="H34" s="9" t="str">
        <f>IFERROR(__xludf.DUMMYFUNCTION("GOOGLETRANSLATE($A34,""en"",""ja"")"),"予防医学")</f>
        <v>予防医学</v>
      </c>
      <c r="I34" s="9" t="str">
        <f>IFERROR(__xludf.DUMMYFUNCTION("GOOGLETRANSLATE($A34,""en"",""ko"")"),"예방약")</f>
        <v>예방약</v>
      </c>
      <c r="J34" s="9" t="str">
        <f>IFERROR(__xludf.DUMMYFUNCTION("GOOGLETRANSLATE($A34,""en"",""pt-BR"")"),"Medicina preventiva")</f>
        <v>Medicina preventiva</v>
      </c>
    </row>
    <row r="35">
      <c r="A35" s="28" t="str">
        <f>IFERROR(__xludf.DUMMYFUNCTION("""COMPUTED_VALUE"""),"Psychiatry")</f>
        <v>Psychiatry</v>
      </c>
      <c r="B35" s="19" t="str">
        <f>IFERROR(__xludf.DUMMYFUNCTION("""COMPUTED_VALUE"""),"py")</f>
        <v>py</v>
      </c>
      <c r="C35" s="9" t="str">
        <f>IFERROR(__xludf.DUMMYFUNCTION("GOOGLETRANSLATE($A35,""en"",""de"")"),"Psychiatrie")</f>
        <v>Psychiatrie</v>
      </c>
      <c r="D35" s="9" t="str">
        <f>IFERROR(__xludf.DUMMYFUNCTION("GOOGLETRANSLATE($A35,""en"",""fr"")"),"Psychiatrie")</f>
        <v>Psychiatrie</v>
      </c>
      <c r="E35" s="9" t="str">
        <f>IFERROR(__xludf.DUMMYFUNCTION("GOOGLETRANSLATE($A35,""en"",""es"")"),"Psiquiatría")</f>
        <v>Psiquiatría</v>
      </c>
      <c r="F35" s="9" t="str">
        <f>IFERROR(__xludf.DUMMYFUNCTION("GOOGLETRANSLATE($A35,""en"",""it"")"),"Psichiatria")</f>
        <v>Psichiatria</v>
      </c>
      <c r="G35" s="9" t="str">
        <f>IFERROR(__xludf.DUMMYFUNCTION("GOOGLETRANSLATE($A35,""en"",""zh-cn"")"),"精神病学")</f>
        <v>精神病学</v>
      </c>
      <c r="H35" s="9" t="str">
        <f>IFERROR(__xludf.DUMMYFUNCTION("GOOGLETRANSLATE($A35,""en"",""ja"")"),"精神科")</f>
        <v>精神科</v>
      </c>
      <c r="I35" s="9" t="str">
        <f>IFERROR(__xludf.DUMMYFUNCTION("GOOGLETRANSLATE($A35,""en"",""ko"")"),"정신과")</f>
        <v>정신과</v>
      </c>
      <c r="J35" s="9" t="str">
        <f>IFERROR(__xludf.DUMMYFUNCTION("GOOGLETRANSLATE($A35,""en"",""pt-BR"")"),"Psiquiatria")</f>
        <v>Psiquiatria</v>
      </c>
    </row>
    <row r="36">
      <c r="A36" s="28" t="str">
        <f>IFERROR(__xludf.DUMMYFUNCTION("""COMPUTED_VALUE"""),"Pulmonology")</f>
        <v>Pulmonology</v>
      </c>
      <c r="B36" s="19" t="str">
        <f>IFERROR(__xludf.DUMMYFUNCTION("""COMPUTED_VALUE"""),"pl")</f>
        <v>pl</v>
      </c>
      <c r="C36" s="9" t="str">
        <f>IFERROR(__xludf.DUMMYFUNCTION("GOOGLETRANSLATE($A36,""en"",""de"")"),"Pulmonologie")</f>
        <v>Pulmonologie</v>
      </c>
      <c r="D36" s="9" t="str">
        <f>IFERROR(__xludf.DUMMYFUNCTION("GOOGLETRANSLATE($A36,""en"",""fr"")"),"Pneumologie")</f>
        <v>Pneumologie</v>
      </c>
      <c r="E36" s="9" t="str">
        <f>IFERROR(__xludf.DUMMYFUNCTION("GOOGLETRANSLATE($A36,""en"",""es"")"),"Neumología")</f>
        <v>Neumología</v>
      </c>
      <c r="F36" s="9" t="str">
        <f>IFERROR(__xludf.DUMMYFUNCTION("GOOGLETRANSLATE($A36,""en"",""it"")"),"Pneumologia")</f>
        <v>Pneumologia</v>
      </c>
      <c r="G36" s="9" t="str">
        <f>IFERROR(__xludf.DUMMYFUNCTION("GOOGLETRANSLATE($A36,""en"",""zh-cn"")"),"肺科")</f>
        <v>肺科</v>
      </c>
      <c r="H36" s="9" t="str">
        <f>IFERROR(__xludf.DUMMYFUNCTION("GOOGLETRANSLATE($A36,""en"",""ja"")"),"呼吸器科")</f>
        <v>呼吸器科</v>
      </c>
      <c r="I36" s="9" t="str">
        <f>IFERROR(__xludf.DUMMYFUNCTION("GOOGLETRANSLATE($A36,""en"",""ko"")"),"호흡기내과")</f>
        <v>호흡기내과</v>
      </c>
      <c r="J36" s="9" t="str">
        <f>IFERROR(__xludf.DUMMYFUNCTION("GOOGLETRANSLATE($A36,""en"",""pt-BR"")"),"Pneumologia")</f>
        <v>Pneumologia</v>
      </c>
    </row>
    <row r="37">
      <c r="A37" s="29" t="str">
        <f>IFERROR(__xludf.DUMMYFUNCTION("""COMPUTED_VALUE"""),"Radiology")</f>
        <v>Radiology</v>
      </c>
      <c r="B37" s="19" t="str">
        <f>IFERROR(__xludf.DUMMYFUNCTION("""COMPUTED_VALUE"""),"ry")</f>
        <v>ry</v>
      </c>
      <c r="C37" s="9" t="str">
        <f>IFERROR(__xludf.DUMMYFUNCTION("GOOGLETRANSLATE($A37,""en"",""de"")"),"Radiologie")</f>
        <v>Radiologie</v>
      </c>
      <c r="D37" s="9" t="str">
        <f>IFERROR(__xludf.DUMMYFUNCTION("GOOGLETRANSLATE($A37,""en"",""fr"")"),"Radiologie")</f>
        <v>Radiologie</v>
      </c>
      <c r="E37" s="9" t="str">
        <f>IFERROR(__xludf.DUMMYFUNCTION("GOOGLETRANSLATE($A37,""en"",""es"")"),"Radiología")</f>
        <v>Radiología</v>
      </c>
      <c r="F37" s="9" t="str">
        <f>IFERROR(__xludf.DUMMYFUNCTION("GOOGLETRANSLATE($A37,""en"",""it"")"),"Radiologia")</f>
        <v>Radiologia</v>
      </c>
      <c r="G37" s="9" t="str">
        <f>IFERROR(__xludf.DUMMYFUNCTION("GOOGLETRANSLATE($A37,""en"",""zh-cn"")"),"放射科")</f>
        <v>放射科</v>
      </c>
      <c r="H37" s="9" t="str">
        <f>IFERROR(__xludf.DUMMYFUNCTION("GOOGLETRANSLATE($A37,""en"",""ja"")"),"放射線科")</f>
        <v>放射線科</v>
      </c>
      <c r="I37" s="9" t="str">
        <f>IFERROR(__xludf.DUMMYFUNCTION("GOOGLETRANSLATE($A37,""en"",""ko"")"),"방사선과")</f>
        <v>방사선과</v>
      </c>
      <c r="J37" s="9" t="str">
        <f>IFERROR(__xludf.DUMMYFUNCTION("GOOGLETRANSLATE($A37,""en"",""pt-BR"")"),"Radiologia")</f>
        <v>Radiologia</v>
      </c>
    </row>
    <row r="38">
      <c r="A38" s="19" t="str">
        <f>IFERROR(__xludf.DUMMYFUNCTION("""COMPUTED_VALUE"""),"Rehabilitation Medicine")</f>
        <v>Rehabilitation Medicine</v>
      </c>
      <c r="B38" s="19" t="str">
        <f>IFERROR(__xludf.DUMMYFUNCTION("""COMPUTED_VALUE"""),"rm")</f>
        <v>rm</v>
      </c>
      <c r="C38" s="9" t="str">
        <f>IFERROR(__xludf.DUMMYFUNCTION("GOOGLETRANSLATE($A38,""en"",""de"")"),"Rehabilitationsmedizin")</f>
        <v>Rehabilitationsmedizin</v>
      </c>
      <c r="D38" s="9" t="str">
        <f>IFERROR(__xludf.DUMMYFUNCTION("GOOGLETRANSLATE($A38,""en"",""fr"")"),"Médecine de réadaptation")</f>
        <v>Médecine de réadaptation</v>
      </c>
      <c r="E38" s="9" t="str">
        <f>IFERROR(__xludf.DUMMYFUNCTION("GOOGLETRANSLATE($A38,""en"",""es"")"),"Medicina de rehabilitación")</f>
        <v>Medicina de rehabilitación</v>
      </c>
      <c r="F38" s="9" t="str">
        <f>IFERROR(__xludf.DUMMYFUNCTION("GOOGLETRANSLATE($A38,""en"",""it"")"),"Medicina riabilitativa")</f>
        <v>Medicina riabilitativa</v>
      </c>
      <c r="G38" s="9" t="str">
        <f>IFERROR(__xludf.DUMMYFUNCTION("GOOGLETRANSLATE($A38,""en"",""zh-cn"")"),"康复医学")</f>
        <v>康复医学</v>
      </c>
      <c r="H38" s="9" t="str">
        <f>IFERROR(__xludf.DUMMYFUNCTION("GOOGLETRANSLATE($A38,""en"",""ja"")"),"リハビリテーション医学")</f>
        <v>リハビリテーション医学</v>
      </c>
      <c r="I38" s="9" t="str">
        <f>IFERROR(__xludf.DUMMYFUNCTION("GOOGLETRANSLATE($A38,""en"",""ko"")"),"재활의학")</f>
        <v>재활의학</v>
      </c>
      <c r="J38" s="9" t="str">
        <f>IFERROR(__xludf.DUMMYFUNCTION("GOOGLETRANSLATE($A38,""en"",""pt-BR"")"),"Medicina de Reabilitação")</f>
        <v>Medicina de Reabilitação</v>
      </c>
    </row>
    <row r="39">
      <c r="A39" s="19" t="str">
        <f>IFERROR(__xludf.DUMMYFUNCTION("""COMPUTED_VALUE"""),"Reproductive Medicine")</f>
        <v>Reproductive Medicine</v>
      </c>
      <c r="B39" s="19" t="str">
        <f>IFERROR(__xludf.DUMMYFUNCTION("""COMPUTED_VALUE"""),"rp")</f>
        <v>rp</v>
      </c>
      <c r="C39" s="9" t="str">
        <f>IFERROR(__xludf.DUMMYFUNCTION("GOOGLETRANSLATE($A39,""en"",""de"")"),"Reproduktionsmedizin")</f>
        <v>Reproduktionsmedizin</v>
      </c>
      <c r="D39" s="9" t="str">
        <f>IFERROR(__xludf.DUMMYFUNCTION("GOOGLETRANSLATE($A39,""en"",""fr"")"),"Médecine reproductive")</f>
        <v>Médecine reproductive</v>
      </c>
      <c r="E39" s="9" t="str">
        <f>IFERROR(__xludf.DUMMYFUNCTION("GOOGLETRANSLATE($A39,""en"",""es"")"),"Medicina Reproductiva")</f>
        <v>Medicina Reproductiva</v>
      </c>
      <c r="F39" s="9" t="str">
        <f>IFERROR(__xludf.DUMMYFUNCTION("GOOGLETRANSLATE($A39,""en"",""it"")"),"Medicina riproduttiva")</f>
        <v>Medicina riproduttiva</v>
      </c>
      <c r="G39" s="9" t="str">
        <f>IFERROR(__xludf.DUMMYFUNCTION("GOOGLETRANSLATE($A39,""en"",""zh-cn"")"),"生殖医学")</f>
        <v>生殖医学</v>
      </c>
      <c r="H39" s="9" t="str">
        <f>IFERROR(__xludf.DUMMYFUNCTION("GOOGLETRANSLATE($A39,""en"",""ja"")"),"生殖医療")</f>
        <v>生殖医療</v>
      </c>
      <c r="I39" s="9" t="str">
        <f>IFERROR(__xludf.DUMMYFUNCTION("GOOGLETRANSLATE($A39,""en"",""ko"")"),"생식의학")</f>
        <v>생식의학</v>
      </c>
      <c r="J39" s="9" t="str">
        <f>IFERROR(__xludf.DUMMYFUNCTION("GOOGLETRANSLATE($A39,""en"",""pt-BR"")"),"Medicina Reprodutiva")</f>
        <v>Medicina Reprodutiva</v>
      </c>
    </row>
    <row r="40">
      <c r="A40" s="28" t="str">
        <f>IFERROR(__xludf.DUMMYFUNCTION("""COMPUTED_VALUE"""),"Research and Development")</f>
        <v>Research and Development</v>
      </c>
      <c r="B40" s="19" t="str">
        <f>IFERROR(__xludf.DUMMYFUNCTION("""COMPUTED_VALUE"""),"rd")</f>
        <v>rd</v>
      </c>
      <c r="C40" s="9" t="str">
        <f>IFERROR(__xludf.DUMMYFUNCTION("GOOGLETRANSLATE($A40,""en"",""de"")"),"Forschung und Entwicklung")</f>
        <v>Forschung und Entwicklung</v>
      </c>
      <c r="D40" s="9" t="str">
        <f>IFERROR(__xludf.DUMMYFUNCTION("GOOGLETRANSLATE($A40,""en"",""fr"")"),"Recherche et développement")</f>
        <v>Recherche et développement</v>
      </c>
      <c r="E40" s="9" t="str">
        <f>IFERROR(__xludf.DUMMYFUNCTION("GOOGLETRANSLATE($A40,""en"",""es"")"),"Investigación y desarrollo")</f>
        <v>Investigación y desarrollo</v>
      </c>
      <c r="F40" s="9" t="str">
        <f>IFERROR(__xludf.DUMMYFUNCTION("GOOGLETRANSLATE($A40,""en"",""it"")"),"Ricerca e sviluppo")</f>
        <v>Ricerca e sviluppo</v>
      </c>
      <c r="G40" s="9" t="str">
        <f>IFERROR(__xludf.DUMMYFUNCTION("GOOGLETRANSLATE($A40,""en"",""zh-cn"")"),"研究与开发")</f>
        <v>研究与开发</v>
      </c>
      <c r="H40" s="9" t="str">
        <f>IFERROR(__xludf.DUMMYFUNCTION("GOOGLETRANSLATE($A40,""en"",""ja"")"),"研究開発")</f>
        <v>研究開発</v>
      </c>
      <c r="I40" s="9" t="str">
        <f>IFERROR(__xludf.DUMMYFUNCTION("GOOGLETRANSLATE($A40,""en"",""ko"")"),"연구 및 개발")</f>
        <v>연구 및 개발</v>
      </c>
      <c r="J40" s="9" t="str">
        <f>IFERROR(__xludf.DUMMYFUNCTION("GOOGLETRANSLATE($A40,""en"",""pt-BR"")"),"Pesquisa e Desenvolvimento")</f>
        <v>Pesquisa e Desenvolvimento</v>
      </c>
    </row>
    <row r="41">
      <c r="A41" s="28" t="str">
        <f>IFERROR(__xludf.DUMMYFUNCTION("""COMPUTED_VALUE"""),"Rheumatology")</f>
        <v>Rheumatology</v>
      </c>
      <c r="B41" s="19" t="str">
        <f>IFERROR(__xludf.DUMMYFUNCTION("""COMPUTED_VALUE"""),"rh")</f>
        <v>rh</v>
      </c>
      <c r="C41" s="9" t="str">
        <f>IFERROR(__xludf.DUMMYFUNCTION("GOOGLETRANSLATE($A41,""en"",""de"")"),"Rheumatologie")</f>
        <v>Rheumatologie</v>
      </c>
      <c r="D41" s="9" t="str">
        <f>IFERROR(__xludf.DUMMYFUNCTION("GOOGLETRANSLATE($A41,""en"",""fr"")"),"Rhumatologie")</f>
        <v>Rhumatologie</v>
      </c>
      <c r="E41" s="9" t="str">
        <f>IFERROR(__xludf.DUMMYFUNCTION("GOOGLETRANSLATE($A41,""en"",""es"")"),"Reumatología")</f>
        <v>Reumatología</v>
      </c>
      <c r="F41" s="9" t="str">
        <f>IFERROR(__xludf.DUMMYFUNCTION("GOOGLETRANSLATE($A41,""en"",""it"")"),"Reumatologia")</f>
        <v>Reumatologia</v>
      </c>
      <c r="G41" s="9" t="str">
        <f>IFERROR(__xludf.DUMMYFUNCTION("GOOGLETRANSLATE($A41,""en"",""zh-cn"")"),"风湿病学")</f>
        <v>风湿病学</v>
      </c>
      <c r="H41" s="9" t="str">
        <f>IFERROR(__xludf.DUMMYFUNCTION("GOOGLETRANSLATE($A41,""en"",""ja"")"),"リウマチ科")</f>
        <v>リウマチ科</v>
      </c>
      <c r="I41" s="9" t="str">
        <f>IFERROR(__xludf.DUMMYFUNCTION("GOOGLETRANSLATE($A41,""en"",""ko"")"),"류마티스학")</f>
        <v>류마티스학</v>
      </c>
      <c r="J41" s="9" t="str">
        <f>IFERROR(__xludf.DUMMYFUNCTION("GOOGLETRANSLATE($A41,""en"",""pt-BR"")"),"Reumatologia")</f>
        <v>Reumatologia</v>
      </c>
    </row>
    <row r="42">
      <c r="A42" s="28" t="str">
        <f>IFERROR(__xludf.DUMMYFUNCTION("""COMPUTED_VALUE"""),"Surgery")</f>
        <v>Surgery</v>
      </c>
      <c r="B42" s="19" t="str">
        <f>IFERROR(__xludf.DUMMYFUNCTION("""COMPUTED_VALUE"""),"su")</f>
        <v>su</v>
      </c>
      <c r="C42" s="9" t="str">
        <f>IFERROR(__xludf.DUMMYFUNCTION("GOOGLETRANSLATE($A42,""en"",""de"")"),"Operation")</f>
        <v>Operation</v>
      </c>
      <c r="D42" s="9" t="str">
        <f>IFERROR(__xludf.DUMMYFUNCTION("GOOGLETRANSLATE($A42,""en"",""fr"")"),"Chirurgie")</f>
        <v>Chirurgie</v>
      </c>
      <c r="E42" s="9" t="str">
        <f>IFERROR(__xludf.DUMMYFUNCTION("GOOGLETRANSLATE($A42,""en"",""es"")"),"Cirugía")</f>
        <v>Cirugía</v>
      </c>
      <c r="F42" s="9" t="str">
        <f>IFERROR(__xludf.DUMMYFUNCTION("GOOGLETRANSLATE($A42,""en"",""it"")"),"Chirurgia")</f>
        <v>Chirurgia</v>
      </c>
      <c r="G42" s="9" t="str">
        <f>IFERROR(__xludf.DUMMYFUNCTION("GOOGLETRANSLATE($A42,""en"",""zh-cn"")"),"外科手术")</f>
        <v>外科手术</v>
      </c>
      <c r="H42" s="9" t="str">
        <f>IFERROR(__xludf.DUMMYFUNCTION("GOOGLETRANSLATE($A42,""en"",""ja"")"),"手術")</f>
        <v>手術</v>
      </c>
      <c r="I42" s="9" t="str">
        <f>IFERROR(__xludf.DUMMYFUNCTION("GOOGLETRANSLATE($A42,""en"",""ko"")"),"수술")</f>
        <v>수술</v>
      </c>
      <c r="J42" s="9" t="str">
        <f>IFERROR(__xludf.DUMMYFUNCTION("GOOGLETRANSLATE($A42,""en"",""pt-BR"")"),"Cirurgia")</f>
        <v>Cirurgia</v>
      </c>
    </row>
    <row r="43">
      <c r="A43" s="19" t="str">
        <f>IFERROR(__xludf.DUMMYFUNCTION("""COMPUTED_VALUE"""),"Urology")</f>
        <v>Urology</v>
      </c>
      <c r="B43" s="19" t="str">
        <f>IFERROR(__xludf.DUMMYFUNCTION("""COMPUTED_VALUE"""),"ur")</f>
        <v>ur</v>
      </c>
      <c r="C43" s="9" t="str">
        <f>IFERROR(__xludf.DUMMYFUNCTION("GOOGLETRANSLATE($A43,""en"",""de"")"),"Urologie")</f>
        <v>Urologie</v>
      </c>
      <c r="D43" s="9" t="str">
        <f>IFERROR(__xludf.DUMMYFUNCTION("GOOGLETRANSLATE($A43,""en"",""fr"")"),"Urologie")</f>
        <v>Urologie</v>
      </c>
      <c r="E43" s="9" t="str">
        <f>IFERROR(__xludf.DUMMYFUNCTION("GOOGLETRANSLATE($A43,""en"",""es"")"),"Urología")</f>
        <v>Urología</v>
      </c>
      <c r="F43" s="9" t="str">
        <f>IFERROR(__xludf.DUMMYFUNCTION("GOOGLETRANSLATE($A43,""en"",""it"")"),"Urologia")</f>
        <v>Urologia</v>
      </c>
      <c r="G43" s="9" t="str">
        <f>IFERROR(__xludf.DUMMYFUNCTION("GOOGLETRANSLATE($A43,""en"",""zh-cn"")"),"泌尿科")</f>
        <v>泌尿科</v>
      </c>
      <c r="H43" s="9" t="str">
        <f>IFERROR(__xludf.DUMMYFUNCTION("GOOGLETRANSLATE($A43,""en"",""ja"")"),"泌尿器科")</f>
        <v>泌尿器科</v>
      </c>
      <c r="I43" s="9" t="str">
        <f>IFERROR(__xludf.DUMMYFUNCTION("GOOGLETRANSLATE($A43,""en"",""ko"")"),"비뇨기과")</f>
        <v>비뇨기과</v>
      </c>
      <c r="J43" s="9" t="str">
        <f>IFERROR(__xludf.DUMMYFUNCTION("GOOGLETRANSLATE($A43,""en"",""pt-BR"")"),"Urologia")</f>
        <v>Urologia</v>
      </c>
    </row>
    <row r="44">
      <c r="A44" s="9" t="str">
        <f>IFERROR(__xludf.DUMMYFUNCTION("""COMPUTED_VALUE"""),"Veterinary")</f>
        <v>Veterinary</v>
      </c>
      <c r="B44" s="9" t="str">
        <f>IFERROR(__xludf.DUMMYFUNCTION("""COMPUTED_VALUE"""),"vt")</f>
        <v>vt</v>
      </c>
      <c r="C44" s="9" t="str">
        <f>IFERROR(__xludf.DUMMYFUNCTION("GOOGLETRANSLATE($A44,""en"",""de"")"),"Veterinärmedizin")</f>
        <v>Veterinärmedizin</v>
      </c>
      <c r="D44" s="9" t="str">
        <f>IFERROR(__xludf.DUMMYFUNCTION("GOOGLETRANSLATE($A44,""en"",""fr"")"),"Vétérinaire")</f>
        <v>Vétérinaire</v>
      </c>
      <c r="E44" s="9" t="str">
        <f>IFERROR(__xludf.DUMMYFUNCTION("GOOGLETRANSLATE($A44,""en"",""es"")"),"Veterinario")</f>
        <v>Veterinario</v>
      </c>
      <c r="F44" s="9" t="str">
        <f>IFERROR(__xludf.DUMMYFUNCTION("GOOGLETRANSLATE($A44,""en"",""it"")"),"Veterinario")</f>
        <v>Veterinario</v>
      </c>
      <c r="G44" s="9" t="str">
        <f>IFERROR(__xludf.DUMMYFUNCTION("GOOGLETRANSLATE($A44,""en"",""zh-cn"")"),"兽医")</f>
        <v>兽医</v>
      </c>
      <c r="H44" s="9" t="str">
        <f>IFERROR(__xludf.DUMMYFUNCTION("GOOGLETRANSLATE($A44,""en"",""ja"")"),"獣医")</f>
        <v>獣医</v>
      </c>
      <c r="I44" s="9" t="str">
        <f>IFERROR(__xludf.DUMMYFUNCTION("GOOGLETRANSLATE($A44,""en"",""ko"")"),"수의사")</f>
        <v>수의사</v>
      </c>
      <c r="J44" s="9" t="str">
        <f>IFERROR(__xludf.DUMMYFUNCTION("GOOGLETRANSLATE($A44,""en"",""pt-BR"")"),"Veterinário")</f>
        <v>Veterinário</v>
      </c>
    </row>
    <row r="45">
      <c r="A45" s="9"/>
      <c r="B45" s="9"/>
    </row>
    <row r="46">
      <c r="A46" s="9"/>
      <c r="B46" s="9"/>
    </row>
    <row r="47">
      <c r="A47" s="9"/>
      <c r="B47" s="9"/>
    </row>
    <row r="48">
      <c r="A48" s="9"/>
      <c r="B48" s="9"/>
    </row>
    <row r="49">
      <c r="A49" s="9"/>
      <c r="B49" s="9"/>
    </row>
    <row r="50">
      <c r="A50" s="9"/>
      <c r="B50" s="9"/>
    </row>
    <row r="51">
      <c r="A51" s="9"/>
      <c r="B51" s="9"/>
    </row>
    <row r="52">
      <c r="A52" s="9"/>
      <c r="B52" s="9"/>
    </row>
    <row r="53">
      <c r="A53" s="9"/>
      <c r="B53" s="9"/>
    </row>
    <row r="54">
      <c r="A54" s="9"/>
      <c r="B54" s="9"/>
    </row>
    <row r="55">
      <c r="A55" s="9"/>
      <c r="B55" s="9"/>
    </row>
    <row r="56">
      <c r="A56" s="9"/>
      <c r="B56" s="9"/>
    </row>
    <row r="57">
      <c r="A57" s="9"/>
      <c r="B57" s="9"/>
    </row>
    <row r="58">
      <c r="A58" s="9"/>
      <c r="B58" s="9"/>
    </row>
    <row r="59">
      <c r="A59" s="9"/>
      <c r="B59" s="9"/>
    </row>
    <row r="60">
      <c r="A60" s="9"/>
      <c r="B60" s="9"/>
    </row>
    <row r="61">
      <c r="A61" s="9"/>
      <c r="B61" s="9"/>
    </row>
    <row r="62">
      <c r="A62" s="9"/>
      <c r="B62" s="9"/>
    </row>
    <row r="63">
      <c r="A63" s="9"/>
      <c r="B63" s="9"/>
    </row>
    <row r="64">
      <c r="A64" s="9"/>
      <c r="B64" s="9"/>
    </row>
    <row r="65">
      <c r="A65" s="9"/>
      <c r="B65" s="9"/>
    </row>
    <row r="66">
      <c r="A66" s="9"/>
      <c r="B66" s="9"/>
    </row>
    <row r="67">
      <c r="A67" s="9"/>
      <c r="B67" s="9"/>
    </row>
    <row r="68">
      <c r="A68" s="9"/>
      <c r="B68" s="9"/>
    </row>
    <row r="69">
      <c r="A69" s="9"/>
      <c r="B69" s="9"/>
    </row>
    <row r="70">
      <c r="A70" s="9"/>
      <c r="B70" s="9"/>
    </row>
    <row r="71">
      <c r="A71" s="9"/>
      <c r="B71" s="9"/>
    </row>
    <row r="72">
      <c r="A72" s="9"/>
      <c r="B72" s="9"/>
    </row>
    <row r="73">
      <c r="A73" s="9"/>
      <c r="B73" s="9"/>
    </row>
    <row r="74">
      <c r="A74" s="9"/>
      <c r="B74" s="9"/>
    </row>
    <row r="75">
      <c r="A75" s="9"/>
      <c r="B75" s="9"/>
    </row>
    <row r="76">
      <c r="A76" s="9"/>
      <c r="B76" s="9"/>
    </row>
    <row r="77">
      <c r="A77" s="9"/>
      <c r="B77" s="9"/>
    </row>
    <row r="78">
      <c r="A78" s="9"/>
      <c r="B78" s="9"/>
    </row>
    <row r="79">
      <c r="A79" s="9"/>
      <c r="B79" s="9"/>
    </row>
    <row r="80">
      <c r="A80" s="9"/>
      <c r="B80" s="9"/>
    </row>
    <row r="81">
      <c r="A81" s="9"/>
      <c r="B81" s="9"/>
    </row>
    <row r="82">
      <c r="A82" s="9"/>
      <c r="B82" s="9"/>
    </row>
    <row r="83">
      <c r="A83" s="9"/>
      <c r="B83" s="9"/>
    </row>
    <row r="84">
      <c r="A84" s="9"/>
      <c r="B84" s="9"/>
    </row>
    <row r="85">
      <c r="A85" s="9"/>
      <c r="B85" s="9"/>
    </row>
    <row r="86">
      <c r="A86" s="9"/>
      <c r="B86" s="9"/>
    </row>
    <row r="87">
      <c r="A87" s="9"/>
      <c r="B87" s="9"/>
    </row>
    <row r="88">
      <c r="A88" s="9"/>
      <c r="B88" s="9"/>
    </row>
    <row r="89">
      <c r="A89" s="9"/>
      <c r="B89" s="9"/>
    </row>
    <row r="90">
      <c r="A90" s="9"/>
      <c r="B90" s="9"/>
    </row>
    <row r="91">
      <c r="A91" s="9"/>
      <c r="B91" s="9"/>
    </row>
    <row r="92">
      <c r="A92" s="9"/>
      <c r="B92" s="9"/>
    </row>
    <row r="93">
      <c r="A93" s="9"/>
      <c r="B93" s="9"/>
    </row>
    <row r="94">
      <c r="A94" s="9"/>
      <c r="B94" s="9"/>
    </row>
    <row r="95">
      <c r="A95" s="9"/>
      <c r="B95" s="9"/>
    </row>
    <row r="96">
      <c r="A96" s="9"/>
      <c r="B96" s="9"/>
    </row>
    <row r="97">
      <c r="A97" s="9"/>
      <c r="B97" s="9"/>
    </row>
    <row r="98">
      <c r="A98" s="9"/>
      <c r="B98" s="9"/>
    </row>
    <row r="99">
      <c r="A99" s="9"/>
      <c r="B99" s="9"/>
    </row>
    <row r="100">
      <c r="A100" s="9"/>
      <c r="B100" s="9"/>
    </row>
    <row r="101">
      <c r="A101" s="9"/>
      <c r="B101" s="9"/>
    </row>
    <row r="102">
      <c r="A102" s="9"/>
      <c r="B102" s="9"/>
    </row>
    <row r="103">
      <c r="A103" s="9"/>
      <c r="B103" s="9"/>
    </row>
    <row r="104">
      <c r="A104" s="9"/>
      <c r="B104" s="9"/>
    </row>
    <row r="105">
      <c r="A105" s="9"/>
      <c r="B105" s="9"/>
    </row>
    <row r="106">
      <c r="A106" s="9"/>
      <c r="B106" s="9"/>
    </row>
    <row r="107">
      <c r="A107" s="9"/>
      <c r="B107" s="9"/>
    </row>
    <row r="108">
      <c r="A108" s="9"/>
      <c r="B108" s="9"/>
    </row>
    <row r="109">
      <c r="A109" s="9"/>
      <c r="B109" s="9"/>
    </row>
    <row r="110">
      <c r="A110" s="9"/>
      <c r="B110" s="9"/>
    </row>
    <row r="111">
      <c r="A111" s="9"/>
      <c r="B111" s="9"/>
    </row>
    <row r="112">
      <c r="A112" s="9"/>
      <c r="B112" s="9"/>
    </row>
    <row r="113">
      <c r="A113" s="9"/>
      <c r="B113" s="9"/>
    </row>
    <row r="114">
      <c r="A114" s="9"/>
      <c r="B114" s="9"/>
    </row>
    <row r="115">
      <c r="A115" s="9"/>
      <c r="B115" s="9"/>
    </row>
    <row r="116">
      <c r="A116" s="9"/>
      <c r="B116" s="9"/>
    </row>
    <row r="117">
      <c r="A117" s="9"/>
      <c r="B117" s="9"/>
    </row>
    <row r="118">
      <c r="A118" s="9"/>
      <c r="B118" s="9"/>
    </row>
    <row r="119">
      <c r="A119" s="9"/>
      <c r="B119" s="9"/>
    </row>
    <row r="120">
      <c r="A120" s="9"/>
      <c r="B120" s="9"/>
    </row>
    <row r="121">
      <c r="A121" s="9"/>
      <c r="B121" s="9"/>
    </row>
    <row r="122">
      <c r="A122" s="9"/>
      <c r="B122" s="9"/>
    </row>
    <row r="123">
      <c r="A123" s="9"/>
      <c r="B123" s="9"/>
    </row>
    <row r="124">
      <c r="A124" s="9"/>
      <c r="B124" s="9"/>
    </row>
    <row r="125">
      <c r="A125" s="9"/>
      <c r="B125" s="9"/>
    </row>
    <row r="126">
      <c r="A126" s="9"/>
      <c r="B126" s="9"/>
    </row>
    <row r="127">
      <c r="A127" s="9"/>
      <c r="B127" s="9"/>
    </row>
    <row r="128">
      <c r="A128" s="9"/>
      <c r="B128" s="9"/>
    </row>
    <row r="129">
      <c r="A129" s="9"/>
      <c r="B129" s="9"/>
    </row>
    <row r="130">
      <c r="A130" s="9"/>
      <c r="B130" s="9"/>
    </row>
    <row r="131">
      <c r="A131" s="9"/>
      <c r="B131" s="9"/>
    </row>
    <row r="132">
      <c r="A132" s="9"/>
      <c r="B132" s="9"/>
    </row>
    <row r="133">
      <c r="A133" s="9"/>
      <c r="B133" s="9"/>
    </row>
    <row r="134">
      <c r="A134" s="9"/>
      <c r="B134" s="9"/>
    </row>
    <row r="135">
      <c r="A135" s="9"/>
      <c r="B135" s="9"/>
    </row>
    <row r="136">
      <c r="A136" s="9"/>
      <c r="B136" s="9"/>
    </row>
    <row r="137">
      <c r="A137" s="9"/>
      <c r="B137" s="9"/>
    </row>
    <row r="138">
      <c r="A138" s="9"/>
      <c r="B138" s="9"/>
    </row>
    <row r="139">
      <c r="A139" s="9"/>
      <c r="B139" s="9"/>
    </row>
    <row r="140">
      <c r="A140" s="9"/>
      <c r="B140" s="9"/>
    </row>
    <row r="141">
      <c r="A141" s="9"/>
      <c r="B141" s="9"/>
    </row>
    <row r="142">
      <c r="A142" s="9"/>
      <c r="B142" s="9"/>
    </row>
    <row r="143">
      <c r="A143" s="9"/>
      <c r="B143" s="9"/>
    </row>
    <row r="144">
      <c r="A144" s="9"/>
      <c r="B144" s="9"/>
    </row>
    <row r="145">
      <c r="A145" s="9"/>
      <c r="B145" s="9"/>
    </row>
    <row r="146">
      <c r="A146" s="9"/>
      <c r="B146" s="9"/>
    </row>
    <row r="147">
      <c r="A147" s="9"/>
      <c r="B147" s="9"/>
    </row>
    <row r="148">
      <c r="A148" s="9"/>
      <c r="B148" s="9"/>
    </row>
    <row r="149">
      <c r="A149" s="9"/>
      <c r="B149" s="9"/>
    </row>
    <row r="150">
      <c r="A150" s="9"/>
      <c r="B150" s="9"/>
    </row>
    <row r="151">
      <c r="A151" s="9"/>
      <c r="B151" s="9"/>
    </row>
    <row r="152">
      <c r="A152" s="9"/>
      <c r="B152" s="9"/>
    </row>
    <row r="153">
      <c r="A153" s="9"/>
      <c r="B153" s="9"/>
    </row>
    <row r="154">
      <c r="A154" s="9"/>
      <c r="B154" s="9"/>
    </row>
    <row r="155">
      <c r="A155" s="9"/>
      <c r="B155" s="9"/>
    </row>
    <row r="156">
      <c r="A156" s="9"/>
      <c r="B156" s="9"/>
    </row>
    <row r="157">
      <c r="A157" s="9"/>
      <c r="B157" s="9"/>
    </row>
    <row r="158">
      <c r="A158" s="9"/>
      <c r="B158" s="9"/>
    </row>
    <row r="159">
      <c r="A159" s="9"/>
      <c r="B159" s="9"/>
    </row>
    <row r="160">
      <c r="A160" s="9"/>
      <c r="B160" s="9"/>
    </row>
    <row r="161">
      <c r="A161" s="9"/>
      <c r="B161" s="9"/>
    </row>
    <row r="162">
      <c r="A162" s="9"/>
      <c r="B162" s="9"/>
    </row>
    <row r="163">
      <c r="A163" s="9"/>
      <c r="B163" s="9"/>
    </row>
    <row r="164">
      <c r="A164" s="9"/>
      <c r="B164" s="9"/>
    </row>
    <row r="165">
      <c r="A165" s="9"/>
      <c r="B165" s="9"/>
    </row>
    <row r="166">
      <c r="A166" s="9"/>
      <c r="B166" s="9"/>
    </row>
    <row r="167">
      <c r="A167" s="9"/>
      <c r="B167" s="9"/>
    </row>
    <row r="168">
      <c r="A168" s="9"/>
      <c r="B168" s="9"/>
    </row>
    <row r="169">
      <c r="A169" s="9"/>
      <c r="B169" s="9"/>
    </row>
    <row r="170">
      <c r="A170" s="9"/>
      <c r="B170" s="9"/>
    </row>
    <row r="171">
      <c r="A171" s="9"/>
      <c r="B171" s="9"/>
    </row>
    <row r="172">
      <c r="A172" s="9"/>
      <c r="B172" s="9"/>
    </row>
    <row r="173">
      <c r="A173" s="9"/>
      <c r="B173" s="9"/>
    </row>
    <row r="174">
      <c r="A174" s="9"/>
      <c r="B174" s="9"/>
    </row>
    <row r="175">
      <c r="A175" s="9"/>
      <c r="B175" s="9"/>
    </row>
    <row r="176">
      <c r="A176" s="9"/>
      <c r="B176" s="9"/>
    </row>
    <row r="177">
      <c r="A177" s="9"/>
      <c r="B177" s="9"/>
    </row>
    <row r="178">
      <c r="A178" s="9"/>
      <c r="B178" s="9"/>
    </row>
    <row r="179">
      <c r="A179" s="9"/>
      <c r="B179" s="9"/>
    </row>
    <row r="180">
      <c r="A180" s="9"/>
      <c r="B180" s="9"/>
    </row>
    <row r="181">
      <c r="A181" s="9"/>
      <c r="B181" s="9"/>
    </row>
    <row r="182">
      <c r="A182" s="9"/>
      <c r="B182" s="9"/>
    </row>
    <row r="183">
      <c r="A183" s="9"/>
      <c r="B183" s="9"/>
    </row>
    <row r="184">
      <c r="A184" s="9"/>
      <c r="B184" s="9"/>
    </row>
    <row r="185">
      <c r="A185" s="9"/>
      <c r="B185" s="9"/>
    </row>
    <row r="186">
      <c r="A186" s="9"/>
      <c r="B186" s="9"/>
    </row>
    <row r="187">
      <c r="A187" s="9"/>
      <c r="B187" s="9"/>
    </row>
    <row r="188">
      <c r="A188" s="9"/>
      <c r="B188" s="9"/>
    </row>
    <row r="189">
      <c r="A189" s="9"/>
      <c r="B189" s="9"/>
    </row>
    <row r="190">
      <c r="A190" s="9"/>
      <c r="B190" s="9"/>
    </row>
    <row r="191">
      <c r="A191" s="9"/>
      <c r="B191" s="9"/>
    </row>
    <row r="192">
      <c r="A192" s="9"/>
      <c r="B192" s="9"/>
    </row>
    <row r="193">
      <c r="A193" s="9"/>
      <c r="B193" s="9"/>
    </row>
    <row r="194">
      <c r="A194" s="9"/>
      <c r="B194" s="9"/>
    </row>
    <row r="195">
      <c r="A195" s="9"/>
      <c r="B195" s="9"/>
    </row>
    <row r="196">
      <c r="A196" s="9"/>
      <c r="B196" s="9"/>
    </row>
    <row r="197">
      <c r="A197" s="9"/>
      <c r="B197" s="9"/>
    </row>
    <row r="198">
      <c r="A198" s="9"/>
      <c r="B198" s="9"/>
    </row>
    <row r="199">
      <c r="A199" s="9"/>
      <c r="B199" s="9"/>
    </row>
    <row r="200">
      <c r="A200" s="9"/>
      <c r="B200" s="9"/>
    </row>
    <row r="201">
      <c r="A201" s="9"/>
      <c r="B201" s="9"/>
    </row>
    <row r="202">
      <c r="A202" s="9"/>
      <c r="B202" s="9"/>
    </row>
    <row r="203">
      <c r="A203" s="9"/>
      <c r="B203" s="9"/>
    </row>
    <row r="204">
      <c r="A204" s="9"/>
      <c r="B204" s="9"/>
    </row>
    <row r="205">
      <c r="A205" s="9"/>
      <c r="B205" s="9"/>
    </row>
    <row r="206">
      <c r="A206" s="9"/>
      <c r="B206" s="9"/>
    </row>
    <row r="207">
      <c r="A207" s="9"/>
      <c r="B207" s="9"/>
    </row>
    <row r="208">
      <c r="A208" s="9"/>
      <c r="B208" s="9"/>
    </row>
    <row r="209">
      <c r="A209" s="9"/>
      <c r="B209" s="9"/>
    </row>
    <row r="210">
      <c r="A210" s="9"/>
      <c r="B210" s="9"/>
    </row>
    <row r="211">
      <c r="A211" s="9"/>
      <c r="B211" s="9"/>
    </row>
    <row r="212">
      <c r="A212" s="9"/>
      <c r="B212" s="9"/>
    </row>
    <row r="213">
      <c r="A213" s="9"/>
      <c r="B213" s="9"/>
    </row>
    <row r="214">
      <c r="A214" s="9"/>
      <c r="B214" s="9"/>
    </row>
    <row r="215">
      <c r="A215" s="9"/>
      <c r="B215" s="9"/>
    </row>
    <row r="216">
      <c r="A216" s="9"/>
      <c r="B216" s="9"/>
    </row>
    <row r="217">
      <c r="A217" s="9"/>
      <c r="B217" s="9"/>
    </row>
    <row r="218">
      <c r="A218" s="9"/>
      <c r="B218" s="9"/>
    </row>
    <row r="219">
      <c r="A219" s="9"/>
      <c r="B219" s="9"/>
    </row>
    <row r="220">
      <c r="A220" s="9"/>
      <c r="B220" s="9"/>
    </row>
    <row r="221">
      <c r="A221" s="9"/>
      <c r="B221" s="9"/>
    </row>
    <row r="222">
      <c r="A222" s="9"/>
      <c r="B222" s="9"/>
    </row>
    <row r="223">
      <c r="A223" s="9"/>
      <c r="B223" s="9"/>
    </row>
    <row r="224">
      <c r="A224" s="9"/>
      <c r="B224" s="9"/>
    </row>
    <row r="225">
      <c r="A225" s="9"/>
      <c r="B225" s="9"/>
    </row>
    <row r="226">
      <c r="A226" s="9"/>
      <c r="B226" s="9"/>
    </row>
    <row r="227">
      <c r="A227" s="9"/>
      <c r="B227" s="9"/>
    </row>
    <row r="228">
      <c r="A228" s="9"/>
      <c r="B228" s="9"/>
    </row>
    <row r="229">
      <c r="A229" s="9"/>
      <c r="B229" s="9"/>
    </row>
    <row r="230">
      <c r="A230" s="9"/>
      <c r="B230" s="9"/>
    </row>
    <row r="231">
      <c r="A231" s="9"/>
      <c r="B231" s="9"/>
    </row>
    <row r="232">
      <c r="A232" s="9"/>
      <c r="B232" s="9"/>
    </row>
    <row r="233">
      <c r="A233" s="9"/>
      <c r="B233" s="9"/>
    </row>
    <row r="234">
      <c r="A234" s="9"/>
      <c r="B234" s="9"/>
    </row>
    <row r="235">
      <c r="A235" s="9"/>
      <c r="B235" s="9"/>
    </row>
    <row r="236">
      <c r="A236" s="9"/>
      <c r="B236" s="9"/>
    </row>
    <row r="237">
      <c r="A237" s="9"/>
      <c r="B237" s="9"/>
    </row>
    <row r="238">
      <c r="A238" s="9"/>
      <c r="B238" s="9"/>
    </row>
    <row r="239">
      <c r="A239" s="9"/>
      <c r="B239" s="9"/>
    </row>
    <row r="240">
      <c r="A240" s="9"/>
      <c r="B240" s="9"/>
    </row>
    <row r="241">
      <c r="A241" s="9"/>
      <c r="B241" s="9"/>
    </row>
    <row r="242">
      <c r="A242" s="9"/>
      <c r="B242" s="9"/>
    </row>
    <row r="243">
      <c r="A243" s="9"/>
      <c r="B243" s="9"/>
    </row>
    <row r="244">
      <c r="A244" s="9"/>
      <c r="B244" s="9"/>
    </row>
    <row r="245">
      <c r="A245" s="9"/>
      <c r="B245" s="9"/>
    </row>
    <row r="246">
      <c r="A246" s="9"/>
      <c r="B246" s="9"/>
    </row>
    <row r="247">
      <c r="A247" s="9"/>
      <c r="B247" s="9"/>
    </row>
    <row r="248">
      <c r="A248" s="9"/>
      <c r="B248" s="9"/>
    </row>
    <row r="249">
      <c r="A249" s="9"/>
      <c r="B249" s="9"/>
    </row>
    <row r="250">
      <c r="A250" s="9"/>
      <c r="B250" s="9"/>
    </row>
    <row r="251">
      <c r="A251" s="9"/>
      <c r="B251" s="9"/>
    </row>
    <row r="252">
      <c r="A252" s="9"/>
      <c r="B252" s="9"/>
    </row>
    <row r="253">
      <c r="A253" s="9"/>
      <c r="B253" s="9"/>
    </row>
    <row r="254">
      <c r="A254" s="9"/>
      <c r="B254" s="9"/>
    </row>
    <row r="255">
      <c r="A255" s="9"/>
      <c r="B255" s="9"/>
    </row>
    <row r="256">
      <c r="A256" s="9"/>
      <c r="B256" s="9"/>
    </row>
    <row r="257">
      <c r="A257" s="9"/>
      <c r="B257" s="9"/>
    </row>
    <row r="258">
      <c r="A258" s="9"/>
      <c r="B258" s="9"/>
    </row>
    <row r="259">
      <c r="A259" s="9"/>
      <c r="B259" s="9"/>
    </row>
    <row r="260">
      <c r="A260" s="9"/>
      <c r="B260" s="9"/>
    </row>
    <row r="261">
      <c r="A261" s="9"/>
      <c r="B261" s="9"/>
    </row>
    <row r="262">
      <c r="A262" s="9"/>
      <c r="B262" s="9"/>
    </row>
    <row r="263">
      <c r="A263" s="9"/>
      <c r="B263" s="9"/>
    </row>
    <row r="264">
      <c r="A264" s="9"/>
      <c r="B264" s="9"/>
    </row>
    <row r="265">
      <c r="A265" s="9"/>
      <c r="B265" s="9"/>
    </row>
    <row r="266">
      <c r="A266" s="9"/>
      <c r="B266" s="9"/>
    </row>
    <row r="267">
      <c r="A267" s="9"/>
      <c r="B267" s="9"/>
    </row>
    <row r="268">
      <c r="A268" s="9"/>
      <c r="B268" s="9"/>
    </row>
    <row r="269">
      <c r="A269" s="9"/>
      <c r="B269" s="9"/>
    </row>
    <row r="270">
      <c r="A270" s="9"/>
      <c r="B270" s="9"/>
    </row>
    <row r="271">
      <c r="A271" s="9"/>
      <c r="B271" s="9"/>
    </row>
    <row r="272">
      <c r="A272" s="9"/>
      <c r="B272" s="9"/>
    </row>
    <row r="273">
      <c r="A273" s="9"/>
      <c r="B273" s="9"/>
    </row>
    <row r="274">
      <c r="A274" s="9"/>
      <c r="B274" s="9"/>
    </row>
    <row r="275">
      <c r="A275" s="9"/>
      <c r="B275" s="9"/>
    </row>
    <row r="276">
      <c r="A276" s="9"/>
      <c r="B276" s="9"/>
    </row>
    <row r="277">
      <c r="A277" s="9"/>
      <c r="B277" s="9"/>
    </row>
    <row r="278">
      <c r="A278" s="9"/>
      <c r="B278" s="9"/>
    </row>
    <row r="279">
      <c r="A279" s="9"/>
      <c r="B279" s="9"/>
    </row>
    <row r="280">
      <c r="A280" s="9"/>
      <c r="B280" s="9"/>
    </row>
    <row r="281">
      <c r="A281" s="9"/>
      <c r="B281" s="9"/>
    </row>
    <row r="282">
      <c r="A282" s="9"/>
      <c r="B282" s="9"/>
    </row>
    <row r="283">
      <c r="A283" s="9"/>
      <c r="B283" s="9"/>
    </row>
    <row r="284">
      <c r="A284" s="9"/>
      <c r="B284" s="9"/>
    </row>
    <row r="285">
      <c r="A285" s="9"/>
      <c r="B285" s="9"/>
    </row>
    <row r="286">
      <c r="A286" s="9"/>
      <c r="B286" s="9"/>
    </row>
    <row r="287">
      <c r="A287" s="9"/>
      <c r="B287" s="9"/>
    </row>
    <row r="288">
      <c r="A288" s="9"/>
      <c r="B288" s="9"/>
    </row>
    <row r="289">
      <c r="A289" s="9"/>
      <c r="B289" s="9"/>
    </row>
    <row r="290">
      <c r="A290" s="9"/>
      <c r="B290" s="9"/>
    </row>
    <row r="291">
      <c r="A291" s="9"/>
      <c r="B291" s="9"/>
    </row>
    <row r="292">
      <c r="A292" s="9"/>
      <c r="B292" s="9"/>
    </row>
    <row r="293">
      <c r="A293" s="9"/>
      <c r="B293" s="9"/>
    </row>
    <row r="294">
      <c r="A294" s="9"/>
      <c r="B294" s="9"/>
    </row>
    <row r="295">
      <c r="A295" s="9"/>
      <c r="B295" s="9"/>
    </row>
    <row r="296">
      <c r="A296" s="9"/>
      <c r="B296" s="9"/>
    </row>
    <row r="297">
      <c r="A297" s="9"/>
      <c r="B297" s="9"/>
    </row>
    <row r="298">
      <c r="A298" s="9"/>
      <c r="B298" s="9"/>
    </row>
    <row r="299">
      <c r="A299" s="9"/>
      <c r="B299" s="9"/>
    </row>
    <row r="300">
      <c r="A300" s="9"/>
      <c r="B300" s="9"/>
    </row>
    <row r="301">
      <c r="A301" s="9"/>
      <c r="B301" s="9"/>
    </row>
    <row r="302">
      <c r="A302" s="9"/>
      <c r="B302" s="9"/>
    </row>
    <row r="303">
      <c r="A303" s="9"/>
      <c r="B303" s="9"/>
    </row>
    <row r="304">
      <c r="A304" s="9"/>
      <c r="B304" s="9"/>
    </row>
    <row r="305">
      <c r="A305" s="9"/>
      <c r="B305" s="9"/>
    </row>
    <row r="306">
      <c r="A306" s="9"/>
      <c r="B306" s="9"/>
    </row>
    <row r="307">
      <c r="A307" s="9"/>
      <c r="B307" s="9"/>
    </row>
    <row r="308">
      <c r="A308" s="9"/>
      <c r="B308" s="9"/>
    </row>
    <row r="309">
      <c r="A309" s="9"/>
      <c r="B309" s="9"/>
    </row>
    <row r="310">
      <c r="A310" s="9"/>
      <c r="B310" s="9"/>
    </row>
    <row r="311">
      <c r="A311" s="9"/>
      <c r="B311" s="9"/>
    </row>
    <row r="312">
      <c r="A312" s="9"/>
      <c r="B312" s="9"/>
    </row>
    <row r="313">
      <c r="A313" s="9"/>
      <c r="B313" s="9"/>
    </row>
    <row r="314">
      <c r="A314" s="9"/>
      <c r="B314" s="9"/>
    </row>
    <row r="315">
      <c r="A315" s="9"/>
      <c r="B315" s="9"/>
    </row>
    <row r="316">
      <c r="A316" s="9"/>
      <c r="B316" s="9"/>
    </row>
    <row r="317">
      <c r="A317" s="9"/>
      <c r="B317" s="9"/>
    </row>
    <row r="318">
      <c r="A318" s="9"/>
      <c r="B318" s="9"/>
    </row>
    <row r="319">
      <c r="A319" s="9"/>
      <c r="B319" s="9"/>
    </row>
    <row r="320">
      <c r="A320" s="9"/>
      <c r="B320" s="9"/>
    </row>
    <row r="321">
      <c r="A321" s="9"/>
      <c r="B321" s="9"/>
    </row>
    <row r="322">
      <c r="A322" s="9"/>
      <c r="B322" s="9"/>
    </row>
    <row r="323">
      <c r="A323" s="9"/>
      <c r="B323" s="9"/>
    </row>
    <row r="324">
      <c r="A324" s="9"/>
      <c r="B324" s="9"/>
    </row>
    <row r="325">
      <c r="A325" s="9"/>
      <c r="B325" s="9"/>
    </row>
    <row r="326">
      <c r="A326" s="9"/>
      <c r="B326" s="9"/>
    </row>
    <row r="327">
      <c r="A327" s="9"/>
      <c r="B327" s="9"/>
    </row>
    <row r="328">
      <c r="A328" s="9"/>
      <c r="B328" s="9"/>
    </row>
    <row r="329">
      <c r="A329" s="9"/>
      <c r="B329" s="9"/>
    </row>
    <row r="330">
      <c r="A330" s="9"/>
      <c r="B330" s="9"/>
    </row>
    <row r="331">
      <c r="A331" s="9"/>
      <c r="B331" s="9"/>
    </row>
    <row r="332">
      <c r="A332" s="9"/>
      <c r="B332" s="9"/>
    </row>
    <row r="333">
      <c r="A333" s="9"/>
      <c r="B333" s="9"/>
    </row>
    <row r="334">
      <c r="A334" s="9"/>
      <c r="B334" s="9"/>
    </row>
    <row r="335">
      <c r="A335" s="9"/>
      <c r="B335" s="9"/>
    </row>
    <row r="336">
      <c r="A336" s="9"/>
      <c r="B336" s="9"/>
    </row>
    <row r="337">
      <c r="A337" s="9"/>
      <c r="B337" s="9"/>
    </row>
    <row r="338">
      <c r="A338" s="9"/>
      <c r="B338" s="9"/>
    </row>
    <row r="339">
      <c r="A339" s="9"/>
      <c r="B339" s="9"/>
    </row>
    <row r="340">
      <c r="A340" s="9"/>
      <c r="B340" s="9"/>
    </row>
    <row r="341">
      <c r="A341" s="9"/>
      <c r="B341" s="9"/>
    </row>
    <row r="342">
      <c r="A342" s="9"/>
      <c r="B342" s="9"/>
    </row>
    <row r="343">
      <c r="A343" s="9"/>
      <c r="B343" s="9"/>
    </row>
    <row r="344">
      <c r="A344" s="9"/>
      <c r="B344" s="9"/>
    </row>
    <row r="345">
      <c r="A345" s="9"/>
      <c r="B345" s="9"/>
    </row>
    <row r="346">
      <c r="A346" s="9"/>
      <c r="B346" s="9"/>
    </row>
    <row r="347">
      <c r="A347" s="9"/>
      <c r="B347" s="9"/>
    </row>
    <row r="348">
      <c r="A348" s="9"/>
      <c r="B348" s="9"/>
    </row>
    <row r="349">
      <c r="A349" s="9"/>
      <c r="B349" s="9"/>
    </row>
    <row r="350">
      <c r="A350" s="9"/>
      <c r="B350" s="9"/>
    </row>
    <row r="351">
      <c r="A351" s="9"/>
      <c r="B351" s="9"/>
    </row>
    <row r="352">
      <c r="A352" s="9"/>
      <c r="B352" s="9"/>
    </row>
    <row r="353">
      <c r="A353" s="9"/>
      <c r="B353" s="9"/>
    </row>
    <row r="354">
      <c r="A354" s="9"/>
      <c r="B354" s="9"/>
    </row>
    <row r="355">
      <c r="A355" s="9"/>
      <c r="B355" s="9"/>
    </row>
    <row r="356">
      <c r="A356" s="9"/>
      <c r="B356" s="9"/>
    </row>
    <row r="357">
      <c r="A357" s="9"/>
      <c r="B357" s="9"/>
    </row>
    <row r="358">
      <c r="A358" s="9"/>
      <c r="B358" s="9"/>
    </row>
    <row r="359">
      <c r="A359" s="9"/>
      <c r="B359" s="9"/>
    </row>
    <row r="360">
      <c r="A360" s="9"/>
      <c r="B360" s="9"/>
    </row>
    <row r="361">
      <c r="A361" s="9"/>
      <c r="B361" s="9"/>
    </row>
    <row r="362">
      <c r="A362" s="9"/>
      <c r="B362" s="9"/>
    </row>
    <row r="363">
      <c r="A363" s="9"/>
      <c r="B363" s="9"/>
    </row>
    <row r="364">
      <c r="A364" s="9"/>
      <c r="B364" s="9"/>
    </row>
    <row r="365">
      <c r="A365" s="9"/>
      <c r="B365" s="9"/>
    </row>
    <row r="366">
      <c r="A366" s="9"/>
      <c r="B366" s="9"/>
    </row>
    <row r="367">
      <c r="A367" s="9"/>
      <c r="B367" s="9"/>
    </row>
    <row r="368">
      <c r="A368" s="9"/>
      <c r="B368" s="9"/>
    </row>
    <row r="369">
      <c r="A369" s="9"/>
      <c r="B369" s="9"/>
    </row>
    <row r="370">
      <c r="A370" s="9"/>
      <c r="B370" s="9"/>
    </row>
    <row r="371">
      <c r="A371" s="9"/>
      <c r="B371" s="9"/>
    </row>
    <row r="372">
      <c r="A372" s="9"/>
      <c r="B372" s="9"/>
    </row>
    <row r="373">
      <c r="A373" s="9"/>
      <c r="B373" s="9"/>
    </row>
    <row r="374">
      <c r="A374" s="9"/>
      <c r="B374" s="9"/>
    </row>
    <row r="375">
      <c r="A375" s="9"/>
      <c r="B375" s="9"/>
    </row>
    <row r="376">
      <c r="A376" s="9"/>
      <c r="B376" s="9"/>
    </row>
    <row r="377">
      <c r="A377" s="9"/>
      <c r="B377" s="9"/>
    </row>
    <row r="378">
      <c r="A378" s="9"/>
      <c r="B378" s="9"/>
    </row>
    <row r="379">
      <c r="A379" s="9"/>
      <c r="B379" s="9"/>
    </row>
    <row r="380">
      <c r="A380" s="9"/>
      <c r="B380" s="9"/>
    </row>
    <row r="381">
      <c r="A381" s="9"/>
      <c r="B381" s="9"/>
    </row>
    <row r="382">
      <c r="A382" s="9"/>
      <c r="B382" s="9"/>
    </row>
    <row r="383">
      <c r="A383" s="9"/>
      <c r="B383" s="9"/>
    </row>
    <row r="384">
      <c r="A384" s="9"/>
      <c r="B384" s="9"/>
    </row>
    <row r="385">
      <c r="A385" s="9"/>
      <c r="B385" s="9"/>
    </row>
    <row r="386">
      <c r="A386" s="9"/>
      <c r="B386" s="9"/>
    </row>
    <row r="387">
      <c r="A387" s="9"/>
      <c r="B387" s="9"/>
    </row>
    <row r="388">
      <c r="A388" s="9"/>
      <c r="B388" s="9"/>
    </row>
    <row r="389">
      <c r="A389" s="9"/>
      <c r="B389" s="9"/>
    </row>
    <row r="390">
      <c r="A390" s="9"/>
      <c r="B390" s="9"/>
    </row>
    <row r="391">
      <c r="A391" s="9"/>
      <c r="B391" s="9"/>
    </row>
    <row r="392">
      <c r="A392" s="9"/>
      <c r="B392" s="9"/>
    </row>
    <row r="393">
      <c r="A393" s="9"/>
      <c r="B393" s="9"/>
    </row>
    <row r="394">
      <c r="A394" s="9"/>
      <c r="B394" s="9"/>
    </row>
    <row r="395">
      <c r="A395" s="9"/>
      <c r="B395" s="9"/>
    </row>
    <row r="396">
      <c r="A396" s="9"/>
      <c r="B396" s="9"/>
    </row>
    <row r="397">
      <c r="A397" s="9"/>
      <c r="B397" s="9"/>
    </row>
    <row r="398">
      <c r="A398" s="9"/>
      <c r="B398" s="9"/>
    </row>
    <row r="399">
      <c r="A399" s="9"/>
      <c r="B399" s="9"/>
    </row>
    <row r="400">
      <c r="A400" s="9"/>
      <c r="B400" s="9"/>
    </row>
    <row r="401">
      <c r="A401" s="9"/>
      <c r="B401" s="9"/>
    </row>
    <row r="402">
      <c r="A402" s="9"/>
      <c r="B402" s="9"/>
    </row>
    <row r="403">
      <c r="A403" s="9"/>
      <c r="B403" s="9"/>
    </row>
    <row r="404">
      <c r="A404" s="9"/>
      <c r="B404" s="9"/>
    </row>
    <row r="405">
      <c r="A405" s="9"/>
      <c r="B405" s="9"/>
    </row>
    <row r="406">
      <c r="A406" s="9"/>
      <c r="B406" s="9"/>
    </row>
    <row r="407">
      <c r="A407" s="9"/>
      <c r="B407" s="9"/>
    </row>
    <row r="408">
      <c r="A408" s="9"/>
      <c r="B408" s="9"/>
    </row>
    <row r="409">
      <c r="A409" s="9"/>
      <c r="B409" s="9"/>
    </row>
    <row r="410">
      <c r="A410" s="9"/>
      <c r="B410" s="9"/>
    </row>
    <row r="411">
      <c r="A411" s="9"/>
      <c r="B411" s="9"/>
    </row>
    <row r="412">
      <c r="A412" s="9"/>
      <c r="B412" s="9"/>
    </row>
    <row r="413">
      <c r="A413" s="9"/>
      <c r="B413" s="9"/>
    </row>
    <row r="414">
      <c r="A414" s="9"/>
      <c r="B414" s="9"/>
    </row>
    <row r="415">
      <c r="A415" s="9"/>
      <c r="B415" s="9"/>
    </row>
    <row r="416">
      <c r="A416" s="9"/>
      <c r="B416" s="9"/>
    </row>
    <row r="417">
      <c r="A417" s="9"/>
      <c r="B417" s="9"/>
    </row>
    <row r="418">
      <c r="A418" s="9"/>
      <c r="B418" s="9"/>
    </row>
    <row r="419">
      <c r="A419" s="9"/>
      <c r="B419" s="9"/>
    </row>
    <row r="420">
      <c r="A420" s="9"/>
      <c r="B420" s="9"/>
    </row>
    <row r="421">
      <c r="A421" s="9"/>
      <c r="B421" s="9"/>
    </row>
    <row r="422">
      <c r="A422" s="9"/>
      <c r="B422" s="9"/>
    </row>
    <row r="423">
      <c r="A423" s="9"/>
      <c r="B423" s="9"/>
    </row>
    <row r="424">
      <c r="A424" s="9"/>
      <c r="B424" s="9"/>
    </row>
    <row r="425">
      <c r="A425" s="9"/>
      <c r="B425" s="9"/>
    </row>
    <row r="426">
      <c r="A426" s="9"/>
      <c r="B426" s="9"/>
    </row>
    <row r="427">
      <c r="A427" s="9"/>
      <c r="B427" s="9"/>
    </row>
    <row r="428">
      <c r="A428" s="9"/>
      <c r="B428" s="9"/>
    </row>
    <row r="429">
      <c r="A429" s="9"/>
      <c r="B429" s="9"/>
    </row>
    <row r="430">
      <c r="A430" s="9"/>
      <c r="B430" s="9"/>
    </row>
    <row r="431">
      <c r="A431" s="9"/>
      <c r="B431" s="9"/>
    </row>
    <row r="432">
      <c r="A432" s="9"/>
      <c r="B432" s="9"/>
    </row>
    <row r="433">
      <c r="A433" s="9"/>
      <c r="B433" s="9"/>
    </row>
    <row r="434">
      <c r="A434" s="9"/>
      <c r="B434" s="9"/>
    </row>
    <row r="435">
      <c r="A435" s="9"/>
      <c r="B435" s="9"/>
    </row>
    <row r="436">
      <c r="A436" s="9"/>
      <c r="B436" s="9"/>
    </row>
    <row r="437">
      <c r="A437" s="9"/>
      <c r="B437" s="9"/>
    </row>
    <row r="438">
      <c r="A438" s="9"/>
      <c r="B438" s="9"/>
    </row>
    <row r="439">
      <c r="A439" s="9"/>
      <c r="B439" s="9"/>
    </row>
    <row r="440">
      <c r="A440" s="9"/>
      <c r="B440" s="9"/>
    </row>
    <row r="441">
      <c r="A441" s="9"/>
      <c r="B441" s="9"/>
    </row>
    <row r="442">
      <c r="A442" s="9"/>
      <c r="B442" s="9"/>
    </row>
    <row r="443">
      <c r="A443" s="9"/>
      <c r="B443" s="9"/>
    </row>
    <row r="444">
      <c r="A444" s="9"/>
      <c r="B444" s="9"/>
    </row>
    <row r="445">
      <c r="A445" s="9"/>
      <c r="B445" s="9"/>
    </row>
    <row r="446">
      <c r="A446" s="9"/>
      <c r="B446" s="9"/>
    </row>
    <row r="447">
      <c r="A447" s="9"/>
      <c r="B447" s="9"/>
    </row>
    <row r="448">
      <c r="A448" s="9"/>
      <c r="B448" s="9"/>
    </row>
    <row r="449">
      <c r="A449" s="9"/>
      <c r="B449" s="9"/>
    </row>
    <row r="450">
      <c r="A450" s="9"/>
      <c r="B450" s="9"/>
    </row>
    <row r="451">
      <c r="A451" s="9"/>
      <c r="B451" s="9"/>
    </row>
    <row r="452">
      <c r="A452" s="9"/>
      <c r="B452" s="9"/>
    </row>
    <row r="453">
      <c r="A453" s="9"/>
      <c r="B453" s="9"/>
    </row>
    <row r="454">
      <c r="A454" s="9"/>
      <c r="B454" s="9"/>
    </row>
    <row r="455">
      <c r="A455" s="9"/>
      <c r="B455" s="9"/>
    </row>
    <row r="456">
      <c r="A456" s="9"/>
      <c r="B456" s="9"/>
    </row>
    <row r="457">
      <c r="A457" s="9"/>
      <c r="B457" s="9"/>
    </row>
    <row r="458">
      <c r="A458" s="9"/>
      <c r="B458" s="9"/>
    </row>
    <row r="459">
      <c r="A459" s="9"/>
      <c r="B459" s="9"/>
    </row>
    <row r="460">
      <c r="A460" s="9"/>
      <c r="B460" s="9"/>
    </row>
    <row r="461">
      <c r="A461" s="9"/>
      <c r="B461" s="9"/>
    </row>
    <row r="462">
      <c r="A462" s="9"/>
      <c r="B462" s="9"/>
    </row>
    <row r="463">
      <c r="A463" s="9"/>
      <c r="B463" s="9"/>
    </row>
    <row r="464">
      <c r="A464" s="9"/>
      <c r="B464" s="9"/>
    </row>
    <row r="465">
      <c r="A465" s="9"/>
      <c r="B465" s="9"/>
    </row>
    <row r="466">
      <c r="A466" s="9"/>
      <c r="B466" s="9"/>
    </row>
    <row r="467">
      <c r="A467" s="9"/>
      <c r="B467" s="9"/>
    </row>
    <row r="468">
      <c r="A468" s="9"/>
      <c r="B468" s="9"/>
    </row>
    <row r="469">
      <c r="A469" s="9"/>
      <c r="B469" s="9"/>
    </row>
    <row r="470">
      <c r="A470" s="9"/>
      <c r="B470" s="9"/>
    </row>
    <row r="471">
      <c r="A471" s="9"/>
      <c r="B471" s="9"/>
    </row>
    <row r="472">
      <c r="A472" s="9"/>
      <c r="B472" s="9"/>
    </row>
    <row r="473">
      <c r="A473" s="9"/>
      <c r="B473" s="9"/>
    </row>
    <row r="474">
      <c r="A474" s="9"/>
      <c r="B474" s="9"/>
    </row>
    <row r="475">
      <c r="A475" s="9"/>
      <c r="B475" s="9"/>
    </row>
    <row r="476">
      <c r="A476" s="9"/>
      <c r="B476" s="9"/>
    </row>
    <row r="477">
      <c r="A477" s="9"/>
      <c r="B477" s="9"/>
    </row>
    <row r="478">
      <c r="A478" s="9"/>
      <c r="B478" s="9"/>
    </row>
    <row r="479">
      <c r="A479" s="9"/>
      <c r="B479" s="9"/>
    </row>
    <row r="480">
      <c r="A480" s="9"/>
      <c r="B480" s="9"/>
    </row>
    <row r="481">
      <c r="A481" s="9"/>
      <c r="B481" s="9"/>
    </row>
    <row r="482">
      <c r="A482" s="9"/>
      <c r="B482" s="9"/>
    </row>
    <row r="483">
      <c r="A483" s="9"/>
      <c r="B483" s="9"/>
    </row>
    <row r="484">
      <c r="A484" s="9"/>
      <c r="B484" s="9"/>
    </row>
    <row r="485">
      <c r="A485" s="9"/>
      <c r="B485" s="9"/>
    </row>
    <row r="486">
      <c r="A486" s="9"/>
      <c r="B486" s="9"/>
    </row>
    <row r="487">
      <c r="A487" s="9"/>
      <c r="B487" s="9"/>
    </row>
    <row r="488">
      <c r="A488" s="9"/>
      <c r="B488" s="9"/>
    </row>
    <row r="489">
      <c r="A489" s="9"/>
      <c r="B489" s="9"/>
    </row>
    <row r="490">
      <c r="A490" s="9"/>
      <c r="B490" s="9"/>
    </row>
    <row r="491">
      <c r="A491" s="9"/>
      <c r="B491" s="9"/>
    </row>
    <row r="492">
      <c r="A492" s="9"/>
      <c r="B492" s="9"/>
    </row>
    <row r="493">
      <c r="A493" s="9"/>
      <c r="B493" s="9"/>
    </row>
    <row r="494">
      <c r="A494" s="9"/>
      <c r="B494" s="9"/>
    </row>
    <row r="495">
      <c r="A495" s="9"/>
      <c r="B495" s="9"/>
    </row>
    <row r="496">
      <c r="A496" s="9"/>
      <c r="B496" s="9"/>
    </row>
    <row r="497">
      <c r="A497" s="9"/>
      <c r="B497" s="9"/>
    </row>
    <row r="498">
      <c r="A498" s="9"/>
      <c r="B498" s="9"/>
    </row>
    <row r="499">
      <c r="A499" s="9"/>
      <c r="B499" s="9"/>
    </row>
    <row r="500">
      <c r="A500" s="9"/>
      <c r="B500" s="9"/>
    </row>
    <row r="501">
      <c r="A501" s="9"/>
      <c r="B501" s="9"/>
    </row>
    <row r="502">
      <c r="A502" s="9"/>
      <c r="B502" s="9"/>
    </row>
    <row r="503">
      <c r="A503" s="9"/>
      <c r="B503" s="9"/>
    </row>
    <row r="504">
      <c r="A504" s="9"/>
      <c r="B504" s="9"/>
    </row>
    <row r="505">
      <c r="A505" s="9"/>
      <c r="B505" s="9"/>
    </row>
    <row r="506">
      <c r="A506" s="9"/>
      <c r="B506" s="9"/>
    </row>
    <row r="507">
      <c r="A507" s="9"/>
      <c r="B507" s="9"/>
    </row>
    <row r="508">
      <c r="A508" s="9"/>
      <c r="B508" s="9"/>
    </row>
    <row r="509">
      <c r="A509" s="9"/>
      <c r="B509" s="9"/>
    </row>
    <row r="510">
      <c r="A510" s="9"/>
      <c r="B510" s="9"/>
    </row>
    <row r="511">
      <c r="A511" s="9"/>
      <c r="B511" s="9"/>
    </row>
    <row r="512">
      <c r="A512" s="9"/>
      <c r="B512" s="9"/>
    </row>
    <row r="513">
      <c r="A513" s="9"/>
      <c r="B513" s="9"/>
    </row>
    <row r="514">
      <c r="A514" s="9"/>
      <c r="B514" s="9"/>
    </row>
    <row r="515">
      <c r="A515" s="9"/>
      <c r="B515" s="9"/>
    </row>
    <row r="516">
      <c r="A516" s="9"/>
      <c r="B516" s="9"/>
    </row>
    <row r="517">
      <c r="A517" s="9"/>
      <c r="B517" s="9"/>
    </row>
    <row r="518">
      <c r="A518" s="9"/>
      <c r="B518" s="9"/>
    </row>
    <row r="519">
      <c r="A519" s="9"/>
      <c r="B519" s="9"/>
    </row>
    <row r="520">
      <c r="A520" s="9"/>
      <c r="B520" s="9"/>
    </row>
    <row r="521">
      <c r="A521" s="9"/>
      <c r="B521" s="9"/>
    </row>
    <row r="522">
      <c r="A522" s="9"/>
      <c r="B522" s="9"/>
    </row>
    <row r="523">
      <c r="A523" s="9"/>
      <c r="B523" s="9"/>
    </row>
    <row r="524">
      <c r="A524" s="9"/>
      <c r="B524" s="9"/>
    </row>
    <row r="525">
      <c r="A525" s="9"/>
      <c r="B525" s="9"/>
    </row>
    <row r="526">
      <c r="A526" s="9"/>
      <c r="B526" s="9"/>
    </row>
    <row r="527">
      <c r="A527" s="9"/>
      <c r="B527" s="9"/>
    </row>
    <row r="528">
      <c r="A528" s="9"/>
      <c r="B528" s="9"/>
    </row>
    <row r="529">
      <c r="A529" s="9"/>
      <c r="B529" s="9"/>
    </row>
    <row r="530">
      <c r="A530" s="9"/>
      <c r="B530" s="9"/>
    </row>
    <row r="531">
      <c r="A531" s="9"/>
      <c r="B531" s="9"/>
    </row>
    <row r="532">
      <c r="A532" s="9"/>
      <c r="B532" s="9"/>
    </row>
    <row r="533">
      <c r="A533" s="9"/>
      <c r="B533" s="9"/>
    </row>
    <row r="534">
      <c r="A534" s="9"/>
      <c r="B534" s="9"/>
    </row>
    <row r="535">
      <c r="A535" s="9"/>
      <c r="B535" s="9"/>
    </row>
    <row r="536">
      <c r="A536" s="9"/>
      <c r="B536" s="9"/>
    </row>
    <row r="537">
      <c r="A537" s="9"/>
      <c r="B537" s="9"/>
    </row>
    <row r="538">
      <c r="A538" s="9"/>
      <c r="B538" s="9"/>
    </row>
    <row r="539">
      <c r="A539" s="9"/>
      <c r="B539" s="9"/>
    </row>
    <row r="540">
      <c r="A540" s="9"/>
      <c r="B540" s="9"/>
    </row>
    <row r="541">
      <c r="A541" s="9"/>
      <c r="B541" s="9"/>
    </row>
    <row r="542">
      <c r="A542" s="9"/>
      <c r="B542" s="9"/>
    </row>
    <row r="543">
      <c r="A543" s="9"/>
      <c r="B543" s="9"/>
    </row>
    <row r="544">
      <c r="A544" s="9"/>
      <c r="B544" s="9"/>
    </row>
    <row r="545">
      <c r="A545" s="9"/>
      <c r="B545" s="9"/>
    </row>
    <row r="546">
      <c r="A546" s="9"/>
      <c r="B546" s="9"/>
    </row>
    <row r="547">
      <c r="A547" s="9"/>
      <c r="B547" s="9"/>
    </row>
    <row r="548">
      <c r="A548" s="9"/>
      <c r="B548" s="9"/>
    </row>
    <row r="549">
      <c r="A549" s="9"/>
      <c r="B549" s="9"/>
    </row>
    <row r="550">
      <c r="A550" s="9"/>
      <c r="B550" s="9"/>
    </row>
    <row r="551">
      <c r="A551" s="9"/>
      <c r="B551" s="9"/>
    </row>
    <row r="552">
      <c r="A552" s="9"/>
      <c r="B552" s="9"/>
    </row>
    <row r="553">
      <c r="A553" s="9"/>
      <c r="B553" s="9"/>
    </row>
    <row r="554">
      <c r="A554" s="9"/>
      <c r="B554" s="9"/>
    </row>
    <row r="555">
      <c r="A555" s="9"/>
      <c r="B555" s="9"/>
    </row>
    <row r="556">
      <c r="A556" s="9"/>
      <c r="B556" s="9"/>
    </row>
    <row r="557">
      <c r="A557" s="9"/>
      <c r="B557" s="9"/>
    </row>
    <row r="558">
      <c r="A558" s="9"/>
      <c r="B558" s="9"/>
    </row>
    <row r="559">
      <c r="A559" s="9"/>
      <c r="B559" s="9"/>
    </row>
    <row r="560">
      <c r="A560" s="9"/>
      <c r="B560" s="9"/>
    </row>
    <row r="561">
      <c r="A561" s="9"/>
      <c r="B561" s="9"/>
    </row>
    <row r="562">
      <c r="A562" s="9"/>
      <c r="B562" s="9"/>
    </row>
    <row r="563">
      <c r="A563" s="9"/>
      <c r="B563" s="9"/>
    </row>
    <row r="564">
      <c r="A564" s="9"/>
      <c r="B564" s="9"/>
    </row>
    <row r="565">
      <c r="A565" s="9"/>
      <c r="B565" s="9"/>
    </row>
    <row r="566">
      <c r="A566" s="9"/>
      <c r="B566" s="9"/>
    </row>
    <row r="567">
      <c r="A567" s="9"/>
      <c r="B567" s="9"/>
    </row>
    <row r="568">
      <c r="A568" s="9"/>
      <c r="B568" s="9"/>
    </row>
    <row r="569">
      <c r="A569" s="9"/>
      <c r="B569" s="9"/>
    </row>
    <row r="570">
      <c r="A570" s="9"/>
      <c r="B570" s="9"/>
    </row>
    <row r="571">
      <c r="A571" s="9"/>
      <c r="B571" s="9"/>
    </row>
    <row r="572">
      <c r="A572" s="9"/>
      <c r="B572" s="9"/>
    </row>
    <row r="573">
      <c r="A573" s="9"/>
      <c r="B573" s="9"/>
    </row>
    <row r="574">
      <c r="A574" s="9"/>
      <c r="B574" s="9"/>
    </row>
    <row r="575">
      <c r="A575" s="9"/>
      <c r="B575" s="9"/>
    </row>
    <row r="576">
      <c r="A576" s="9"/>
      <c r="B576" s="9"/>
    </row>
    <row r="577">
      <c r="A577" s="9"/>
      <c r="B577" s="9"/>
    </row>
    <row r="578">
      <c r="A578" s="9"/>
      <c r="B578" s="9"/>
    </row>
    <row r="579">
      <c r="A579" s="9"/>
      <c r="B579" s="9"/>
    </row>
    <row r="580">
      <c r="A580" s="9"/>
      <c r="B580" s="9"/>
    </row>
    <row r="581">
      <c r="A581" s="9"/>
      <c r="B581" s="9"/>
    </row>
    <row r="582">
      <c r="A582" s="9"/>
      <c r="B582" s="9"/>
    </row>
    <row r="583">
      <c r="A583" s="9"/>
      <c r="B583" s="9"/>
    </row>
    <row r="584">
      <c r="A584" s="9"/>
      <c r="B584" s="9"/>
    </row>
    <row r="585">
      <c r="A585" s="9"/>
      <c r="B585" s="9"/>
    </row>
    <row r="586">
      <c r="A586" s="9"/>
      <c r="B586" s="9"/>
    </row>
    <row r="587">
      <c r="A587" s="9"/>
      <c r="B587" s="9"/>
    </row>
    <row r="588">
      <c r="A588" s="9"/>
      <c r="B588" s="9"/>
    </row>
    <row r="589">
      <c r="A589" s="9"/>
      <c r="B589" s="9"/>
    </row>
    <row r="590">
      <c r="A590" s="9"/>
      <c r="B590" s="9"/>
    </row>
    <row r="591">
      <c r="A591" s="9"/>
      <c r="B591" s="9"/>
    </row>
    <row r="592">
      <c r="A592" s="9"/>
      <c r="B592" s="9"/>
    </row>
    <row r="593">
      <c r="A593" s="9"/>
      <c r="B593" s="9"/>
    </row>
    <row r="594">
      <c r="A594" s="9"/>
      <c r="B594" s="9"/>
    </row>
    <row r="595">
      <c r="A595" s="9"/>
      <c r="B595" s="9"/>
    </row>
    <row r="596">
      <c r="A596" s="9"/>
      <c r="B596" s="9"/>
    </row>
    <row r="597">
      <c r="A597" s="9"/>
      <c r="B597" s="9"/>
    </row>
    <row r="598">
      <c r="A598" s="9"/>
      <c r="B598" s="9"/>
    </row>
    <row r="599">
      <c r="A599" s="9"/>
      <c r="B599" s="9"/>
    </row>
    <row r="600">
      <c r="A600" s="9"/>
      <c r="B600" s="9"/>
    </row>
    <row r="601">
      <c r="A601" s="9"/>
      <c r="B601" s="9"/>
    </row>
    <row r="602">
      <c r="A602" s="9"/>
      <c r="B602" s="9"/>
    </row>
    <row r="603">
      <c r="A603" s="9"/>
      <c r="B603" s="9"/>
    </row>
    <row r="604">
      <c r="A604" s="9"/>
      <c r="B604" s="9"/>
    </row>
    <row r="605">
      <c r="A605" s="9"/>
      <c r="B605" s="9"/>
    </row>
    <row r="606">
      <c r="A606" s="9"/>
      <c r="B606" s="9"/>
    </row>
    <row r="607">
      <c r="A607" s="9"/>
      <c r="B607" s="9"/>
    </row>
    <row r="608">
      <c r="A608" s="9"/>
      <c r="B608" s="9"/>
    </row>
    <row r="609">
      <c r="A609" s="9"/>
      <c r="B609" s="9"/>
    </row>
    <row r="610">
      <c r="A610" s="9"/>
      <c r="B610" s="9"/>
    </row>
    <row r="611">
      <c r="A611" s="9"/>
      <c r="B611" s="9"/>
    </row>
    <row r="612">
      <c r="A612" s="9"/>
      <c r="B612" s="9"/>
    </row>
    <row r="613">
      <c r="A613" s="9"/>
      <c r="B613" s="9"/>
    </row>
    <row r="614">
      <c r="A614" s="9"/>
      <c r="B614" s="9"/>
    </row>
    <row r="615">
      <c r="A615" s="9"/>
      <c r="B615" s="9"/>
    </row>
    <row r="616">
      <c r="A616" s="9"/>
      <c r="B616" s="9"/>
    </row>
    <row r="617">
      <c r="A617" s="9"/>
      <c r="B617" s="9"/>
    </row>
    <row r="618">
      <c r="A618" s="9"/>
      <c r="B618" s="9"/>
    </row>
    <row r="619">
      <c r="A619" s="9"/>
      <c r="B619" s="9"/>
    </row>
    <row r="620">
      <c r="A620" s="9"/>
      <c r="B620" s="9"/>
    </row>
    <row r="621">
      <c r="A621" s="9"/>
      <c r="B621" s="9"/>
    </row>
    <row r="622">
      <c r="A622" s="9"/>
      <c r="B622" s="9"/>
    </row>
    <row r="623">
      <c r="A623" s="9"/>
      <c r="B623" s="9"/>
    </row>
    <row r="624">
      <c r="A624" s="9"/>
      <c r="B624" s="9"/>
    </row>
    <row r="625">
      <c r="A625" s="9"/>
      <c r="B625" s="9"/>
    </row>
    <row r="626">
      <c r="A626" s="9"/>
      <c r="B626" s="9"/>
    </row>
    <row r="627">
      <c r="A627" s="9"/>
      <c r="B627" s="9"/>
    </row>
    <row r="628">
      <c r="A628" s="9"/>
      <c r="B628" s="9"/>
    </row>
    <row r="629">
      <c r="A629" s="9"/>
      <c r="B629" s="9"/>
    </row>
    <row r="630">
      <c r="A630" s="9"/>
      <c r="B630" s="9"/>
    </row>
    <row r="631">
      <c r="A631" s="9"/>
      <c r="B631" s="9"/>
    </row>
    <row r="632">
      <c r="A632" s="9"/>
      <c r="B632" s="9"/>
    </row>
    <row r="633">
      <c r="A633" s="9"/>
      <c r="B633" s="9"/>
    </row>
    <row r="634">
      <c r="A634" s="9"/>
      <c r="B634" s="9"/>
    </row>
    <row r="635">
      <c r="A635" s="9"/>
      <c r="B635" s="9"/>
    </row>
    <row r="636">
      <c r="A636" s="9"/>
      <c r="B636" s="9"/>
    </row>
    <row r="637">
      <c r="A637" s="9"/>
      <c r="B637" s="9"/>
    </row>
    <row r="638">
      <c r="A638" s="9"/>
      <c r="B638" s="9"/>
    </row>
    <row r="639">
      <c r="A639" s="9"/>
      <c r="B639" s="9"/>
    </row>
    <row r="640">
      <c r="A640" s="9"/>
      <c r="B640" s="9"/>
    </row>
    <row r="641">
      <c r="A641" s="9"/>
      <c r="B641" s="9"/>
    </row>
    <row r="642">
      <c r="A642" s="9"/>
      <c r="B642" s="9"/>
    </row>
    <row r="643">
      <c r="A643" s="9"/>
      <c r="B643" s="9"/>
    </row>
    <row r="644">
      <c r="A644" s="9"/>
      <c r="B644" s="9"/>
    </row>
    <row r="645">
      <c r="A645" s="9"/>
      <c r="B645" s="9"/>
    </row>
    <row r="646">
      <c r="A646" s="9"/>
      <c r="B646" s="9"/>
    </row>
    <row r="647">
      <c r="A647" s="9"/>
      <c r="B647" s="9"/>
    </row>
    <row r="648">
      <c r="A648" s="9"/>
      <c r="B648" s="9"/>
    </row>
    <row r="649">
      <c r="A649" s="9"/>
      <c r="B649" s="9"/>
    </row>
    <row r="650">
      <c r="A650" s="9"/>
      <c r="B650" s="9"/>
    </row>
    <row r="651">
      <c r="A651" s="9"/>
      <c r="B651" s="9"/>
    </row>
    <row r="652">
      <c r="A652" s="9"/>
      <c r="B652" s="9"/>
    </row>
    <row r="653">
      <c r="A653" s="9"/>
      <c r="B653" s="9"/>
    </row>
    <row r="654">
      <c r="A654" s="9"/>
      <c r="B654" s="9"/>
    </row>
    <row r="655">
      <c r="A655" s="9"/>
      <c r="B655" s="9"/>
    </row>
    <row r="656">
      <c r="A656" s="9"/>
      <c r="B656" s="9"/>
    </row>
    <row r="657">
      <c r="A657" s="9"/>
      <c r="B657" s="9"/>
    </row>
    <row r="658">
      <c r="A658" s="9"/>
      <c r="B658" s="9"/>
    </row>
    <row r="659">
      <c r="A659" s="9"/>
      <c r="B659" s="9"/>
    </row>
    <row r="660">
      <c r="A660" s="9"/>
      <c r="B660" s="9"/>
    </row>
    <row r="661">
      <c r="A661" s="9"/>
      <c r="B661" s="9"/>
    </row>
    <row r="662">
      <c r="A662" s="9"/>
      <c r="B662" s="9"/>
    </row>
    <row r="663">
      <c r="A663" s="9"/>
      <c r="B663" s="9"/>
    </row>
    <row r="664">
      <c r="A664" s="9"/>
      <c r="B664" s="9"/>
    </row>
    <row r="665">
      <c r="A665" s="9"/>
      <c r="B665" s="9"/>
    </row>
    <row r="666">
      <c r="A666" s="9"/>
      <c r="B666" s="9"/>
    </row>
    <row r="667">
      <c r="A667" s="9"/>
      <c r="B667" s="9"/>
    </row>
    <row r="668">
      <c r="A668" s="9"/>
      <c r="B668" s="9"/>
    </row>
    <row r="669">
      <c r="A669" s="9"/>
      <c r="B669" s="9"/>
    </row>
    <row r="670">
      <c r="A670" s="9"/>
      <c r="B670" s="9"/>
    </row>
    <row r="671">
      <c r="A671" s="9"/>
      <c r="B671" s="9"/>
    </row>
    <row r="672">
      <c r="A672" s="9"/>
      <c r="B672" s="9"/>
    </row>
    <row r="673">
      <c r="A673" s="9"/>
      <c r="B673" s="9"/>
    </row>
    <row r="674">
      <c r="A674" s="9"/>
      <c r="B674" s="9"/>
    </row>
    <row r="675">
      <c r="A675" s="9"/>
      <c r="B675" s="9"/>
    </row>
    <row r="676">
      <c r="A676" s="9"/>
      <c r="B676" s="9"/>
    </row>
    <row r="677">
      <c r="A677" s="9"/>
      <c r="B677" s="9"/>
    </row>
    <row r="678">
      <c r="A678" s="9"/>
      <c r="B678" s="9"/>
    </row>
    <row r="679">
      <c r="A679" s="9"/>
      <c r="B679" s="9"/>
    </row>
    <row r="680">
      <c r="A680" s="9"/>
      <c r="B680" s="9"/>
    </row>
    <row r="681">
      <c r="A681" s="9"/>
      <c r="B681" s="9"/>
    </row>
    <row r="682">
      <c r="A682" s="9"/>
      <c r="B682" s="9"/>
    </row>
    <row r="683">
      <c r="A683" s="9"/>
      <c r="B683" s="9"/>
    </row>
    <row r="684">
      <c r="A684" s="9"/>
      <c r="B684" s="9"/>
    </row>
    <row r="685">
      <c r="A685" s="9"/>
      <c r="B685" s="9"/>
    </row>
    <row r="686">
      <c r="A686" s="9"/>
      <c r="B686" s="9"/>
    </row>
    <row r="687">
      <c r="A687" s="9"/>
      <c r="B687" s="9"/>
    </row>
    <row r="688">
      <c r="A688" s="9"/>
      <c r="B688" s="9"/>
    </row>
    <row r="689">
      <c r="A689" s="9"/>
      <c r="B689" s="9"/>
    </row>
    <row r="690">
      <c r="A690" s="9"/>
      <c r="B690" s="9"/>
    </row>
    <row r="691">
      <c r="A691" s="9"/>
      <c r="B691" s="9"/>
    </row>
    <row r="692">
      <c r="A692" s="9"/>
      <c r="B692" s="9"/>
    </row>
    <row r="693">
      <c r="A693" s="9"/>
      <c r="B693" s="9"/>
    </row>
    <row r="694">
      <c r="A694" s="9"/>
      <c r="B694" s="9"/>
    </row>
    <row r="695">
      <c r="A695" s="9"/>
      <c r="B695" s="9"/>
    </row>
    <row r="696">
      <c r="A696" s="9"/>
      <c r="B696" s="9"/>
    </row>
    <row r="697">
      <c r="A697" s="9"/>
      <c r="B697" s="9"/>
    </row>
    <row r="698">
      <c r="A698" s="9"/>
      <c r="B698" s="9"/>
    </row>
    <row r="699">
      <c r="A699" s="9"/>
      <c r="B699" s="9"/>
    </row>
    <row r="700">
      <c r="A700" s="9"/>
      <c r="B700" s="9"/>
    </row>
    <row r="701">
      <c r="A701" s="9"/>
      <c r="B701" s="9"/>
    </row>
    <row r="702">
      <c r="A702" s="9"/>
      <c r="B702" s="9"/>
    </row>
    <row r="703">
      <c r="A703" s="9"/>
      <c r="B703" s="9"/>
    </row>
    <row r="704">
      <c r="A704" s="9"/>
      <c r="B704" s="9"/>
    </row>
    <row r="705">
      <c r="A705" s="9"/>
      <c r="B705" s="9"/>
    </row>
    <row r="706">
      <c r="A706" s="9"/>
      <c r="B706" s="9"/>
    </row>
    <row r="707">
      <c r="A707" s="9"/>
      <c r="B707" s="9"/>
    </row>
    <row r="708">
      <c r="A708" s="9"/>
      <c r="B708" s="9"/>
    </row>
    <row r="709">
      <c r="A709" s="9"/>
      <c r="B709" s="9"/>
    </row>
    <row r="710">
      <c r="A710" s="9"/>
      <c r="B710" s="9"/>
    </row>
    <row r="711">
      <c r="A711" s="9"/>
      <c r="B711" s="9"/>
    </row>
    <row r="712">
      <c r="A712" s="9"/>
      <c r="B712" s="9"/>
    </row>
    <row r="713">
      <c r="A713" s="9"/>
      <c r="B713" s="9"/>
    </row>
    <row r="714">
      <c r="A714" s="9"/>
      <c r="B714" s="9"/>
    </row>
    <row r="715">
      <c r="A715" s="9"/>
      <c r="B715" s="9"/>
    </row>
    <row r="716">
      <c r="A716" s="9"/>
      <c r="B716" s="9"/>
    </row>
    <row r="717">
      <c r="A717" s="9"/>
      <c r="B717" s="9"/>
    </row>
    <row r="718">
      <c r="A718" s="9"/>
      <c r="B718" s="9"/>
    </row>
    <row r="719">
      <c r="A719" s="9"/>
      <c r="B719" s="9"/>
    </row>
    <row r="720">
      <c r="A720" s="9"/>
      <c r="B720" s="9"/>
    </row>
    <row r="721">
      <c r="A721" s="9"/>
      <c r="B721" s="9"/>
    </row>
    <row r="722">
      <c r="A722" s="9"/>
      <c r="B722" s="9"/>
    </row>
    <row r="723">
      <c r="A723" s="9"/>
      <c r="B723" s="9"/>
    </row>
    <row r="724">
      <c r="A724" s="9"/>
      <c r="B724" s="9"/>
    </row>
    <row r="725">
      <c r="A725" s="9"/>
      <c r="B725" s="9"/>
    </row>
    <row r="726">
      <c r="A726" s="9"/>
      <c r="B726" s="9"/>
    </row>
    <row r="727">
      <c r="A727" s="9"/>
      <c r="B727" s="9"/>
    </row>
    <row r="728">
      <c r="A728" s="9"/>
      <c r="B728" s="9"/>
    </row>
    <row r="729">
      <c r="A729" s="9"/>
      <c r="B729" s="9"/>
    </row>
    <row r="730">
      <c r="A730" s="9"/>
      <c r="B730" s="9"/>
    </row>
    <row r="731">
      <c r="A731" s="9"/>
      <c r="B731" s="9"/>
    </row>
    <row r="732">
      <c r="A732" s="9"/>
      <c r="B732" s="9"/>
    </row>
    <row r="733">
      <c r="A733" s="9"/>
      <c r="B733" s="9"/>
    </row>
    <row r="734">
      <c r="A734" s="9"/>
      <c r="B734" s="9"/>
    </row>
    <row r="735">
      <c r="A735" s="9"/>
      <c r="B735" s="9"/>
    </row>
    <row r="736">
      <c r="A736" s="9"/>
      <c r="B736" s="9"/>
    </row>
    <row r="737">
      <c r="A737" s="9"/>
      <c r="B737" s="9"/>
    </row>
    <row r="738">
      <c r="A738" s="9"/>
      <c r="B738" s="9"/>
    </row>
    <row r="739">
      <c r="A739" s="9"/>
      <c r="B739" s="9"/>
    </row>
    <row r="740">
      <c r="A740" s="9"/>
      <c r="B740" s="9"/>
    </row>
    <row r="741">
      <c r="A741" s="9"/>
      <c r="B741" s="9"/>
    </row>
    <row r="742">
      <c r="A742" s="9"/>
      <c r="B742" s="9"/>
    </row>
    <row r="743">
      <c r="A743" s="9"/>
      <c r="B743" s="9"/>
    </row>
    <row r="744">
      <c r="A744" s="9"/>
      <c r="B744" s="9"/>
    </row>
    <row r="745">
      <c r="A745" s="9"/>
      <c r="B745" s="9"/>
    </row>
    <row r="746">
      <c r="A746" s="9"/>
      <c r="B746" s="9"/>
    </row>
    <row r="747">
      <c r="A747" s="9"/>
      <c r="B747" s="9"/>
    </row>
    <row r="748">
      <c r="A748" s="9"/>
      <c r="B748" s="9"/>
    </row>
    <row r="749">
      <c r="A749" s="9"/>
      <c r="B749" s="9"/>
    </row>
    <row r="750">
      <c r="A750" s="9"/>
      <c r="B750" s="9"/>
    </row>
    <row r="751">
      <c r="A751" s="9"/>
      <c r="B751" s="9"/>
    </row>
    <row r="752">
      <c r="A752" s="9"/>
      <c r="B752" s="9"/>
    </row>
    <row r="753">
      <c r="A753" s="9"/>
      <c r="B753" s="9"/>
    </row>
    <row r="754">
      <c r="A754" s="9"/>
      <c r="B754" s="9"/>
    </row>
    <row r="755">
      <c r="A755" s="9"/>
      <c r="B755" s="9"/>
    </row>
    <row r="756">
      <c r="A756" s="9"/>
      <c r="B756" s="9"/>
    </row>
    <row r="757">
      <c r="A757" s="9"/>
      <c r="B757" s="9"/>
    </row>
    <row r="758">
      <c r="A758" s="9"/>
      <c r="B758" s="9"/>
    </row>
    <row r="759">
      <c r="A759" s="9"/>
      <c r="B759" s="9"/>
    </row>
    <row r="760">
      <c r="A760" s="9"/>
      <c r="B760" s="9"/>
    </row>
    <row r="761">
      <c r="A761" s="9"/>
      <c r="B761" s="9"/>
    </row>
    <row r="762">
      <c r="A762" s="9"/>
      <c r="B762" s="9"/>
    </row>
    <row r="763">
      <c r="A763" s="9"/>
      <c r="B763" s="9"/>
    </row>
    <row r="764">
      <c r="A764" s="9"/>
      <c r="B764" s="9"/>
    </row>
    <row r="765">
      <c r="A765" s="9"/>
      <c r="B765" s="9"/>
    </row>
    <row r="766">
      <c r="A766" s="9"/>
      <c r="B766" s="9"/>
    </row>
    <row r="767">
      <c r="A767" s="9"/>
      <c r="B767" s="9"/>
    </row>
    <row r="768">
      <c r="A768" s="9"/>
      <c r="B768" s="9"/>
    </row>
    <row r="769">
      <c r="A769" s="9"/>
      <c r="B769" s="9"/>
    </row>
    <row r="770">
      <c r="A770" s="9"/>
      <c r="B770" s="9"/>
    </row>
    <row r="771">
      <c r="A771" s="9"/>
      <c r="B771" s="9"/>
    </row>
    <row r="772">
      <c r="A772" s="9"/>
      <c r="B772" s="9"/>
    </row>
    <row r="773">
      <c r="A773" s="9"/>
      <c r="B773" s="9"/>
    </row>
    <row r="774">
      <c r="A774" s="9"/>
      <c r="B774" s="9"/>
    </row>
    <row r="775">
      <c r="A775" s="9"/>
      <c r="B775" s="9"/>
    </row>
    <row r="776">
      <c r="A776" s="9"/>
      <c r="B776" s="9"/>
    </row>
    <row r="777">
      <c r="A777" s="9"/>
      <c r="B777" s="9"/>
    </row>
    <row r="778">
      <c r="A778" s="9"/>
      <c r="B778" s="9"/>
    </row>
    <row r="779">
      <c r="A779" s="9"/>
      <c r="B779" s="9"/>
    </row>
    <row r="780">
      <c r="A780" s="9"/>
      <c r="B780" s="9"/>
    </row>
    <row r="781">
      <c r="A781" s="9"/>
      <c r="B781" s="9"/>
    </row>
    <row r="782">
      <c r="A782" s="9"/>
      <c r="B782" s="9"/>
    </row>
    <row r="783">
      <c r="A783" s="9"/>
      <c r="B783" s="9"/>
    </row>
    <row r="784">
      <c r="A784" s="9"/>
      <c r="B784" s="9"/>
    </row>
    <row r="785">
      <c r="A785" s="9"/>
      <c r="B785" s="9"/>
    </row>
    <row r="786">
      <c r="A786" s="9"/>
      <c r="B786" s="9"/>
    </row>
    <row r="787">
      <c r="A787" s="9"/>
      <c r="B787" s="9"/>
    </row>
    <row r="788">
      <c r="A788" s="9"/>
      <c r="B788" s="9"/>
    </row>
    <row r="789">
      <c r="A789" s="9"/>
      <c r="B789" s="9"/>
    </row>
    <row r="790">
      <c r="A790" s="9"/>
      <c r="B790" s="9"/>
    </row>
    <row r="791">
      <c r="A791" s="9"/>
      <c r="B791" s="9"/>
    </row>
    <row r="792">
      <c r="A792" s="9"/>
      <c r="B792" s="9"/>
    </row>
    <row r="793">
      <c r="A793" s="9"/>
      <c r="B793" s="9"/>
    </row>
    <row r="794">
      <c r="A794" s="9"/>
      <c r="B794" s="9"/>
    </row>
    <row r="795">
      <c r="A795" s="9"/>
      <c r="B795" s="9"/>
    </row>
    <row r="796">
      <c r="A796" s="9"/>
      <c r="B796" s="9"/>
    </row>
    <row r="797">
      <c r="A797" s="9"/>
      <c r="B797" s="9"/>
    </row>
    <row r="798">
      <c r="A798" s="9"/>
      <c r="B798" s="9"/>
    </row>
    <row r="799">
      <c r="A799" s="9"/>
      <c r="B799" s="9"/>
    </row>
    <row r="800">
      <c r="A800" s="9"/>
      <c r="B800" s="9"/>
    </row>
    <row r="801">
      <c r="A801" s="9"/>
      <c r="B801" s="9"/>
    </row>
    <row r="802">
      <c r="A802" s="9"/>
      <c r="B802" s="9"/>
    </row>
    <row r="803">
      <c r="A803" s="9"/>
      <c r="B803" s="9"/>
    </row>
    <row r="804">
      <c r="A804" s="9"/>
      <c r="B804" s="9"/>
    </row>
    <row r="805">
      <c r="A805" s="9"/>
      <c r="B805" s="9"/>
    </row>
    <row r="806">
      <c r="A806" s="9"/>
      <c r="B806" s="9"/>
    </row>
    <row r="807">
      <c r="A807" s="9"/>
      <c r="B807" s="9"/>
    </row>
    <row r="808">
      <c r="A808" s="9"/>
      <c r="B808" s="9"/>
    </row>
    <row r="809">
      <c r="A809" s="9"/>
      <c r="B809" s="9"/>
    </row>
    <row r="810">
      <c r="A810" s="9"/>
      <c r="B810" s="9"/>
    </row>
    <row r="811">
      <c r="A811" s="9"/>
      <c r="B811" s="9"/>
    </row>
    <row r="812">
      <c r="A812" s="9"/>
      <c r="B812" s="9"/>
    </row>
    <row r="813">
      <c r="A813" s="9"/>
      <c r="B813" s="9"/>
    </row>
    <row r="814">
      <c r="A814" s="9"/>
      <c r="B814" s="9"/>
    </row>
    <row r="815">
      <c r="A815" s="9"/>
      <c r="B815" s="9"/>
    </row>
    <row r="816">
      <c r="A816" s="9"/>
      <c r="B816" s="9"/>
    </row>
    <row r="817">
      <c r="A817" s="9"/>
      <c r="B817" s="9"/>
    </row>
    <row r="818">
      <c r="A818" s="9"/>
      <c r="B818" s="9"/>
    </row>
    <row r="819">
      <c r="A819" s="9"/>
      <c r="B819" s="9"/>
    </row>
    <row r="820">
      <c r="A820" s="9"/>
      <c r="B820" s="9"/>
    </row>
    <row r="821">
      <c r="A821" s="9"/>
      <c r="B821" s="9"/>
    </row>
    <row r="822">
      <c r="A822" s="9"/>
      <c r="B822" s="9"/>
    </row>
    <row r="823">
      <c r="A823" s="9"/>
      <c r="B823" s="9"/>
    </row>
    <row r="824">
      <c r="A824" s="9"/>
      <c r="B824" s="9"/>
    </row>
    <row r="825">
      <c r="A825" s="9"/>
      <c r="B825" s="9"/>
    </row>
    <row r="826">
      <c r="A826" s="9"/>
      <c r="B826" s="9"/>
    </row>
    <row r="827">
      <c r="A827" s="9"/>
      <c r="B827" s="9"/>
    </row>
    <row r="828">
      <c r="A828" s="9"/>
      <c r="B828" s="9"/>
    </row>
    <row r="829">
      <c r="A829" s="9"/>
      <c r="B829" s="9"/>
    </row>
    <row r="830">
      <c r="A830" s="9"/>
      <c r="B830" s="9"/>
    </row>
    <row r="831">
      <c r="A831" s="9"/>
      <c r="B831" s="9"/>
    </row>
    <row r="832">
      <c r="A832" s="9"/>
      <c r="B832" s="9"/>
    </row>
    <row r="833">
      <c r="A833" s="9"/>
      <c r="B833" s="9"/>
    </row>
    <row r="834">
      <c r="A834" s="9"/>
      <c r="B834" s="9"/>
    </row>
    <row r="835">
      <c r="A835" s="9"/>
      <c r="B835" s="9"/>
    </row>
    <row r="836">
      <c r="A836" s="9"/>
      <c r="B836" s="9"/>
    </row>
    <row r="837">
      <c r="A837" s="9"/>
      <c r="B837" s="9"/>
    </row>
    <row r="838">
      <c r="A838" s="9"/>
      <c r="B838" s="9"/>
    </row>
    <row r="839">
      <c r="A839" s="9"/>
      <c r="B839" s="9"/>
    </row>
    <row r="840">
      <c r="A840" s="9"/>
      <c r="B840" s="9"/>
    </row>
    <row r="841">
      <c r="A841" s="9"/>
      <c r="B841" s="9"/>
    </row>
    <row r="842">
      <c r="A842" s="9"/>
      <c r="B842" s="9"/>
    </row>
    <row r="843">
      <c r="A843" s="9"/>
      <c r="B843" s="9"/>
    </row>
    <row r="844">
      <c r="A844" s="9"/>
      <c r="B844" s="9"/>
    </row>
    <row r="845">
      <c r="A845" s="9"/>
      <c r="B845" s="9"/>
    </row>
    <row r="846">
      <c r="A846" s="9"/>
      <c r="B846" s="9"/>
    </row>
    <row r="847">
      <c r="A847" s="9"/>
      <c r="B847" s="9"/>
    </row>
    <row r="848">
      <c r="A848" s="9"/>
      <c r="B848" s="9"/>
    </row>
    <row r="849">
      <c r="A849" s="9"/>
      <c r="B849" s="9"/>
    </row>
    <row r="850">
      <c r="A850" s="9"/>
      <c r="B850" s="9"/>
    </row>
    <row r="851">
      <c r="A851" s="9"/>
      <c r="B851" s="9"/>
    </row>
    <row r="852">
      <c r="A852" s="9"/>
      <c r="B852" s="9"/>
    </row>
    <row r="853">
      <c r="A853" s="9"/>
      <c r="B853" s="9"/>
    </row>
    <row r="854">
      <c r="A854" s="9"/>
      <c r="B854" s="9"/>
    </row>
    <row r="855">
      <c r="A855" s="9"/>
      <c r="B855" s="9"/>
    </row>
    <row r="856">
      <c r="A856" s="9"/>
      <c r="B856" s="9"/>
    </row>
    <row r="857">
      <c r="A857" s="9"/>
      <c r="B857" s="9"/>
    </row>
    <row r="858">
      <c r="A858" s="9"/>
      <c r="B858" s="9"/>
    </row>
    <row r="859">
      <c r="A859" s="9"/>
      <c r="B859" s="9"/>
    </row>
    <row r="860">
      <c r="A860" s="9"/>
      <c r="B860" s="9"/>
    </row>
    <row r="861">
      <c r="A861" s="9"/>
      <c r="B861" s="9"/>
    </row>
    <row r="862">
      <c r="A862" s="9"/>
      <c r="B862" s="9"/>
    </row>
    <row r="863">
      <c r="A863" s="9"/>
      <c r="B863" s="9"/>
    </row>
    <row r="864">
      <c r="A864" s="9"/>
      <c r="B864" s="9"/>
    </row>
    <row r="865">
      <c r="A865" s="9"/>
      <c r="B865" s="9"/>
    </row>
    <row r="866">
      <c r="A866" s="9"/>
      <c r="B866" s="9"/>
    </row>
    <row r="867">
      <c r="A867" s="9"/>
      <c r="B867" s="9"/>
    </row>
    <row r="868">
      <c r="A868" s="9"/>
      <c r="B868" s="9"/>
    </row>
    <row r="869">
      <c r="A869" s="9"/>
      <c r="B869" s="9"/>
    </row>
    <row r="870">
      <c r="A870" s="9"/>
      <c r="B870" s="9"/>
    </row>
    <row r="871">
      <c r="A871" s="9"/>
      <c r="B871" s="9"/>
    </row>
    <row r="872">
      <c r="A872" s="9"/>
      <c r="B872" s="9"/>
    </row>
    <row r="873">
      <c r="A873" s="9"/>
      <c r="B873" s="9"/>
    </row>
    <row r="874">
      <c r="A874" s="9"/>
      <c r="B874" s="9"/>
    </row>
    <row r="875">
      <c r="A875" s="9"/>
      <c r="B875" s="9"/>
    </row>
    <row r="876">
      <c r="A876" s="9"/>
      <c r="B876" s="9"/>
    </row>
    <row r="877">
      <c r="A877" s="9"/>
      <c r="B877" s="9"/>
    </row>
    <row r="878">
      <c r="A878" s="9"/>
      <c r="B878" s="9"/>
    </row>
    <row r="879">
      <c r="A879" s="9"/>
      <c r="B879" s="9"/>
    </row>
    <row r="880">
      <c r="A880" s="9"/>
      <c r="B880" s="9"/>
    </row>
    <row r="881">
      <c r="A881" s="9"/>
      <c r="B881" s="9"/>
    </row>
    <row r="882">
      <c r="A882" s="9"/>
      <c r="B882" s="9"/>
    </row>
    <row r="883">
      <c r="A883" s="9"/>
      <c r="B883" s="9"/>
    </row>
    <row r="884">
      <c r="A884" s="9"/>
      <c r="B884" s="9"/>
    </row>
    <row r="885">
      <c r="A885" s="9"/>
      <c r="B885" s="9"/>
    </row>
    <row r="886">
      <c r="A886" s="9"/>
      <c r="B886" s="9"/>
    </row>
    <row r="887">
      <c r="A887" s="9"/>
      <c r="B887" s="9"/>
    </row>
    <row r="888">
      <c r="A888" s="9"/>
      <c r="B888" s="9"/>
    </row>
    <row r="889">
      <c r="A889" s="9"/>
      <c r="B889" s="9"/>
    </row>
    <row r="890">
      <c r="A890" s="9"/>
      <c r="B890" s="9"/>
    </row>
    <row r="891">
      <c r="A891" s="9"/>
      <c r="B891" s="9"/>
    </row>
    <row r="892">
      <c r="A892" s="9"/>
      <c r="B892" s="9"/>
    </row>
    <row r="893">
      <c r="A893" s="9"/>
      <c r="B893" s="9"/>
    </row>
    <row r="894">
      <c r="A894" s="9"/>
      <c r="B894" s="9"/>
    </row>
    <row r="895">
      <c r="A895" s="9"/>
      <c r="B895" s="9"/>
    </row>
    <row r="896">
      <c r="A896" s="9"/>
      <c r="B896" s="9"/>
    </row>
    <row r="897">
      <c r="A897" s="9"/>
      <c r="B897" s="9"/>
    </row>
    <row r="898">
      <c r="A898" s="9"/>
      <c r="B898" s="9"/>
    </row>
    <row r="899">
      <c r="A899" s="9"/>
      <c r="B899" s="9"/>
    </row>
    <row r="900">
      <c r="A900" s="9"/>
      <c r="B900" s="9"/>
    </row>
    <row r="901">
      <c r="A901" s="9"/>
      <c r="B901" s="9"/>
    </row>
    <row r="902">
      <c r="A902" s="9"/>
      <c r="B902" s="9"/>
    </row>
    <row r="903">
      <c r="A903" s="9"/>
      <c r="B903" s="9"/>
    </row>
    <row r="904">
      <c r="A904" s="9"/>
      <c r="B904" s="9"/>
    </row>
    <row r="905">
      <c r="A905" s="9"/>
      <c r="B905" s="9"/>
    </row>
    <row r="906">
      <c r="A906" s="9"/>
      <c r="B906" s="9"/>
    </row>
    <row r="907">
      <c r="A907" s="9"/>
      <c r="B907" s="9"/>
    </row>
    <row r="908">
      <c r="A908" s="9"/>
      <c r="B908" s="9"/>
    </row>
    <row r="909">
      <c r="A909" s="9"/>
      <c r="B909" s="9"/>
    </row>
    <row r="910">
      <c r="A910" s="9"/>
      <c r="B910" s="9"/>
    </row>
    <row r="911">
      <c r="A911" s="9"/>
      <c r="B911" s="9"/>
    </row>
    <row r="912">
      <c r="A912" s="9"/>
      <c r="B912" s="9"/>
    </row>
    <row r="913">
      <c r="A913" s="9"/>
      <c r="B913" s="9"/>
    </row>
    <row r="914">
      <c r="A914" s="9"/>
      <c r="B914" s="9"/>
    </row>
    <row r="915">
      <c r="A915" s="9"/>
      <c r="B915" s="9"/>
    </row>
    <row r="916">
      <c r="A916" s="9"/>
      <c r="B916" s="9"/>
    </row>
    <row r="917">
      <c r="A917" s="9"/>
      <c r="B917" s="9"/>
    </row>
    <row r="918">
      <c r="A918" s="9"/>
      <c r="B918" s="9"/>
    </row>
    <row r="919">
      <c r="A919" s="9"/>
      <c r="B919" s="9"/>
    </row>
    <row r="920">
      <c r="A920" s="9"/>
      <c r="B920" s="9"/>
    </row>
    <row r="921">
      <c r="A921" s="9"/>
      <c r="B921" s="9"/>
    </row>
    <row r="922">
      <c r="A922" s="9"/>
      <c r="B922" s="9"/>
    </row>
    <row r="923">
      <c r="A923" s="9"/>
      <c r="B923" s="9"/>
    </row>
    <row r="924">
      <c r="A924" s="9"/>
      <c r="B924" s="9"/>
    </row>
    <row r="925">
      <c r="A925" s="9"/>
      <c r="B925" s="9"/>
    </row>
    <row r="926">
      <c r="A926" s="9"/>
      <c r="B926" s="9"/>
    </row>
    <row r="927">
      <c r="A927" s="9"/>
      <c r="B927" s="9"/>
    </row>
    <row r="928">
      <c r="A928" s="9"/>
      <c r="B928" s="9"/>
    </row>
    <row r="929">
      <c r="A929" s="9"/>
      <c r="B929" s="9"/>
    </row>
    <row r="930">
      <c r="A930" s="9"/>
      <c r="B930" s="9"/>
    </row>
    <row r="931">
      <c r="A931" s="9"/>
      <c r="B931" s="9"/>
    </row>
    <row r="932">
      <c r="A932" s="9"/>
      <c r="B932" s="9"/>
    </row>
    <row r="933">
      <c r="A933" s="9"/>
      <c r="B933" s="9"/>
    </row>
    <row r="934">
      <c r="A934" s="9"/>
      <c r="B934" s="9"/>
    </row>
    <row r="935">
      <c r="A935" s="9"/>
      <c r="B935" s="9"/>
    </row>
    <row r="936">
      <c r="A936" s="9"/>
      <c r="B936" s="9"/>
    </row>
    <row r="937">
      <c r="A937" s="9"/>
      <c r="B937" s="9"/>
    </row>
    <row r="938">
      <c r="A938" s="9"/>
      <c r="B938" s="9"/>
    </row>
    <row r="939">
      <c r="A939" s="9"/>
      <c r="B939" s="9"/>
    </row>
    <row r="940">
      <c r="A940" s="9"/>
      <c r="B940" s="9"/>
    </row>
    <row r="941">
      <c r="A941" s="9"/>
      <c r="B941" s="9"/>
    </row>
    <row r="942">
      <c r="A942" s="9"/>
      <c r="B942" s="9"/>
    </row>
    <row r="943">
      <c r="A943" s="9"/>
      <c r="B943" s="9"/>
    </row>
    <row r="944">
      <c r="A944" s="9"/>
      <c r="B944" s="9"/>
    </row>
  </sheetData>
  <drawing r:id="rId1"/>
</worksheet>
</file>